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0DC81DE6-EE06-4A0F-A03F-241C03D226BC}" xr6:coauthVersionLast="47" xr6:coauthVersionMax="47" xr10:uidLastSave="{00000000-0000-0000-0000-000000000000}"/>
  <bookViews>
    <workbookView xWindow="-108" yWindow="-108" windowWidth="23256" windowHeight="12456" tabRatio="950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7" l="1"/>
  <c r="D20" i="3"/>
  <c r="E18" i="5" l="1"/>
  <c r="E5" i="7" l="1"/>
  <c r="E6" i="4" l="1"/>
  <c r="E27" i="10" l="1"/>
  <c r="E9" i="10" l="1"/>
  <c r="E21" i="4" l="1"/>
  <c r="D50" i="3" l="1"/>
  <c r="E25" i="9" s="1"/>
  <c r="E17" i="9" l="1"/>
  <c r="E18" i="9"/>
  <c r="D52" i="3"/>
  <c r="E13" i="9" s="1"/>
  <c r="E9" i="9"/>
  <c r="D39" i="3"/>
  <c r="D46" i="3"/>
  <c r="E6" i="9"/>
  <c r="G17" i="9" l="1"/>
  <c r="E17" i="5" l="1"/>
  <c r="E13" i="5"/>
  <c r="E9" i="5"/>
  <c r="E18" i="7" l="1"/>
  <c r="E30" i="4"/>
  <c r="E22" i="4"/>
  <c r="E14" i="4"/>
  <c r="E13" i="7" l="1"/>
  <c r="E9" i="7"/>
  <c r="G17" i="5" l="1"/>
  <c r="E13" i="4"/>
  <c r="G13" i="4" l="1"/>
  <c r="E18" i="4" s="1"/>
  <c r="G17" i="4" s="1"/>
  <c r="E43" i="4" s="1"/>
  <c r="G21" i="4"/>
  <c r="E26" i="4" s="1"/>
  <c r="D44" i="2"/>
  <c r="E6" i="5" s="1"/>
  <c r="D37" i="2"/>
  <c r="D28" i="2"/>
  <c r="D30" i="2" s="1"/>
  <c r="D20" i="2"/>
  <c r="D13" i="2"/>
  <c r="D35" i="3"/>
  <c r="D41" i="3" s="1"/>
  <c r="D11" i="3"/>
  <c r="D45" i="2" l="1"/>
  <c r="E5" i="5"/>
  <c r="E30" i="8"/>
  <c r="E26" i="7"/>
  <c r="E6" i="7"/>
  <c r="G5" i="7" s="1"/>
  <c r="D16" i="10" s="1"/>
  <c r="G5" i="5"/>
  <c r="E48" i="4"/>
  <c r="E5" i="4"/>
  <c r="G5" i="4" s="1"/>
  <c r="E10" i="4" s="1"/>
  <c r="G9" i="4" s="1"/>
  <c r="E41" i="4" s="1"/>
  <c r="D7" i="10"/>
  <c r="E34" i="4"/>
  <c r="G25" i="4"/>
  <c r="E45" i="4" s="1"/>
  <c r="E10" i="7"/>
  <c r="E49" i="4"/>
  <c r="E34" i="8"/>
  <c r="D15" i="3"/>
  <c r="E10" i="8"/>
  <c r="E18" i="8"/>
  <c r="E14" i="8"/>
  <c r="E6" i="8"/>
  <c r="E33" i="4"/>
  <c r="E29" i="4"/>
  <c r="G29" i="4" s="1"/>
  <c r="E37" i="4"/>
  <c r="E14" i="5"/>
  <c r="G13" i="5" s="1"/>
  <c r="D14" i="10" s="1"/>
  <c r="E10" i="5"/>
  <c r="G9" i="5" s="1"/>
  <c r="D13" i="10" s="1"/>
  <c r="D21" i="2"/>
  <c r="G48" i="4" l="1"/>
  <c r="G41" i="4"/>
  <c r="E22" i="8"/>
  <c r="E26" i="8" s="1"/>
  <c r="E25" i="7"/>
  <c r="G25" i="7" s="1"/>
  <c r="D22" i="3"/>
  <c r="E5" i="8"/>
  <c r="D8" i="10"/>
  <c r="D46" i="2"/>
  <c r="D48" i="2" s="1"/>
  <c r="D6" i="10"/>
  <c r="E14" i="7"/>
  <c r="G13" i="7" s="1"/>
  <c r="E38" i="4"/>
  <c r="G37" i="4" s="1"/>
  <c r="G9" i="7"/>
  <c r="D17" i="10" s="1"/>
  <c r="D12" i="10"/>
  <c r="G33" i="4"/>
  <c r="D26" i="3" l="1"/>
  <c r="E21" i="7"/>
  <c r="E17" i="7"/>
  <c r="G17" i="7" s="1"/>
  <c r="E9" i="8"/>
  <c r="G9" i="8" s="1"/>
  <c r="G21" i="7"/>
  <c r="E25" i="8"/>
  <c r="D18" i="10"/>
  <c r="D9" i="10"/>
  <c r="D10" i="10"/>
  <c r="D30" i="3"/>
  <c r="E21" i="8" s="1"/>
  <c r="G21" i="8" s="1"/>
  <c r="E13" i="8"/>
  <c r="G13" i="8" s="1"/>
  <c r="D21" i="10" l="1"/>
  <c r="E29" i="8"/>
  <c r="G29" i="8" s="1"/>
  <c r="G25" i="8"/>
  <c r="E26" i="9"/>
  <c r="G25" i="9" s="1"/>
  <c r="E22" i="9"/>
  <c r="E21" i="9"/>
  <c r="E14" i="9"/>
  <c r="G13" i="9" s="1"/>
  <c r="E5" i="9"/>
  <c r="G5" i="9" s="1"/>
  <c r="E33" i="8"/>
  <c r="G33" i="8" s="1"/>
  <c r="E17" i="8"/>
  <c r="G17" i="8" s="1"/>
  <c r="G21" i="9" l="1"/>
  <c r="G29" i="9" s="1"/>
  <c r="D22" i="10"/>
  <c r="E10" i="9"/>
  <c r="G9" i="9" s="1"/>
  <c r="D26" i="10" s="1"/>
  <c r="D25" i="10"/>
  <c r="D23" i="10"/>
  <c r="G5" i="8"/>
  <c r="D20" i="10" s="1"/>
  <c r="D27" i="10" l="1"/>
</calcChain>
</file>

<file path=xl/sharedStrings.xml><?xml version="1.0" encoding="utf-8"?>
<sst xmlns="http://schemas.openxmlformats.org/spreadsheetml/2006/main" count="315" uniqueCount="239">
  <si>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</si>
  <si>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</si>
  <si>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</si>
  <si>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</si>
  <si>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</si>
  <si>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</si>
  <si>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</si>
  <si>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</si>
  <si>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</si>
  <si>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-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</si>
  <si>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</si>
  <si>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</si>
  <si>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</si>
  <si>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</si>
  <si>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</si>
  <si>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</si>
  <si>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</si>
  <si>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</si>
  <si>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</si>
  <si>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Current liabilities</t>
  </si>
  <si>
    <t>Current income tax liabilities</t>
  </si>
  <si>
    <t>Total liabilities</t>
  </si>
  <si>
    <t>Total equity and liabilities</t>
  </si>
  <si>
    <t>Revenue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</si>
  <si>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</si>
  <si>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</si>
  <si>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</si>
  <si>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</si>
  <si>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</si>
  <si>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</si>
  <si>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</si>
  <si>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</si>
  <si>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</si>
  <si>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</si>
  <si>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</si>
  <si>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</si>
  <si>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</si>
  <si>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</si>
  <si>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</si>
  <si>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</si>
  <si>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</si>
  <si>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</si>
  <si>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</si>
  <si>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</si>
  <si>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</si>
  <si>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</si>
  <si>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</si>
  <si>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</si>
  <si>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</si>
  <si>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</si>
  <si>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</si>
  <si>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</si>
  <si>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</si>
  <si>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</si>
  <si>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</si>
  <si>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</si>
  <si>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</si>
  <si>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</si>
  <si>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</si>
  <si>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+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</si>
  <si>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</si>
  <si>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</si>
  <si>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</si>
  <si>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</si>
  <si>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</si>
  <si>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</si>
  <si>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</si>
  <si>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</si>
  <si>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</si>
  <si>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</si>
  <si>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</si>
  <si>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</si>
  <si>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>net income</t>
  </si>
  <si>
    <t>gross profit</t>
  </si>
  <si>
    <t>EBT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</si>
  <si>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</si>
  <si>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</si>
  <si>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</si>
  <si>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</si>
  <si>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</si>
  <si>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</si>
  <si>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</si>
  <si>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</si>
  <si>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Industry average</t>
  </si>
  <si>
    <t>average equity</t>
  </si>
  <si>
    <t>Net income</t>
  </si>
  <si>
    <t xml:space="preserve">plus: days of inventory on hand 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</si>
  <si>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</si>
  <si>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</si>
  <si>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</si>
  <si>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</si>
  <si>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</si>
  <si>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</si>
  <si>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</si>
  <si>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</si>
  <si>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</si>
  <si>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</si>
  <si>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</si>
  <si>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</si>
  <si>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</si>
  <si>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</si>
  <si>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</si>
  <si>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</si>
  <si>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</si>
  <si>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</si>
  <si>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</si>
  <si>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</si>
  <si>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</si>
  <si>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</si>
  <si>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</si>
  <si>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</si>
  <si>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</si>
  <si>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</si>
  <si>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</si>
  <si>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</si>
  <si>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</si>
  <si>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</si>
  <si>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</si>
  <si>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</si>
  <si>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</si>
  <si>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</si>
  <si>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</si>
  <si>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</si>
  <si>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</si>
  <si>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</si>
  <si>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</si>
  <si>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</si>
  <si>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</si>
  <si>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</si>
  <si>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</si>
  <si>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</si>
  <si>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</si>
  <si>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</si>
  <si>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</si>
  <si>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</si>
  <si>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</si>
  <si>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</si>
  <si>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</si>
  <si>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</si>
  <si>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</si>
  <si>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</si>
  <si>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</si>
  <si>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</si>
  <si>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</si>
  <si>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</si>
  <si>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</si>
  <si>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</si>
  <si>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</si>
  <si>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</si>
  <si>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</si>
  <si>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</si>
  <si>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</si>
  <si>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</si>
  <si>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</si>
  <si>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</si>
  <si>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</si>
  <si>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</si>
  <si>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</si>
  <si>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</si>
  <si>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</si>
  <si>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</si>
  <si>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</si>
  <si>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</si>
  <si>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</si>
  <si>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</si>
  <si>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</si>
  <si>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</si>
  <si>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</si>
  <si>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</si>
  <si>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</si>
  <si>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</si>
  <si>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</si>
  <si>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</si>
  <si>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</si>
  <si>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</si>
  <si>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</si>
  <si>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</si>
  <si>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</si>
  <si>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</si>
  <si>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</si>
  <si>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</si>
  <si>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Category</t>
  </si>
  <si>
    <t>Gross profit margin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</si>
  <si>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</si>
  <si>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</si>
  <si>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</si>
  <si>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</si>
  <si>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</si>
  <si>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</si>
  <si>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</si>
  <si>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Days of sales outstanding</t>
  </si>
  <si>
    <t>Days of inventory on hand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</si>
  <si>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</si>
  <si>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</si>
  <si>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</si>
  <si>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</si>
  <si>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</si>
  <si>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</si>
  <si>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</si>
  <si>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</si>
  <si>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</si>
  <si>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</si>
  <si>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</si>
  <si>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</si>
  <si>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</si>
  <si>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</si>
  <si>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</si>
  <si>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 xml:space="preserve">4. Interest coverage = </t>
  </si>
  <si>
    <t xml:space="preserve">5. Fixed charge coverage = </t>
  </si>
  <si>
    <t xml:space="preserve">6. Financial leverage = </t>
  </si>
  <si>
    <t>payables turnover</t>
  </si>
  <si>
    <t>Provisions</t>
  </si>
  <si>
    <t>Trade payables</t>
  </si>
  <si>
    <t>Accruals and other payables</t>
  </si>
  <si>
    <t>Other revenue</t>
  </si>
  <si>
    <t>Administrative expenses</t>
  </si>
  <si>
    <t>Selling expenses</t>
  </si>
  <si>
    <t>Marketing expenses</t>
  </si>
  <si>
    <t>AppleDot</t>
  </si>
  <si>
    <t>Comment</t>
  </si>
  <si>
    <t>General information:</t>
  </si>
  <si>
    <t>AppleDot Ltd</t>
  </si>
  <si>
    <t>AppleDot holds its inventory for a shorter period (8.6 days) than the industry average (15.3 days). This shows better inventory management, with potentially lower holding costs and less risk of obsolete inventory.</t>
  </si>
  <si>
    <t>AppleDot's CCC (0.6 days) is significantly lower than the industry average (15.3 days). This indicates that AppleDot manages its cash more efficiently, turning its investments into cash quicker than its peers.</t>
  </si>
  <si>
    <t>AppleDot's quick ratio almost equals the industry's quick ratio (1.0) but the company falls short in terms of the industry's current ratio (1.4). This suggests that AppleDot might have a slightly higher short-term liquidity risk.</t>
  </si>
  <si>
    <t>AppleDot's 0.3 cash ratio is lower than the industry average (0.5), indicating less immediate liquidity to cover short-term obligations.</t>
  </si>
  <si>
    <t>With a D/E ratio of 123% (compared to the industry average of 55%) and a debt-to-capital ratio of 55% (compared to the industry average of 28%), AppleDot appears to be more leveraged than the industry average. This suggests a higher financial risk but can also imply a potential for higher returns if the debt is used efficiently.</t>
  </si>
  <si>
    <t>AppleDot's 5.9 financial leverage is substantially higher than the industry average (1.9), suggesting AppleDot relies heavily on debt to finance its assets.</t>
  </si>
  <si>
    <t>With a gross profit margin of 47.1% (compared to the 29.5% industry average), AppleDot is generating significantly more gross profit per dollar of sales than the industry average.</t>
  </si>
  <si>
    <t>AppleDot's operating profit margin (3.9%) is significantly lower than the industry average (13.2%), indicating less efficiency in controlling its operating costs.</t>
  </si>
  <si>
    <t>Similar to its operating profit margin, AppleDot's net profit margin (3.1%) is lower than the industry average (9.8%), suggesting less efficiency in translating sales into actual profit.</t>
  </si>
  <si>
    <t>AppleDot's RoE is impressive at 40.2%, much higher than the industry average of 15%, suggesting that it uses its equity much more effectively to generate profits.</t>
  </si>
  <si>
    <t>AppleDot's EPS is higher (8.9) than the industry average (5.83), indicating it could provide higher returns to its shareholders.</t>
  </si>
  <si>
    <t>The P/E ratio for AppleDot is significantly lower (1.4) than the industry average (5.5), suggesting the market may perceive it as undervalued or expect lower growth in earnings compared to the industry.</t>
  </si>
  <si>
    <t>AppleDot's share price ($12.95) is lower than the industry average ($32.1). This fact—combined with the lower P/E ratio—could indicate a potential investment opportunity if other factors like growth prospects and market conditions are favorable.</t>
  </si>
  <si>
    <t>Days of payables outstanding</t>
  </si>
  <si>
    <t>AppleDot takes a bit longer to collect its receivables (67 days) compared to the industry average (60.0 days), indicating slightly less efficient collection processes.</t>
  </si>
  <si>
    <t>AppleDot takes a bit longer to pay its suppliers (75 days) compared to the industry average (60.0 days), indicating less efficient accounts payable processes.</t>
  </si>
  <si>
    <t>Summary of Financial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</si>
</sst>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i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43" fontId="4" fillId="0" borderId="0" xfId="0" applyNumberFormat="1" applyFont="1"/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/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0" xfId="0" applyFont="1"/>
    <xf numFmtId="0" fontId="4" fillId="0" borderId="2" xfId="0" applyFont="1" applyBorder="1"/>
    <xf numFmtId="0" fontId="4" fillId="0" borderId="4" xfId="0" applyFont="1" applyBorder="1"/>
    <xf numFmtId="9" fontId="4" fillId="0" borderId="3" xfId="1" applyFont="1" applyBorder="1"/>
    <xf numFmtId="0" fontId="4" fillId="0" borderId="8" xfId="0" applyFont="1" applyBorder="1" applyAlignment="1">
      <alignment horizontal="center"/>
    </xf>
    <xf numFmtId="164" fontId="4" fillId="0" borderId="0" xfId="2" applyNumberFormat="1" applyFont="1"/>
    <xf numFmtId="165" fontId="4" fillId="0" borderId="0" xfId="1" applyNumberFormat="1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center"/>
    </xf>
    <xf numFmtId="166" fontId="4" fillId="0" borderId="0" xfId="2" applyNumberFormat="1" applyFont="1"/>
    <xf numFmtId="166" fontId="6" fillId="0" borderId="6" xfId="2" applyNumberFormat="1" applyFont="1" applyBorder="1" applyAlignment="1">
      <alignment horizontal="center"/>
    </xf>
    <xf numFmtId="166" fontId="6" fillId="0" borderId="0" xfId="2" applyNumberFormat="1" applyFont="1" applyBorder="1"/>
    <xf numFmtId="0" fontId="4" fillId="0" borderId="11" xfId="0" applyFont="1" applyBorder="1"/>
    <xf numFmtId="43" fontId="6" fillId="0" borderId="14" xfId="2" applyFont="1" applyBorder="1"/>
    <xf numFmtId="166" fontId="6" fillId="0" borderId="14" xfId="2" applyNumberFormat="1" applyFont="1" applyFill="1" applyBorder="1"/>
    <xf numFmtId="166" fontId="6" fillId="0" borderId="16" xfId="2" applyNumberFormat="1" applyFont="1" applyFill="1" applyBorder="1"/>
    <xf numFmtId="166" fontId="6" fillId="0" borderId="13" xfId="2" applyNumberFormat="1" applyFont="1" applyFill="1" applyBorder="1"/>
    <xf numFmtId="166" fontId="6" fillId="0" borderId="16" xfId="2" applyNumberFormat="1" applyFont="1" applyBorder="1"/>
    <xf numFmtId="166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6" fontId="4" fillId="3" borderId="7" xfId="2" applyNumberFormat="1" applyFont="1" applyFill="1" applyBorder="1"/>
    <xf numFmtId="166" fontId="4" fillId="3" borderId="0" xfId="2" applyNumberFormat="1" applyFont="1" applyFill="1" applyBorder="1"/>
    <xf numFmtId="166" fontId="4" fillId="3" borderId="1" xfId="2" applyNumberFormat="1" applyFont="1" applyFill="1" applyBorder="1"/>
    <xf numFmtId="9" fontId="4" fillId="3" borderId="7" xfId="1" applyFont="1" applyFill="1" applyBorder="1"/>
    <xf numFmtId="9" fontId="4" fillId="3" borderId="0" xfId="1" applyFont="1" applyFill="1" applyBorder="1"/>
    <xf numFmtId="165" fontId="4" fillId="3" borderId="7" xfId="1" applyNumberFormat="1" applyFont="1" applyFill="1" applyBorder="1"/>
    <xf numFmtId="165" fontId="4" fillId="3" borderId="0" xfId="1" applyNumberFormat="1" applyFont="1" applyFill="1" applyBorder="1"/>
    <xf numFmtId="165" fontId="4" fillId="3" borderId="1" xfId="1" applyNumberFormat="1" applyFont="1" applyFill="1" applyBorder="1"/>
    <xf numFmtId="165" fontId="6" fillId="0" borderId="14" xfId="1" applyNumberFormat="1" applyFont="1" applyBorder="1"/>
    <xf numFmtId="165" fontId="6" fillId="0" borderId="16" xfId="1" applyNumberFormat="1" applyFont="1" applyBorder="1"/>
    <xf numFmtId="9" fontId="6" fillId="0" borderId="13" xfId="1" applyFont="1" applyBorder="1"/>
    <xf numFmtId="43" fontId="4" fillId="3" borderId="1" xfId="2" applyFont="1" applyFill="1" applyBorder="1"/>
    <xf numFmtId="164" fontId="4" fillId="0" borderId="1" xfId="2" applyNumberFormat="1" applyFont="1" applyBorder="1" applyAlignment="1">
      <alignment horizontal="center" vertical="center" wrapText="1"/>
    </xf>
    <xf numFmtId="43" fontId="2" fillId="0" borderId="0" xfId="2" applyFont="1" applyFill="1" applyBorder="1"/>
    <xf numFmtId="164" fontId="2" fillId="0" borderId="0" xfId="2" applyNumberFormat="1" applyFont="1" applyFill="1" applyBorder="1"/>
    <xf numFmtId="41" fontId="2" fillId="0" borderId="0" xfId="0" applyNumberFormat="1" applyFont="1"/>
    <xf numFmtId="0" fontId="6" fillId="2" borderId="0" xfId="0" applyFont="1" applyFill="1" applyAlignment="1">
      <alignment horizontal="center"/>
    </xf>
    <xf numFmtId="0" fontId="5" fillId="0" borderId="0" xfId="0" applyFont="1"/>
    <xf numFmtId="43" fontId="4" fillId="3" borderId="7" xfId="2" applyFont="1" applyFill="1" applyBorder="1"/>
    <xf numFmtId="43" fontId="4" fillId="3" borderId="0" xfId="2" applyFont="1" applyFill="1" applyBorder="1"/>
    <xf numFmtId="43" fontId="6" fillId="0" borderId="16" xfId="2" applyFont="1" applyBorder="1"/>
    <xf numFmtId="43" fontId="6" fillId="0" borderId="13" xfId="2" applyFont="1" applyBorder="1"/>
    <xf numFmtId="166" fontId="10" fillId="0" borderId="6" xfId="2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/>
    <xf numFmtId="164" fontId="4" fillId="3" borderId="0" xfId="2" applyNumberFormat="1" applyFont="1" applyFill="1" applyBorder="1"/>
    <xf numFmtId="164" fontId="4" fillId="3" borderId="7" xfId="2" applyNumberFormat="1" applyFont="1" applyFill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9" xfId="3" applyBorder="1" applyAlignment="1">
      <alignment horizontal="center" vertical="center" wrapText="1"/>
    </xf>
    <xf numFmtId="0" fontId="9" fillId="0" borderId="17" xfId="3" applyBorder="1" applyAlignment="1">
      <alignment horizontal="center" vertical="center" wrapText="1"/>
    </xf>
    <xf numFmtId="0" fontId="9" fillId="0" borderId="10" xfId="3" applyBorder="1" applyAlignment="1">
      <alignment horizontal="center" vertical="center" wrapText="1"/>
    </xf>
    <xf numFmtId="0" fontId="9" fillId="0" borderId="11" xfId="3" applyBorder="1" applyAlignment="1">
      <alignment horizontal="center" vertical="center" wrapText="1"/>
    </xf>
    <xf numFmtId="0" fontId="9" fillId="0" borderId="15" xfId="3" applyBorder="1" applyAlignment="1">
      <alignment horizontal="center" vertical="center" wrapText="1"/>
    </xf>
    <xf numFmtId="0" fontId="9" fillId="0" borderId="12" xfId="3" applyBorder="1" applyAlignment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1:I48"/>
  <sheetViews>
    <sheetView showGridLines="0" tabSelected="1" zoomScaleNormal="100" workbookViewId="0">
      <pane xSplit="2" ySplit="5" topLeftCell="C28" activePane="bottomRight" state="frozen"/>
      <selection activeCell="A3" sqref="A3"/>
      <selection pane="topRight" activeCell="C3" sqref="C3"/>
      <selection pane="bottomLeft" activeCell="A8" sqref="A8"/>
      <selection pane="bottomRight" activeCell="J33" sqref="J33"/>
    </sheetView>
  </sheetViews>
  <sheetFormatPr defaultColWidth="8.88671875" defaultRowHeight="11.4" x14ac:dyDescent="0.2"/>
  <cols>
    <col min="1" max="1" width="2.77734375" style="3" customWidth="1"/>
    <col min="2" max="2" width="34.5546875" style="3" customWidth="1"/>
    <col min="3" max="3" width="5.5546875" style="3" customWidth="1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8671875" style="3"/>
  </cols>
  <sheetData>
    <row r="1" spans="2:7" ht="15.6" x14ac:dyDescent="0.3">
      <c r="B1" s="18" t="s">
        <v>221</v>
      </c>
    </row>
    <row r="2" spans="2:7" ht="15.6" x14ac:dyDescent="0.3">
      <c r="B2" s="18" t="s">
        <v>88</v>
      </c>
    </row>
    <row r="3" spans="2:7" ht="15.6" x14ac:dyDescent="0.3">
      <c r="B3" s="18" t="s">
        <v>77</v>
      </c>
    </row>
    <row r="4" spans="2:7" ht="12" x14ac:dyDescent="0.25">
      <c r="D4" s="51"/>
      <c r="E4" s="51"/>
    </row>
    <row r="5" spans="2:7" ht="12" customHeight="1" thickBot="1" x14ac:dyDescent="0.3">
      <c r="B5" s="16" t="s">
        <v>76</v>
      </c>
      <c r="C5" s="17"/>
      <c r="D5" s="17" t="s">
        <v>82</v>
      </c>
      <c r="E5" s="103"/>
      <c r="F5" s="103"/>
    </row>
    <row r="6" spans="2:7" x14ac:dyDescent="0.2">
      <c r="B6" s="4"/>
    </row>
    <row r="7" spans="2:7" ht="12" x14ac:dyDescent="0.2">
      <c r="B7" s="6" t="s">
        <v>0</v>
      </c>
      <c r="C7" s="7"/>
      <c r="D7" s="8"/>
      <c r="E7" s="8"/>
      <c r="F7" s="8"/>
    </row>
    <row r="8" spans="2:7" ht="12" x14ac:dyDescent="0.2">
      <c r="B8" s="6" t="s">
        <v>1</v>
      </c>
      <c r="C8" s="7"/>
      <c r="D8" s="9"/>
      <c r="E8" s="9"/>
      <c r="F8" s="9"/>
    </row>
    <row r="9" spans="2:7" x14ac:dyDescent="0.2">
      <c r="B9" s="4" t="s">
        <v>2</v>
      </c>
      <c r="C9" s="7"/>
      <c r="D9" s="9">
        <v>3435231.1</v>
      </c>
      <c r="E9" s="9"/>
      <c r="F9" s="9"/>
      <c r="G9" s="10"/>
    </row>
    <row r="10" spans="2:7" x14ac:dyDescent="0.2">
      <c r="B10" s="4" t="s">
        <v>3</v>
      </c>
      <c r="C10" s="7"/>
      <c r="D10" s="9">
        <v>912658.53999999992</v>
      </c>
      <c r="E10" s="9"/>
      <c r="F10" s="9"/>
    </row>
    <row r="11" spans="2:7" x14ac:dyDescent="0.2">
      <c r="B11" s="4" t="s">
        <v>4</v>
      </c>
      <c r="C11" s="7"/>
      <c r="D11" s="71">
        <v>12390</v>
      </c>
      <c r="E11" s="9"/>
      <c r="F11" s="9"/>
    </row>
    <row r="12" spans="2:7" x14ac:dyDescent="0.2">
      <c r="B12" s="26" t="s">
        <v>6</v>
      </c>
      <c r="C12" s="27"/>
      <c r="D12" s="28">
        <v>997662.23</v>
      </c>
      <c r="E12" s="9"/>
      <c r="F12" s="9"/>
    </row>
    <row r="13" spans="2:7" ht="12" x14ac:dyDescent="0.2">
      <c r="B13" s="6" t="s">
        <v>94</v>
      </c>
      <c r="C13" s="7"/>
      <c r="D13" s="11">
        <f>SUM(D9:D12)</f>
        <v>5357941.8699999992</v>
      </c>
      <c r="E13" s="11"/>
      <c r="F13" s="11"/>
    </row>
    <row r="14" spans="2:7" ht="12" x14ac:dyDescent="0.2">
      <c r="B14" s="6"/>
      <c r="C14" s="7"/>
      <c r="D14" s="11"/>
      <c r="E14" s="11"/>
      <c r="F14" s="9"/>
    </row>
    <row r="15" spans="2:7" ht="12" x14ac:dyDescent="0.2">
      <c r="B15" s="6" t="s">
        <v>7</v>
      </c>
      <c r="C15" s="2"/>
      <c r="D15" s="11"/>
      <c r="E15" s="11"/>
    </row>
    <row r="16" spans="2:7" x14ac:dyDescent="0.2">
      <c r="B16" s="4" t="s">
        <v>8</v>
      </c>
      <c r="C16" s="7"/>
      <c r="D16" s="9">
        <v>361292.6</v>
      </c>
      <c r="E16" s="9"/>
      <c r="F16" s="9"/>
      <c r="G16" s="10"/>
    </row>
    <row r="17" spans="2:9" x14ac:dyDescent="0.2">
      <c r="B17" s="4" t="s">
        <v>5</v>
      </c>
      <c r="C17" s="7"/>
      <c r="D17" s="9">
        <v>5308138.6399999987</v>
      </c>
      <c r="E17" s="9"/>
      <c r="F17" s="9"/>
      <c r="G17" s="10"/>
      <c r="H17" s="10"/>
    </row>
    <row r="18" spans="2:9" x14ac:dyDescent="0.2">
      <c r="B18" s="4" t="s">
        <v>115</v>
      </c>
      <c r="C18" s="7"/>
      <c r="D18" s="9">
        <v>1326207.0699999998</v>
      </c>
      <c r="E18" s="9"/>
      <c r="F18" s="9"/>
    </row>
    <row r="19" spans="2:9" x14ac:dyDescent="0.2">
      <c r="B19" s="26" t="s">
        <v>10</v>
      </c>
      <c r="C19" s="27"/>
      <c r="D19" s="28">
        <v>820453.67</v>
      </c>
      <c r="E19" s="9"/>
      <c r="F19" s="9"/>
    </row>
    <row r="20" spans="2:9" ht="12" x14ac:dyDescent="0.2">
      <c r="B20" s="6" t="s">
        <v>95</v>
      </c>
      <c r="C20" s="7"/>
      <c r="D20" s="11">
        <f>SUM(D16:D19)</f>
        <v>7816091.9799999986</v>
      </c>
      <c r="E20" s="11"/>
      <c r="F20" s="11"/>
    </row>
    <row r="21" spans="2:9" ht="12.6" thickBot="1" x14ac:dyDescent="0.25">
      <c r="B21" s="19" t="s">
        <v>11</v>
      </c>
      <c r="C21" s="20"/>
      <c r="D21" s="21">
        <f>D13+D20</f>
        <v>13174033.849999998</v>
      </c>
      <c r="E21" s="11"/>
      <c r="F21" s="11"/>
    </row>
    <row r="22" spans="2:9" x14ac:dyDescent="0.2">
      <c r="B22" s="4"/>
      <c r="C22" s="7"/>
      <c r="D22" s="9"/>
      <c r="E22" s="9"/>
    </row>
    <row r="23" spans="2:9" ht="12" x14ac:dyDescent="0.2">
      <c r="B23" s="6" t="s">
        <v>12</v>
      </c>
      <c r="C23" s="7"/>
      <c r="D23" s="9"/>
      <c r="E23" s="9"/>
    </row>
    <row r="24" spans="2:9" ht="24" x14ac:dyDescent="0.2">
      <c r="B24" s="6" t="s">
        <v>91</v>
      </c>
      <c r="C24" s="7"/>
      <c r="D24" s="9"/>
      <c r="E24" s="9"/>
      <c r="F24" s="9"/>
    </row>
    <row r="25" spans="2:9" x14ac:dyDescent="0.2">
      <c r="B25" s="4" t="s">
        <v>156</v>
      </c>
      <c r="C25" s="7"/>
      <c r="D25" s="9">
        <v>787993.89999999991</v>
      </c>
      <c r="E25" s="9"/>
      <c r="F25" s="9"/>
      <c r="H25" s="13"/>
      <c r="I25" s="13"/>
    </row>
    <row r="26" spans="2:9" x14ac:dyDescent="0.2">
      <c r="B26" s="4" t="s">
        <v>118</v>
      </c>
      <c r="C26" s="7"/>
      <c r="D26" s="9">
        <v>543175.28999999992</v>
      </c>
      <c r="E26" s="9"/>
      <c r="F26" s="9"/>
      <c r="G26" s="10"/>
    </row>
    <row r="27" spans="2:9" x14ac:dyDescent="0.2">
      <c r="B27" s="26" t="s">
        <v>13</v>
      </c>
      <c r="C27" s="27"/>
      <c r="D27" s="99">
        <v>894178.24999999581</v>
      </c>
      <c r="E27" s="9"/>
      <c r="F27" s="9"/>
      <c r="G27" s="10"/>
    </row>
    <row r="28" spans="2:9" ht="12" x14ac:dyDescent="0.2">
      <c r="B28" s="6" t="s">
        <v>96</v>
      </c>
      <c r="C28" s="7"/>
      <c r="D28" s="11">
        <f>SUM(D25:D27)</f>
        <v>2225347.4399999958</v>
      </c>
      <c r="E28" s="11"/>
      <c r="F28" s="11"/>
    </row>
    <row r="29" spans="2:9" ht="12" x14ac:dyDescent="0.2">
      <c r="B29" s="6"/>
      <c r="C29" s="2"/>
      <c r="D29" s="11"/>
      <c r="E29" s="11"/>
      <c r="F29" s="11"/>
    </row>
    <row r="30" spans="2:9" ht="12.6" thickBot="1" x14ac:dyDescent="0.25">
      <c r="B30" s="19" t="s">
        <v>15</v>
      </c>
      <c r="C30" s="20"/>
      <c r="D30" s="21">
        <f>D28</f>
        <v>2225347.4399999958</v>
      </c>
      <c r="E30" s="11"/>
      <c r="F30" s="11"/>
    </row>
    <row r="31" spans="2:9" ht="12" x14ac:dyDescent="0.2">
      <c r="B31" s="6"/>
      <c r="C31" s="114"/>
      <c r="D31" s="115"/>
      <c r="E31" s="115"/>
    </row>
    <row r="32" spans="2:9" ht="12" x14ac:dyDescent="0.2">
      <c r="B32" s="6" t="s">
        <v>16</v>
      </c>
      <c r="C32" s="114"/>
      <c r="D32" s="115"/>
      <c r="E32" s="115"/>
    </row>
    <row r="33" spans="2:7" ht="12" x14ac:dyDescent="0.2">
      <c r="B33" s="6" t="s">
        <v>17</v>
      </c>
      <c r="C33" s="7"/>
      <c r="D33" s="9"/>
      <c r="E33" s="9"/>
      <c r="F33" s="9"/>
    </row>
    <row r="34" spans="2:7" x14ac:dyDescent="0.2">
      <c r="B34" s="4" t="s">
        <v>119</v>
      </c>
      <c r="C34" s="7"/>
      <c r="D34" s="9">
        <v>1347357.38</v>
      </c>
      <c r="E34" s="9"/>
      <c r="F34" s="9"/>
    </row>
    <row r="35" spans="2:7" x14ac:dyDescent="0.2">
      <c r="B35" s="4" t="s">
        <v>18</v>
      </c>
      <c r="C35" s="7"/>
      <c r="D35" s="9">
        <v>870939.25</v>
      </c>
      <c r="E35" s="9"/>
      <c r="F35" s="9"/>
    </row>
    <row r="36" spans="2:7" x14ac:dyDescent="0.2">
      <c r="B36" s="26" t="s">
        <v>211</v>
      </c>
      <c r="C36" s="27"/>
      <c r="D36" s="28">
        <v>1000000</v>
      </c>
      <c r="E36" s="9"/>
      <c r="F36" s="9"/>
    </row>
    <row r="37" spans="2:7" ht="12" x14ac:dyDescent="0.2">
      <c r="B37" s="6" t="s">
        <v>97</v>
      </c>
      <c r="C37" s="7"/>
      <c r="D37" s="11">
        <f>SUM(D34:D36)</f>
        <v>3218296.63</v>
      </c>
      <c r="E37" s="11"/>
      <c r="F37" s="11"/>
    </row>
    <row r="38" spans="2:7" ht="12" x14ac:dyDescent="0.2">
      <c r="B38" s="6"/>
      <c r="C38" s="7"/>
      <c r="D38" s="11"/>
      <c r="E38" s="11"/>
      <c r="F38" s="11"/>
    </row>
    <row r="39" spans="2:7" ht="12" x14ac:dyDescent="0.2">
      <c r="B39" s="6" t="s">
        <v>19</v>
      </c>
      <c r="C39" s="7"/>
      <c r="D39" s="9"/>
      <c r="E39" s="9"/>
      <c r="F39" s="9"/>
    </row>
    <row r="40" spans="2:7" x14ac:dyDescent="0.2">
      <c r="B40" s="4" t="s">
        <v>120</v>
      </c>
      <c r="C40" s="7"/>
      <c r="D40" s="9">
        <v>1398041.02</v>
      </c>
      <c r="E40" s="9"/>
      <c r="F40" s="9"/>
    </row>
    <row r="41" spans="2:7" x14ac:dyDescent="0.2">
      <c r="B41" s="4" t="s">
        <v>212</v>
      </c>
      <c r="C41" s="7"/>
      <c r="D41" s="9">
        <v>3219680.8499999996</v>
      </c>
      <c r="E41" s="9"/>
      <c r="F41" s="9"/>
    </row>
    <row r="42" spans="2:7" x14ac:dyDescent="0.2">
      <c r="B42" s="4" t="s">
        <v>213</v>
      </c>
      <c r="C42" s="7"/>
      <c r="D42" s="9">
        <v>3081239.58</v>
      </c>
      <c r="E42" s="9"/>
      <c r="F42" s="9"/>
    </row>
    <row r="43" spans="2:7" x14ac:dyDescent="0.2">
      <c r="B43" s="4" t="s">
        <v>20</v>
      </c>
      <c r="C43" s="7"/>
      <c r="D43" s="9">
        <v>31428.330000000016</v>
      </c>
      <c r="E43" s="9"/>
      <c r="F43" s="9"/>
    </row>
    <row r="44" spans="2:7" ht="12" x14ac:dyDescent="0.2">
      <c r="B44" s="6" t="s">
        <v>98</v>
      </c>
      <c r="C44" s="7"/>
      <c r="D44" s="11">
        <f>SUM(D40:D43)</f>
        <v>7730389.7799999993</v>
      </c>
      <c r="E44" s="11"/>
      <c r="F44" s="11"/>
    </row>
    <row r="45" spans="2:7" ht="12" x14ac:dyDescent="0.2">
      <c r="B45" s="23" t="s">
        <v>21</v>
      </c>
      <c r="C45" s="24"/>
      <c r="D45" s="25">
        <f>D37+D44</f>
        <v>10948686.41</v>
      </c>
      <c r="E45" s="11"/>
      <c r="F45" s="11"/>
    </row>
    <row r="46" spans="2:7" ht="12.6" thickBot="1" x14ac:dyDescent="0.25">
      <c r="B46" s="19" t="s">
        <v>22</v>
      </c>
      <c r="C46" s="20"/>
      <c r="D46" s="21">
        <f>D45+D30</f>
        <v>13174033.849999996</v>
      </c>
      <c r="E46" s="11"/>
      <c r="F46" s="11"/>
    </row>
    <row r="48" spans="2:7" x14ac:dyDescent="0.2">
      <c r="D48" s="10">
        <f>D46-D21</f>
        <v>0</v>
      </c>
      <c r="E48" s="10"/>
      <c r="F48" s="10"/>
      <c r="G48" s="104"/>
    </row>
  </sheetData>
  <mergeCells count="3"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E53"/>
  <sheetViews>
    <sheetView showGridLines="0" zoomScaleNormal="100" workbookViewId="0">
      <pane xSplit="2" ySplit="6" topLeftCell="C23" activePane="bottomRight" state="frozen"/>
      <selection activeCell="A2" sqref="A2"/>
      <selection pane="topRight" activeCell="C2" sqref="C2"/>
      <selection pane="bottomLeft" activeCell="A9" sqref="A9"/>
      <selection pane="bottomRight" activeCell="D30" sqref="D30"/>
    </sheetView>
  </sheetViews>
  <sheetFormatPr defaultColWidth="8.88671875" defaultRowHeight="11.4" x14ac:dyDescent="0.2"/>
  <cols>
    <col min="1" max="1" width="2.77734375" style="3" customWidth="1"/>
    <col min="2" max="2" width="30.33203125" style="3" customWidth="1"/>
    <col min="3" max="3" width="5.44140625" style="3" customWidth="1"/>
    <col min="4" max="4" width="11.77734375" style="3" bestFit="1" customWidth="1"/>
    <col min="5" max="16384" width="8.88671875" style="3"/>
  </cols>
  <sheetData>
    <row r="1" spans="2:5" ht="15.6" x14ac:dyDescent="0.3">
      <c r="B1" s="18" t="s">
        <v>221</v>
      </c>
    </row>
    <row r="2" spans="2:5" ht="15.6" x14ac:dyDescent="0.3">
      <c r="B2" s="18" t="s">
        <v>89</v>
      </c>
    </row>
    <row r="3" spans="2:5" ht="15.6" x14ac:dyDescent="0.3">
      <c r="B3" s="18" t="s">
        <v>90</v>
      </c>
    </row>
    <row r="4" spans="2:5" ht="15.6" x14ac:dyDescent="0.3">
      <c r="B4" s="18"/>
    </row>
    <row r="5" spans="2:5" ht="15.6" x14ac:dyDescent="0.3">
      <c r="B5" s="18"/>
      <c r="D5" s="51"/>
    </row>
    <row r="6" spans="2:5" ht="12.6" customHeight="1" thickBot="1" x14ac:dyDescent="0.3">
      <c r="B6" s="16" t="s">
        <v>76</v>
      </c>
      <c r="C6" s="17"/>
      <c r="D6" s="17" t="s">
        <v>82</v>
      </c>
    </row>
    <row r="7" spans="2:5" ht="12" x14ac:dyDescent="0.2">
      <c r="B7" s="4"/>
      <c r="C7" s="2"/>
      <c r="D7" s="5"/>
    </row>
    <row r="8" spans="2:5" ht="12" x14ac:dyDescent="0.2">
      <c r="B8" s="6" t="s">
        <v>23</v>
      </c>
      <c r="C8" s="2"/>
      <c r="D8" s="5"/>
    </row>
    <row r="9" spans="2:5" x14ac:dyDescent="0.2">
      <c r="B9" s="4" t="s">
        <v>23</v>
      </c>
      <c r="C9" s="7"/>
      <c r="D9" s="9">
        <v>28898075.359999999</v>
      </c>
    </row>
    <row r="10" spans="2:5" x14ac:dyDescent="0.2">
      <c r="B10" s="4" t="s">
        <v>214</v>
      </c>
      <c r="C10" s="7"/>
      <c r="D10" s="9">
        <v>87959.739999999991</v>
      </c>
    </row>
    <row r="11" spans="2:5" ht="12.6" thickBot="1" x14ac:dyDescent="0.25">
      <c r="B11" s="19" t="s">
        <v>92</v>
      </c>
      <c r="C11" s="22"/>
      <c r="D11" s="21">
        <f>SUM(D9:D10)</f>
        <v>28986035.099999998</v>
      </c>
    </row>
    <row r="12" spans="2:5" ht="12" x14ac:dyDescent="0.2">
      <c r="B12" s="6"/>
      <c r="C12" s="2"/>
      <c r="D12" s="11"/>
    </row>
    <row r="13" spans="2:5" ht="12" x14ac:dyDescent="0.2">
      <c r="B13" s="4" t="s">
        <v>117</v>
      </c>
      <c r="C13" s="2"/>
      <c r="D13" s="9">
        <v>-15333580.890000001</v>
      </c>
      <c r="E13" s="10"/>
    </row>
    <row r="14" spans="2:5" ht="12" x14ac:dyDescent="0.2">
      <c r="B14" s="4"/>
      <c r="C14" s="2"/>
      <c r="D14" s="11"/>
      <c r="E14" s="12"/>
    </row>
    <row r="15" spans="2:5" ht="12.6" thickBot="1" x14ac:dyDescent="0.3">
      <c r="B15" s="19" t="s">
        <v>33</v>
      </c>
      <c r="C15" s="22"/>
      <c r="D15" s="29">
        <f>D11+D13</f>
        <v>13652454.209999997</v>
      </c>
    </row>
    <row r="16" spans="2:5" ht="12" x14ac:dyDescent="0.2">
      <c r="B16" s="6"/>
      <c r="C16" s="2"/>
      <c r="D16" s="11"/>
    </row>
    <row r="17" spans="2:5" ht="12" x14ac:dyDescent="0.2">
      <c r="B17" s="4" t="s">
        <v>215</v>
      </c>
      <c r="C17" s="2"/>
      <c r="D17" s="9">
        <v>-4329874</v>
      </c>
    </row>
    <row r="18" spans="2:5" ht="12" x14ac:dyDescent="0.2">
      <c r="B18" s="4" t="s">
        <v>216</v>
      </c>
      <c r="C18" s="2"/>
      <c r="D18" s="9">
        <v>-4243231</v>
      </c>
    </row>
    <row r="19" spans="2:5" ht="12" x14ac:dyDescent="0.2">
      <c r="B19" s="4" t="s">
        <v>217</v>
      </c>
      <c r="C19" s="2"/>
      <c r="D19" s="71">
        <v>-3951280.63</v>
      </c>
    </row>
    <row r="20" spans="2:5" ht="12.6" thickBot="1" x14ac:dyDescent="0.25">
      <c r="B20" s="19" t="s">
        <v>93</v>
      </c>
      <c r="C20" s="22"/>
      <c r="D20" s="21">
        <f>SUM(D17:D19)</f>
        <v>-12524385.629999999</v>
      </c>
    </row>
    <row r="21" spans="2:5" ht="12" x14ac:dyDescent="0.2">
      <c r="B21" s="4"/>
      <c r="C21" s="2"/>
      <c r="D21" s="9"/>
    </row>
    <row r="22" spans="2:5" ht="12.6" thickBot="1" x14ac:dyDescent="0.25">
      <c r="B22" s="19" t="s">
        <v>138</v>
      </c>
      <c r="C22" s="22"/>
      <c r="D22" s="21">
        <f>D15+D20</f>
        <v>1128068.5799999982</v>
      </c>
    </row>
    <row r="23" spans="2:5" ht="12" x14ac:dyDescent="0.2">
      <c r="B23" s="6"/>
      <c r="C23" s="2"/>
      <c r="D23" s="11"/>
    </row>
    <row r="24" spans="2:5" x14ac:dyDescent="0.2">
      <c r="B24" s="4" t="s">
        <v>116</v>
      </c>
      <c r="C24" s="7"/>
      <c r="D24" s="9">
        <v>-149694.32999999999</v>
      </c>
    </row>
    <row r="25" spans="2:5" x14ac:dyDescent="0.2">
      <c r="B25" s="4"/>
      <c r="C25" s="7"/>
      <c r="D25" s="9"/>
    </row>
    <row r="26" spans="2:5" ht="12.6" thickBot="1" x14ac:dyDescent="0.25">
      <c r="B26" s="19" t="s">
        <v>139</v>
      </c>
      <c r="C26" s="22"/>
      <c r="D26" s="21">
        <f>D22+D24</f>
        <v>978374.24999999825</v>
      </c>
    </row>
    <row r="27" spans="2:5" x14ac:dyDescent="0.2">
      <c r="B27" s="4"/>
      <c r="C27" s="7"/>
      <c r="D27" s="9"/>
    </row>
    <row r="28" spans="2:5" x14ac:dyDescent="0.2">
      <c r="B28" s="4" t="s">
        <v>24</v>
      </c>
      <c r="C28" s="7"/>
      <c r="D28" s="9">
        <v>-84196</v>
      </c>
      <c r="E28" s="13"/>
    </row>
    <row r="29" spans="2:5" x14ac:dyDescent="0.2">
      <c r="B29" s="4"/>
      <c r="C29" s="7"/>
      <c r="D29" s="9"/>
    </row>
    <row r="30" spans="2:5" ht="12.6" thickBot="1" x14ac:dyDescent="0.25">
      <c r="B30" s="19" t="s">
        <v>85</v>
      </c>
      <c r="C30" s="20"/>
      <c r="D30" s="21">
        <f>D26+D28</f>
        <v>894178.24999999825</v>
      </c>
    </row>
    <row r="31" spans="2:5" ht="12" x14ac:dyDescent="0.2">
      <c r="B31" s="6"/>
      <c r="C31" s="7"/>
      <c r="D31" s="11"/>
    </row>
    <row r="32" spans="2:5" ht="12" hidden="1" x14ac:dyDescent="0.2">
      <c r="B32" s="6" t="s">
        <v>25</v>
      </c>
      <c r="C32" s="7"/>
      <c r="D32" s="9"/>
    </row>
    <row r="33" spans="2:4" hidden="1" x14ac:dyDescent="0.2">
      <c r="B33" s="4" t="s">
        <v>26</v>
      </c>
      <c r="C33" s="7"/>
      <c r="D33" s="9">
        <v>12558</v>
      </c>
    </row>
    <row r="34" spans="2:4" hidden="1" x14ac:dyDescent="0.2">
      <c r="B34" s="26" t="s">
        <v>14</v>
      </c>
      <c r="C34" s="27"/>
      <c r="D34" s="28">
        <v>5140</v>
      </c>
    </row>
    <row r="35" spans="2:4" ht="12" hidden="1" x14ac:dyDescent="0.2">
      <c r="B35" s="4"/>
      <c r="C35" s="2"/>
      <c r="D35" s="11">
        <f>SUM(D33:D34)</f>
        <v>17698</v>
      </c>
    </row>
    <row r="36" spans="2:4" ht="12" hidden="1" x14ac:dyDescent="0.2">
      <c r="B36" s="6" t="s">
        <v>27</v>
      </c>
      <c r="C36" s="2"/>
      <c r="D36" s="11"/>
    </row>
    <row r="37" spans="2:4" ht="22.8" hidden="1" x14ac:dyDescent="0.2">
      <c r="B37" s="1" t="s">
        <v>28</v>
      </c>
      <c r="C37" s="7"/>
      <c r="D37" s="9"/>
    </row>
    <row r="38" spans="2:4" ht="22.8" hidden="1" x14ac:dyDescent="0.2">
      <c r="B38" s="4" t="s">
        <v>29</v>
      </c>
      <c r="C38" s="7"/>
      <c r="D38" s="11">
        <v>0</v>
      </c>
    </row>
    <row r="39" spans="2:4" ht="24.6" hidden="1" thickBot="1" x14ac:dyDescent="0.25">
      <c r="B39" s="19" t="s">
        <v>30</v>
      </c>
      <c r="C39" s="22"/>
      <c r="D39" s="21">
        <f>SUM(D38)</f>
        <v>0</v>
      </c>
    </row>
    <row r="40" spans="2:4" ht="12" hidden="1" x14ac:dyDescent="0.2">
      <c r="B40" s="6"/>
      <c r="C40" s="7"/>
      <c r="D40" s="11"/>
    </row>
    <row r="41" spans="2:4" ht="24.6" hidden="1" thickBot="1" x14ac:dyDescent="0.25">
      <c r="B41" s="19" t="s">
        <v>31</v>
      </c>
      <c r="C41" s="20"/>
      <c r="D41" s="21">
        <f>D35+D39</f>
        <v>17698</v>
      </c>
    </row>
    <row r="42" spans="2:4" ht="12" hidden="1" x14ac:dyDescent="0.2">
      <c r="B42" s="6"/>
      <c r="C42" s="7"/>
      <c r="D42" s="11"/>
    </row>
    <row r="43" spans="2:4" ht="24" hidden="1" x14ac:dyDescent="0.2">
      <c r="B43" s="6" t="s">
        <v>32</v>
      </c>
      <c r="C43" s="7"/>
      <c r="D43" s="9"/>
    </row>
    <row r="44" spans="2:4" hidden="1" x14ac:dyDescent="0.2">
      <c r="B44" s="4" t="s">
        <v>26</v>
      </c>
      <c r="C44" s="7"/>
      <c r="D44" s="9">
        <v>12558</v>
      </c>
    </row>
    <row r="45" spans="2:4" hidden="1" x14ac:dyDescent="0.2">
      <c r="B45" s="26" t="s">
        <v>14</v>
      </c>
      <c r="C45" s="27"/>
      <c r="D45" s="28">
        <v>5140</v>
      </c>
    </row>
    <row r="46" spans="2:4" ht="12" hidden="1" x14ac:dyDescent="0.2">
      <c r="B46" s="4"/>
      <c r="C46" s="7"/>
      <c r="D46" s="11">
        <f>SUM(D44:D45)</f>
        <v>17698</v>
      </c>
    </row>
    <row r="47" spans="2:4" ht="12" x14ac:dyDescent="0.2">
      <c r="B47" s="6" t="s">
        <v>220</v>
      </c>
      <c r="C47" s="7"/>
      <c r="D47" s="11"/>
    </row>
    <row r="48" spans="2:4" x14ac:dyDescent="0.2">
      <c r="B48" s="66" t="s">
        <v>157</v>
      </c>
      <c r="C48" s="66"/>
      <c r="D48" s="102">
        <v>100000</v>
      </c>
    </row>
    <row r="49" spans="2:4" x14ac:dyDescent="0.2">
      <c r="B49" s="66" t="s">
        <v>169</v>
      </c>
      <c r="C49" s="66"/>
      <c r="D49" s="100">
        <v>2.5</v>
      </c>
    </row>
    <row r="50" spans="2:4" x14ac:dyDescent="0.2">
      <c r="B50" s="66" t="s">
        <v>174</v>
      </c>
      <c r="C50" s="66"/>
      <c r="D50" s="101">
        <f>D48*D49</f>
        <v>250000</v>
      </c>
    </row>
    <row r="51" spans="2:4" x14ac:dyDescent="0.2">
      <c r="B51" s="66" t="s">
        <v>161</v>
      </c>
      <c r="C51" s="66"/>
      <c r="D51" s="100">
        <v>12.95</v>
      </c>
    </row>
    <row r="52" spans="2:4" x14ac:dyDescent="0.2">
      <c r="B52" s="66" t="s">
        <v>163</v>
      </c>
      <c r="C52" s="66"/>
      <c r="D52" s="102">
        <f>D48*D51</f>
        <v>1295000</v>
      </c>
    </row>
    <row r="53" spans="2:4" x14ac:dyDescent="0.2">
      <c r="B53" s="66"/>
      <c r="D53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K49"/>
  <sheetViews>
    <sheetView showGridLines="0" topLeftCell="A22" zoomScaleNormal="100" workbookViewId="0">
      <selection activeCell="E38" sqref="E38"/>
    </sheetView>
  </sheetViews>
  <sheetFormatPr defaultColWidth="8.88671875" defaultRowHeight="11.4" x14ac:dyDescent="0.2"/>
  <cols>
    <col min="1" max="1" width="2.77734375" style="3" customWidth="1"/>
    <col min="2" max="2" width="31.77734375" style="3" bestFit="1" customWidth="1"/>
    <col min="3" max="3" width="24.44140625" style="3" customWidth="1"/>
    <col min="4" max="4" width="2.77734375" style="15" customWidth="1"/>
    <col min="5" max="5" width="9.88671875" style="10" bestFit="1" customWidth="1"/>
    <col min="6" max="6" width="2.77734375" style="15" customWidth="1"/>
    <col min="7" max="7" width="7.21875" style="3" customWidth="1"/>
    <col min="8" max="8" width="2.77734375" style="3" customWidth="1"/>
    <col min="9" max="9" width="37.109375" style="3" customWidth="1"/>
    <col min="10" max="16384" width="8.88671875" style="3"/>
  </cols>
  <sheetData>
    <row r="3" spans="2:11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  <c r="K3" s="73"/>
    </row>
    <row r="5" spans="2:11" ht="12" customHeight="1" x14ac:dyDescent="0.25">
      <c r="B5" s="118" t="s">
        <v>35</v>
      </c>
      <c r="C5" s="30" t="s">
        <v>34</v>
      </c>
      <c r="E5" s="32">
        <f>'P&amp;L'!D11</f>
        <v>28986035.099999998</v>
      </c>
      <c r="F5" s="116" t="s">
        <v>37</v>
      </c>
      <c r="G5" s="43">
        <f>E5/E6</f>
        <v>5.4606778507201925</v>
      </c>
      <c r="I5" s="120" t="s">
        <v>183</v>
      </c>
    </row>
    <row r="6" spans="2:11" x14ac:dyDescent="0.2">
      <c r="B6" s="119"/>
      <c r="C6" s="31" t="s">
        <v>36</v>
      </c>
      <c r="E6" s="35">
        <f>AVERAGE(BS!D17:E17)</f>
        <v>5308138.6399999987</v>
      </c>
      <c r="F6" s="117"/>
      <c r="G6" s="36"/>
      <c r="I6" s="121"/>
    </row>
    <row r="9" spans="2:11" ht="12" x14ac:dyDescent="0.25">
      <c r="B9" s="118" t="s">
        <v>101</v>
      </c>
      <c r="C9" s="30">
        <v>365</v>
      </c>
      <c r="E9" s="48">
        <v>365</v>
      </c>
      <c r="F9" s="116" t="s">
        <v>37</v>
      </c>
      <c r="G9" s="43">
        <f>E9/E10</f>
        <v>66.84151857664726</v>
      </c>
      <c r="I9" s="120" t="s">
        <v>142</v>
      </c>
    </row>
    <row r="10" spans="2:11" x14ac:dyDescent="0.2">
      <c r="B10" s="119"/>
      <c r="C10" s="31" t="s">
        <v>38</v>
      </c>
      <c r="E10" s="49">
        <f>G5</f>
        <v>5.4606778507201925</v>
      </c>
      <c r="F10" s="117"/>
      <c r="G10" s="36"/>
      <c r="I10" s="121"/>
    </row>
    <row r="13" spans="2:11" ht="12" customHeight="1" x14ac:dyDescent="0.2">
      <c r="B13" s="118" t="s">
        <v>100</v>
      </c>
      <c r="C13" s="30" t="s">
        <v>39</v>
      </c>
      <c r="E13" s="32">
        <f>-'P&amp;L'!D13</f>
        <v>15333580.890000001</v>
      </c>
      <c r="F13" s="116" t="s">
        <v>37</v>
      </c>
      <c r="G13" s="34">
        <f>E13/E14</f>
        <v>42.440893862758337</v>
      </c>
      <c r="I13" s="120" t="s">
        <v>184</v>
      </c>
    </row>
    <row r="14" spans="2:11" x14ac:dyDescent="0.2">
      <c r="B14" s="119"/>
      <c r="C14" s="31" t="s">
        <v>40</v>
      </c>
      <c r="E14" s="35">
        <f>AVERAGE(BS!D16:E16)</f>
        <v>361292.6</v>
      </c>
      <c r="F14" s="117"/>
      <c r="G14" s="36"/>
      <c r="I14" s="121"/>
    </row>
    <row r="17" spans="2:10" ht="12" x14ac:dyDescent="0.25">
      <c r="B17" s="118" t="s">
        <v>41</v>
      </c>
      <c r="C17" s="30">
        <v>365</v>
      </c>
      <c r="E17" s="48">
        <v>365</v>
      </c>
      <c r="F17" s="116" t="s">
        <v>37</v>
      </c>
      <c r="G17" s="43">
        <f>E17/E18</f>
        <v>8.6001958672290257</v>
      </c>
      <c r="I17" s="120" t="s">
        <v>105</v>
      </c>
    </row>
    <row r="18" spans="2:10" ht="11.4" customHeight="1" x14ac:dyDescent="0.2">
      <c r="B18" s="119"/>
      <c r="C18" s="31" t="s">
        <v>42</v>
      </c>
      <c r="E18" s="46">
        <f>G13</f>
        <v>42.440893862758337</v>
      </c>
      <c r="F18" s="117"/>
      <c r="G18" s="36"/>
      <c r="I18" s="121"/>
    </row>
    <row r="21" spans="2:10" ht="12" customHeight="1" x14ac:dyDescent="0.2">
      <c r="B21" s="118" t="s">
        <v>43</v>
      </c>
      <c r="C21" s="30" t="s">
        <v>44</v>
      </c>
      <c r="E21" s="32">
        <f>BS!D16-BS!E16+(-'P&amp;L'!D13)</f>
        <v>15694873.49</v>
      </c>
      <c r="F21" s="116" t="s">
        <v>37</v>
      </c>
      <c r="G21" s="34">
        <f>E21/E22</f>
        <v>4.8746674658763158</v>
      </c>
      <c r="I21" s="120" t="s">
        <v>185</v>
      </c>
      <c r="J21" s="3" t="s">
        <v>111</v>
      </c>
    </row>
    <row r="22" spans="2:10" x14ac:dyDescent="0.2">
      <c r="B22" s="119"/>
      <c r="C22" s="31" t="s">
        <v>45</v>
      </c>
      <c r="E22" s="35">
        <f>AVERAGE(BS!D41:E41)</f>
        <v>3219680.8499999996</v>
      </c>
      <c r="F22" s="117"/>
      <c r="G22" s="36"/>
      <c r="I22" s="121"/>
    </row>
    <row r="25" spans="2:10" ht="12" x14ac:dyDescent="0.25">
      <c r="B25" s="118" t="s">
        <v>104</v>
      </c>
      <c r="C25" s="30">
        <v>365</v>
      </c>
      <c r="E25" s="48">
        <v>365</v>
      </c>
      <c r="F25" s="116" t="s">
        <v>37</v>
      </c>
      <c r="G25" s="43">
        <f>E25/E26</f>
        <v>74.87690238463972</v>
      </c>
      <c r="I25" s="126" t="s">
        <v>143</v>
      </c>
    </row>
    <row r="26" spans="2:10" x14ac:dyDescent="0.2">
      <c r="B26" s="119"/>
      <c r="C26" s="31" t="s">
        <v>210</v>
      </c>
      <c r="E26" s="46">
        <f>G21</f>
        <v>4.8746674658763158</v>
      </c>
      <c r="F26" s="117"/>
      <c r="G26" s="36"/>
      <c r="I26" s="127"/>
    </row>
    <row r="29" spans="2:10" x14ac:dyDescent="0.2">
      <c r="B29" s="118" t="s">
        <v>106</v>
      </c>
      <c r="C29" s="30" t="s">
        <v>46</v>
      </c>
      <c r="E29" s="32">
        <f>'P&amp;L'!D11</f>
        <v>28986035.099999998</v>
      </c>
      <c r="F29" s="116" t="s">
        <v>37</v>
      </c>
      <c r="G29" s="34">
        <f>E29/E30</f>
        <v>8.4378704827165762</v>
      </c>
      <c r="I29" s="120" t="s">
        <v>186</v>
      </c>
    </row>
    <row r="30" spans="2:10" x14ac:dyDescent="0.2">
      <c r="B30" s="119"/>
      <c r="C30" s="31" t="s">
        <v>48</v>
      </c>
      <c r="E30" s="35">
        <f>AVERAGE(BS!D9:E9)</f>
        <v>3435231.1</v>
      </c>
      <c r="F30" s="117"/>
      <c r="G30" s="36"/>
      <c r="I30" s="121"/>
    </row>
    <row r="33" spans="2:9" x14ac:dyDescent="0.2">
      <c r="B33" s="118" t="s">
        <v>107</v>
      </c>
      <c r="C33" s="30" t="s">
        <v>46</v>
      </c>
      <c r="E33" s="32">
        <f>'P&amp;L'!D11</f>
        <v>28986035.099999998</v>
      </c>
      <c r="F33" s="116" t="s">
        <v>37</v>
      </c>
      <c r="G33" s="34">
        <f>E33/E34</f>
        <v>338.21809825185642</v>
      </c>
      <c r="I33" s="120" t="s">
        <v>187</v>
      </c>
    </row>
    <row r="34" spans="2:9" x14ac:dyDescent="0.2">
      <c r="B34" s="119"/>
      <c r="C34" s="31" t="s">
        <v>49</v>
      </c>
      <c r="E34" s="35">
        <f>AVERAGE(BS!D20:E20)-AVERAGE(BS!D44:E44)</f>
        <v>85702.199999999255</v>
      </c>
      <c r="F34" s="117"/>
      <c r="G34" s="36"/>
      <c r="I34" s="121"/>
    </row>
    <row r="35" spans="2:9" ht="12" x14ac:dyDescent="0.2">
      <c r="B35" s="50"/>
      <c r="C35" s="15"/>
    </row>
    <row r="37" spans="2:9" ht="12" customHeight="1" x14ac:dyDescent="0.2">
      <c r="B37" s="118" t="s">
        <v>108</v>
      </c>
      <c r="C37" s="30" t="s">
        <v>46</v>
      </c>
      <c r="E37" s="32">
        <f>'P&amp;L'!D11</f>
        <v>28986035.099999998</v>
      </c>
      <c r="F37" s="116" t="s">
        <v>37</v>
      </c>
      <c r="G37" s="34">
        <f>E37/E38</f>
        <v>2.2002399136085415</v>
      </c>
      <c r="I37" s="120" t="s">
        <v>188</v>
      </c>
    </row>
    <row r="38" spans="2:9" x14ac:dyDescent="0.2">
      <c r="B38" s="119"/>
      <c r="C38" s="31" t="s">
        <v>47</v>
      </c>
      <c r="E38" s="35">
        <f>AVERAGE(BS!D21:E21)</f>
        <v>13174033.849999998</v>
      </c>
      <c r="F38" s="117"/>
      <c r="G38" s="36"/>
      <c r="I38" s="121"/>
    </row>
    <row r="41" spans="2:9" ht="12" x14ac:dyDescent="0.25">
      <c r="B41" s="37" t="s">
        <v>109</v>
      </c>
      <c r="C41" s="38" t="s">
        <v>102</v>
      </c>
      <c r="D41" s="3"/>
      <c r="E41" s="42">
        <f>G9</f>
        <v>66.84151857664726</v>
      </c>
      <c r="F41" s="33" t="s">
        <v>37</v>
      </c>
      <c r="G41" s="43">
        <f>E41+E43-E45</f>
        <v>0.56481205923657285</v>
      </c>
      <c r="I41" s="120" t="s">
        <v>144</v>
      </c>
    </row>
    <row r="42" spans="2:9" x14ac:dyDescent="0.2">
      <c r="B42" s="39"/>
      <c r="C42" s="40"/>
      <c r="D42" s="3"/>
      <c r="E42" s="44" t="s">
        <v>59</v>
      </c>
      <c r="F42" s="3"/>
      <c r="G42" s="40"/>
      <c r="I42" s="125"/>
    </row>
    <row r="43" spans="2:9" x14ac:dyDescent="0.2">
      <c r="B43" s="39"/>
      <c r="C43" s="40" t="s">
        <v>86</v>
      </c>
      <c r="D43" s="3"/>
      <c r="E43" s="45">
        <f>G17</f>
        <v>8.6001958672290257</v>
      </c>
      <c r="F43" s="3"/>
      <c r="G43" s="40"/>
      <c r="I43" s="125"/>
    </row>
    <row r="44" spans="2:9" x14ac:dyDescent="0.2">
      <c r="B44" s="39"/>
      <c r="C44" s="40"/>
      <c r="E44" s="44" t="s">
        <v>9</v>
      </c>
      <c r="G44" s="40"/>
      <c r="I44" s="125"/>
    </row>
    <row r="45" spans="2:9" x14ac:dyDescent="0.2">
      <c r="B45" s="41"/>
      <c r="C45" s="36" t="s">
        <v>103</v>
      </c>
      <c r="E45" s="46">
        <f>G25</f>
        <v>74.87690238463972</v>
      </c>
      <c r="F45" s="14"/>
      <c r="G45" s="36"/>
      <c r="I45" s="121"/>
    </row>
    <row r="46" spans="2:9" x14ac:dyDescent="0.2">
      <c r="E46" s="15"/>
    </row>
    <row r="48" spans="2:9" x14ac:dyDescent="0.2">
      <c r="B48" s="118" t="s">
        <v>110</v>
      </c>
      <c r="C48" s="30" t="s">
        <v>46</v>
      </c>
      <c r="E48" s="32">
        <f>'P&amp;L'!D11</f>
        <v>28986035.099999998</v>
      </c>
      <c r="F48" s="116" t="s">
        <v>37</v>
      </c>
      <c r="G48" s="34">
        <f>E48/E49</f>
        <v>13.025397553201874</v>
      </c>
      <c r="I48" s="120" t="s">
        <v>189</v>
      </c>
    </row>
    <row r="49" spans="2:9" x14ac:dyDescent="0.2">
      <c r="B49" s="119"/>
      <c r="C49" s="31" t="s">
        <v>67</v>
      </c>
      <c r="E49" s="35">
        <f>AVERAGE(BS!D30:E30)</f>
        <v>2225347.4399999958</v>
      </c>
      <c r="F49" s="117"/>
      <c r="G49" s="36"/>
      <c r="I49" s="121"/>
    </row>
  </sheetData>
  <mergeCells count="33">
    <mergeCell ref="I48:I49"/>
    <mergeCell ref="I9:I10"/>
    <mergeCell ref="I25:I26"/>
    <mergeCell ref="I17:I18"/>
    <mergeCell ref="I21:I22"/>
    <mergeCell ref="I29:I30"/>
    <mergeCell ref="I13:I14"/>
    <mergeCell ref="B37:B38"/>
    <mergeCell ref="B48:B49"/>
    <mergeCell ref="I33:I34"/>
    <mergeCell ref="I37:I38"/>
    <mergeCell ref="B3:C3"/>
    <mergeCell ref="E3:G3"/>
    <mergeCell ref="I5:I6"/>
    <mergeCell ref="B5:B6"/>
    <mergeCell ref="B29:B30"/>
    <mergeCell ref="B33:B34"/>
    <mergeCell ref="B9:B10"/>
    <mergeCell ref="B17:B18"/>
    <mergeCell ref="B25:B26"/>
    <mergeCell ref="B13:B14"/>
    <mergeCell ref="B21:B22"/>
    <mergeCell ref="I41:I45"/>
    <mergeCell ref="F48:F49"/>
    <mergeCell ref="F37:F38"/>
    <mergeCell ref="F13:F14"/>
    <mergeCell ref="F9:F10"/>
    <mergeCell ref="F5:F6"/>
    <mergeCell ref="F33:F34"/>
    <mergeCell ref="F29:F30"/>
    <mergeCell ref="F25:F26"/>
    <mergeCell ref="F21:F22"/>
    <mergeCell ref="F17:F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I18"/>
  <sheetViews>
    <sheetView showGridLines="0" workbookViewId="0">
      <selection activeCell="E10" sqref="E10"/>
    </sheetView>
  </sheetViews>
  <sheetFormatPr defaultColWidth="8.88671875" defaultRowHeight="11.4" x14ac:dyDescent="0.2"/>
  <cols>
    <col min="1" max="1" width="2.77734375" style="3" customWidth="1"/>
    <col min="2" max="2" width="20.6640625" style="3" customWidth="1"/>
    <col min="3" max="3" width="33" style="3" customWidth="1"/>
    <col min="4" max="4" width="2.77734375" style="3" customWidth="1"/>
    <col min="5" max="5" width="9" style="3" bestFit="1" customWidth="1"/>
    <col min="6" max="6" width="2.77734375" style="3" customWidth="1"/>
    <col min="7" max="7" width="6" style="3" customWidth="1"/>
    <col min="8" max="8" width="2.77734375" style="3" customWidth="1"/>
    <col min="9" max="9" width="41.109375" style="3" customWidth="1"/>
    <col min="10" max="16384" width="8.88671875" style="3"/>
  </cols>
  <sheetData>
    <row r="3" spans="2:9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5" spans="2:9" ht="12" customHeight="1" x14ac:dyDescent="0.2">
      <c r="B5" s="118" t="s">
        <v>50</v>
      </c>
      <c r="C5" s="30" t="s">
        <v>51</v>
      </c>
      <c r="D5" s="15"/>
      <c r="E5" s="32">
        <f>BS!D20</f>
        <v>7816091.9799999986</v>
      </c>
      <c r="F5" s="116" t="s">
        <v>37</v>
      </c>
      <c r="G5" s="34">
        <f>E5/E6</f>
        <v>1.0110864008722726</v>
      </c>
      <c r="I5" s="126" t="s">
        <v>112</v>
      </c>
    </row>
    <row r="6" spans="2:9" x14ac:dyDescent="0.2">
      <c r="B6" s="119"/>
      <c r="C6" s="31" t="s">
        <v>52</v>
      </c>
      <c r="D6" s="15"/>
      <c r="E6" s="35">
        <f>BS!D44</f>
        <v>7730389.7799999993</v>
      </c>
      <c r="F6" s="117"/>
      <c r="G6" s="36"/>
      <c r="I6" s="127"/>
    </row>
    <row r="9" spans="2:9" ht="12" customHeight="1" x14ac:dyDescent="0.2">
      <c r="B9" s="118" t="s">
        <v>53</v>
      </c>
      <c r="C9" s="30" t="s">
        <v>54</v>
      </c>
      <c r="D9" s="15"/>
      <c r="E9" s="48">
        <f>SUM(BS!D17:D19)</f>
        <v>7454799.379999999</v>
      </c>
      <c r="F9" s="116" t="s">
        <v>37</v>
      </c>
      <c r="G9" s="34">
        <f>E9/E10</f>
        <v>0.96434974071902491</v>
      </c>
      <c r="I9" s="126" t="s">
        <v>113</v>
      </c>
    </row>
    <row r="10" spans="2:9" x14ac:dyDescent="0.2">
      <c r="B10" s="119"/>
      <c r="C10" s="31" t="s">
        <v>52</v>
      </c>
      <c r="D10" s="15"/>
      <c r="E10" s="52">
        <f>BS!D44</f>
        <v>7730389.7799999993</v>
      </c>
      <c r="F10" s="117"/>
      <c r="G10" s="36"/>
      <c r="I10" s="127"/>
    </row>
    <row r="13" spans="2:9" ht="12" customHeight="1" x14ac:dyDescent="0.2">
      <c r="B13" s="118" t="s">
        <v>55</v>
      </c>
      <c r="C13" s="30" t="s">
        <v>56</v>
      </c>
      <c r="D13" s="15"/>
      <c r="E13" s="48">
        <f>SUM(BS!D18:D19)</f>
        <v>2146660.7399999998</v>
      </c>
      <c r="F13" s="116" t="s">
        <v>37</v>
      </c>
      <c r="G13" s="34">
        <f>E13/E14</f>
        <v>0.27769113862199069</v>
      </c>
      <c r="I13" s="126" t="s">
        <v>114</v>
      </c>
    </row>
    <row r="14" spans="2:9" x14ac:dyDescent="0.2">
      <c r="B14" s="119"/>
      <c r="C14" s="31" t="s">
        <v>52</v>
      </c>
      <c r="D14" s="15"/>
      <c r="E14" s="52">
        <f>BS!D44</f>
        <v>7730389.7799999993</v>
      </c>
      <c r="F14" s="117"/>
      <c r="G14" s="36"/>
      <c r="I14" s="127"/>
    </row>
    <row r="17" spans="2:9" ht="12" customHeight="1" x14ac:dyDescent="0.2">
      <c r="B17" s="118" t="s">
        <v>57</v>
      </c>
      <c r="C17" s="30" t="s">
        <v>54</v>
      </c>
      <c r="D17" s="15"/>
      <c r="E17" s="48">
        <f>SUM(BS!D17:D19)</f>
        <v>7454799.379999999</v>
      </c>
      <c r="F17" s="116" t="s">
        <v>37</v>
      </c>
      <c r="G17" s="34">
        <f>E17/E18</f>
        <v>97.674098780559518</v>
      </c>
      <c r="I17" s="126" t="s">
        <v>145</v>
      </c>
    </row>
    <row r="18" spans="2:9" x14ac:dyDescent="0.2">
      <c r="B18" s="119"/>
      <c r="C18" s="31" t="s">
        <v>58</v>
      </c>
      <c r="D18" s="15"/>
      <c r="E18" s="52">
        <f>-('P&amp;L'!D13+'P&amp;L'!D17+'P&amp;L'!D18+'P&amp;L'!D19)/365</f>
        <v>76323.195945205473</v>
      </c>
      <c r="F18" s="117"/>
      <c r="G18" s="36"/>
      <c r="I18" s="127"/>
    </row>
  </sheetData>
  <mergeCells count="14">
    <mergeCell ref="B13:B14"/>
    <mergeCell ref="B17:B18"/>
    <mergeCell ref="I5:I6"/>
    <mergeCell ref="I9:I10"/>
    <mergeCell ref="I13:I14"/>
    <mergeCell ref="I17:I18"/>
    <mergeCell ref="F17:F18"/>
    <mergeCell ref="F13:F14"/>
    <mergeCell ref="B3:C3"/>
    <mergeCell ref="E3:G3"/>
    <mergeCell ref="B5:B6"/>
    <mergeCell ref="B9:B10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I26"/>
  <sheetViews>
    <sheetView showGridLines="0" topLeftCell="A4" zoomScaleNormal="100" workbookViewId="0">
      <selection activeCell="E26" sqref="E26"/>
    </sheetView>
  </sheetViews>
  <sheetFormatPr defaultColWidth="8.88671875" defaultRowHeight="11.4" x14ac:dyDescent="0.2"/>
  <cols>
    <col min="1" max="1" width="2.77734375" style="3" customWidth="1"/>
    <col min="2" max="2" width="22.44140625" style="3" customWidth="1"/>
    <col min="3" max="3" width="38.21875" style="3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5.77734375" style="13" customWidth="1"/>
    <col min="8" max="8" width="2.77734375" style="3" customWidth="1"/>
    <col min="9" max="9" width="24.33203125" style="3" customWidth="1"/>
    <col min="10" max="16384" width="8.88671875" style="3"/>
  </cols>
  <sheetData>
    <row r="3" spans="2:9" s="57" customFormat="1" ht="14.4" customHeight="1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5" spans="2:9" ht="12" customHeight="1" x14ac:dyDescent="0.2">
      <c r="B5" s="118" t="s">
        <v>60</v>
      </c>
      <c r="C5" s="30" t="s">
        <v>62</v>
      </c>
      <c r="D5" s="15"/>
      <c r="E5" s="32">
        <f>BS!D40+BS!D34</f>
        <v>2745398.4</v>
      </c>
      <c r="F5" s="116" t="s">
        <v>37</v>
      </c>
      <c r="G5" s="53">
        <f>E5/E6</f>
        <v>1.2336942765216048</v>
      </c>
      <c r="I5" s="120" t="s">
        <v>121</v>
      </c>
    </row>
    <row r="6" spans="2:9" x14ac:dyDescent="0.2">
      <c r="B6" s="119"/>
      <c r="C6" s="31" t="s">
        <v>63</v>
      </c>
      <c r="D6" s="15"/>
      <c r="E6" s="35">
        <f>BS!D30</f>
        <v>2225347.4399999958</v>
      </c>
      <c r="F6" s="117"/>
      <c r="G6" s="54"/>
      <c r="I6" s="121"/>
    </row>
    <row r="7" spans="2:9" x14ac:dyDescent="0.2">
      <c r="D7" s="15"/>
      <c r="E7" s="10"/>
      <c r="F7" s="15"/>
    </row>
    <row r="8" spans="2:9" x14ac:dyDescent="0.2">
      <c r="D8" s="15"/>
      <c r="E8" s="10"/>
      <c r="F8" s="15"/>
    </row>
    <row r="9" spans="2:9" ht="12" customHeight="1" x14ac:dyDescent="0.2">
      <c r="B9" s="118" t="s">
        <v>61</v>
      </c>
      <c r="C9" s="30" t="s">
        <v>62</v>
      </c>
      <c r="D9" s="15"/>
      <c r="E9" s="48">
        <f>BS!D34+BS!D40</f>
        <v>2745398.4</v>
      </c>
      <c r="F9" s="116" t="s">
        <v>37</v>
      </c>
      <c r="G9" s="53">
        <f>E9/E10</f>
        <v>0.5523111598077608</v>
      </c>
      <c r="I9" s="120" t="s">
        <v>122</v>
      </c>
    </row>
    <row r="10" spans="2:9" x14ac:dyDescent="0.2">
      <c r="B10" s="119"/>
      <c r="C10" s="31" t="s">
        <v>64</v>
      </c>
      <c r="D10" s="15"/>
      <c r="E10" s="52">
        <f>BS!D34+BS!D40+BS!D30</f>
        <v>4970745.8399999961</v>
      </c>
      <c r="F10" s="117"/>
      <c r="G10" s="54"/>
      <c r="I10" s="121"/>
    </row>
    <row r="13" spans="2:9" ht="12" customHeight="1" x14ac:dyDescent="0.2">
      <c r="B13" s="118" t="s">
        <v>66</v>
      </c>
      <c r="C13" s="30" t="s">
        <v>62</v>
      </c>
      <c r="D13" s="15"/>
      <c r="E13" s="48">
        <f>BS!D34+BS!D40</f>
        <v>2745398.4</v>
      </c>
      <c r="F13" s="116" t="s">
        <v>37</v>
      </c>
      <c r="G13" s="53">
        <f>E13/E14</f>
        <v>0.20839466721121264</v>
      </c>
      <c r="I13" s="120" t="s">
        <v>123</v>
      </c>
    </row>
    <row r="14" spans="2:9" x14ac:dyDescent="0.2">
      <c r="B14" s="119"/>
      <c r="C14" s="31" t="s">
        <v>65</v>
      </c>
      <c r="D14" s="15"/>
      <c r="E14" s="52">
        <f>BS!D21</f>
        <v>13174033.849999998</v>
      </c>
      <c r="F14" s="117"/>
      <c r="G14" s="54"/>
      <c r="I14" s="121"/>
    </row>
    <row r="17" spans="2:9" ht="12" customHeight="1" x14ac:dyDescent="0.2">
      <c r="B17" s="118" t="s">
        <v>207</v>
      </c>
      <c r="C17" s="30" t="s">
        <v>68</v>
      </c>
      <c r="D17" s="15"/>
      <c r="E17" s="48">
        <f>'P&amp;L'!D22</f>
        <v>1128068.5799999982</v>
      </c>
      <c r="F17" s="116" t="s">
        <v>37</v>
      </c>
      <c r="G17" s="58">
        <f>E17/E18</f>
        <v>7.5358136811193734</v>
      </c>
      <c r="I17" s="120" t="s">
        <v>124</v>
      </c>
    </row>
    <row r="18" spans="2:9" x14ac:dyDescent="0.2">
      <c r="B18" s="119"/>
      <c r="C18" s="31" t="s">
        <v>69</v>
      </c>
      <c r="D18" s="15"/>
      <c r="E18" s="52">
        <f>-'P&amp;L'!D24</f>
        <v>149694.32999999999</v>
      </c>
      <c r="F18" s="117"/>
      <c r="G18" s="54"/>
      <c r="I18" s="121"/>
    </row>
    <row r="21" spans="2:9" ht="12" customHeight="1" x14ac:dyDescent="0.2">
      <c r="B21" s="118" t="s">
        <v>208</v>
      </c>
      <c r="C21" s="30" t="s">
        <v>70</v>
      </c>
      <c r="D21" s="15"/>
      <c r="E21" s="48">
        <f>'P&amp;L'!D22</f>
        <v>1128068.5799999982</v>
      </c>
      <c r="F21" s="116" t="s">
        <v>37</v>
      </c>
      <c r="G21" s="58">
        <f>E21/E22</f>
        <v>7.5358136811193734</v>
      </c>
      <c r="I21" s="120" t="s">
        <v>125</v>
      </c>
    </row>
    <row r="22" spans="2:9" x14ac:dyDescent="0.2">
      <c r="B22" s="119"/>
      <c r="C22" s="31" t="s">
        <v>71</v>
      </c>
      <c r="D22" s="15"/>
      <c r="E22" s="52">
        <f>-'P&amp;L'!D24</f>
        <v>149694.32999999999</v>
      </c>
      <c r="F22" s="117"/>
      <c r="G22" s="54"/>
      <c r="I22" s="121"/>
    </row>
    <row r="25" spans="2:9" ht="12" customHeight="1" x14ac:dyDescent="0.2">
      <c r="B25" s="118" t="s">
        <v>209</v>
      </c>
      <c r="C25" s="30" t="s">
        <v>47</v>
      </c>
      <c r="D25" s="15"/>
      <c r="E25" s="48">
        <f>AVERAGE(BS!D21:E21)</f>
        <v>13174033.849999998</v>
      </c>
      <c r="F25" s="116" t="s">
        <v>37</v>
      </c>
      <c r="G25" s="58">
        <f>E25/E26</f>
        <v>5.9199896668719845</v>
      </c>
      <c r="I25" s="120" t="s">
        <v>146</v>
      </c>
    </row>
    <row r="26" spans="2:9" x14ac:dyDescent="0.2">
      <c r="B26" s="119"/>
      <c r="C26" s="31" t="s">
        <v>67</v>
      </c>
      <c r="D26" s="15"/>
      <c r="E26" s="52">
        <f>AVERAGE(BS!D30:E30)</f>
        <v>2225347.4399999958</v>
      </c>
      <c r="F26" s="117"/>
      <c r="G26" s="54"/>
      <c r="I26" s="121"/>
    </row>
  </sheetData>
  <mergeCells count="20">
    <mergeCell ref="I25:I26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I5:I6"/>
    <mergeCell ref="I9:I10"/>
    <mergeCell ref="I13:I14"/>
    <mergeCell ref="I17:I18"/>
    <mergeCell ref="I21:I22"/>
    <mergeCell ref="B3:C3"/>
    <mergeCell ref="E3:G3"/>
    <mergeCell ref="B5:B6"/>
    <mergeCell ref="B9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I34"/>
  <sheetViews>
    <sheetView showGridLines="0" topLeftCell="A17" workbookViewId="0">
      <selection activeCell="G33" sqref="G33"/>
    </sheetView>
  </sheetViews>
  <sheetFormatPr defaultColWidth="8.88671875" defaultRowHeight="11.4" x14ac:dyDescent="0.2"/>
  <cols>
    <col min="1" max="1" width="2.77734375" style="3" customWidth="1"/>
    <col min="2" max="2" width="31.109375" style="3" bestFit="1" customWidth="1"/>
    <col min="3" max="3" width="31.44140625" style="3" bestFit="1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6.88671875" style="3" customWidth="1"/>
    <col min="8" max="8" width="2.77734375" style="3" customWidth="1"/>
    <col min="9" max="9" width="33.21875" style="60" customWidth="1"/>
    <col min="10" max="16384" width="8.88671875" style="3"/>
  </cols>
  <sheetData>
    <row r="3" spans="2:9" s="57" customFormat="1" ht="12" x14ac:dyDescent="0.3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4" spans="2:9" x14ac:dyDescent="0.2">
      <c r="D4" s="15"/>
      <c r="E4" s="10"/>
      <c r="F4" s="15"/>
    </row>
    <row r="5" spans="2:9" ht="12" customHeight="1" x14ac:dyDescent="0.2">
      <c r="B5" s="118" t="s">
        <v>147</v>
      </c>
      <c r="C5" s="30" t="s">
        <v>73</v>
      </c>
      <c r="D5" s="15"/>
      <c r="E5" s="48">
        <f>'P&amp;L'!D15</f>
        <v>13652454.209999997</v>
      </c>
      <c r="F5" s="116" t="s">
        <v>37</v>
      </c>
      <c r="G5" s="59">
        <f>E5/E6</f>
        <v>0.4710010928676478</v>
      </c>
      <c r="I5" s="120" t="s">
        <v>129</v>
      </c>
    </row>
    <row r="6" spans="2:9" x14ac:dyDescent="0.2">
      <c r="B6" s="119"/>
      <c r="C6" s="31" t="s">
        <v>46</v>
      </c>
      <c r="D6" s="15"/>
      <c r="E6" s="52">
        <f>'P&amp;L'!D11</f>
        <v>28986035.099999998</v>
      </c>
      <c r="F6" s="117"/>
      <c r="G6" s="36"/>
      <c r="I6" s="121"/>
    </row>
    <row r="7" spans="2:9" x14ac:dyDescent="0.2">
      <c r="D7" s="15"/>
      <c r="E7" s="10"/>
      <c r="F7" s="15"/>
    </row>
    <row r="8" spans="2:9" x14ac:dyDescent="0.2">
      <c r="D8" s="15"/>
      <c r="E8" s="10"/>
      <c r="F8" s="15"/>
    </row>
    <row r="9" spans="2:9" ht="12" customHeight="1" x14ac:dyDescent="0.2">
      <c r="B9" s="118" t="s">
        <v>148</v>
      </c>
      <c r="C9" s="30" t="s">
        <v>130</v>
      </c>
      <c r="D9" s="15"/>
      <c r="E9" s="32">
        <f>'P&amp;L'!D22</f>
        <v>1128068.5799999982</v>
      </c>
      <c r="F9" s="116" t="s">
        <v>37</v>
      </c>
      <c r="G9" s="59">
        <f>E9/E10</f>
        <v>3.8917657282489054E-2</v>
      </c>
      <c r="I9" s="120" t="s">
        <v>131</v>
      </c>
    </row>
    <row r="10" spans="2:9" x14ac:dyDescent="0.2">
      <c r="B10" s="119"/>
      <c r="C10" s="31" t="s">
        <v>46</v>
      </c>
      <c r="D10" s="15"/>
      <c r="E10" s="35">
        <f>'P&amp;L'!D11</f>
        <v>28986035.099999998</v>
      </c>
      <c r="F10" s="117"/>
      <c r="G10" s="36"/>
      <c r="I10" s="121"/>
    </row>
    <row r="11" spans="2:9" x14ac:dyDescent="0.2">
      <c r="D11" s="15"/>
      <c r="E11" s="10"/>
      <c r="F11" s="15"/>
    </row>
    <row r="12" spans="2:9" x14ac:dyDescent="0.2">
      <c r="D12" s="15"/>
      <c r="E12" s="10"/>
      <c r="F12" s="15"/>
    </row>
    <row r="13" spans="2:9" ht="12" customHeight="1" x14ac:dyDescent="0.2">
      <c r="B13" s="118" t="s">
        <v>149</v>
      </c>
      <c r="C13" s="30" t="s">
        <v>74</v>
      </c>
      <c r="D13" s="15"/>
      <c r="E13" s="48">
        <f>'P&amp;L'!D26</f>
        <v>978374.24999999825</v>
      </c>
      <c r="F13" s="116" t="s">
        <v>37</v>
      </c>
      <c r="G13" s="59">
        <f>E13/E14</f>
        <v>3.3753296945396936E-2</v>
      </c>
      <c r="I13" s="120" t="s">
        <v>132</v>
      </c>
    </row>
    <row r="14" spans="2:9" x14ac:dyDescent="0.2">
      <c r="B14" s="119"/>
      <c r="C14" s="31" t="s">
        <v>46</v>
      </c>
      <c r="D14" s="15"/>
      <c r="E14" s="35">
        <f>'P&amp;L'!D11</f>
        <v>28986035.099999998</v>
      </c>
      <c r="F14" s="117"/>
      <c r="G14" s="36"/>
      <c r="I14" s="121"/>
    </row>
    <row r="17" spans="2:9" x14ac:dyDescent="0.2">
      <c r="B17" s="118" t="s">
        <v>150</v>
      </c>
      <c r="C17" s="30" t="s">
        <v>72</v>
      </c>
      <c r="D17" s="15"/>
      <c r="E17" s="32">
        <f>'P&amp;L'!D30</f>
        <v>894178.24999999825</v>
      </c>
      <c r="F17" s="116" t="s">
        <v>37</v>
      </c>
      <c r="G17" s="59">
        <f>E17/E18</f>
        <v>3.0848587842909163E-2</v>
      </c>
      <c r="I17" s="120" t="s">
        <v>128</v>
      </c>
    </row>
    <row r="18" spans="2:9" x14ac:dyDescent="0.2">
      <c r="B18" s="119"/>
      <c r="C18" s="31" t="s">
        <v>46</v>
      </c>
      <c r="D18" s="15"/>
      <c r="E18" s="35">
        <f>'P&amp;L'!D11</f>
        <v>28986035.099999998</v>
      </c>
      <c r="F18" s="117"/>
      <c r="G18" s="36"/>
      <c r="I18" s="121"/>
    </row>
    <row r="21" spans="2:9" ht="12" customHeight="1" x14ac:dyDescent="0.2">
      <c r="B21" s="118" t="s">
        <v>126</v>
      </c>
      <c r="C21" s="30" t="s">
        <v>72</v>
      </c>
      <c r="D21" s="15"/>
      <c r="E21" s="48">
        <f>'P&amp;L'!D30</f>
        <v>894178.24999999825</v>
      </c>
      <c r="F21" s="116" t="s">
        <v>37</v>
      </c>
      <c r="G21" s="59">
        <f>E21/E22</f>
        <v>6.7874294250427972E-2</v>
      </c>
      <c r="I21" s="120" t="s">
        <v>133</v>
      </c>
    </row>
    <row r="22" spans="2:9" x14ac:dyDescent="0.2">
      <c r="B22" s="119"/>
      <c r="C22" s="31" t="s">
        <v>47</v>
      </c>
      <c r="D22" s="15"/>
      <c r="E22" s="35">
        <f>AVERAGE(BS!D21:E21)</f>
        <v>13174033.849999998</v>
      </c>
      <c r="F22" s="117"/>
      <c r="G22" s="36"/>
      <c r="I22" s="121"/>
    </row>
    <row r="23" spans="2:9" ht="12" x14ac:dyDescent="0.2">
      <c r="B23" s="50"/>
      <c r="C23" s="15"/>
      <c r="D23" s="15"/>
      <c r="E23" s="10"/>
      <c r="F23" s="60"/>
      <c r="I23" s="7"/>
    </row>
    <row r="25" spans="2:9" ht="12" customHeight="1" x14ac:dyDescent="0.2">
      <c r="B25" s="118" t="s">
        <v>127</v>
      </c>
      <c r="C25" s="30" t="s">
        <v>151</v>
      </c>
      <c r="D25" s="15"/>
      <c r="E25" s="48">
        <f>'P&amp;L'!D22</f>
        <v>1128068.5799999982</v>
      </c>
      <c r="F25" s="116" t="s">
        <v>37</v>
      </c>
      <c r="G25" s="59">
        <f>E25/E26</f>
        <v>8.562818289707054E-2</v>
      </c>
      <c r="I25" s="120" t="s">
        <v>134</v>
      </c>
    </row>
    <row r="26" spans="2:9" x14ac:dyDescent="0.2">
      <c r="B26" s="119"/>
      <c r="C26" s="31" t="s">
        <v>47</v>
      </c>
      <c r="D26" s="15"/>
      <c r="E26" s="35">
        <f>E22</f>
        <v>13174033.849999998</v>
      </c>
      <c r="F26" s="117"/>
      <c r="G26" s="36"/>
      <c r="I26" s="121"/>
    </row>
    <row r="29" spans="2:9" ht="12" customHeight="1" x14ac:dyDescent="0.2">
      <c r="B29" s="118" t="s">
        <v>135</v>
      </c>
      <c r="C29" s="30" t="s">
        <v>151</v>
      </c>
      <c r="D29" s="15"/>
      <c r="E29" s="48">
        <f>E25</f>
        <v>1128068.5799999982</v>
      </c>
      <c r="F29" s="116" t="s">
        <v>37</v>
      </c>
      <c r="G29" s="59">
        <f>E29/E30</f>
        <v>0.22694151266442525</v>
      </c>
      <c r="I29" s="120" t="s">
        <v>136</v>
      </c>
    </row>
    <row r="30" spans="2:9" x14ac:dyDescent="0.2">
      <c r="B30" s="119"/>
      <c r="C30" s="31" t="s">
        <v>75</v>
      </c>
      <c r="D30" s="15"/>
      <c r="E30" s="35">
        <f>AVERAGE(BS!D30:E30)+AVERAGE(BS!D34:E34)+AVERAGE(BS!D40:E40)</f>
        <v>4970745.8399999961</v>
      </c>
      <c r="F30" s="117"/>
      <c r="G30" s="36"/>
      <c r="I30" s="121"/>
    </row>
    <row r="33" spans="2:9" ht="12" customHeight="1" x14ac:dyDescent="0.2">
      <c r="B33" s="118" t="s">
        <v>140</v>
      </c>
      <c r="C33" s="30" t="s">
        <v>72</v>
      </c>
      <c r="E33" s="48">
        <f>'P&amp;L'!D30</f>
        <v>894178.24999999825</v>
      </c>
      <c r="F33" s="116" t="s">
        <v>37</v>
      </c>
      <c r="G33" s="59">
        <f>E33/E34</f>
        <v>0.40181512060876207</v>
      </c>
      <c r="I33" s="120" t="s">
        <v>137</v>
      </c>
    </row>
    <row r="34" spans="2:9" x14ac:dyDescent="0.2">
      <c r="B34" s="119"/>
      <c r="C34" s="31" t="s">
        <v>84</v>
      </c>
      <c r="E34" s="35">
        <f>AVERAGE(BS!D30:E30)</f>
        <v>2225347.4399999958</v>
      </c>
      <c r="F34" s="117"/>
      <c r="G34" s="36"/>
      <c r="I34" s="121"/>
    </row>
  </sheetData>
  <mergeCells count="26">
    <mergeCell ref="I25:I26"/>
    <mergeCell ref="I29:I30"/>
    <mergeCell ref="I33:I34"/>
    <mergeCell ref="I17:I18"/>
    <mergeCell ref="I5:I6"/>
    <mergeCell ref="I9:I10"/>
    <mergeCell ref="I13:I14"/>
    <mergeCell ref="I21:I22"/>
    <mergeCell ref="B3:C3"/>
    <mergeCell ref="E3:G3"/>
    <mergeCell ref="B17:B18"/>
    <mergeCell ref="B5:B6"/>
    <mergeCell ref="B9:B10"/>
    <mergeCell ref="B13:B14"/>
    <mergeCell ref="F13:F14"/>
    <mergeCell ref="F33:F34"/>
    <mergeCell ref="F9:F10"/>
    <mergeCell ref="F5:F6"/>
    <mergeCell ref="F17:F18"/>
    <mergeCell ref="B21:B22"/>
    <mergeCell ref="B25:B26"/>
    <mergeCell ref="B29:B30"/>
    <mergeCell ref="B33:B34"/>
    <mergeCell ref="F29:F30"/>
    <mergeCell ref="F25:F26"/>
    <mergeCell ref="F21:F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K29"/>
  <sheetViews>
    <sheetView showGridLines="0" workbookViewId="0">
      <selection activeCell="G9" sqref="G9"/>
    </sheetView>
  </sheetViews>
  <sheetFormatPr defaultColWidth="8.88671875" defaultRowHeight="11.4" x14ac:dyDescent="0.2"/>
  <cols>
    <col min="1" max="1" width="2.77734375" style="3" customWidth="1"/>
    <col min="2" max="2" width="25.5546875" style="3" customWidth="1"/>
    <col min="3" max="3" width="30.21875" style="3" bestFit="1" customWidth="1"/>
    <col min="4" max="4" width="2.77734375" style="3" customWidth="1"/>
    <col min="5" max="5" width="9.88671875" style="3" bestFit="1" customWidth="1"/>
    <col min="6" max="6" width="2.77734375" style="3" customWidth="1"/>
    <col min="7" max="7" width="6.21875" style="3" customWidth="1"/>
    <col min="8" max="8" width="2.77734375" style="3" customWidth="1"/>
    <col min="9" max="9" width="37.5546875" style="3" bestFit="1" customWidth="1"/>
    <col min="10" max="16384" width="8.88671875" style="3"/>
  </cols>
  <sheetData>
    <row r="3" spans="2:9" ht="12" x14ac:dyDescent="0.2">
      <c r="B3" s="122" t="s">
        <v>87</v>
      </c>
      <c r="C3" s="123"/>
      <c r="D3" s="55"/>
      <c r="E3" s="122" t="s">
        <v>206</v>
      </c>
      <c r="F3" s="124"/>
      <c r="G3" s="123"/>
      <c r="H3" s="55"/>
      <c r="I3" s="56" t="s">
        <v>99</v>
      </c>
    </row>
    <row r="4" spans="2:9" x14ac:dyDescent="0.2">
      <c r="D4" s="15"/>
      <c r="E4" s="10"/>
      <c r="F4" s="15"/>
      <c r="I4" s="60"/>
    </row>
    <row r="5" spans="2:9" x14ac:dyDescent="0.2">
      <c r="B5" s="118" t="s">
        <v>152</v>
      </c>
      <c r="C5" s="30" t="s">
        <v>155</v>
      </c>
      <c r="D5" s="15"/>
      <c r="E5" s="48">
        <f>'P&amp;L'!D30</f>
        <v>894178.24999999825</v>
      </c>
      <c r="F5" s="116" t="s">
        <v>37</v>
      </c>
      <c r="G5" s="58">
        <f>E5/E6</f>
        <v>8.9417824999999826</v>
      </c>
      <c r="I5" s="120" t="s">
        <v>153</v>
      </c>
    </row>
    <row r="6" spans="2:9" x14ac:dyDescent="0.2">
      <c r="B6" s="119"/>
      <c r="C6" s="31" t="s">
        <v>154</v>
      </c>
      <c r="D6" s="15"/>
      <c r="E6" s="52">
        <f>'P&amp;L'!D48</f>
        <v>100000</v>
      </c>
      <c r="F6" s="117"/>
      <c r="G6" s="36"/>
      <c r="I6" s="121"/>
    </row>
    <row r="9" spans="2:9" x14ac:dyDescent="0.2">
      <c r="B9" s="118" t="s">
        <v>158</v>
      </c>
      <c r="C9" s="30" t="s">
        <v>159</v>
      </c>
      <c r="E9" s="62">
        <f>'P&amp;L'!D51</f>
        <v>12.95</v>
      </c>
      <c r="F9" s="116" t="s">
        <v>37</v>
      </c>
      <c r="G9" s="58">
        <f>E9/E10</f>
        <v>1.4482571008632814</v>
      </c>
      <c r="I9" s="120" t="s">
        <v>162</v>
      </c>
    </row>
    <row r="10" spans="2:9" x14ac:dyDescent="0.2">
      <c r="B10" s="119"/>
      <c r="C10" s="31" t="s">
        <v>160</v>
      </c>
      <c r="E10" s="63">
        <f>G5</f>
        <v>8.9417824999999826</v>
      </c>
      <c r="F10" s="117"/>
      <c r="G10" s="36"/>
      <c r="I10" s="121"/>
    </row>
    <row r="13" spans="2:9" x14ac:dyDescent="0.2">
      <c r="B13" s="118" t="s">
        <v>165</v>
      </c>
      <c r="C13" s="30" t="s">
        <v>163</v>
      </c>
      <c r="E13" s="64">
        <f>'P&amp;L'!D52</f>
        <v>1295000</v>
      </c>
      <c r="F13" s="116" t="s">
        <v>37</v>
      </c>
      <c r="G13" s="58">
        <f>E13/E14</f>
        <v>1.4482571008632814</v>
      </c>
      <c r="I13" s="120" t="s">
        <v>164</v>
      </c>
    </row>
    <row r="14" spans="2:9" x14ac:dyDescent="0.2">
      <c r="B14" s="119"/>
      <c r="C14" s="31" t="s">
        <v>85</v>
      </c>
      <c r="E14" s="65">
        <f>'P&amp;L'!D30</f>
        <v>894178.24999999825</v>
      </c>
      <c r="F14" s="117"/>
      <c r="G14" s="36"/>
      <c r="I14" s="121"/>
    </row>
    <row r="17" spans="2:11" x14ac:dyDescent="0.2">
      <c r="B17" s="118" t="s">
        <v>166</v>
      </c>
      <c r="C17" s="30" t="s">
        <v>171</v>
      </c>
      <c r="E17" s="62">
        <f>'P&amp;L'!D49</f>
        <v>2.5</v>
      </c>
      <c r="F17" s="116" t="s">
        <v>37</v>
      </c>
      <c r="G17" s="53">
        <f>E17/E18</f>
        <v>0.19305019305019305</v>
      </c>
      <c r="I17" s="120" t="s">
        <v>168</v>
      </c>
    </row>
    <row r="18" spans="2:11" x14ac:dyDescent="0.2">
      <c r="B18" s="119"/>
      <c r="C18" s="31" t="s">
        <v>167</v>
      </c>
      <c r="E18" s="63">
        <f>'P&amp;L'!D51</f>
        <v>12.95</v>
      </c>
      <c r="F18" s="117"/>
      <c r="G18" s="36"/>
      <c r="I18" s="121"/>
    </row>
    <row r="21" spans="2:11" x14ac:dyDescent="0.2">
      <c r="B21" s="118" t="s">
        <v>170</v>
      </c>
      <c r="C21" s="30" t="s">
        <v>172</v>
      </c>
      <c r="E21" s="32">
        <f>'P&amp;L'!D30-'P&amp;L'!D50</f>
        <v>644178.24999999825</v>
      </c>
      <c r="F21" s="116" t="s">
        <v>37</v>
      </c>
      <c r="G21" s="53">
        <f>E21/E22</f>
        <v>0.72041368709203057</v>
      </c>
      <c r="I21" s="120" t="s">
        <v>175</v>
      </c>
      <c r="K21" s="66"/>
    </row>
    <row r="22" spans="2:11" x14ac:dyDescent="0.2">
      <c r="B22" s="119"/>
      <c r="C22" s="31" t="s">
        <v>173</v>
      </c>
      <c r="E22" s="35">
        <f>'P&amp;L'!D30</f>
        <v>894178.24999999825</v>
      </c>
      <c r="F22" s="117"/>
      <c r="G22" s="36"/>
      <c r="I22" s="121"/>
    </row>
    <row r="25" spans="2:11" x14ac:dyDescent="0.2">
      <c r="B25" s="118" t="s">
        <v>176</v>
      </c>
      <c r="C25" s="30" t="s">
        <v>177</v>
      </c>
      <c r="E25" s="32">
        <f>'P&amp;L'!D50</f>
        <v>250000</v>
      </c>
      <c r="F25" s="116" t="s">
        <v>37</v>
      </c>
      <c r="G25" s="53">
        <f>E25/E26</f>
        <v>0.27958631290796943</v>
      </c>
      <c r="I25" s="120" t="s">
        <v>178</v>
      </c>
    </row>
    <row r="26" spans="2:11" x14ac:dyDescent="0.2">
      <c r="B26" s="119"/>
      <c r="C26" s="31" t="s">
        <v>173</v>
      </c>
      <c r="E26" s="35">
        <f>'P&amp;L'!D30</f>
        <v>894178.24999999825</v>
      </c>
      <c r="F26" s="117"/>
      <c r="G26" s="36"/>
      <c r="I26" s="121"/>
    </row>
    <row r="29" spans="2:11" ht="12" x14ac:dyDescent="0.25">
      <c r="B29" s="128" t="s">
        <v>179</v>
      </c>
      <c r="C29" s="129"/>
      <c r="E29" s="67"/>
      <c r="F29" s="68"/>
      <c r="G29" s="69">
        <f>G21*'Profitability ratios'!G33</f>
        <v>0.28947311256708724</v>
      </c>
      <c r="I29" s="70" t="s">
        <v>180</v>
      </c>
    </row>
  </sheetData>
  <mergeCells count="21">
    <mergeCell ref="B3:C3"/>
    <mergeCell ref="E3:G3"/>
    <mergeCell ref="B5:B6"/>
    <mergeCell ref="F5:F6"/>
    <mergeCell ref="B17:B18"/>
    <mergeCell ref="F17:F18"/>
    <mergeCell ref="I17:I18"/>
    <mergeCell ref="I5:I6"/>
    <mergeCell ref="B9:B10"/>
    <mergeCell ref="F9:F10"/>
    <mergeCell ref="I9:I10"/>
    <mergeCell ref="B13:B14"/>
    <mergeCell ref="F13:F14"/>
    <mergeCell ref="I13:I14"/>
    <mergeCell ref="B29:C29"/>
    <mergeCell ref="B21:B22"/>
    <mergeCell ref="F21:F22"/>
    <mergeCell ref="I21:I22"/>
    <mergeCell ref="B25:B26"/>
    <mergeCell ref="F25:F26"/>
    <mergeCell ref="I25:I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4" tint="0.79998168889431442"/>
  </sheetPr>
  <dimension ref="B1:G27"/>
  <sheetViews>
    <sheetView showGridLines="0" topLeftCell="A8" zoomScale="90" zoomScaleNormal="90" workbookViewId="0">
      <selection activeCell="D29" sqref="D29"/>
    </sheetView>
  </sheetViews>
  <sheetFormatPr defaultColWidth="8.88671875" defaultRowHeight="11.4" x14ac:dyDescent="0.2"/>
  <cols>
    <col min="1" max="1" width="2" style="3" customWidth="1"/>
    <col min="2" max="2" width="11.88671875" style="3" customWidth="1"/>
    <col min="3" max="3" width="24.33203125" style="3" bestFit="1" customWidth="1"/>
    <col min="4" max="4" width="13.109375" style="75" customWidth="1"/>
    <col min="5" max="5" width="15.109375" style="75" customWidth="1"/>
    <col min="6" max="6" width="5.109375" style="3" customWidth="1"/>
    <col min="7" max="7" width="8.88671875" style="66"/>
    <col min="8" max="16384" width="8.88671875" style="3"/>
  </cols>
  <sheetData>
    <row r="1" spans="2:7" ht="15.6" x14ac:dyDescent="0.3">
      <c r="B1" s="18" t="s">
        <v>221</v>
      </c>
    </row>
    <row r="2" spans="2:7" ht="15.6" x14ac:dyDescent="0.3">
      <c r="B2" s="18" t="s">
        <v>238</v>
      </c>
    </row>
    <row r="4" spans="2:7" ht="12.6" thickBot="1" x14ac:dyDescent="0.3">
      <c r="B4" s="74" t="s">
        <v>181</v>
      </c>
      <c r="C4" s="74" t="s">
        <v>197</v>
      </c>
      <c r="D4" s="76" t="s">
        <v>218</v>
      </c>
      <c r="E4" s="76" t="s">
        <v>83</v>
      </c>
      <c r="G4" s="109" t="s">
        <v>219</v>
      </c>
    </row>
    <row r="5" spans="2:7" ht="12" x14ac:dyDescent="0.25">
      <c r="D5" s="77"/>
      <c r="E5" s="77"/>
    </row>
    <row r="6" spans="2:7" ht="14.4" x14ac:dyDescent="0.25">
      <c r="B6" s="133" t="s">
        <v>193</v>
      </c>
      <c r="C6" s="78" t="s">
        <v>190</v>
      </c>
      <c r="D6" s="113">
        <f>'Activity ratios'!G9</f>
        <v>66.84151857664726</v>
      </c>
      <c r="E6" s="80">
        <v>60</v>
      </c>
      <c r="G6" s="110" t="s">
        <v>236</v>
      </c>
    </row>
    <row r="7" spans="2:7" ht="14.4" x14ac:dyDescent="0.3">
      <c r="B7" s="134"/>
      <c r="C7" s="39" t="s">
        <v>191</v>
      </c>
      <c r="D7" s="88">
        <f>'Activity ratios'!G17</f>
        <v>8.6001958672290257</v>
      </c>
      <c r="E7" s="81">
        <v>15.3</v>
      </c>
      <c r="G7" s="111" t="s">
        <v>222</v>
      </c>
    </row>
    <row r="8" spans="2:7" ht="14.4" x14ac:dyDescent="0.25">
      <c r="B8" s="134"/>
      <c r="C8" s="39" t="s">
        <v>235</v>
      </c>
      <c r="D8" s="112">
        <f>'Activity ratios'!G25</f>
        <v>74.87690238463972</v>
      </c>
      <c r="E8" s="81">
        <v>60</v>
      </c>
      <c r="G8" s="110" t="s">
        <v>237</v>
      </c>
    </row>
    <row r="9" spans="2:7" ht="14.4" x14ac:dyDescent="0.25">
      <c r="B9" s="134"/>
      <c r="C9" s="39" t="s">
        <v>192</v>
      </c>
      <c r="D9" s="88">
        <f>D6+D7-D8</f>
        <v>0.56481205923657285</v>
      </c>
      <c r="E9" s="81">
        <f>E6+E7-E8</f>
        <v>15.299999999999997</v>
      </c>
      <c r="G9" s="110" t="s">
        <v>223</v>
      </c>
    </row>
    <row r="10" spans="2:7" ht="12" x14ac:dyDescent="0.25">
      <c r="B10" s="135"/>
      <c r="C10" s="41" t="s">
        <v>79</v>
      </c>
      <c r="D10" s="98">
        <f>'Activity ratios'!G37</f>
        <v>2.2002399136085415</v>
      </c>
      <c r="E10" s="82">
        <v>1</v>
      </c>
    </row>
    <row r="11" spans="2:7" ht="12" x14ac:dyDescent="0.25">
      <c r="E11" s="77"/>
    </row>
    <row r="12" spans="2:7" ht="14.4" x14ac:dyDescent="0.3">
      <c r="B12" s="130" t="s">
        <v>195</v>
      </c>
      <c r="C12" s="61" t="s">
        <v>78</v>
      </c>
      <c r="D12" s="105">
        <f>'Liquidity ratios'!G5</f>
        <v>1.0110864008722726</v>
      </c>
      <c r="E12" s="79">
        <v>1.4</v>
      </c>
      <c r="G12" s="111" t="s">
        <v>224</v>
      </c>
    </row>
    <row r="13" spans="2:7" ht="12" x14ac:dyDescent="0.25">
      <c r="B13" s="131"/>
      <c r="C13" s="3" t="s">
        <v>194</v>
      </c>
      <c r="D13" s="106">
        <f>'Liquidity ratios'!G9</f>
        <v>0.96434974071902491</v>
      </c>
      <c r="E13" s="107">
        <v>1</v>
      </c>
    </row>
    <row r="14" spans="2:7" ht="14.4" x14ac:dyDescent="0.25">
      <c r="B14" s="132"/>
      <c r="C14" s="47" t="s">
        <v>202</v>
      </c>
      <c r="D14" s="98">
        <f>'Liquidity ratios'!G13</f>
        <v>0.27769113862199069</v>
      </c>
      <c r="E14" s="108">
        <v>0.5</v>
      </c>
      <c r="G14" s="110" t="s">
        <v>225</v>
      </c>
    </row>
    <row r="15" spans="2:7" ht="12" x14ac:dyDescent="0.25">
      <c r="E15" s="77"/>
    </row>
    <row r="16" spans="2:7" ht="14.4" x14ac:dyDescent="0.25">
      <c r="B16" s="130" t="s">
        <v>204</v>
      </c>
      <c r="C16" s="61" t="s">
        <v>81</v>
      </c>
      <c r="D16" s="90">
        <f>'Solvency ratios'!G5</f>
        <v>1.2336942765216048</v>
      </c>
      <c r="E16" s="85">
        <v>0.55000000000000004</v>
      </c>
      <c r="G16" s="110" t="s">
        <v>226</v>
      </c>
    </row>
    <row r="17" spans="2:7" ht="12" x14ac:dyDescent="0.25">
      <c r="B17" s="131"/>
      <c r="C17" s="3" t="s">
        <v>201</v>
      </c>
      <c r="D17" s="91">
        <f>'Solvency ratios'!G9</f>
        <v>0.5523111598077608</v>
      </c>
      <c r="E17" s="86">
        <v>0.28000000000000003</v>
      </c>
    </row>
    <row r="18" spans="2:7" ht="14.4" x14ac:dyDescent="0.25">
      <c r="B18" s="132"/>
      <c r="C18" s="47" t="s">
        <v>203</v>
      </c>
      <c r="D18" s="89">
        <f>'Solvency ratios'!G25</f>
        <v>5.9199896668719845</v>
      </c>
      <c r="E18" s="84">
        <v>1.9</v>
      </c>
      <c r="G18" s="110" t="s">
        <v>227</v>
      </c>
    </row>
    <row r="19" spans="2:7" ht="12" x14ac:dyDescent="0.25">
      <c r="B19" s="7"/>
      <c r="E19" s="77"/>
    </row>
    <row r="20" spans="2:7" ht="14.4" x14ac:dyDescent="0.25">
      <c r="B20" s="130" t="s">
        <v>196</v>
      </c>
      <c r="C20" s="61" t="s">
        <v>182</v>
      </c>
      <c r="D20" s="92">
        <f>'Profitability ratios'!G5</f>
        <v>0.4710010928676478</v>
      </c>
      <c r="E20" s="95">
        <v>0.29499999999999998</v>
      </c>
      <c r="G20" s="110" t="s">
        <v>228</v>
      </c>
    </row>
    <row r="21" spans="2:7" ht="14.4" x14ac:dyDescent="0.25">
      <c r="B21" s="131"/>
      <c r="C21" s="3" t="s">
        <v>205</v>
      </c>
      <c r="D21" s="93">
        <f>'Profitability ratios'!G9</f>
        <v>3.8917657282489054E-2</v>
      </c>
      <c r="E21" s="96">
        <v>0.13200000000000001</v>
      </c>
      <c r="G21" s="110" t="s">
        <v>229</v>
      </c>
    </row>
    <row r="22" spans="2:7" ht="14.4" x14ac:dyDescent="0.25">
      <c r="B22" s="131"/>
      <c r="C22" s="3" t="s">
        <v>80</v>
      </c>
      <c r="D22" s="93">
        <f>'Profitability ratios'!G17</f>
        <v>3.0848587842909163E-2</v>
      </c>
      <c r="E22" s="96">
        <v>9.8000000000000004E-2</v>
      </c>
      <c r="G22" s="110" t="s">
        <v>230</v>
      </c>
    </row>
    <row r="23" spans="2:7" ht="14.4" x14ac:dyDescent="0.25">
      <c r="B23" s="132"/>
      <c r="C23" s="47" t="s">
        <v>141</v>
      </c>
      <c r="D23" s="94">
        <f>'Profitability ratios'!G33</f>
        <v>0.40181512060876207</v>
      </c>
      <c r="E23" s="97">
        <v>0.15</v>
      </c>
      <c r="F23" s="72"/>
      <c r="G23" s="110" t="s">
        <v>231</v>
      </c>
    </row>
    <row r="24" spans="2:7" ht="12" x14ac:dyDescent="0.25">
      <c r="E24" s="77"/>
    </row>
    <row r="25" spans="2:7" ht="14.4" x14ac:dyDescent="0.25">
      <c r="B25" s="130" t="s">
        <v>198</v>
      </c>
      <c r="C25" s="61" t="s">
        <v>199</v>
      </c>
      <c r="D25" s="87">
        <f>'Valuation ratios'!G5</f>
        <v>8.9417824999999826</v>
      </c>
      <c r="E25" s="79">
        <v>5.83</v>
      </c>
      <c r="G25" s="110" t="s">
        <v>232</v>
      </c>
    </row>
    <row r="26" spans="2:7" ht="14.4" x14ac:dyDescent="0.25">
      <c r="B26" s="131"/>
      <c r="C26" s="3" t="s">
        <v>200</v>
      </c>
      <c r="D26" s="106">
        <f>'Valuation ratios'!G9</f>
        <v>1.4482571008632814</v>
      </c>
      <c r="E26" s="83">
        <v>5.5</v>
      </c>
      <c r="G26" s="110" t="s">
        <v>233</v>
      </c>
    </row>
    <row r="27" spans="2:7" ht="14.4" x14ac:dyDescent="0.25">
      <c r="B27" s="132"/>
      <c r="C27" s="47" t="s">
        <v>159</v>
      </c>
      <c r="D27" s="98">
        <f>D25*D26</f>
        <v>12.95</v>
      </c>
      <c r="E27" s="84">
        <f>E25*E26</f>
        <v>32.064999999999998</v>
      </c>
      <c r="G27" s="110" t="s">
        <v>234</v>
      </c>
    </row>
  </sheetData>
  <mergeCells count="5">
    <mergeCell ref="B25:B27"/>
    <mergeCell ref="B6:B10"/>
    <mergeCell ref="B12:B14"/>
    <mergeCell ref="B20:B23"/>
    <mergeCell ref="B16:B18"/>
  </mergeCells>
  <hyperlinks>
    <hyperlink ref="B6:B10" location="'Activity ratios'!A1" display="Activity Ratios" xr:uid="{4BD70523-446C-4492-A027-4A2CA25F6BF5}"/>
    <hyperlink ref="B12:B14" location="'Liquidity ratios'!A1" display="Liquidity Ratios" xr:uid="{14082D57-5DA0-47C3-A314-42DD9499C30C}"/>
    <hyperlink ref="B16:B18" location="'Solvency ratios'!A1" display="Solvency ratios" xr:uid="{028BCEED-9EF4-45C7-9620-D5A2C80461F0}"/>
    <hyperlink ref="B20:B23" location="'Profitability ratios'!A1" display="Profitability Ratios" xr:uid="{A3040E6C-2FBD-48ED-AF88-B9FBA2417AFA}"/>
    <hyperlink ref="B25:B27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2025-05-04T05:14:57Z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