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RichValueTypes.xml" ContentType="application/vnd.ms-excel.rdrichvaluetypes+xml"/>
  <Override PartName="/xl/richData/rdrichvalue.xml" ContentType="application/vnd.ms-excel.rdrichvalue+xml"/>
  <Override PartName="/xl/richData/rdrichvaluestructure.xml" ContentType="application/vnd.ms-excel.rdrichvaluestruc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E:\OpenSees_PracticeExamples\ida-spo-msa\Models\VBA_MODEL_FILES\"/>
    </mc:Choice>
  </mc:AlternateContent>
  <bookViews>
    <workbookView xWindow="0" yWindow="0" windowWidth="28800" windowHeight="12210" tabRatio="859" activeTab="9"/>
  </bookViews>
  <sheets>
    <sheet name="ReadMe" sheetId="16" r:id="rId1"/>
    <sheet name="RxnCheck" sheetId="13" r:id="rId2"/>
    <sheet name="Vb" sheetId="14" r:id="rId3"/>
    <sheet name="Detailing(OMRF&amp;SMRF)" sheetId="17" r:id="rId4"/>
    <sheet name="Joint shear check" sheetId="22" r:id="rId5"/>
    <sheet name="AxialForceEQCase" sheetId="18" r:id="rId6"/>
    <sheet name="DesignFile" sheetId="7" r:id="rId7"/>
    <sheet name="LOAD_DATA" sheetId="3" r:id="rId8"/>
    <sheet name="GeneralInput" sheetId="1" r:id="rId9"/>
    <sheet name="FDN_STIFFNESS" sheetId="10" r:id="rId10"/>
    <sheet name="ModelFile" sheetId="8" r:id="rId11"/>
    <sheet name="buildingInfo" sheetId="11" r:id="rId12"/>
    <sheet name="PropManualCals" sheetId="4" r:id="rId13"/>
  </sheets>
  <functionGroups builtInGroupCount="18"/>
  <externalReferences>
    <externalReference r:id="rId14"/>
    <externalReference r:id="rId15"/>
  </externalReferences>
  <definedNames>
    <definedName name="_xlnm._FilterDatabase" localSheetId="3" hidden="1">'Detailing(OMRF&amp;SMRF)'!$Q$83:$V$230</definedName>
    <definedName name="IS_1893_1984">#REF!,#REF!,#REF!</definedName>
    <definedName name="IS_1893_2002">#REF!,#REF!,#REF!</definedName>
    <definedName name="IS_1893_2016">#REF!,#REF!,#REF!</definedName>
    <definedName name="IS_1893_2025">#REF!,#REF!,#REF!,#REF!</definedName>
    <definedName name="IS_Code">[1]Lists!$A$2:$A$3:#REF!</definedName>
    <definedName name="_xlnm.Print_Area" localSheetId="6">DesignFile!$G$5:$AM$54</definedName>
    <definedName name="_xlnm.Print_Area" localSheetId="3">'Detailing(OMRF&amp;SMRF)'!$B$6:$AH$69</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13" i="8" l="1"/>
  <c r="F114" i="8" s="1"/>
  <c r="F115" i="8" s="1"/>
  <c r="AE49" i="17" l="1"/>
  <c r="L12" i="10"/>
  <c r="L11" i="10"/>
  <c r="K12" i="10"/>
  <c r="K11" i="10"/>
  <c r="J10" i="10"/>
  <c r="M9" i="10"/>
  <c r="U36" i="22"/>
  <c r="V36" i="22" s="1"/>
  <c r="T36" i="22"/>
  <c r="U35" i="22"/>
  <c r="V35" i="22" s="1"/>
  <c r="T35" i="22"/>
  <c r="W35" i="22" s="1"/>
  <c r="U34" i="22"/>
  <c r="V34" i="22" s="1"/>
  <c r="T34" i="22"/>
  <c r="U33" i="22"/>
  <c r="V33" i="22" s="1"/>
  <c r="T33" i="22"/>
  <c r="W33" i="22" s="1"/>
  <c r="U32" i="22"/>
  <c r="V32" i="22" s="1"/>
  <c r="T32" i="22"/>
  <c r="U31" i="22"/>
  <c r="V31" i="22" s="1"/>
  <c r="T31" i="22"/>
  <c r="W31" i="22" s="1"/>
  <c r="U30" i="22"/>
  <c r="V30" i="22" s="1"/>
  <c r="T30" i="22"/>
  <c r="K26" i="22"/>
  <c r="K27" i="22"/>
  <c r="K28" i="22"/>
  <c r="K29" i="22"/>
  <c r="K25" i="22"/>
  <c r="J26" i="22"/>
  <c r="J27" i="22"/>
  <c r="J28" i="22"/>
  <c r="T28" i="22" s="1"/>
  <c r="J29" i="22"/>
  <c r="J25" i="22"/>
  <c r="I26" i="22"/>
  <c r="I27" i="22"/>
  <c r="I28" i="22"/>
  <c r="U28" i="22" s="1"/>
  <c r="V28" i="22" s="1"/>
  <c r="I29" i="22"/>
  <c r="U29" i="22" s="1"/>
  <c r="V29" i="22" s="1"/>
  <c r="I25" i="22"/>
  <c r="U25" i="22" s="1"/>
  <c r="V25" i="22" s="1"/>
  <c r="U12" i="22"/>
  <c r="V12" i="22" s="1"/>
  <c r="U13" i="22"/>
  <c r="V13" i="22" s="1"/>
  <c r="U14" i="22"/>
  <c r="V14" i="22" s="1"/>
  <c r="U15" i="22"/>
  <c r="V15" i="22" s="1"/>
  <c r="U16" i="22"/>
  <c r="V16" i="22" s="1"/>
  <c r="U17" i="22"/>
  <c r="V17" i="22" s="1"/>
  <c r="U18" i="22"/>
  <c r="V18" i="22" s="1"/>
  <c r="T12" i="22"/>
  <c r="T13" i="22"/>
  <c r="T14" i="22"/>
  <c r="T15" i="22"/>
  <c r="T16" i="22"/>
  <c r="T17" i="22"/>
  <c r="T18" i="22"/>
  <c r="K8" i="22"/>
  <c r="K9" i="22"/>
  <c r="K10" i="22"/>
  <c r="K11" i="22"/>
  <c r="K7" i="22"/>
  <c r="J8" i="22"/>
  <c r="J9" i="22"/>
  <c r="J10" i="22"/>
  <c r="J11" i="22"/>
  <c r="J7" i="22"/>
  <c r="I8" i="22"/>
  <c r="I9" i="22"/>
  <c r="I10" i="22"/>
  <c r="I11" i="22"/>
  <c r="I7" i="22"/>
  <c r="W28" i="22" l="1"/>
  <c r="L28" i="22" s="1"/>
  <c r="M28" i="22" s="1"/>
  <c r="T25" i="22"/>
  <c r="T29" i="22"/>
  <c r="W29" i="22" s="1"/>
  <c r="L29" i="22" s="1"/>
  <c r="M29" i="22" s="1"/>
  <c r="U26" i="22"/>
  <c r="V26" i="22" s="1"/>
  <c r="W32" i="22"/>
  <c r="W25" i="22"/>
  <c r="L25" i="22" s="1"/>
  <c r="M25" i="22" s="1"/>
  <c r="U27" i="22"/>
  <c r="V27" i="22" s="1"/>
  <c r="W30" i="22"/>
  <c r="W34" i="22"/>
  <c r="U10" i="22"/>
  <c r="V10" i="22" s="1"/>
  <c r="T8" i="22"/>
  <c r="W36" i="22"/>
  <c r="T26" i="22"/>
  <c r="W26" i="22" s="1"/>
  <c r="L26" i="22" s="1"/>
  <c r="M26" i="22" s="1"/>
  <c r="U9" i="22"/>
  <c r="V9" i="22" s="1"/>
  <c r="T27" i="22"/>
  <c r="W18" i="22"/>
  <c r="U11" i="22"/>
  <c r="V11" i="22" s="1"/>
  <c r="U8" i="22"/>
  <c r="V8" i="22" s="1"/>
  <c r="W17" i="22"/>
  <c r="W16" i="22"/>
  <c r="W15" i="22"/>
  <c r="W14" i="22"/>
  <c r="W13" i="22"/>
  <c r="W12" i="22"/>
  <c r="T7" i="22"/>
  <c r="T11" i="22"/>
  <c r="T10" i="22"/>
  <c r="T9" i="22"/>
  <c r="U7" i="22"/>
  <c r="V7" i="22" s="1"/>
  <c r="W27" i="22" l="1"/>
  <c r="L27" i="22" s="1"/>
  <c r="M27" i="22" s="1"/>
  <c r="W8" i="22"/>
  <c r="L8" i="22" s="1"/>
  <c r="M8" i="22" s="1"/>
  <c r="W11" i="22"/>
  <c r="L11" i="22" s="1"/>
  <c r="M11" i="22" s="1"/>
  <c r="W9" i="22"/>
  <c r="L9" i="22" s="1"/>
  <c r="M9" i="22" s="1"/>
  <c r="W10" i="22"/>
  <c r="L10" i="22" s="1"/>
  <c r="M10" i="22" s="1"/>
  <c r="W7" i="22"/>
  <c r="L7" i="22" s="1"/>
  <c r="M7" i="22" s="1"/>
  <c r="B2" i="22"/>
  <c r="B1" i="22"/>
  <c r="P27" i="22" l="1"/>
  <c r="P25" i="22"/>
  <c r="P28" i="22"/>
  <c r="P26" i="22"/>
  <c r="P29" i="22"/>
  <c r="P8" i="22"/>
  <c r="P9" i="22"/>
  <c r="P10" i="22"/>
  <c r="P11" i="22"/>
  <c r="P7" i="22"/>
  <c r="F27" i="13" l="1"/>
  <c r="E14" i="17" l="1"/>
  <c r="E15" i="17"/>
  <c r="E16" i="17"/>
  <c r="E17" i="17"/>
  <c r="E18" i="17"/>
  <c r="E30" i="17"/>
  <c r="E31" i="17"/>
  <c r="E32" i="17"/>
  <c r="E33" i="17"/>
  <c r="E34" i="17"/>
  <c r="E49" i="17"/>
  <c r="E50" i="17"/>
  <c r="E51" i="17"/>
  <c r="E52" i="17"/>
  <c r="E53" i="17"/>
  <c r="E65" i="17"/>
  <c r="E66" i="17"/>
  <c r="E67" i="17"/>
  <c r="E68" i="17"/>
  <c r="E69" i="17"/>
  <c r="B48" i="14"/>
  <c r="B42" i="14"/>
  <c r="B54" i="14" s="1"/>
  <c r="D18" i="13"/>
  <c r="B49" i="14" s="1"/>
  <c r="D2" i="13"/>
  <c r="B37" i="14" l="1"/>
  <c r="B36" i="14"/>
  <c r="B44" i="14" l="1"/>
  <c r="B43" i="14"/>
  <c r="B5" i="14"/>
  <c r="B38" i="14"/>
  <c r="B3" i="14"/>
  <c r="B11" i="14"/>
  <c r="S8" i="13"/>
  <c r="Q8" i="13"/>
  <c r="O8" i="13"/>
  <c r="K1" i="8"/>
  <c r="S35" i="13"/>
  <c r="O35" i="13"/>
  <c r="J12" i="4"/>
  <c r="J35" i="13" l="1"/>
  <c r="J26" i="13"/>
  <c r="B40" i="14"/>
  <c r="S26" i="13"/>
  <c r="O26" i="13"/>
  <c r="Q69" i="17" l="1"/>
  <c r="Q68" i="17"/>
  <c r="Q67" i="17"/>
  <c r="Q66" i="17"/>
  <c r="Q65" i="17"/>
  <c r="Q60" i="17"/>
  <c r="R60" i="17" s="1"/>
  <c r="Q59" i="17"/>
  <c r="R59" i="17" s="1"/>
  <c r="Q58" i="17"/>
  <c r="R58" i="17" s="1"/>
  <c r="Q57" i="17"/>
  <c r="R57" i="17" s="1"/>
  <c r="Q56" i="17"/>
  <c r="R56" i="17" s="1"/>
  <c r="Q53" i="17"/>
  <c r="Q52" i="17"/>
  <c r="R52" i="17" s="1"/>
  <c r="Q51" i="17"/>
  <c r="R51" i="17" s="1"/>
  <c r="Q50" i="17"/>
  <c r="R50" i="17" s="1"/>
  <c r="Q49" i="17"/>
  <c r="R49" i="17" s="1"/>
  <c r="R65" i="17" l="1"/>
  <c r="E7" i="22"/>
  <c r="G7" i="22" s="1"/>
  <c r="R66" i="17"/>
  <c r="E8" i="22"/>
  <c r="G8" i="22" s="1"/>
  <c r="R67" i="17"/>
  <c r="E9" i="22"/>
  <c r="G9" i="22" s="1"/>
  <c r="R68" i="17"/>
  <c r="E10" i="22"/>
  <c r="G10" i="22" s="1"/>
  <c r="R69" i="17"/>
  <c r="E11" i="22"/>
  <c r="G11" i="22" s="1"/>
  <c r="R53" i="17"/>
  <c r="I80" i="11"/>
  <c r="H80" i="11"/>
  <c r="I79" i="11"/>
  <c r="H79" i="11"/>
  <c r="I78" i="11"/>
  <c r="H78" i="11"/>
  <c r="I77" i="11"/>
  <c r="H77" i="11"/>
  <c r="I76" i="11"/>
  <c r="H76" i="11"/>
  <c r="I75" i="11"/>
  <c r="H75" i="11"/>
  <c r="I73" i="11"/>
  <c r="H73" i="11"/>
  <c r="I72" i="11"/>
  <c r="H72" i="11"/>
  <c r="I71" i="11"/>
  <c r="H71" i="11"/>
  <c r="I70" i="11"/>
  <c r="H70" i="11"/>
  <c r="I69" i="11"/>
  <c r="H69" i="11"/>
  <c r="I68" i="11"/>
  <c r="H68" i="11"/>
  <c r="I66" i="11"/>
  <c r="H66" i="11"/>
  <c r="I65" i="11"/>
  <c r="H65" i="11"/>
  <c r="I64" i="11"/>
  <c r="H64" i="11"/>
  <c r="I63" i="11"/>
  <c r="H63" i="11"/>
  <c r="I62" i="11"/>
  <c r="H62" i="11"/>
  <c r="I61" i="11"/>
  <c r="H61" i="11"/>
  <c r="I59" i="11"/>
  <c r="H59" i="11"/>
  <c r="I58" i="11"/>
  <c r="H58" i="11"/>
  <c r="I57" i="11"/>
  <c r="H57" i="11"/>
  <c r="I56" i="11"/>
  <c r="H56" i="11"/>
  <c r="I55" i="11"/>
  <c r="H55" i="11"/>
  <c r="I54" i="11"/>
  <c r="H54" i="11"/>
  <c r="I52" i="11"/>
  <c r="H52" i="11"/>
  <c r="I51" i="11"/>
  <c r="H51" i="11"/>
  <c r="I50" i="11"/>
  <c r="H50" i="11"/>
  <c r="I49" i="11"/>
  <c r="H49" i="11"/>
  <c r="I48" i="11"/>
  <c r="H48" i="11"/>
  <c r="I47" i="11"/>
  <c r="H47" i="11"/>
  <c r="I44" i="11"/>
  <c r="H44" i="11"/>
  <c r="I43" i="11"/>
  <c r="H43" i="11"/>
  <c r="I42" i="11"/>
  <c r="H42" i="11"/>
  <c r="I41" i="11"/>
  <c r="H41" i="11"/>
  <c r="I39" i="11"/>
  <c r="H39" i="11"/>
  <c r="I38" i="11"/>
  <c r="H38" i="11"/>
  <c r="I37" i="11"/>
  <c r="H37" i="11"/>
  <c r="I36" i="11"/>
  <c r="H36" i="11"/>
  <c r="I34" i="11"/>
  <c r="H34" i="11"/>
  <c r="I33" i="11"/>
  <c r="H33" i="11"/>
  <c r="I32" i="11"/>
  <c r="H32" i="11"/>
  <c r="I31" i="11"/>
  <c r="H31" i="11"/>
  <c r="I29" i="11"/>
  <c r="H29" i="11"/>
  <c r="I28" i="11"/>
  <c r="H28" i="11"/>
  <c r="I27" i="11"/>
  <c r="H27" i="11"/>
  <c r="I26" i="11"/>
  <c r="H26" i="11"/>
  <c r="I24" i="11"/>
  <c r="H24" i="11"/>
  <c r="I23" i="11"/>
  <c r="H23" i="11"/>
  <c r="I22" i="11"/>
  <c r="H22" i="11"/>
  <c r="I21" i="11"/>
  <c r="H21" i="11"/>
  <c r="A76" i="11" l="1"/>
  <c r="A49" i="11"/>
  <c r="A63" i="11"/>
  <c r="A77" i="11"/>
  <c r="A56" i="11"/>
  <c r="A48" i="11"/>
  <c r="A52" i="11"/>
  <c r="A62" i="11"/>
  <c r="A80" i="11"/>
  <c r="A55" i="11"/>
  <c r="A64" i="11"/>
  <c r="A69" i="11"/>
  <c r="A78" i="11"/>
  <c r="A58" i="11"/>
  <c r="A73" i="11"/>
  <c r="A57" i="11"/>
  <c r="A70" i="11"/>
  <c r="A79" i="11"/>
  <c r="A68" i="11"/>
  <c r="A51" i="11"/>
  <c r="A54" i="11"/>
  <c r="A66" i="11"/>
  <c r="A72" i="11"/>
  <c r="A50" i="11"/>
  <c r="A65" i="11"/>
  <c r="A59" i="11"/>
  <c r="A71" i="11"/>
  <c r="A75" i="11"/>
  <c r="A61" i="11"/>
  <c r="X51" i="17"/>
  <c r="A47" i="11" l="1"/>
  <c r="H11" i="13"/>
  <c r="H12" i="13" l="1"/>
  <c r="G11" i="13"/>
  <c r="B14" i="17"/>
  <c r="B30" i="17" s="1"/>
  <c r="B49" i="17" s="1"/>
  <c r="B65" i="17" s="1"/>
  <c r="A7" i="22" l="1"/>
  <c r="A25" i="22"/>
  <c r="H13" i="13"/>
  <c r="G12" i="13"/>
  <c r="AI16" i="7" s="1"/>
  <c r="B15" i="17"/>
  <c r="B16" i="17" s="1"/>
  <c r="AI7" i="7"/>
  <c r="B31" i="17" l="1"/>
  <c r="B50" i="17" s="1"/>
  <c r="B66" i="17" s="1"/>
  <c r="H14" i="13"/>
  <c r="G13" i="13"/>
  <c r="AI25" i="7" s="1"/>
  <c r="B17" i="17"/>
  <c r="B32" i="17"/>
  <c r="B51" i="17" s="1"/>
  <c r="B67" i="17" s="1"/>
  <c r="A9" i="22" l="1"/>
  <c r="A27" i="22"/>
  <c r="A8" i="22"/>
  <c r="A26" i="22"/>
  <c r="H15" i="13"/>
  <c r="G14" i="13"/>
  <c r="AI34" i="7" s="1"/>
  <c r="B18" i="17"/>
  <c r="B33" i="17"/>
  <c r="B52" i="17" s="1"/>
  <c r="B68" i="17" s="1"/>
  <c r="A10" i="22" l="1"/>
  <c r="A28" i="22"/>
  <c r="H16" i="13"/>
  <c r="G15" i="13"/>
  <c r="AI43" i="7" s="1"/>
  <c r="B19" i="17"/>
  <c r="B34" i="17"/>
  <c r="B53" i="17" s="1"/>
  <c r="B69" i="17" s="1"/>
  <c r="A29" i="22" l="1"/>
  <c r="A11" i="22"/>
  <c r="H17" i="13"/>
  <c r="G16" i="13"/>
  <c r="B20" i="17"/>
  <c r="B35" i="17"/>
  <c r="B54" i="17" s="1"/>
  <c r="B70" i="17" s="1"/>
  <c r="L7" i="3"/>
  <c r="N7" i="3"/>
  <c r="P7" i="3"/>
  <c r="A12" i="22" l="1"/>
  <c r="A30" i="22"/>
  <c r="H18" i="13"/>
  <c r="G17" i="13"/>
  <c r="B21" i="17"/>
  <c r="B36" i="17"/>
  <c r="B55" i="17" s="1"/>
  <c r="B71" i="17" s="1"/>
  <c r="T7" i="3"/>
  <c r="R7" i="3"/>
  <c r="R51" i="7"/>
  <c r="I51" i="7"/>
  <c r="AJ51" i="7" s="1"/>
  <c r="S49" i="7"/>
  <c r="AB49" i="7" s="1"/>
  <c r="R49" i="7"/>
  <c r="T48" i="7" s="1"/>
  <c r="J49" i="7"/>
  <c r="AK49" i="7" s="1"/>
  <c r="I49" i="7"/>
  <c r="AJ49" i="7" s="1"/>
  <c r="AL48" i="7" s="1"/>
  <c r="S48" i="7"/>
  <c r="R48" i="7"/>
  <c r="AA48" i="7" s="1"/>
  <c r="J48" i="7"/>
  <c r="I48" i="7"/>
  <c r="AJ48" i="7" s="1"/>
  <c r="U46" i="7"/>
  <c r="T46" i="7"/>
  <c r="L46" i="7"/>
  <c r="AD46" i="7" s="1"/>
  <c r="K46" i="7"/>
  <c r="W45" i="7"/>
  <c r="V45" i="7"/>
  <c r="U45" i="7" s="1"/>
  <c r="T45" i="7"/>
  <c r="S45" i="7"/>
  <c r="N45" i="7"/>
  <c r="AF45" i="7" s="1"/>
  <c r="M45" i="7"/>
  <c r="AE45" i="7" s="1"/>
  <c r="K45" i="7"/>
  <c r="AC45" i="7" s="1"/>
  <c r="J45" i="7"/>
  <c r="W44" i="7"/>
  <c r="V44" i="7"/>
  <c r="U44" i="7" s="1"/>
  <c r="T44" i="7"/>
  <c r="S44" i="7"/>
  <c r="N44" i="7"/>
  <c r="AF44" i="7" s="1"/>
  <c r="M44" i="7"/>
  <c r="AE44" i="7" s="1"/>
  <c r="K44" i="7"/>
  <c r="AC44" i="7" s="1"/>
  <c r="J44" i="7"/>
  <c r="W43" i="7"/>
  <c r="N43" i="7"/>
  <c r="AF43" i="7" s="1"/>
  <c r="R42" i="7"/>
  <c r="I42" i="7"/>
  <c r="AJ42" i="7" s="1"/>
  <c r="S40" i="7"/>
  <c r="AB40" i="7" s="1"/>
  <c r="R40" i="7"/>
  <c r="T39" i="7" s="1"/>
  <c r="J40" i="7"/>
  <c r="AK40" i="7" s="1"/>
  <c r="I40" i="7"/>
  <c r="AJ40" i="7" s="1"/>
  <c r="AL39" i="7" s="1"/>
  <c r="S39" i="7"/>
  <c r="R39" i="7"/>
  <c r="AA39" i="7" s="1"/>
  <c r="J39" i="7"/>
  <c r="I39" i="7"/>
  <c r="U37" i="7"/>
  <c r="T37" i="7"/>
  <c r="L37" i="7"/>
  <c r="AD37" i="7" s="1"/>
  <c r="K37" i="7"/>
  <c r="W36" i="7"/>
  <c r="V36" i="7"/>
  <c r="U36" i="7" s="1"/>
  <c r="T36" i="7"/>
  <c r="S36" i="7"/>
  <c r="N36" i="7"/>
  <c r="AF36" i="7" s="1"/>
  <c r="M36" i="7"/>
  <c r="L36" i="7" s="1"/>
  <c r="AD36" i="7" s="1"/>
  <c r="K36" i="7"/>
  <c r="AC36" i="7" s="1"/>
  <c r="J36" i="7"/>
  <c r="AB36" i="7" s="1"/>
  <c r="W35" i="7"/>
  <c r="V35" i="7"/>
  <c r="U35" i="7" s="1"/>
  <c r="T35" i="7"/>
  <c r="S35" i="7"/>
  <c r="N35" i="7"/>
  <c r="AF35" i="7" s="1"/>
  <c r="M35" i="7"/>
  <c r="AE35" i="7" s="1"/>
  <c r="K35" i="7"/>
  <c r="AC35" i="7" s="1"/>
  <c r="J35" i="7"/>
  <c r="W34" i="7"/>
  <c r="N34" i="7"/>
  <c r="AF34" i="7" s="1"/>
  <c r="AE76" i="17"/>
  <c r="AF76" i="17" s="1"/>
  <c r="AE75" i="17"/>
  <c r="AF75" i="17" s="1"/>
  <c r="AE74" i="17"/>
  <c r="AF74" i="17" s="1"/>
  <c r="AE73" i="17"/>
  <c r="AF73" i="17" s="1"/>
  <c r="AE72" i="17"/>
  <c r="AF72" i="17" s="1"/>
  <c r="AE71" i="17"/>
  <c r="AF71" i="17" s="1"/>
  <c r="AE70" i="17"/>
  <c r="AF70" i="17" s="1"/>
  <c r="AE69" i="17"/>
  <c r="AF69" i="17" s="1"/>
  <c r="AE68" i="17"/>
  <c r="AF68" i="17" s="1"/>
  <c r="AE67" i="17"/>
  <c r="AF67" i="17" s="1"/>
  <c r="AE66" i="17"/>
  <c r="AF66" i="17" s="1"/>
  <c r="AE65" i="17"/>
  <c r="AF65" i="17" s="1"/>
  <c r="AE60" i="17"/>
  <c r="AF60" i="17" s="1"/>
  <c r="AE59" i="17"/>
  <c r="AF59" i="17" s="1"/>
  <c r="AE58" i="17"/>
  <c r="AF58" i="17" s="1"/>
  <c r="AE57" i="17"/>
  <c r="AF57" i="17" s="1"/>
  <c r="AE56" i="17"/>
  <c r="AF56" i="17" s="1"/>
  <c r="AE55" i="17"/>
  <c r="AF55" i="17" s="1"/>
  <c r="AE54" i="17"/>
  <c r="AF54" i="17" s="1"/>
  <c r="AE53" i="17"/>
  <c r="AF53" i="17" s="1"/>
  <c r="AE52" i="17"/>
  <c r="AF52" i="17" s="1"/>
  <c r="AE51" i="17"/>
  <c r="AF51" i="17" s="1"/>
  <c r="AE50" i="17"/>
  <c r="AF50" i="17" s="1"/>
  <c r="AF49" i="17"/>
  <c r="X75" i="17"/>
  <c r="Y75" i="17" s="1"/>
  <c r="Q75" i="17"/>
  <c r="R75" i="17" s="1"/>
  <c r="X74" i="17"/>
  <c r="Y74" i="17" s="1"/>
  <c r="Q74" i="17"/>
  <c r="R74" i="17" s="1"/>
  <c r="X73" i="17"/>
  <c r="Y73" i="17" s="1"/>
  <c r="Q73" i="17"/>
  <c r="R73" i="17" s="1"/>
  <c r="X72" i="17"/>
  <c r="Y72" i="17" s="1"/>
  <c r="Q72" i="17"/>
  <c r="R72" i="17" s="1"/>
  <c r="X71" i="17"/>
  <c r="Y71" i="17" s="1"/>
  <c r="Q71" i="17"/>
  <c r="R71" i="17" s="1"/>
  <c r="X70" i="17"/>
  <c r="Y70" i="17" s="1"/>
  <c r="Q70" i="17"/>
  <c r="R70" i="17" s="1"/>
  <c r="X69" i="17"/>
  <c r="X68" i="17"/>
  <c r="X67" i="17"/>
  <c r="X66" i="17"/>
  <c r="X65" i="17"/>
  <c r="X59" i="17"/>
  <c r="Y59" i="17" s="1"/>
  <c r="X58" i="17"/>
  <c r="Y58" i="17" s="1"/>
  <c r="X57" i="17"/>
  <c r="Y57" i="17" s="1"/>
  <c r="X56" i="17"/>
  <c r="Y56" i="17" s="1"/>
  <c r="X55" i="17"/>
  <c r="Y55" i="17" s="1"/>
  <c r="X54" i="17"/>
  <c r="Y54" i="17" s="1"/>
  <c r="X53" i="17"/>
  <c r="X52" i="17"/>
  <c r="Y52" i="17" s="1"/>
  <c r="Y51" i="17"/>
  <c r="X50" i="17"/>
  <c r="Y50" i="17" s="1"/>
  <c r="X49" i="17"/>
  <c r="Y49" i="17" s="1"/>
  <c r="U48" i="7" l="1"/>
  <c r="U39" i="7"/>
  <c r="L48" i="7"/>
  <c r="L49" i="7" s="1"/>
  <c r="A31" i="22"/>
  <c r="A13" i="22"/>
  <c r="Y69" i="17"/>
  <c r="F11" i="22"/>
  <c r="H11" i="22" s="1"/>
  <c r="N11" i="22" s="1"/>
  <c r="O11" i="22" s="1"/>
  <c r="Q11" i="22" s="1"/>
  <c r="F29" i="22"/>
  <c r="H29" i="22" s="1"/>
  <c r="N29" i="22" s="1"/>
  <c r="O29" i="22" s="1"/>
  <c r="Q29" i="22" s="1"/>
  <c r="Y67" i="17"/>
  <c r="F27" i="22"/>
  <c r="H27" i="22" s="1"/>
  <c r="N27" i="22" s="1"/>
  <c r="O27" i="22" s="1"/>
  <c r="Q27" i="22" s="1"/>
  <c r="F9" i="22"/>
  <c r="H9" i="22" s="1"/>
  <c r="N9" i="22" s="1"/>
  <c r="O9" i="22" s="1"/>
  <c r="Q9" i="22" s="1"/>
  <c r="Y66" i="17"/>
  <c r="F8" i="22"/>
  <c r="H8" i="22" s="1"/>
  <c r="N8" i="22" s="1"/>
  <c r="O8" i="22" s="1"/>
  <c r="Q8" i="22" s="1"/>
  <c r="F26" i="22"/>
  <c r="H26" i="22" s="1"/>
  <c r="N26" i="22" s="1"/>
  <c r="O26" i="22" s="1"/>
  <c r="Q26" i="22" s="1"/>
  <c r="Y68" i="17"/>
  <c r="F28" i="22"/>
  <c r="H28" i="22" s="1"/>
  <c r="N28" i="22" s="1"/>
  <c r="O28" i="22" s="1"/>
  <c r="Q28" i="22" s="1"/>
  <c r="F10" i="22"/>
  <c r="H10" i="22" s="1"/>
  <c r="N10" i="22" s="1"/>
  <c r="O10" i="22" s="1"/>
  <c r="Q10" i="22" s="1"/>
  <c r="Y65" i="17"/>
  <c r="F7" i="22"/>
  <c r="H7" i="22" s="1"/>
  <c r="N7" i="22" s="1"/>
  <c r="O7" i="22" s="1"/>
  <c r="Q7" i="22" s="1"/>
  <c r="F25" i="22"/>
  <c r="H25" i="22" s="1"/>
  <c r="N25" i="22" s="1"/>
  <c r="O25" i="22" s="1"/>
  <c r="Q25" i="22" s="1"/>
  <c r="Y53" i="17"/>
  <c r="AK48" i="7"/>
  <c r="AK39" i="7"/>
  <c r="L39" i="7"/>
  <c r="L40" i="7" s="1"/>
  <c r="H19" i="13"/>
  <c r="G18" i="13"/>
  <c r="L44" i="7"/>
  <c r="AD44" i="7" s="1"/>
  <c r="B22" i="17"/>
  <c r="B37" i="17"/>
  <c r="B56" i="17" s="1"/>
  <c r="B72" i="17" s="1"/>
  <c r="AE36" i="7"/>
  <c r="L35" i="7"/>
  <c r="AD35" i="7" s="1"/>
  <c r="AC37" i="7"/>
  <c r="L45" i="7"/>
  <c r="AD45" i="7" s="1"/>
  <c r="AA49" i="7"/>
  <c r="AC48" i="7" s="1"/>
  <c r="AA40" i="7"/>
  <c r="AC39" i="7" s="1"/>
  <c r="AC46" i="7"/>
  <c r="AJ39" i="7"/>
  <c r="AB44" i="7"/>
  <c r="K48" i="7"/>
  <c r="AB48" i="7"/>
  <c r="AA51" i="7"/>
  <c r="AB45" i="7"/>
  <c r="AB35" i="7"/>
  <c r="K39" i="7"/>
  <c r="AB39" i="7"/>
  <c r="AA42" i="7"/>
  <c r="A32" i="22" l="1"/>
  <c r="A14" i="22"/>
  <c r="H20" i="13"/>
  <c r="G19" i="13"/>
  <c r="B23" i="17"/>
  <c r="B38" i="17"/>
  <c r="B57" i="17" s="1"/>
  <c r="B73" i="17" s="1"/>
  <c r="U49" i="7"/>
  <c r="U40" i="7"/>
  <c r="A15" i="22" l="1"/>
  <c r="A33" i="22"/>
  <c r="H21" i="13"/>
  <c r="G20" i="13"/>
  <c r="B39" i="17"/>
  <c r="B58" i="17" s="1"/>
  <c r="B74" i="17" s="1"/>
  <c r="B24" i="17"/>
  <c r="J7" i="13"/>
  <c r="A34" i="22" l="1"/>
  <c r="A16" i="22"/>
  <c r="H22" i="13"/>
  <c r="G21" i="13"/>
  <c r="B40" i="17"/>
  <c r="B59" i="17" s="1"/>
  <c r="B75" i="17" s="1"/>
  <c r="B25" i="17"/>
  <c r="B41" i="17" s="1"/>
  <c r="B60" i="17" s="1"/>
  <c r="B76" i="17" s="1"/>
  <c r="S5" i="7"/>
  <c r="A18" i="22" l="1"/>
  <c r="A36" i="22"/>
  <c r="A17" i="22"/>
  <c r="A35" i="22"/>
  <c r="H23" i="13"/>
  <c r="G23" i="13" s="1"/>
  <c r="AI52" i="7" s="1"/>
  <c r="G22" i="13"/>
  <c r="AK22" i="13"/>
  <c r="AG22" i="13"/>
  <c r="AF22" i="13"/>
  <c r="AE22" i="13"/>
  <c r="AD22" i="13"/>
  <c r="AC22" i="13"/>
  <c r="AB22" i="13"/>
  <c r="AK21" i="13"/>
  <c r="AG21" i="13"/>
  <c r="AF21" i="13"/>
  <c r="AE21" i="13"/>
  <c r="AD21" i="13"/>
  <c r="AC21" i="13"/>
  <c r="AB21" i="13"/>
  <c r="AK20" i="13"/>
  <c r="AG20" i="13"/>
  <c r="AF20" i="13"/>
  <c r="AE20" i="13"/>
  <c r="AD20" i="13"/>
  <c r="AC20" i="13"/>
  <c r="AB20" i="13"/>
  <c r="AK19" i="13"/>
  <c r="AG19" i="13"/>
  <c r="AF19" i="13"/>
  <c r="AE19" i="13"/>
  <c r="AD19" i="13"/>
  <c r="AC19" i="13"/>
  <c r="AB19" i="13"/>
  <c r="AK18" i="13"/>
  <c r="AG18" i="13"/>
  <c r="AF18" i="13"/>
  <c r="AE18" i="13"/>
  <c r="AD18" i="13"/>
  <c r="AC18" i="13"/>
  <c r="AB18" i="13"/>
  <c r="AK17" i="13"/>
  <c r="AG17" i="13"/>
  <c r="AF17" i="13"/>
  <c r="AE17" i="13"/>
  <c r="AD17" i="13"/>
  <c r="AC17" i="13"/>
  <c r="AB17" i="13"/>
  <c r="AK16" i="13"/>
  <c r="AG16" i="13"/>
  <c r="AF16" i="13"/>
  <c r="AE16" i="13"/>
  <c r="AD16" i="13"/>
  <c r="AC16" i="13"/>
  <c r="AB16" i="13"/>
  <c r="AK15" i="13"/>
  <c r="AG15" i="13"/>
  <c r="AF15" i="13"/>
  <c r="AE15" i="13"/>
  <c r="AD15" i="13"/>
  <c r="AC15" i="13"/>
  <c r="AB15" i="13"/>
  <c r="AK14" i="13"/>
  <c r="AG14" i="13"/>
  <c r="AF14" i="13"/>
  <c r="AE14" i="13"/>
  <c r="AD14" i="13"/>
  <c r="AC14" i="13"/>
  <c r="AB14" i="13"/>
  <c r="AK13" i="13"/>
  <c r="AG13" i="13"/>
  <c r="AF13" i="13"/>
  <c r="AE13" i="13"/>
  <c r="AD13" i="13"/>
  <c r="AC13" i="13"/>
  <c r="AB13" i="13"/>
  <c r="AK12" i="13"/>
  <c r="AG12" i="13"/>
  <c r="AF12" i="13"/>
  <c r="AE12" i="13"/>
  <c r="AD12" i="13"/>
  <c r="AC12" i="13"/>
  <c r="AB12" i="13"/>
  <c r="AK11" i="13"/>
  <c r="AG11" i="13"/>
  <c r="AF11" i="13"/>
  <c r="AE11" i="13"/>
  <c r="AD11" i="13"/>
  <c r="AC11" i="13"/>
  <c r="AB11" i="13"/>
  <c r="AJ8" i="13"/>
  <c r="AJ9" i="13" s="1"/>
  <c r="AI21" i="13" l="1"/>
  <c r="AJ21" i="13" s="1"/>
  <c r="AI19" i="13"/>
  <c r="AJ19" i="13" s="1"/>
  <c r="AI22" i="13"/>
  <c r="AJ22" i="13" s="1"/>
  <c r="AI11" i="13"/>
  <c r="AJ11" i="13" s="1"/>
  <c r="AI12" i="13"/>
  <c r="AJ12" i="13" s="1"/>
  <c r="AI13" i="13"/>
  <c r="AJ13" i="13" s="1"/>
  <c r="AI14" i="13"/>
  <c r="AJ14" i="13" s="1"/>
  <c r="AI15" i="13"/>
  <c r="AJ15" i="13" s="1"/>
  <c r="AI17" i="13"/>
  <c r="AJ17" i="13" s="1"/>
  <c r="AI20" i="13"/>
  <c r="AJ20" i="13" s="1"/>
  <c r="AI16" i="13"/>
  <c r="AJ16" i="13" s="1"/>
  <c r="AI18" i="13"/>
  <c r="AJ18" i="13" s="1"/>
  <c r="B1" i="14"/>
  <c r="AJ23" i="13" l="1"/>
  <c r="AL8" i="17" l="1"/>
  <c r="AL9" i="17" l="1"/>
  <c r="AL28" i="17" s="1"/>
  <c r="E18" i="3"/>
  <c r="C18" i="3"/>
  <c r="AG18" i="3" s="1"/>
  <c r="D18" i="3"/>
  <c r="AH18" i="3" s="1"/>
  <c r="D7" i="3"/>
  <c r="Z33" i="17"/>
  <c r="AL13" i="17" l="1"/>
  <c r="R18" i="3"/>
  <c r="S18" i="3"/>
  <c r="C14" i="17"/>
  <c r="W14" i="17" s="1"/>
  <c r="D14" i="17"/>
  <c r="X14" i="17" s="1"/>
  <c r="C13" i="1" l="1"/>
  <c r="C11" i="1"/>
  <c r="D5" i="13"/>
  <c r="D3" i="13"/>
  <c r="C4" i="13" s="1"/>
  <c r="C12" i="1" s="1"/>
  <c r="D4" i="13" l="1"/>
  <c r="D12" i="1" s="1"/>
  <c r="M35" i="14" l="1"/>
  <c r="O2" i="14"/>
  <c r="M18" i="14"/>
  <c r="L8" i="17" l="1"/>
  <c r="AE41" i="17" l="1"/>
  <c r="AD41" i="17"/>
  <c r="Z41" i="17"/>
  <c r="U41" i="17"/>
  <c r="V41" i="17" s="1"/>
  <c r="AE40" i="17"/>
  <c r="AD40" i="17"/>
  <c r="Z40" i="17"/>
  <c r="U40" i="17"/>
  <c r="V40" i="17" s="1"/>
  <c r="AE39" i="17"/>
  <c r="AD39" i="17"/>
  <c r="Z39" i="17"/>
  <c r="U39" i="17"/>
  <c r="V39" i="17" s="1"/>
  <c r="AE38" i="17"/>
  <c r="AD38" i="17"/>
  <c r="Z38" i="17"/>
  <c r="U38" i="17"/>
  <c r="AE37" i="17"/>
  <c r="AD37" i="17"/>
  <c r="Z37" i="17"/>
  <c r="U37" i="17"/>
  <c r="V37" i="17" s="1"/>
  <c r="AE36" i="17"/>
  <c r="AD36" i="17"/>
  <c r="Z36" i="17"/>
  <c r="U36" i="17"/>
  <c r="V36" i="17" s="1"/>
  <c r="AE35" i="17"/>
  <c r="AD35" i="17"/>
  <c r="Z35" i="17"/>
  <c r="U35" i="17"/>
  <c r="V35" i="17" s="1"/>
  <c r="AE34" i="17"/>
  <c r="Q50" i="7" s="1"/>
  <c r="Z50" i="7" s="1"/>
  <c r="AD34" i="17"/>
  <c r="R50" i="7" s="1"/>
  <c r="AA50" i="7" s="1"/>
  <c r="Z34" i="17"/>
  <c r="U34" i="17"/>
  <c r="V34" i="17" s="1"/>
  <c r="AE33" i="17"/>
  <c r="Q41" i="7" s="1"/>
  <c r="Z41" i="7" s="1"/>
  <c r="AD33" i="17"/>
  <c r="U33" i="17"/>
  <c r="V33" i="17" s="1"/>
  <c r="AE32" i="17"/>
  <c r="AD32" i="17"/>
  <c r="Z32" i="17"/>
  <c r="U32" i="17"/>
  <c r="AE31" i="17"/>
  <c r="AD31" i="17"/>
  <c r="Z31" i="17"/>
  <c r="U31" i="17"/>
  <c r="V31" i="17" s="1"/>
  <c r="AE30" i="17"/>
  <c r="Z30" i="17"/>
  <c r="U30" i="17"/>
  <c r="V30" i="17" s="1"/>
  <c r="AE14" i="17"/>
  <c r="AE15" i="17"/>
  <c r="AE16" i="17"/>
  <c r="AE17" i="17"/>
  <c r="H41" i="7" s="1"/>
  <c r="AI41" i="7" s="1"/>
  <c r="AE18" i="17"/>
  <c r="H50" i="7" s="1"/>
  <c r="AI50" i="7" s="1"/>
  <c r="AE19" i="17"/>
  <c r="AE20" i="17"/>
  <c r="AE21" i="17"/>
  <c r="AE22" i="17"/>
  <c r="AE23" i="17"/>
  <c r="AE24" i="17"/>
  <c r="AE25" i="17"/>
  <c r="AD20" i="17"/>
  <c r="AD21" i="17"/>
  <c r="AD22" i="17"/>
  <c r="AD23" i="17"/>
  <c r="AD24" i="17"/>
  <c r="AD25" i="17"/>
  <c r="AD14" i="17"/>
  <c r="AD15" i="17"/>
  <c r="AD16" i="17"/>
  <c r="AD17" i="17"/>
  <c r="I41" i="7" s="1"/>
  <c r="AD18" i="17"/>
  <c r="I50" i="7" s="1"/>
  <c r="AD19" i="17"/>
  <c r="Z25" i="17"/>
  <c r="Z24" i="17"/>
  <c r="Z23" i="17"/>
  <c r="Z22" i="17"/>
  <c r="Z21" i="17"/>
  <c r="I8" i="17"/>
  <c r="Z5" i="7" s="1"/>
  <c r="AF33" i="17" l="1"/>
  <c r="AG33" i="17" s="1"/>
  <c r="R41" i="7"/>
  <c r="AA41" i="7" s="1"/>
  <c r="AF35" i="17"/>
  <c r="AG35" i="17" s="1"/>
  <c r="AF39" i="17"/>
  <c r="AG39" i="17" s="1"/>
  <c r="AF41" i="17"/>
  <c r="AG41" i="17" s="1"/>
  <c r="AJ50" i="7"/>
  <c r="AJ41" i="7"/>
  <c r="AF30" i="17"/>
  <c r="AG30" i="17" s="1"/>
  <c r="AF32" i="17"/>
  <c r="AG32" i="17" s="1"/>
  <c r="AF40" i="17"/>
  <c r="AG40" i="17" s="1"/>
  <c r="AF36" i="17"/>
  <c r="AG36" i="17" s="1"/>
  <c r="AF38" i="17"/>
  <c r="AG38" i="17" s="1"/>
  <c r="V32" i="17"/>
  <c r="AF34" i="17"/>
  <c r="AG34" i="17" s="1"/>
  <c r="AF31" i="17"/>
  <c r="AG31" i="17" s="1"/>
  <c r="AF37" i="17"/>
  <c r="AG37" i="17" s="1"/>
  <c r="V38" i="17"/>
  <c r="J8" i="17" l="1"/>
  <c r="Y11" i="17" l="1"/>
  <c r="AG46" i="17"/>
  <c r="D11" i="1"/>
  <c r="U7" i="17" s="1"/>
  <c r="T11" i="1" l="1"/>
  <c r="U11" i="1"/>
  <c r="V11" i="1"/>
  <c r="W11" i="1"/>
  <c r="X11" i="1"/>
  <c r="Y11" i="1"/>
  <c r="Z11" i="1"/>
  <c r="AA11" i="1"/>
  <c r="AB11" i="1"/>
  <c r="AC11" i="1"/>
  <c r="A14" i="17" l="1"/>
  <c r="AA14" i="17"/>
  <c r="U14" i="17"/>
  <c r="Z14" i="17"/>
  <c r="AF14" i="17"/>
  <c r="AG14" i="17" s="1"/>
  <c r="AH14" i="17" l="1"/>
  <c r="K14" i="17"/>
  <c r="J14" i="17"/>
  <c r="AB14" i="17"/>
  <c r="V14" i="17"/>
  <c r="AJ14" i="17"/>
  <c r="A15" i="17"/>
  <c r="C15" i="17"/>
  <c r="W15" i="17" s="1"/>
  <c r="D15" i="17"/>
  <c r="U15" i="17"/>
  <c r="Z15" i="17"/>
  <c r="AF15" i="17"/>
  <c r="AG15" i="17" s="1"/>
  <c r="A16" i="17"/>
  <c r="C16" i="17"/>
  <c r="W16" i="17" s="1"/>
  <c r="D16" i="17"/>
  <c r="X16" i="17" s="1"/>
  <c r="U16" i="17"/>
  <c r="Z16" i="17"/>
  <c r="AF16" i="17"/>
  <c r="AG16" i="17" s="1"/>
  <c r="A17" i="17"/>
  <c r="H42" i="7" s="1"/>
  <c r="C17" i="17"/>
  <c r="D17" i="17"/>
  <c r="AI42" i="7" l="1"/>
  <c r="Q42" i="7"/>
  <c r="Z42" i="7" s="1"/>
  <c r="X17" i="17"/>
  <c r="H37" i="7"/>
  <c r="AI37" i="7" s="1"/>
  <c r="W17" i="17"/>
  <c r="H36" i="7"/>
  <c r="AB15" i="17"/>
  <c r="I14" i="17"/>
  <c r="AA15" i="17"/>
  <c r="X15" i="17"/>
  <c r="AH17" i="17"/>
  <c r="K17" i="17"/>
  <c r="J17" i="17"/>
  <c r="AJ16" i="17"/>
  <c r="AH16" i="17"/>
  <c r="J16" i="17"/>
  <c r="K16" i="17"/>
  <c r="AH15" i="17"/>
  <c r="J15" i="17"/>
  <c r="K15" i="17"/>
  <c r="AJ15" i="17"/>
  <c r="V15" i="17"/>
  <c r="AA16" i="17"/>
  <c r="AB16" i="17"/>
  <c r="V16" i="17"/>
  <c r="U17" i="17"/>
  <c r="AB17" i="17" s="1"/>
  <c r="Z17" i="17"/>
  <c r="AA17" i="17"/>
  <c r="AF17" i="17"/>
  <c r="AG17" i="17" s="1"/>
  <c r="AJ17" i="17"/>
  <c r="A18" i="17"/>
  <c r="H51" i="7" s="1"/>
  <c r="C18" i="17"/>
  <c r="D18" i="17"/>
  <c r="U18" i="17"/>
  <c r="V18" i="17" s="1"/>
  <c r="Z18" i="17"/>
  <c r="AF18" i="17"/>
  <c r="AG18" i="17" s="1"/>
  <c r="A19" i="17"/>
  <c r="C19" i="17"/>
  <c r="D19" i="17"/>
  <c r="E19" i="17"/>
  <c r="U19" i="17"/>
  <c r="V19" i="17" s="1"/>
  <c r="Z19" i="17"/>
  <c r="AF19" i="17"/>
  <c r="AG19" i="17" s="1"/>
  <c r="A20" i="17"/>
  <c r="C20" i="17"/>
  <c r="D20" i="17"/>
  <c r="E20" i="17"/>
  <c r="U20" i="17"/>
  <c r="Z20" i="17"/>
  <c r="AF20" i="17"/>
  <c r="AG20" i="17" s="1"/>
  <c r="E42" i="13"/>
  <c r="AI51" i="7" l="1"/>
  <c r="Q51" i="7"/>
  <c r="Z51" i="7" s="1"/>
  <c r="X18" i="17"/>
  <c r="H46" i="7"/>
  <c r="AI46" i="7" s="1"/>
  <c r="X19" i="17"/>
  <c r="W18" i="17"/>
  <c r="H45" i="7"/>
  <c r="W19" i="17"/>
  <c r="AI36" i="7"/>
  <c r="H39" i="7"/>
  <c r="AI39" i="7" s="1"/>
  <c r="H38" i="7"/>
  <c r="AI38" i="7" s="1"/>
  <c r="H40" i="7"/>
  <c r="AI40" i="7" s="1"/>
  <c r="X20" i="17"/>
  <c r="W20" i="17"/>
  <c r="V17" i="17"/>
  <c r="AJ19" i="17"/>
  <c r="AH19" i="17"/>
  <c r="J19" i="17"/>
  <c r="K19" i="17"/>
  <c r="AH20" i="17"/>
  <c r="K20" i="17"/>
  <c r="J20" i="17"/>
  <c r="AH18" i="17"/>
  <c r="K18" i="17"/>
  <c r="J18" i="17"/>
  <c r="AA19" i="17"/>
  <c r="AA18" i="17"/>
  <c r="AJ18" i="17"/>
  <c r="AA20" i="17"/>
  <c r="AB18" i="17"/>
  <c r="AJ20" i="17"/>
  <c r="AB19" i="17"/>
  <c r="AB20" i="17"/>
  <c r="V20" i="17"/>
  <c r="A21" i="17"/>
  <c r="C21" i="17"/>
  <c r="D21" i="17"/>
  <c r="E21" i="17"/>
  <c r="U21" i="17"/>
  <c r="V21" i="17" s="1"/>
  <c r="AF21" i="17"/>
  <c r="AG21" i="17" s="1"/>
  <c r="AI45" i="7" l="1"/>
  <c r="H47" i="7"/>
  <c r="AI47" i="7" s="1"/>
  <c r="H48" i="7"/>
  <c r="AI48" i="7" s="1"/>
  <c r="H49" i="7"/>
  <c r="AI49" i="7" s="1"/>
  <c r="W21" i="17"/>
  <c r="X21" i="17"/>
  <c r="AH21" i="17"/>
  <c r="K21" i="17"/>
  <c r="J21" i="17"/>
  <c r="AJ21" i="17"/>
  <c r="AA21" i="17"/>
  <c r="AB21" i="17"/>
  <c r="A22" i="17"/>
  <c r="C22" i="17"/>
  <c r="D22" i="17"/>
  <c r="E22" i="17"/>
  <c r="U22" i="17"/>
  <c r="V22" i="17" s="1"/>
  <c r="AF22" i="17"/>
  <c r="AG22" i="17" s="1"/>
  <c r="W22" i="17" l="1"/>
  <c r="X22" i="17"/>
  <c r="AH22" i="17"/>
  <c r="K22" i="17"/>
  <c r="J22" i="17"/>
  <c r="AJ22" i="17"/>
  <c r="AA22" i="17"/>
  <c r="AB22" i="17"/>
  <c r="A23" i="17"/>
  <c r="C23" i="17"/>
  <c r="D23" i="17"/>
  <c r="E23" i="17"/>
  <c r="U23" i="17"/>
  <c r="V23" i="17" s="1"/>
  <c r="AF23" i="17"/>
  <c r="AG23" i="17" s="1"/>
  <c r="W23" i="17" l="1"/>
  <c r="X23" i="17"/>
  <c r="AJ23" i="17"/>
  <c r="AH23" i="17"/>
  <c r="J23" i="17"/>
  <c r="K23" i="17"/>
  <c r="AA23" i="17"/>
  <c r="AB23" i="17"/>
  <c r="A24" i="17"/>
  <c r="C24" i="17"/>
  <c r="D24" i="17"/>
  <c r="E24" i="17"/>
  <c r="U24" i="17"/>
  <c r="V24" i="17" s="1"/>
  <c r="AF24" i="17"/>
  <c r="AG24" i="17" s="1"/>
  <c r="X24" i="17" l="1"/>
  <c r="W24" i="17"/>
  <c r="AH24" i="17"/>
  <c r="K24" i="17"/>
  <c r="J24" i="17"/>
  <c r="AJ24" i="17"/>
  <c r="AA24" i="17"/>
  <c r="AB24" i="17"/>
  <c r="A25" i="17"/>
  <c r="C25" i="17"/>
  <c r="D25" i="17"/>
  <c r="E25" i="17"/>
  <c r="U25" i="17"/>
  <c r="V25" i="17" s="1"/>
  <c r="AF25" i="17"/>
  <c r="AG25" i="17" s="1"/>
  <c r="X25" i="17" l="1"/>
  <c r="W25" i="17"/>
  <c r="AH25" i="17"/>
  <c r="J25" i="17"/>
  <c r="K25" i="17"/>
  <c r="AJ25" i="17"/>
  <c r="AA25" i="17"/>
  <c r="AB25" i="17"/>
  <c r="C30" i="17"/>
  <c r="W30" i="17" s="1"/>
  <c r="D30" i="17"/>
  <c r="X30" i="17" s="1"/>
  <c r="AH30" i="17" l="1"/>
  <c r="AA30" i="17"/>
  <c r="AB30" i="17"/>
  <c r="J30" i="17"/>
  <c r="K30" i="17"/>
  <c r="AJ30" i="17"/>
  <c r="C31" i="17"/>
  <c r="W31" i="17" s="1"/>
  <c r="D31" i="17"/>
  <c r="X31" i="17" s="1"/>
  <c r="C32" i="17"/>
  <c r="W32" i="17" s="1"/>
  <c r="D32" i="17"/>
  <c r="X32" i="17" s="1"/>
  <c r="C33" i="17"/>
  <c r="D33" i="17"/>
  <c r="C34" i="17"/>
  <c r="D34" i="17"/>
  <c r="C35" i="17"/>
  <c r="D35" i="17"/>
  <c r="E35" i="17"/>
  <c r="C36" i="17"/>
  <c r="D36" i="17"/>
  <c r="E36" i="17"/>
  <c r="C37" i="17"/>
  <c r="D37" i="17"/>
  <c r="E37" i="17"/>
  <c r="C38" i="17"/>
  <c r="D38" i="17"/>
  <c r="E38" i="17"/>
  <c r="C39" i="17"/>
  <c r="D39" i="17"/>
  <c r="E39" i="17"/>
  <c r="C40" i="17"/>
  <c r="D40" i="17"/>
  <c r="E40" i="17"/>
  <c r="C41" i="17"/>
  <c r="D41" i="17"/>
  <c r="E41" i="17"/>
  <c r="X41" i="17" l="1"/>
  <c r="W41" i="17"/>
  <c r="W34" i="17"/>
  <c r="Q45" i="7"/>
  <c r="X33" i="17"/>
  <c r="Q37" i="7"/>
  <c r="Z37" i="7" s="1"/>
  <c r="W33" i="17"/>
  <c r="Q36" i="7"/>
  <c r="X35" i="17"/>
  <c r="W35" i="17"/>
  <c r="X34" i="17"/>
  <c r="Q46" i="7"/>
  <c r="Z46" i="7" s="1"/>
  <c r="W40" i="17"/>
  <c r="X40" i="17"/>
  <c r="X39" i="17"/>
  <c r="W36" i="17"/>
  <c r="X38" i="17"/>
  <c r="W37" i="17"/>
  <c r="X36" i="17"/>
  <c r="W38" i="17"/>
  <c r="W39" i="17"/>
  <c r="X37" i="17"/>
  <c r="AJ32" i="17"/>
  <c r="AA32" i="17"/>
  <c r="AB32" i="17"/>
  <c r="AH32" i="17"/>
  <c r="J32" i="17"/>
  <c r="K32" i="17"/>
  <c r="AH34" i="17"/>
  <c r="AB34" i="17"/>
  <c r="AA34" i="17"/>
  <c r="J34" i="17"/>
  <c r="K34" i="17"/>
  <c r="AA39" i="17"/>
  <c r="AH39" i="17"/>
  <c r="AB39" i="17"/>
  <c r="K39" i="17"/>
  <c r="J39" i="17"/>
  <c r="AA31" i="17"/>
  <c r="AH31" i="17"/>
  <c r="AB31" i="17"/>
  <c r="K31" i="17"/>
  <c r="J31" i="17"/>
  <c r="AA36" i="17"/>
  <c r="AB36" i="17"/>
  <c r="AH36" i="17"/>
  <c r="J36" i="17"/>
  <c r="K36" i="17"/>
  <c r="AA41" i="17"/>
  <c r="AH41" i="17"/>
  <c r="AB41" i="17"/>
  <c r="K41" i="17"/>
  <c r="J41" i="17"/>
  <c r="AA33" i="17"/>
  <c r="AB33" i="17"/>
  <c r="AH33" i="17"/>
  <c r="K33" i="17"/>
  <c r="J33" i="17"/>
  <c r="AA38" i="17"/>
  <c r="AB38" i="17"/>
  <c r="AH38" i="17"/>
  <c r="K38" i="17"/>
  <c r="J38" i="17"/>
  <c r="AJ35" i="17"/>
  <c r="AA35" i="17"/>
  <c r="AH35" i="17"/>
  <c r="AB35" i="17"/>
  <c r="K35" i="17"/>
  <c r="J35" i="17"/>
  <c r="AB40" i="17"/>
  <c r="AA40" i="17"/>
  <c r="AH40" i="17"/>
  <c r="J40" i="17"/>
  <c r="K40" i="17"/>
  <c r="AB37" i="17"/>
  <c r="AA37" i="17"/>
  <c r="AH37" i="17"/>
  <c r="K37" i="17"/>
  <c r="J37" i="17"/>
  <c r="AJ33" i="17"/>
  <c r="AJ36" i="17"/>
  <c r="AJ34" i="17"/>
  <c r="AJ31" i="17"/>
  <c r="C54" i="17"/>
  <c r="D54" i="17"/>
  <c r="E54" i="17"/>
  <c r="F54" i="17"/>
  <c r="AX54" i="17" s="1"/>
  <c r="AG54" i="17" l="1"/>
  <c r="Z36" i="7"/>
  <c r="Q38" i="7"/>
  <c r="Z38" i="7" s="1"/>
  <c r="Q40" i="7"/>
  <c r="Z40" i="7" s="1"/>
  <c r="Q39" i="7"/>
  <c r="Z39" i="7" s="1"/>
  <c r="Z45" i="7"/>
  <c r="Q49" i="7"/>
  <c r="Z49" i="7" s="1"/>
  <c r="Q47" i="7"/>
  <c r="Z47" i="7" s="1"/>
  <c r="Q48" i="7"/>
  <c r="Z48" i="7" s="1"/>
  <c r="H54" i="17"/>
  <c r="I54" i="17"/>
  <c r="AT54" i="17"/>
  <c r="AS54" i="17"/>
  <c r="AR54" i="17"/>
  <c r="AV54" i="17" s="1"/>
  <c r="AJ54" i="17"/>
  <c r="AY54" i="17"/>
  <c r="BC54" i="17" l="1"/>
  <c r="AP54" i="17" s="1"/>
  <c r="AU54" i="17"/>
  <c r="BB54" i="17"/>
  <c r="AZ54" i="17"/>
  <c r="AO54" i="17" s="1"/>
  <c r="BB19" i="17" l="1"/>
  <c r="X60" i="17"/>
  <c r="Y60" i="17" s="1"/>
  <c r="A1" i="11" l="1"/>
  <c r="D13" i="1" l="1"/>
  <c r="Q76" i="17" l="1"/>
  <c r="R76" i="17" s="1"/>
  <c r="X76" i="17"/>
  <c r="Y76" i="17" s="1"/>
  <c r="C33" i="1"/>
  <c r="C32" i="1"/>
  <c r="C6" i="1" l="1"/>
  <c r="C51" i="17" l="1"/>
  <c r="D51" i="17"/>
  <c r="AG51" i="17" s="1"/>
  <c r="F51" i="17"/>
  <c r="AX51" i="17" s="1"/>
  <c r="H51" i="17" l="1"/>
  <c r="AR51" i="17"/>
  <c r="AV51" i="17" s="1"/>
  <c r="AJ51" i="17"/>
  <c r="AS51" i="17"/>
  <c r="I51" i="17"/>
  <c r="AY51" i="17"/>
  <c r="AT51" i="17"/>
  <c r="C50" i="17"/>
  <c r="D50" i="17"/>
  <c r="AG50" i="17" s="1"/>
  <c r="F50" i="17"/>
  <c r="AX50" i="17" s="1"/>
  <c r="H50" i="17" l="1"/>
  <c r="AT50" i="17"/>
  <c r="I50" i="17"/>
  <c r="AJ50" i="17"/>
  <c r="AR50" i="17"/>
  <c r="AV50" i="17" s="1"/>
  <c r="BC51" i="17"/>
  <c r="BB51" i="17"/>
  <c r="AU51" i="17"/>
  <c r="AZ51" i="17" s="1"/>
  <c r="AO51" i="17" s="1"/>
  <c r="AP51" i="17" s="1"/>
  <c r="AY50" i="17"/>
  <c r="AS50" i="17"/>
  <c r="BC50" i="17" l="1"/>
  <c r="BB16" i="17"/>
  <c r="BB50" i="17"/>
  <c r="AU50" i="17"/>
  <c r="AZ50" i="17" s="1"/>
  <c r="AO50" i="17" s="1"/>
  <c r="AP50" i="17" s="1"/>
  <c r="BB15" i="17" l="1"/>
  <c r="C70" i="17"/>
  <c r="D70" i="17"/>
  <c r="E70" i="17"/>
  <c r="F70" i="17"/>
  <c r="AX70" i="17" s="1"/>
  <c r="H70" i="17" l="1"/>
  <c r="AG70" i="17"/>
  <c r="I70" i="17"/>
  <c r="AR70" i="17"/>
  <c r="AV70" i="17" s="1"/>
  <c r="AS70" i="17"/>
  <c r="AT70" i="17"/>
  <c r="AJ70" i="17"/>
  <c r="AY70" i="17"/>
  <c r="M142" i="17"/>
  <c r="C68" i="17"/>
  <c r="D68" i="17"/>
  <c r="F68" i="17"/>
  <c r="AX68" i="17" l="1"/>
  <c r="H68" i="17"/>
  <c r="BC70" i="17"/>
  <c r="AP70" i="17" s="1"/>
  <c r="BB35" i="17" s="1"/>
  <c r="AG68" i="17"/>
  <c r="S34" i="7"/>
  <c r="R34" i="7"/>
  <c r="AT68" i="17"/>
  <c r="AR68" i="17"/>
  <c r="AV68" i="17" s="1"/>
  <c r="AJ68" i="17"/>
  <c r="I68" i="17"/>
  <c r="AU70" i="17"/>
  <c r="BB70" i="17"/>
  <c r="AS68" i="17"/>
  <c r="AZ70" i="17"/>
  <c r="AO70" i="17" s="1"/>
  <c r="BC35" i="17" s="1"/>
  <c r="M143" i="17"/>
  <c r="AY68" i="17"/>
  <c r="BC68" i="17" l="1"/>
  <c r="V34" i="7"/>
  <c r="U34" i="7"/>
  <c r="T34" i="7"/>
  <c r="BB68" i="17"/>
  <c r="AU68" i="17"/>
  <c r="AZ68" i="17" s="1"/>
  <c r="AO68" i="17" s="1"/>
  <c r="AP68" i="17" s="1"/>
  <c r="M144" i="17"/>
  <c r="C69" i="17"/>
  <c r="D69" i="17"/>
  <c r="F69" i="17"/>
  <c r="AX69" i="17" l="1"/>
  <c r="AY69" i="17" s="1"/>
  <c r="H69" i="17"/>
  <c r="S43" i="7"/>
  <c r="AG69" i="17"/>
  <c r="R43" i="7"/>
  <c r="AR69" i="17"/>
  <c r="AV69" i="17" s="1"/>
  <c r="I69" i="17"/>
  <c r="AS69" i="17"/>
  <c r="AJ69" i="17"/>
  <c r="M145" i="17"/>
  <c r="AT69" i="17"/>
  <c r="U43" i="7" l="1"/>
  <c r="T43" i="7"/>
  <c r="V43" i="7"/>
  <c r="BC69" i="17"/>
  <c r="AP69" i="17" s="1"/>
  <c r="BB69" i="17"/>
  <c r="M146" i="17"/>
  <c r="AU69" i="17"/>
  <c r="AZ69" i="17" s="1"/>
  <c r="AO69" i="17" s="1"/>
  <c r="C71" i="17"/>
  <c r="D71" i="17"/>
  <c r="E71" i="17"/>
  <c r="F71" i="17"/>
  <c r="AX71" i="17" s="1"/>
  <c r="H71" i="17" l="1"/>
  <c r="AG71" i="17"/>
  <c r="AJ71" i="17"/>
  <c r="AR71" i="17"/>
  <c r="AV71" i="17" s="1"/>
  <c r="AS71" i="17"/>
  <c r="I71" i="17"/>
  <c r="AT71" i="17"/>
  <c r="M147" i="17"/>
  <c r="AY71" i="17"/>
  <c r="C65" i="17"/>
  <c r="D65" i="17"/>
  <c r="AG65" i="17" s="1"/>
  <c r="F65" i="17"/>
  <c r="AX65" i="17" s="1"/>
  <c r="H65" i="17" l="1"/>
  <c r="BC71" i="17"/>
  <c r="AP71" i="17" s="1"/>
  <c r="I65" i="17"/>
  <c r="AU71" i="17"/>
  <c r="BB71" i="17"/>
  <c r="AR65" i="17"/>
  <c r="AV65" i="17" s="1"/>
  <c r="AT65" i="17"/>
  <c r="AS65" i="17"/>
  <c r="AJ65" i="17"/>
  <c r="AY65" i="17"/>
  <c r="AZ71" i="17"/>
  <c r="AO71" i="17" s="1"/>
  <c r="C66" i="17"/>
  <c r="D66" i="17"/>
  <c r="AG66" i="17" s="1"/>
  <c r="F66" i="17"/>
  <c r="AX66" i="17" s="1"/>
  <c r="AY66" i="17" s="1"/>
  <c r="H66" i="17" l="1"/>
  <c r="BC65" i="17"/>
  <c r="AR66" i="17"/>
  <c r="AV66" i="17" s="1"/>
  <c r="I66" i="17"/>
  <c r="BB65" i="17"/>
  <c r="AU65" i="17"/>
  <c r="AZ65" i="17" s="1"/>
  <c r="AO65" i="17" s="1"/>
  <c r="AP65" i="17" s="1"/>
  <c r="AJ66" i="17"/>
  <c r="AT66" i="17"/>
  <c r="BC66" i="17" s="1"/>
  <c r="AS66" i="17"/>
  <c r="C67" i="17"/>
  <c r="D67" i="17"/>
  <c r="AG67" i="17" s="1"/>
  <c r="F67" i="17"/>
  <c r="AX67" i="17" l="1"/>
  <c r="AY67" i="17" s="1"/>
  <c r="H67" i="17"/>
  <c r="AU66" i="17"/>
  <c r="AZ66" i="17" s="1"/>
  <c r="AO66" i="17" s="1"/>
  <c r="AR67" i="17"/>
  <c r="AV67" i="17" s="1"/>
  <c r="I67" i="17"/>
  <c r="BB66" i="17"/>
  <c r="AJ67" i="17"/>
  <c r="AT67" i="17"/>
  <c r="BC67" i="17" s="1"/>
  <c r="AS67" i="17"/>
  <c r="C49" i="17"/>
  <c r="D49" i="17"/>
  <c r="AG49" i="17" s="1"/>
  <c r="F49" i="17"/>
  <c r="AX49" i="17" s="1"/>
  <c r="H49" i="17" l="1"/>
  <c r="BC31" i="17"/>
  <c r="AP66" i="17"/>
  <c r="BB31" i="17" s="1"/>
  <c r="AR49" i="17"/>
  <c r="AV49" i="17" s="1"/>
  <c r="I49" i="17"/>
  <c r="AY49" i="17"/>
  <c r="AJ49" i="17"/>
  <c r="BB67" i="17"/>
  <c r="AU67" i="17"/>
  <c r="AZ67" i="17" s="1"/>
  <c r="AO67" i="17" s="1"/>
  <c r="AS49" i="17"/>
  <c r="AT49" i="17"/>
  <c r="BC32" i="17" l="1"/>
  <c r="AP67" i="17"/>
  <c r="BB32" i="17" s="1"/>
  <c r="BC49" i="17"/>
  <c r="AZ49" i="17"/>
  <c r="AO49" i="17" s="1"/>
  <c r="AP49" i="17" s="1"/>
  <c r="AU49" i="17"/>
  <c r="BB49" i="17"/>
  <c r="C52" i="17"/>
  <c r="D52" i="17"/>
  <c r="F52" i="17"/>
  <c r="AX52" i="17" s="1"/>
  <c r="H52" i="17" l="1"/>
  <c r="J34" i="7"/>
  <c r="AB34" i="7" s="1"/>
  <c r="AG52" i="17"/>
  <c r="I34" i="7"/>
  <c r="AS52" i="17"/>
  <c r="I52" i="17"/>
  <c r="AR52" i="17"/>
  <c r="AV52" i="17" s="1"/>
  <c r="AJ52" i="17"/>
  <c r="AT52" i="17"/>
  <c r="AY52" i="17"/>
  <c r="C53" i="17"/>
  <c r="D53" i="17"/>
  <c r="F53" i="17"/>
  <c r="AX53" i="17" s="1"/>
  <c r="H53" i="17" l="1"/>
  <c r="AG53" i="17"/>
  <c r="J43" i="7"/>
  <c r="AB43" i="7" s="1"/>
  <c r="I43" i="7"/>
  <c r="AA34" i="7"/>
  <c r="K34" i="7"/>
  <c r="AC34" i="7" s="1"/>
  <c r="M34" i="7"/>
  <c r="AE34" i="7" s="1"/>
  <c r="L34" i="7"/>
  <c r="AD34" i="7" s="1"/>
  <c r="BC52" i="17"/>
  <c r="I53" i="17"/>
  <c r="BB52" i="17"/>
  <c r="AU52" i="17"/>
  <c r="AZ52" i="17" s="1"/>
  <c r="AO52" i="17" s="1"/>
  <c r="AP52" i="17" s="1"/>
  <c r="AT53" i="17"/>
  <c r="AR53" i="17"/>
  <c r="AV53" i="17" s="1"/>
  <c r="AJ53" i="17"/>
  <c r="AS53" i="17"/>
  <c r="AY53" i="17"/>
  <c r="AA43" i="7" l="1"/>
  <c r="L43" i="7"/>
  <c r="AD43" i="7" s="1"/>
  <c r="M43" i="7"/>
  <c r="AE43" i="7" s="1"/>
  <c r="K43" i="7"/>
  <c r="AC43" i="7" s="1"/>
  <c r="BC33" i="17"/>
  <c r="BB17" i="17"/>
  <c r="AU53" i="17"/>
  <c r="AZ53" i="17" s="1"/>
  <c r="AO53" i="17" s="1"/>
  <c r="BB34" i="17" s="1"/>
  <c r="BB53" i="17"/>
  <c r="BB33" i="17"/>
  <c r="BC53" i="17"/>
  <c r="C55" i="17"/>
  <c r="D55" i="17"/>
  <c r="E55" i="17"/>
  <c r="F55" i="17"/>
  <c r="AX55" i="17" s="1"/>
  <c r="AG55" i="17" l="1"/>
  <c r="AP53" i="17"/>
  <c r="BC34" i="17" s="1"/>
  <c r="I55" i="17"/>
  <c r="H55" i="17"/>
  <c r="AR55" i="17"/>
  <c r="AV55" i="17" s="1"/>
  <c r="AJ55" i="17"/>
  <c r="AT55" i="17"/>
  <c r="AS55" i="17"/>
  <c r="AY55" i="17"/>
  <c r="BB18" i="17" l="1"/>
  <c r="AZ55" i="17"/>
  <c r="AO55" i="17" s="1"/>
  <c r="BB36" i="17" s="1"/>
  <c r="AU55" i="17"/>
  <c r="BB55" i="17"/>
  <c r="BC55" i="17"/>
  <c r="C56" i="17"/>
  <c r="D56" i="17"/>
  <c r="E56" i="17"/>
  <c r="F56" i="17"/>
  <c r="AX56" i="17" s="1"/>
  <c r="AG56" i="17" l="1"/>
  <c r="AP55" i="17"/>
  <c r="BC36" i="17" s="1"/>
  <c r="H56" i="17"/>
  <c r="I56" i="17"/>
  <c r="AR56" i="17"/>
  <c r="AV56" i="17" s="1"/>
  <c r="AJ56" i="17"/>
  <c r="AT56" i="17"/>
  <c r="AS56" i="17"/>
  <c r="AY56" i="17"/>
  <c r="C57" i="17"/>
  <c r="D57" i="17"/>
  <c r="E57" i="17"/>
  <c r="F57" i="17"/>
  <c r="AX57" i="17" s="1"/>
  <c r="AY57" i="17" s="1"/>
  <c r="BB20" i="17" l="1"/>
  <c r="AG57" i="17"/>
  <c r="BC56" i="17"/>
  <c r="AP56" i="17" s="1"/>
  <c r="I57" i="17"/>
  <c r="H57" i="17"/>
  <c r="AU56" i="17"/>
  <c r="BB56" i="17"/>
  <c r="AR57" i="17"/>
  <c r="AV57" i="17" s="1"/>
  <c r="AT57" i="17"/>
  <c r="BC57" i="17" s="1"/>
  <c r="AJ57" i="17"/>
  <c r="AS57" i="17"/>
  <c r="AZ57" i="17" s="1"/>
  <c r="AZ56" i="17"/>
  <c r="AO56" i="17" s="1"/>
  <c r="C58" i="17"/>
  <c r="D58" i="17"/>
  <c r="E58" i="17"/>
  <c r="F58" i="17"/>
  <c r="AX58" i="17" s="1"/>
  <c r="AP57" i="17" l="1"/>
  <c r="AG58" i="17"/>
  <c r="BB21" i="17"/>
  <c r="I58" i="17"/>
  <c r="H58" i="17"/>
  <c r="AU57" i="17"/>
  <c r="AR58" i="17"/>
  <c r="AV58" i="17" s="1"/>
  <c r="AS58" i="17"/>
  <c r="AJ58" i="17"/>
  <c r="BB57" i="17"/>
  <c r="AT58" i="17"/>
  <c r="AO57" i="17"/>
  <c r="AY58" i="17"/>
  <c r="C59" i="17"/>
  <c r="D59" i="17"/>
  <c r="E59" i="17"/>
  <c r="F59" i="17"/>
  <c r="AX59" i="17" s="1"/>
  <c r="AG59" i="17" l="1"/>
  <c r="BB22" i="17"/>
  <c r="AT59" i="17"/>
  <c r="I59" i="17"/>
  <c r="H59" i="17"/>
  <c r="AZ58" i="17"/>
  <c r="AO58" i="17" s="1"/>
  <c r="AU58" i="17"/>
  <c r="BB58" i="17"/>
  <c r="AR59" i="17"/>
  <c r="AV59" i="17" s="1"/>
  <c r="AS59" i="17"/>
  <c r="AJ59" i="17"/>
  <c r="BC58" i="17"/>
  <c r="AP58" i="17" s="1"/>
  <c r="AY59" i="17"/>
  <c r="C60" i="17"/>
  <c r="D60" i="17"/>
  <c r="E60" i="17"/>
  <c r="F60" i="17"/>
  <c r="AX60" i="17" s="1"/>
  <c r="AG60" i="17" l="1"/>
  <c r="BB23" i="17"/>
  <c r="H60" i="17"/>
  <c r="I60" i="17"/>
  <c r="AZ59" i="17"/>
  <c r="AO59" i="17" s="1"/>
  <c r="AU59" i="17"/>
  <c r="BB59" i="17"/>
  <c r="AR60" i="17"/>
  <c r="AV60" i="17" s="1"/>
  <c r="AS60" i="17"/>
  <c r="AJ60" i="17"/>
  <c r="AT60" i="17"/>
  <c r="AY60" i="17"/>
  <c r="BC59" i="17"/>
  <c r="AP59" i="17" s="1"/>
  <c r="BB24" i="17" l="1"/>
  <c r="BC60" i="17"/>
  <c r="AP60" i="17" s="1"/>
  <c r="BB60" i="17"/>
  <c r="AU60" i="17"/>
  <c r="AZ60" i="17"/>
  <c r="AO60" i="17" s="1"/>
  <c r="J328" i="17"/>
  <c r="J327" i="17"/>
  <c r="J326" i="17"/>
  <c r="J325" i="17"/>
  <c r="J324" i="17"/>
  <c r="J323" i="17"/>
  <c r="J322" i="17"/>
  <c r="J321" i="17"/>
  <c r="J320" i="17"/>
  <c r="J319" i="17"/>
  <c r="J318" i="17"/>
  <c r="J317" i="17"/>
  <c r="J316" i="17"/>
  <c r="J315" i="17"/>
  <c r="J314" i="17"/>
  <c r="J313" i="17"/>
  <c r="J312" i="17"/>
  <c r="J311" i="17"/>
  <c r="J310" i="17"/>
  <c r="J309" i="17"/>
  <c r="J308" i="17"/>
  <c r="J307" i="17"/>
  <c r="J306" i="17"/>
  <c r="J305" i="17"/>
  <c r="J304" i="17"/>
  <c r="J303" i="17"/>
  <c r="J302" i="17"/>
  <c r="J301" i="17"/>
  <c r="J300" i="17"/>
  <c r="J299" i="17"/>
  <c r="J298" i="17"/>
  <c r="J297" i="17"/>
  <c r="J296" i="17"/>
  <c r="J295" i="17"/>
  <c r="J294" i="17"/>
  <c r="J293" i="17"/>
  <c r="J292" i="17"/>
  <c r="J291" i="17"/>
  <c r="J290" i="17"/>
  <c r="J289" i="17"/>
  <c r="J288" i="17"/>
  <c r="J287" i="17"/>
  <c r="J286" i="17"/>
  <c r="J285" i="17"/>
  <c r="J284" i="17"/>
  <c r="J283" i="17"/>
  <c r="J282" i="17"/>
  <c r="J281" i="17"/>
  <c r="J280" i="17"/>
  <c r="J279" i="17"/>
  <c r="J278" i="17"/>
  <c r="J277" i="17"/>
  <c r="J276" i="17"/>
  <c r="J275" i="17"/>
  <c r="J274" i="17"/>
  <c r="J273" i="17"/>
  <c r="J272" i="17"/>
  <c r="J271" i="17"/>
  <c r="J270" i="17"/>
  <c r="J269" i="17"/>
  <c r="J268" i="17"/>
  <c r="J267" i="17"/>
  <c r="J266" i="17"/>
  <c r="J265" i="17"/>
  <c r="J264" i="17"/>
  <c r="J263" i="17"/>
  <c r="J262" i="17"/>
  <c r="J261" i="17"/>
  <c r="J260" i="17"/>
  <c r="J259" i="17"/>
  <c r="J258" i="17"/>
  <c r="J257" i="17"/>
  <c r="J256" i="17"/>
  <c r="J255" i="17"/>
  <c r="J254" i="17"/>
  <c r="J253" i="17"/>
  <c r="J252" i="17"/>
  <c r="J251" i="17"/>
  <c r="J250" i="17"/>
  <c r="J249" i="17"/>
  <c r="J248" i="17"/>
  <c r="J247" i="17"/>
  <c r="J246" i="17"/>
  <c r="J245" i="17"/>
  <c r="J244" i="17"/>
  <c r="J243" i="17"/>
  <c r="J242" i="17"/>
  <c r="J241" i="17"/>
  <c r="J240" i="17"/>
  <c r="J239" i="17"/>
  <c r="J238" i="17"/>
  <c r="J237" i="17"/>
  <c r="J236" i="17"/>
  <c r="J235" i="17"/>
  <c r="J234" i="17"/>
  <c r="J233" i="17"/>
  <c r="J232" i="17"/>
  <c r="J231" i="17"/>
  <c r="J230" i="17"/>
  <c r="J229" i="17"/>
  <c r="J228" i="17"/>
  <c r="J227" i="17"/>
  <c r="J226" i="17"/>
  <c r="J225" i="17"/>
  <c r="J224" i="17"/>
  <c r="J223" i="17"/>
  <c r="J222" i="17"/>
  <c r="J221" i="17"/>
  <c r="J220" i="17"/>
  <c r="J219" i="17"/>
  <c r="J218" i="17"/>
  <c r="J217" i="17"/>
  <c r="J216" i="17"/>
  <c r="J215" i="17"/>
  <c r="J214" i="17"/>
  <c r="J213" i="17"/>
  <c r="J212" i="17"/>
  <c r="J211" i="17"/>
  <c r="J210" i="17"/>
  <c r="J209" i="17"/>
  <c r="J208" i="17"/>
  <c r="J207" i="17"/>
  <c r="J206" i="17"/>
  <c r="J205" i="17"/>
  <c r="J204" i="17"/>
  <c r="J203" i="17"/>
  <c r="J202" i="17"/>
  <c r="J201" i="17"/>
  <c r="J200" i="17"/>
  <c r="J199" i="17"/>
  <c r="J198" i="17"/>
  <c r="J197" i="17"/>
  <c r="J196" i="17"/>
  <c r="J195" i="17"/>
  <c r="J194" i="17"/>
  <c r="J193" i="17"/>
  <c r="AA192" i="17"/>
  <c r="AA193" i="17" s="1"/>
  <c r="T192" i="17"/>
  <c r="T193" i="17" s="1"/>
  <c r="T194" i="17" s="1"/>
  <c r="M192" i="17"/>
  <c r="J192" i="17"/>
  <c r="J191" i="17"/>
  <c r="J190" i="17"/>
  <c r="J189" i="17"/>
  <c r="J188" i="17"/>
  <c r="J187" i="17"/>
  <c r="J186" i="17"/>
  <c r="AA185" i="17"/>
  <c r="T185" i="17"/>
  <c r="M185" i="17"/>
  <c r="J185" i="17"/>
  <c r="J184" i="17"/>
  <c r="J183" i="17"/>
  <c r="J182" i="17"/>
  <c r="J181" i="17"/>
  <c r="J180" i="17"/>
  <c r="J179" i="17"/>
  <c r="AA178" i="17"/>
  <c r="AA179" i="17" s="1"/>
  <c r="AA180" i="17" s="1"/>
  <c r="T178" i="17"/>
  <c r="M178" i="17"/>
  <c r="M179" i="17" s="1"/>
  <c r="M180" i="17" s="1"/>
  <c r="J178" i="17"/>
  <c r="J177" i="17"/>
  <c r="J176" i="17"/>
  <c r="J175" i="17"/>
  <c r="J174" i="17"/>
  <c r="J173" i="17"/>
  <c r="J172" i="17"/>
  <c r="AA171" i="17"/>
  <c r="AA172" i="17" s="1"/>
  <c r="T171" i="17"/>
  <c r="M171" i="17"/>
  <c r="J171" i="17"/>
  <c r="J170" i="17"/>
  <c r="J169" i="17"/>
  <c r="J168" i="17"/>
  <c r="J167" i="17"/>
  <c r="J166" i="17"/>
  <c r="J165" i="17"/>
  <c r="J164" i="17"/>
  <c r="AA163" i="17"/>
  <c r="AA164" i="17" s="1"/>
  <c r="AA165" i="17" s="1"/>
  <c r="T163" i="17"/>
  <c r="M163" i="17"/>
  <c r="M164" i="17" s="1"/>
  <c r="J163" i="17"/>
  <c r="J162" i="17"/>
  <c r="J161" i="17"/>
  <c r="J160" i="17"/>
  <c r="J159" i="17"/>
  <c r="J158" i="17"/>
  <c r="J157" i="17"/>
  <c r="AA156" i="17"/>
  <c r="AA157" i="17" s="1"/>
  <c r="T156" i="17"/>
  <c r="M156" i="17"/>
  <c r="J156" i="17"/>
  <c r="J155" i="17"/>
  <c r="J154" i="17"/>
  <c r="J153" i="17"/>
  <c r="J152" i="17"/>
  <c r="J151" i="17"/>
  <c r="J150" i="17"/>
  <c r="AA149" i="17"/>
  <c r="AA150" i="17" s="1"/>
  <c r="T149" i="17"/>
  <c r="M149" i="17"/>
  <c r="M150" i="17" s="1"/>
  <c r="J149" i="17"/>
  <c r="J148" i="17"/>
  <c r="J147" i="17"/>
  <c r="J146" i="17"/>
  <c r="J145" i="17"/>
  <c r="J144" i="17"/>
  <c r="J143" i="17"/>
  <c r="AA142" i="17"/>
  <c r="AA143" i="17" s="1"/>
  <c r="T142" i="17"/>
  <c r="J142" i="17"/>
  <c r="J141" i="17"/>
  <c r="J140" i="17"/>
  <c r="J139" i="17"/>
  <c r="J138" i="17"/>
  <c r="J137" i="17"/>
  <c r="J136" i="17"/>
  <c r="J135" i="17"/>
  <c r="AA134" i="17"/>
  <c r="T134" i="17"/>
  <c r="T135" i="17" s="1"/>
  <c r="M134" i="17"/>
  <c r="J134" i="17"/>
  <c r="J133" i="17"/>
  <c r="J132" i="17"/>
  <c r="J131" i="17"/>
  <c r="J130" i="17"/>
  <c r="J129" i="17"/>
  <c r="J128" i="17"/>
  <c r="AA127" i="17"/>
  <c r="T127" i="17"/>
  <c r="T128" i="17" s="1"/>
  <c r="M127" i="17"/>
  <c r="J127" i="17"/>
  <c r="J126" i="17"/>
  <c r="J125" i="17"/>
  <c r="J124" i="17"/>
  <c r="J123" i="17"/>
  <c r="J122" i="17"/>
  <c r="J121" i="17"/>
  <c r="AA120" i="17"/>
  <c r="T120" i="17"/>
  <c r="M120" i="17"/>
  <c r="M121" i="17" s="1"/>
  <c r="M122" i="17" s="1"/>
  <c r="M123" i="17" s="1"/>
  <c r="M124" i="17" s="1"/>
  <c r="J120" i="17"/>
  <c r="J119" i="17"/>
  <c r="J118" i="17"/>
  <c r="J117" i="17"/>
  <c r="J116" i="17"/>
  <c r="J115" i="17"/>
  <c r="J114" i="17"/>
  <c r="AA113" i="17"/>
  <c r="AA114" i="17" s="1"/>
  <c r="T113" i="17"/>
  <c r="M113" i="17"/>
  <c r="M114" i="17" s="1"/>
  <c r="J113" i="17"/>
  <c r="J112" i="17"/>
  <c r="J111" i="17"/>
  <c r="J110" i="17"/>
  <c r="J109" i="17"/>
  <c r="J108" i="17"/>
  <c r="J107" i="17"/>
  <c r="J106" i="17"/>
  <c r="J105" i="17"/>
  <c r="AA104" i="17"/>
  <c r="T104" i="17"/>
  <c r="T105" i="17" s="1"/>
  <c r="M104" i="17"/>
  <c r="M105" i="17" s="1"/>
  <c r="J104" i="17"/>
  <c r="J103" i="17"/>
  <c r="J102" i="17"/>
  <c r="J101" i="17"/>
  <c r="J100" i="17"/>
  <c r="J99" i="17"/>
  <c r="J98" i="17"/>
  <c r="AA97" i="17"/>
  <c r="T97" i="17"/>
  <c r="M97" i="17"/>
  <c r="M98" i="17" s="1"/>
  <c r="J97" i="17"/>
  <c r="J96" i="17"/>
  <c r="J95" i="17"/>
  <c r="J94" i="17"/>
  <c r="J93" i="17"/>
  <c r="J92" i="17"/>
  <c r="J91" i="17"/>
  <c r="AA90" i="17"/>
  <c r="AA91" i="17" s="1"/>
  <c r="T90" i="17"/>
  <c r="T91" i="17" s="1"/>
  <c r="T92" i="17" s="1"/>
  <c r="M90" i="17"/>
  <c r="J90" i="17"/>
  <c r="J89" i="17"/>
  <c r="J88" i="17"/>
  <c r="J87" i="17"/>
  <c r="J86" i="17"/>
  <c r="J85" i="17"/>
  <c r="J84" i="17"/>
  <c r="AA83" i="17"/>
  <c r="AA84" i="17" s="1"/>
  <c r="T83" i="17"/>
  <c r="M83" i="17"/>
  <c r="BB25" i="17" l="1"/>
  <c r="N142" i="17" a="1"/>
  <c r="N142" i="17" s="1"/>
  <c r="N143" i="17" s="1" a="1"/>
  <c r="N143" i="17" s="1"/>
  <c r="AB120" i="17" a="1"/>
  <c r="AB120" i="17" s="1"/>
  <c r="AD120" i="17" s="1"/>
  <c r="N83" i="17" a="1"/>
  <c r="N83" i="17" s="1"/>
  <c r="Q83" i="17" s="1"/>
  <c r="N134" i="17" a="1"/>
  <c r="N134" i="17" s="1"/>
  <c r="O134" i="17" s="1"/>
  <c r="T93" i="17"/>
  <c r="AB104" i="17" a="1"/>
  <c r="AB104" i="17" s="1"/>
  <c r="AF104" i="17" s="1"/>
  <c r="AA105" i="17"/>
  <c r="M125" i="17"/>
  <c r="N127" i="17" a="1"/>
  <c r="N127" i="17" s="1"/>
  <c r="P127" i="17" s="1"/>
  <c r="M128" i="17"/>
  <c r="N90" i="17" a="1"/>
  <c r="N90" i="17" s="1"/>
  <c r="R90" i="17" s="1"/>
  <c r="M91" i="17"/>
  <c r="M84" i="17"/>
  <c r="M99" i="17"/>
  <c r="M115" i="17"/>
  <c r="U83" i="17" a="1"/>
  <c r="U83" i="17" s="1"/>
  <c r="U113" i="17" a="1"/>
  <c r="U113" i="17" s="1"/>
  <c r="Y113" i="17" s="1"/>
  <c r="T121" i="17"/>
  <c r="U120" i="17" a="1"/>
  <c r="U120" i="17" s="1"/>
  <c r="X120" i="17" s="1"/>
  <c r="T98" i="17"/>
  <c r="U97" i="17" a="1"/>
  <c r="U97" i="17" s="1"/>
  <c r="Y97" i="17" s="1"/>
  <c r="AA85" i="17"/>
  <c r="AA92" i="17"/>
  <c r="T106" i="17"/>
  <c r="AA115" i="17"/>
  <c r="AB192" i="17" a="1"/>
  <c r="AB192" i="17" s="1"/>
  <c r="AF192" i="17" s="1"/>
  <c r="N178" i="17" a="1"/>
  <c r="N178" i="17" s="1"/>
  <c r="R178" i="17" s="1"/>
  <c r="AB178" i="17" a="1"/>
  <c r="AB178" i="17" s="1"/>
  <c r="AB171" i="17" a="1"/>
  <c r="AB171" i="17" s="1"/>
  <c r="AE171" i="17" s="1"/>
  <c r="AB156" i="17" a="1"/>
  <c r="AB156" i="17" s="1"/>
  <c r="N192" i="17" a="1"/>
  <c r="N192" i="17" s="1"/>
  <c r="O192" i="17" s="1"/>
  <c r="AB149" i="17" a="1"/>
  <c r="AB149" i="17" s="1"/>
  <c r="AB150" i="17" s="1" a="1"/>
  <c r="AB150" i="17" s="1"/>
  <c r="AE150" i="17" s="1"/>
  <c r="AB163" i="17" a="1"/>
  <c r="AB163" i="17" s="1"/>
  <c r="AC163" i="17" s="1"/>
  <c r="U192" i="17" a="1"/>
  <c r="U192" i="17" s="1"/>
  <c r="X192" i="17" s="1"/>
  <c r="N113" i="17" a="1"/>
  <c r="N113" i="17" s="1"/>
  <c r="N114" i="17" s="1" a="1"/>
  <c r="N114" i="17" s="1"/>
  <c r="U104" i="17" a="1"/>
  <c r="U104" i="17" s="1"/>
  <c r="U105" i="17" s="1" a="1"/>
  <c r="U105" i="17" s="1"/>
  <c r="X105" i="17" s="1"/>
  <c r="AB83" i="17" a="1"/>
  <c r="AB83" i="17" s="1"/>
  <c r="U134" i="17" a="1"/>
  <c r="U134" i="17" s="1"/>
  <c r="AB185" i="17" a="1"/>
  <c r="AB185" i="17" s="1"/>
  <c r="AD185" i="17" s="1"/>
  <c r="N104" i="17" a="1"/>
  <c r="N104" i="17" s="1"/>
  <c r="P104" i="17" s="1"/>
  <c r="N120" i="17" a="1"/>
  <c r="N120" i="17" s="1"/>
  <c r="O120" i="17" s="1"/>
  <c r="U90" i="17" a="1"/>
  <c r="U90" i="17" s="1"/>
  <c r="V90" i="17" s="1"/>
  <c r="AB90" i="17" a="1"/>
  <c r="AB90" i="17" s="1"/>
  <c r="AB91" i="17" s="1" a="1"/>
  <c r="AB91" i="17" s="1"/>
  <c r="AC91" i="17" s="1"/>
  <c r="AB142" i="17" a="1"/>
  <c r="AB142" i="17" s="1"/>
  <c r="AC142" i="17" s="1"/>
  <c r="M165" i="17"/>
  <c r="AA121" i="17"/>
  <c r="N156" i="17" a="1"/>
  <c r="N156" i="17" s="1"/>
  <c r="O156" i="17" s="1"/>
  <c r="M157" i="17"/>
  <c r="T129" i="17"/>
  <c r="T84" i="17"/>
  <c r="M106" i="17"/>
  <c r="AB113" i="17" a="1"/>
  <c r="AB113" i="17" s="1"/>
  <c r="AB114" i="17" s="1" a="1"/>
  <c r="AB114" i="17" s="1"/>
  <c r="AF114" i="17" s="1"/>
  <c r="U127" i="17" a="1"/>
  <c r="U127" i="17" s="1"/>
  <c r="U128" i="17" s="1" a="1"/>
  <c r="U128" i="17" s="1"/>
  <c r="N97" i="17" a="1"/>
  <c r="N97" i="17" s="1"/>
  <c r="P97" i="17" s="1"/>
  <c r="AA98" i="17"/>
  <c r="AB97" i="17" a="1"/>
  <c r="AB97" i="17" s="1"/>
  <c r="AC97" i="17" s="1"/>
  <c r="AA128" i="17"/>
  <c r="AB127" i="17" a="1"/>
  <c r="AB127" i="17" s="1"/>
  <c r="AE127" i="17" s="1"/>
  <c r="AA144" i="17"/>
  <c r="AA151" i="17"/>
  <c r="U178" i="17" a="1"/>
  <c r="U178" i="17" s="1"/>
  <c r="X178" i="17" s="1"/>
  <c r="T179" i="17"/>
  <c r="T114" i="17"/>
  <c r="U142" i="17" a="1"/>
  <c r="U142" i="17" s="1"/>
  <c r="V142" i="17" s="1"/>
  <c r="T150" i="17"/>
  <c r="M151" i="17"/>
  <c r="U163" i="17" a="1"/>
  <c r="U163" i="17" s="1"/>
  <c r="Y163" i="17" s="1"/>
  <c r="T164" i="17"/>
  <c r="AA194" i="17"/>
  <c r="U149" i="17" a="1"/>
  <c r="U149" i="17" s="1"/>
  <c r="W149" i="17" s="1"/>
  <c r="M135" i="17"/>
  <c r="T136" i="17"/>
  <c r="T143" i="17"/>
  <c r="T157" i="17"/>
  <c r="U156" i="17" a="1"/>
  <c r="U156" i="17" s="1"/>
  <c r="X156" i="17" s="1"/>
  <c r="AA166" i="17"/>
  <c r="AA186" i="17"/>
  <c r="AA173" i="17"/>
  <c r="N149" i="17" a="1"/>
  <c r="N149" i="17" s="1"/>
  <c r="P149" i="17" s="1"/>
  <c r="AA158" i="17"/>
  <c r="M172" i="17"/>
  <c r="N171" i="17" a="1"/>
  <c r="N171" i="17" s="1"/>
  <c r="AB134" i="17" a="1"/>
  <c r="AB134" i="17" s="1"/>
  <c r="AA135" i="17"/>
  <c r="T195" i="17"/>
  <c r="T172" i="17"/>
  <c r="U171" i="17" a="1"/>
  <c r="U171" i="17" s="1"/>
  <c r="V171" i="17" s="1"/>
  <c r="AA181" i="17"/>
  <c r="N185" i="17" a="1"/>
  <c r="N185" i="17" s="1"/>
  <c r="R185" i="17" s="1"/>
  <c r="M186" i="17"/>
  <c r="M181" i="17"/>
  <c r="U185" i="17" a="1"/>
  <c r="U185" i="17" s="1"/>
  <c r="Y185" i="17" s="1"/>
  <c r="T186" i="17"/>
  <c r="N163" i="17" a="1"/>
  <c r="N163" i="17" s="1"/>
  <c r="Q163" i="17" s="1"/>
  <c r="M193" i="17"/>
  <c r="AE120" i="17" l="1"/>
  <c r="AF120" i="17"/>
  <c r="R83" i="17"/>
  <c r="AB193" i="17" a="1"/>
  <c r="AB193" i="17" s="1"/>
  <c r="AF193" i="17" s="1"/>
  <c r="Q134" i="17"/>
  <c r="P134" i="17"/>
  <c r="P143" i="17"/>
  <c r="R143" i="17"/>
  <c r="Q143" i="17"/>
  <c r="O143" i="17"/>
  <c r="N144" i="17" a="1"/>
  <c r="N144" i="17" s="1"/>
  <c r="P83" i="17"/>
  <c r="P156" i="17"/>
  <c r="O83" i="17"/>
  <c r="AC120" i="17"/>
  <c r="R134" i="17"/>
  <c r="W156" i="17"/>
  <c r="R142" i="17"/>
  <c r="Q142" i="17"/>
  <c r="P142" i="17"/>
  <c r="O142" i="17"/>
  <c r="N179" i="17" a="1"/>
  <c r="N179" i="17" s="1"/>
  <c r="R179" i="17" s="1"/>
  <c r="U193" i="17" a="1"/>
  <c r="U193" i="17" s="1"/>
  <c r="X193" i="17" s="1"/>
  <c r="V156" i="17"/>
  <c r="AB164" i="17" a="1"/>
  <c r="AB164" i="17" s="1"/>
  <c r="AF164" i="17" s="1"/>
  <c r="AF97" i="17"/>
  <c r="W185" i="17"/>
  <c r="X185" i="17"/>
  <c r="V185" i="17"/>
  <c r="N105" i="17" a="1"/>
  <c r="N105" i="17" s="1"/>
  <c r="Q105" i="17" s="1"/>
  <c r="AF149" i="17"/>
  <c r="AB172" i="17" a="1"/>
  <c r="AB172" i="17" s="1"/>
  <c r="AC172" i="17" s="1"/>
  <c r="AC149" i="17"/>
  <c r="R156" i="17"/>
  <c r="X149" i="17"/>
  <c r="AC90" i="17"/>
  <c r="Q156" i="17"/>
  <c r="P120" i="17"/>
  <c r="U91" i="17" a="1"/>
  <c r="U91" i="17" s="1"/>
  <c r="X91" i="17" s="1"/>
  <c r="W90" i="17"/>
  <c r="AE113" i="17"/>
  <c r="Q185" i="17"/>
  <c r="W171" i="17"/>
  <c r="W142" i="17"/>
  <c r="AB143" i="17" a="1"/>
  <c r="AB143" i="17" s="1"/>
  <c r="AD143" i="17" s="1"/>
  <c r="AD104" i="17"/>
  <c r="AE104" i="17"/>
  <c r="AC127" i="17"/>
  <c r="AC113" i="17"/>
  <c r="O185" i="17"/>
  <c r="AD127" i="17"/>
  <c r="AC104" i="17"/>
  <c r="Y149" i="17"/>
  <c r="AF127" i="17"/>
  <c r="R127" i="17"/>
  <c r="X171" i="17"/>
  <c r="Y142" i="17"/>
  <c r="Q114" i="17"/>
  <c r="O114" i="17"/>
  <c r="R114" i="17"/>
  <c r="P114" i="17"/>
  <c r="Y128" i="17"/>
  <c r="V128" i="17"/>
  <c r="W128" i="17"/>
  <c r="X128" i="17"/>
  <c r="AD91" i="17"/>
  <c r="T99" i="17"/>
  <c r="U98" i="17" a="1"/>
  <c r="U98" i="17" s="1"/>
  <c r="W98" i="17" s="1"/>
  <c r="Y83" i="17"/>
  <c r="X83" i="17"/>
  <c r="V83" i="17"/>
  <c r="N84" i="17" a="1"/>
  <c r="N84" i="17" s="1"/>
  <c r="Q84" i="17" s="1"/>
  <c r="M85" i="17"/>
  <c r="U129" i="17" a="1"/>
  <c r="U129" i="17" s="1"/>
  <c r="Y129" i="17" s="1"/>
  <c r="T130" i="17"/>
  <c r="AA182" i="17"/>
  <c r="T196" i="17"/>
  <c r="Q192" i="17"/>
  <c r="AA159" i="17"/>
  <c r="V134" i="17"/>
  <c r="Y134" i="17"/>
  <c r="W134" i="17"/>
  <c r="AB157" i="17" a="1"/>
  <c r="AB157" i="17" s="1"/>
  <c r="AC156" i="17"/>
  <c r="AE156" i="17"/>
  <c r="AC114" i="17"/>
  <c r="AE91" i="17"/>
  <c r="AE134" i="17"/>
  <c r="AD134" i="17"/>
  <c r="AA174" i="17"/>
  <c r="T158" i="17"/>
  <c r="U157" i="17" a="1"/>
  <c r="U157" i="17" s="1"/>
  <c r="Y157" i="17" s="1"/>
  <c r="AA129" i="17"/>
  <c r="AB128" i="17" a="1"/>
  <c r="AB128" i="17" s="1"/>
  <c r="AE128" i="17" s="1"/>
  <c r="Y127" i="17"/>
  <c r="AD150" i="17"/>
  <c r="V127" i="17"/>
  <c r="M107" i="17"/>
  <c r="AB121" i="17" a="1"/>
  <c r="AB121" i="17" s="1"/>
  <c r="AF121" i="17" s="1"/>
  <c r="AA122" i="17"/>
  <c r="AE83" i="17"/>
  <c r="AF83" i="17"/>
  <c r="AC83" i="17"/>
  <c r="AD83" i="17"/>
  <c r="AF171" i="17"/>
  <c r="AC171" i="17"/>
  <c r="AD114" i="17"/>
  <c r="AF91" i="17"/>
  <c r="V120" i="17"/>
  <c r="O90" i="17"/>
  <c r="M129" i="17"/>
  <c r="N128" i="17" a="1"/>
  <c r="N128" i="17" s="1"/>
  <c r="R128" i="17" s="1"/>
  <c r="M187" i="17"/>
  <c r="N186" i="17" a="1"/>
  <c r="N186" i="17" s="1"/>
  <c r="P186" i="17" s="1"/>
  <c r="P171" i="17"/>
  <c r="R171" i="17"/>
  <c r="X134" i="17"/>
  <c r="V149" i="17"/>
  <c r="W163" i="17"/>
  <c r="AA195" i="17"/>
  <c r="AC150" i="17"/>
  <c r="AA145" i="17"/>
  <c r="AE97" i="17"/>
  <c r="AD97" i="17"/>
  <c r="AB98" i="17" a="1"/>
  <c r="AB98" i="17" s="1"/>
  <c r="AE98" i="17" s="1"/>
  <c r="AA99" i="17"/>
  <c r="X127" i="17"/>
  <c r="AD142" i="17"/>
  <c r="AF142" i="17"/>
  <c r="AE142" i="17"/>
  <c r="X104" i="17"/>
  <c r="Y104" i="17"/>
  <c r="W104" i="17"/>
  <c r="V104" i="17"/>
  <c r="AC178" i="17"/>
  <c r="AD178" i="17"/>
  <c r="AB179" i="17" a="1"/>
  <c r="AB179" i="17" s="1"/>
  <c r="AF178" i="17"/>
  <c r="AE178" i="17"/>
  <c r="AE114" i="17"/>
  <c r="AB92" i="17" a="1"/>
  <c r="AB92" i="17" s="1"/>
  <c r="AF92" i="17" s="1"/>
  <c r="AA93" i="17"/>
  <c r="U121" i="17" a="1"/>
  <c r="U121" i="17" s="1"/>
  <c r="V121" i="17" s="1"/>
  <c r="T122" i="17"/>
  <c r="M100" i="17"/>
  <c r="O127" i="17"/>
  <c r="Q127" i="17"/>
  <c r="U150" i="17" a="1"/>
  <c r="U150" i="17" s="1"/>
  <c r="Y150" i="17" s="1"/>
  <c r="T151" i="17"/>
  <c r="V163" i="17"/>
  <c r="U135" i="17" a="1"/>
  <c r="U135" i="17" s="1"/>
  <c r="U136" i="17" s="1" a="1"/>
  <c r="U136" i="17" s="1"/>
  <c r="X136" i="17" s="1"/>
  <c r="R163" i="17"/>
  <c r="P163" i="17"/>
  <c r="O163" i="17"/>
  <c r="M182" i="17"/>
  <c r="U114" i="17" a="1"/>
  <c r="U114" i="17" s="1"/>
  <c r="Y114" i="17" s="1"/>
  <c r="T115" i="17"/>
  <c r="AB151" i="17" a="1"/>
  <c r="AB151" i="17" s="1"/>
  <c r="AE151" i="17" s="1"/>
  <c r="AA152" i="17"/>
  <c r="W127" i="17"/>
  <c r="T187" i="17"/>
  <c r="U186" i="17" a="1"/>
  <c r="U186" i="17" s="1"/>
  <c r="W186" i="17" s="1"/>
  <c r="N172" i="17" a="1"/>
  <c r="N172" i="17" s="1"/>
  <c r="R172" i="17" s="1"/>
  <c r="M173" i="17"/>
  <c r="Y178" i="17"/>
  <c r="AD90" i="17"/>
  <c r="AF90" i="17"/>
  <c r="AE90" i="17"/>
  <c r="Q178" i="17"/>
  <c r="P178" i="17"/>
  <c r="O178" i="17"/>
  <c r="W105" i="17"/>
  <c r="AA86" i="17"/>
  <c r="W120" i="17"/>
  <c r="N115" i="17" a="1"/>
  <c r="N115" i="17" s="1"/>
  <c r="P115" i="17" s="1"/>
  <c r="M116" i="17"/>
  <c r="Q90" i="17"/>
  <c r="R192" i="17"/>
  <c r="AD171" i="17"/>
  <c r="P185" i="17"/>
  <c r="Y171" i="17"/>
  <c r="Q171" i="17"/>
  <c r="AF185" i="17"/>
  <c r="Y156" i="17"/>
  <c r="X142" i="17"/>
  <c r="T165" i="17"/>
  <c r="U164" i="17" a="1"/>
  <c r="U164" i="17" s="1"/>
  <c r="V164" i="17" s="1"/>
  <c r="M152" i="17"/>
  <c r="V178" i="17"/>
  <c r="AC134" i="17"/>
  <c r="U84" i="17" a="1"/>
  <c r="U84" i="17" s="1"/>
  <c r="W84" i="17" s="1"/>
  <c r="T85" i="17"/>
  <c r="N157" i="17" a="1"/>
  <c r="N157" i="17" s="1"/>
  <c r="O157" i="17" s="1"/>
  <c r="M158" i="17"/>
  <c r="M166" i="17"/>
  <c r="Y90" i="17"/>
  <c r="X90" i="17"/>
  <c r="V192" i="17"/>
  <c r="Y192" i="17"/>
  <c r="W192" i="17"/>
  <c r="AE192" i="17"/>
  <c r="AD192" i="17"/>
  <c r="AC192" i="17"/>
  <c r="Y105" i="17"/>
  <c r="AB84" i="17" a="1"/>
  <c r="AB84" i="17" s="1"/>
  <c r="AB85" i="17" s="1" a="1"/>
  <c r="AB85" i="17" s="1"/>
  <c r="W97" i="17"/>
  <c r="Y120" i="17"/>
  <c r="P90" i="17"/>
  <c r="T94" i="17"/>
  <c r="R149" i="17"/>
  <c r="O149" i="17"/>
  <c r="AE185" i="17"/>
  <c r="AA167" i="17"/>
  <c r="U143" i="17" a="1"/>
  <c r="U143" i="17" s="1"/>
  <c r="Y143" i="17" s="1"/>
  <c r="T144" i="17"/>
  <c r="R97" i="17"/>
  <c r="O97" i="17"/>
  <c r="Q113" i="17"/>
  <c r="P113" i="17"/>
  <c r="O113" i="17"/>
  <c r="R113" i="17"/>
  <c r="M194" i="17"/>
  <c r="N193" i="17" a="1"/>
  <c r="N193" i="17" s="1"/>
  <c r="Q193" i="17" s="1"/>
  <c r="AD156" i="17"/>
  <c r="T173" i="17"/>
  <c r="U172" i="17" a="1"/>
  <c r="U172" i="17" s="1"/>
  <c r="Y172" i="17" s="1"/>
  <c r="AF134" i="17"/>
  <c r="O171" i="17"/>
  <c r="Q149" i="17"/>
  <c r="AB186" i="17" a="1"/>
  <c r="AB186" i="17" s="1"/>
  <c r="AE186" i="17" s="1"/>
  <c r="AA187" i="17"/>
  <c r="T137" i="17"/>
  <c r="X163" i="17"/>
  <c r="N150" i="17" a="1"/>
  <c r="N150" i="17" s="1"/>
  <c r="W178" i="17"/>
  <c r="AF156" i="17"/>
  <c r="Q97" i="17"/>
  <c r="AD113" i="17"/>
  <c r="AF113" i="17"/>
  <c r="W83" i="17"/>
  <c r="Q120" i="17"/>
  <c r="R120" i="17"/>
  <c r="N121" i="17" a="1"/>
  <c r="N121" i="17" s="1"/>
  <c r="AE163" i="17"/>
  <c r="AD163" i="17"/>
  <c r="AF163" i="17"/>
  <c r="U106" i="17" a="1"/>
  <c r="U106" i="17" s="1"/>
  <c r="V106" i="17" s="1"/>
  <c r="T107" i="17"/>
  <c r="V97" i="17"/>
  <c r="X97" i="17"/>
  <c r="AB105" i="17" a="1"/>
  <c r="AB105" i="17" s="1"/>
  <c r="AF105" i="17" s="1"/>
  <c r="AA106" i="17"/>
  <c r="U179" i="17" a="1"/>
  <c r="U179" i="17" s="1"/>
  <c r="W179" i="17" s="1"/>
  <c r="T180" i="17"/>
  <c r="AF150" i="17"/>
  <c r="P192" i="17"/>
  <c r="AA136" i="17"/>
  <c r="AB135" i="17" a="1"/>
  <c r="AB135" i="17" s="1"/>
  <c r="AF135" i="17" s="1"/>
  <c r="AC185" i="17"/>
  <c r="N135" i="17" a="1"/>
  <c r="N135" i="17" s="1"/>
  <c r="O135" i="17" s="1"/>
  <c r="M136" i="17"/>
  <c r="N164" i="17" a="1"/>
  <c r="N164" i="17" s="1"/>
  <c r="N165" i="17" s="1" a="1"/>
  <c r="N165" i="17" s="1"/>
  <c r="R104" i="17"/>
  <c r="Q104" i="17"/>
  <c r="O104" i="17"/>
  <c r="AD149" i="17"/>
  <c r="AE149" i="17"/>
  <c r="AA116" i="17"/>
  <c r="AB115" i="17" a="1"/>
  <c r="AB115" i="17" s="1"/>
  <c r="AC115" i="17" s="1"/>
  <c r="V105" i="17"/>
  <c r="W113" i="17"/>
  <c r="X113" i="17"/>
  <c r="V113" i="17"/>
  <c r="N98" i="17" a="1"/>
  <c r="N98" i="17" s="1"/>
  <c r="M92" i="17"/>
  <c r="N91" i="17" a="1"/>
  <c r="N91" i="17" s="1"/>
  <c r="Q91" i="17" s="1"/>
  <c r="W193" i="17" l="1"/>
  <c r="V193" i="17"/>
  <c r="U194" i="17" a="1"/>
  <c r="U194" i="17" s="1"/>
  <c r="U195" i="17" s="1" a="1"/>
  <c r="U195" i="17" s="1"/>
  <c r="Y195" i="17" s="1"/>
  <c r="AB194" i="17" a="1"/>
  <c r="AB194" i="17" s="1"/>
  <c r="AD194" i="17" s="1"/>
  <c r="AE193" i="17"/>
  <c r="AD193" i="17"/>
  <c r="AC193" i="17"/>
  <c r="AB165" i="17" a="1"/>
  <c r="AB165" i="17" s="1"/>
  <c r="AB166" i="17" s="1" a="1"/>
  <c r="AB166" i="17" s="1"/>
  <c r="AC166" i="17" s="1"/>
  <c r="AE164" i="17"/>
  <c r="P179" i="17"/>
  <c r="Y193" i="17"/>
  <c r="AD164" i="17"/>
  <c r="R135" i="17"/>
  <c r="Q179" i="17"/>
  <c r="R144" i="17"/>
  <c r="P144" i="17"/>
  <c r="O144" i="17"/>
  <c r="Q144" i="17"/>
  <c r="N145" i="17" a="1"/>
  <c r="N145" i="17" s="1"/>
  <c r="N180" i="17" a="1"/>
  <c r="N180" i="17" s="1"/>
  <c r="R180" i="17" s="1"/>
  <c r="O179" i="17"/>
  <c r="R115" i="17"/>
  <c r="R193" i="17"/>
  <c r="AC164" i="17"/>
  <c r="P193" i="17"/>
  <c r="O193" i="17"/>
  <c r="Q165" i="17"/>
  <c r="O165" i="17"/>
  <c r="R165" i="17"/>
  <c r="V186" i="17"/>
  <c r="N106" i="17" a="1"/>
  <c r="N106" i="17" s="1"/>
  <c r="Q106" i="17" s="1"/>
  <c r="W164" i="17"/>
  <c r="P105" i="17"/>
  <c r="Y106" i="17"/>
  <c r="P165" i="17"/>
  <c r="O105" i="17"/>
  <c r="R105" i="17"/>
  <c r="AC186" i="17"/>
  <c r="AD186" i="17"/>
  <c r="AF128" i="17"/>
  <c r="AF186" i="17"/>
  <c r="AD172" i="17"/>
  <c r="AD128" i="17"/>
  <c r="Y179" i="17"/>
  <c r="V114" i="17"/>
  <c r="W114" i="17"/>
  <c r="V179" i="17"/>
  <c r="AF172" i="17"/>
  <c r="AE172" i="17"/>
  <c r="AB173" i="17" a="1"/>
  <c r="AB173" i="17" s="1"/>
  <c r="AE173" i="17" s="1"/>
  <c r="AC151" i="17"/>
  <c r="AB144" i="17" a="1"/>
  <c r="AB144" i="17" s="1"/>
  <c r="AE144" i="17" s="1"/>
  <c r="AE143" i="17"/>
  <c r="AC143" i="17"/>
  <c r="AF151" i="17"/>
  <c r="AD151" i="17"/>
  <c r="AF143" i="17"/>
  <c r="X150" i="17"/>
  <c r="O172" i="17"/>
  <c r="Q186" i="17"/>
  <c r="R186" i="17"/>
  <c r="O84" i="17"/>
  <c r="R157" i="17"/>
  <c r="Q128" i="17"/>
  <c r="P84" i="17"/>
  <c r="X179" i="17"/>
  <c r="Q157" i="17"/>
  <c r="Q115" i="17"/>
  <c r="X114" i="17"/>
  <c r="W150" i="17"/>
  <c r="P128" i="17"/>
  <c r="R91" i="17"/>
  <c r="U92" i="17" a="1"/>
  <c r="U92" i="17" s="1"/>
  <c r="U93" i="17" s="1" a="1"/>
  <c r="U93" i="17" s="1"/>
  <c r="W93" i="17" s="1"/>
  <c r="X121" i="17"/>
  <c r="Y91" i="17"/>
  <c r="W91" i="17"/>
  <c r="Y121" i="17"/>
  <c r="V91" i="17"/>
  <c r="Q172" i="17"/>
  <c r="AC92" i="17"/>
  <c r="O91" i="17"/>
  <c r="AE92" i="17"/>
  <c r="V136" i="17"/>
  <c r="P91" i="17"/>
  <c r="Y136" i="17"/>
  <c r="W121" i="17"/>
  <c r="O186" i="17"/>
  <c r="AC121" i="17"/>
  <c r="R84" i="17"/>
  <c r="W136" i="17"/>
  <c r="O115" i="17"/>
  <c r="X129" i="17"/>
  <c r="P172" i="17"/>
  <c r="V129" i="17"/>
  <c r="AC135" i="17"/>
  <c r="X172" i="17"/>
  <c r="Y84" i="17"/>
  <c r="AD85" i="17"/>
  <c r="AE85" i="17"/>
  <c r="AF85" i="17"/>
  <c r="AC85" i="17"/>
  <c r="T95" i="17"/>
  <c r="M137" i="17"/>
  <c r="N136" i="17" a="1"/>
  <c r="N136" i="17" s="1"/>
  <c r="Q136" i="17" s="1"/>
  <c r="AD115" i="17"/>
  <c r="AD157" i="17"/>
  <c r="AC157" i="17"/>
  <c r="AE157" i="17"/>
  <c r="AF157" i="17"/>
  <c r="X186" i="17"/>
  <c r="AA153" i="17"/>
  <c r="AB152" i="17" a="1"/>
  <c r="AB152" i="17" s="1"/>
  <c r="AE152" i="17" s="1"/>
  <c r="U122" i="17" a="1"/>
  <c r="U122" i="17" s="1"/>
  <c r="V122" i="17" s="1"/>
  <c r="T123" i="17"/>
  <c r="AA123" i="17"/>
  <c r="AB122" i="17" a="1"/>
  <c r="AB122" i="17" s="1"/>
  <c r="AC122" i="17" s="1"/>
  <c r="V157" i="17"/>
  <c r="X98" i="17"/>
  <c r="Q98" i="17"/>
  <c r="R98" i="17"/>
  <c r="O98" i="17"/>
  <c r="P98" i="17"/>
  <c r="AE115" i="17"/>
  <c r="P164" i="17"/>
  <c r="O164" i="17"/>
  <c r="R164" i="17"/>
  <c r="Q164" i="17"/>
  <c r="AD135" i="17"/>
  <c r="T138" i="17"/>
  <c r="U137" i="17" a="1"/>
  <c r="U137" i="17" s="1"/>
  <c r="W137" i="17" s="1"/>
  <c r="AB187" i="17" a="1"/>
  <c r="AB187" i="17" s="1"/>
  <c r="AC187" i="17" s="1"/>
  <c r="AA188" i="17"/>
  <c r="V172" i="17"/>
  <c r="AA168" i="17"/>
  <c r="N166" i="17" a="1"/>
  <c r="N166" i="17" s="1"/>
  <c r="Q166" i="17" s="1"/>
  <c r="M167" i="17"/>
  <c r="P157" i="17"/>
  <c r="Y164" i="17"/>
  <c r="M117" i="17"/>
  <c r="N116" i="17" a="1"/>
  <c r="N116" i="17" s="1"/>
  <c r="P116" i="17" s="1"/>
  <c r="N173" i="17" a="1"/>
  <c r="N173" i="17" s="1"/>
  <c r="R173" i="17" s="1"/>
  <c r="M174" i="17"/>
  <c r="Y186" i="17"/>
  <c r="T152" i="17"/>
  <c r="U151" i="17" a="1"/>
  <c r="U151" i="17" s="1"/>
  <c r="X151" i="17" s="1"/>
  <c r="AD92" i="17"/>
  <c r="AF98" i="17"/>
  <c r="AA146" i="17"/>
  <c r="AA196" i="17"/>
  <c r="O128" i="17"/>
  <c r="AD121" i="17"/>
  <c r="AC128" i="17"/>
  <c r="W157" i="17"/>
  <c r="W129" i="17"/>
  <c r="M86" i="17"/>
  <c r="N85" i="17" a="1"/>
  <c r="N85" i="17" s="1"/>
  <c r="P85" i="17" s="1"/>
  <c r="V98" i="17"/>
  <c r="AA137" i="17"/>
  <c r="AB136" i="17" a="1"/>
  <c r="AB136" i="17" s="1"/>
  <c r="AF136" i="17" s="1"/>
  <c r="T181" i="17"/>
  <c r="U180" i="17" a="1"/>
  <c r="U180" i="17" s="1"/>
  <c r="V180" i="17" s="1"/>
  <c r="AA107" i="17"/>
  <c r="AB106" i="17" a="1"/>
  <c r="AB106" i="17" s="1"/>
  <c r="AE106" i="17" s="1"/>
  <c r="N158" i="17" a="1"/>
  <c r="N158" i="17" s="1"/>
  <c r="Q158" i="17" s="1"/>
  <c r="M159" i="17"/>
  <c r="T166" i="17"/>
  <c r="U165" i="17" a="1"/>
  <c r="U165" i="17" s="1"/>
  <c r="V165" i="17" s="1"/>
  <c r="M183" i="17"/>
  <c r="T197" i="17"/>
  <c r="AD98" i="17"/>
  <c r="AF115" i="17"/>
  <c r="P135" i="17"/>
  <c r="AE135" i="17"/>
  <c r="V84" i="17"/>
  <c r="AA87" i="17"/>
  <c r="AB86" i="17" a="1"/>
  <c r="AB86" i="17" s="1"/>
  <c r="AF86" i="17" s="1"/>
  <c r="T188" i="17"/>
  <c r="U187" i="17" a="1"/>
  <c r="U187" i="17" s="1"/>
  <c r="V187" i="17" s="1"/>
  <c r="V135" i="17"/>
  <c r="W135" i="17"/>
  <c r="X135" i="17"/>
  <c r="Y135" i="17"/>
  <c r="V150" i="17"/>
  <c r="AB99" i="17" a="1"/>
  <c r="AB99" i="17" s="1"/>
  <c r="AC99" i="17" s="1"/>
  <c r="AA100" i="17"/>
  <c r="AE121" i="17"/>
  <c r="X157" i="17"/>
  <c r="Y98" i="17"/>
  <c r="M93" i="17"/>
  <c r="N92" i="17" a="1"/>
  <c r="N92" i="17" s="1"/>
  <c r="P92" i="17" s="1"/>
  <c r="O150" i="17"/>
  <c r="P150" i="17"/>
  <c r="R150" i="17"/>
  <c r="Q150" i="17"/>
  <c r="W143" i="17"/>
  <c r="T86" i="17"/>
  <c r="U85" i="17" a="1"/>
  <c r="U85" i="17" s="1"/>
  <c r="Y85" i="17" s="1"/>
  <c r="M153" i="17"/>
  <c r="M101" i="17"/>
  <c r="T159" i="17"/>
  <c r="U158" i="17" a="1"/>
  <c r="U158" i="17" s="1"/>
  <c r="V158" i="17" s="1"/>
  <c r="AD105" i="17"/>
  <c r="X106" i="17"/>
  <c r="W172" i="17"/>
  <c r="T145" i="17"/>
  <c r="U144" i="17" a="1"/>
  <c r="U144" i="17" s="1"/>
  <c r="X144" i="17" s="1"/>
  <c r="AB116" i="17" a="1"/>
  <c r="AB116" i="17" s="1"/>
  <c r="AC116" i="17" s="1"/>
  <c r="AA117" i="17"/>
  <c r="Q135" i="17"/>
  <c r="AE105" i="17"/>
  <c r="T108" i="17"/>
  <c r="U107" i="17" a="1"/>
  <c r="U107" i="17" s="1"/>
  <c r="X107" i="17" s="1"/>
  <c r="N194" i="17" a="1"/>
  <c r="N194" i="17" s="1"/>
  <c r="P194" i="17" s="1"/>
  <c r="M195" i="17"/>
  <c r="V143" i="17"/>
  <c r="X84" i="17"/>
  <c r="X164" i="17"/>
  <c r="AC98" i="17"/>
  <c r="N129" i="17" a="1"/>
  <c r="N129" i="17" s="1"/>
  <c r="O129" i="17" s="1"/>
  <c r="M130" i="17"/>
  <c r="AB129" i="17" a="1"/>
  <c r="AB129" i="17" s="1"/>
  <c r="AE129" i="17" s="1"/>
  <c r="AA130" i="17"/>
  <c r="AA160" i="17"/>
  <c r="U130" i="17" a="1"/>
  <c r="U130" i="17" s="1"/>
  <c r="V130" i="17" s="1"/>
  <c r="T131" i="17"/>
  <c r="U99" i="17" a="1"/>
  <c r="U99" i="17" s="1"/>
  <c r="Y99" i="17" s="1"/>
  <c r="T100" i="17"/>
  <c r="AF179" i="17"/>
  <c r="AC179" i="17"/>
  <c r="AB180" i="17" a="1"/>
  <c r="AB180" i="17" s="1"/>
  <c r="AE179" i="17"/>
  <c r="AD179" i="17"/>
  <c r="M108" i="17"/>
  <c r="AC105" i="17"/>
  <c r="W106" i="17"/>
  <c r="X143" i="17"/>
  <c r="T116" i="17"/>
  <c r="U115" i="17" a="1"/>
  <c r="U115" i="17" s="1"/>
  <c r="V115" i="17" s="1"/>
  <c r="AB93" i="17" a="1"/>
  <c r="AB93" i="17" s="1"/>
  <c r="AD93" i="17" s="1"/>
  <c r="AA94" i="17"/>
  <c r="M188" i="17"/>
  <c r="N187" i="17" a="1"/>
  <c r="N187" i="17" s="1"/>
  <c r="R187" i="17" s="1"/>
  <c r="O121" i="17"/>
  <c r="N122" i="17" a="1"/>
  <c r="N122" i="17" s="1"/>
  <c r="P121" i="17"/>
  <c r="R121" i="17"/>
  <c r="Q121" i="17"/>
  <c r="T174" i="17"/>
  <c r="U173" i="17" a="1"/>
  <c r="U173" i="17" s="1"/>
  <c r="V173" i="17" s="1"/>
  <c r="AD84" i="17"/>
  <c r="AE84" i="17"/>
  <c r="AC84" i="17"/>
  <c r="AF84" i="17"/>
  <c r="N151" i="17" a="1"/>
  <c r="N151" i="17" s="1"/>
  <c r="N152" i="17" s="1" a="1"/>
  <c r="N152" i="17" s="1"/>
  <c r="N99" i="17" a="1"/>
  <c r="N99" i="17" s="1"/>
  <c r="N100" i="17" s="1" a="1"/>
  <c r="N100" i="17" s="1"/>
  <c r="O100" i="17" s="1"/>
  <c r="AA175" i="17"/>
  <c r="AB158" i="17" a="1"/>
  <c r="AB158" i="17" s="1"/>
  <c r="AB159" i="17" s="1" a="1"/>
  <c r="AB159" i="17" s="1"/>
  <c r="AA183" i="17"/>
  <c r="Y194" i="17" l="1"/>
  <c r="V194" i="17"/>
  <c r="N107" i="17" a="1"/>
  <c r="N107" i="17" s="1"/>
  <c r="R107" i="17" s="1"/>
  <c r="X194" i="17"/>
  <c r="W194" i="17"/>
  <c r="U196" i="17" a="1"/>
  <c r="U196" i="17" s="1"/>
  <c r="V196" i="17" s="1"/>
  <c r="V195" i="17"/>
  <c r="X195" i="17"/>
  <c r="W195" i="17"/>
  <c r="AB195" i="17" a="1"/>
  <c r="AB195" i="17" s="1"/>
  <c r="AF195" i="17" s="1"/>
  <c r="AE194" i="17"/>
  <c r="AD165" i="17"/>
  <c r="AF194" i="17"/>
  <c r="AE166" i="17"/>
  <c r="AF165" i="17"/>
  <c r="AD166" i="17"/>
  <c r="AF166" i="17"/>
  <c r="AC194" i="17"/>
  <c r="AB167" i="17" a="1"/>
  <c r="AB167" i="17" s="1"/>
  <c r="AD167" i="17" s="1"/>
  <c r="AC165" i="17"/>
  <c r="P106" i="17"/>
  <c r="AE165" i="17"/>
  <c r="R166" i="17"/>
  <c r="N181" i="17" a="1"/>
  <c r="N181" i="17" s="1"/>
  <c r="R181" i="17" s="1"/>
  <c r="R145" i="17"/>
  <c r="O145" i="17"/>
  <c r="P145" i="17"/>
  <c r="Q145" i="17"/>
  <c r="N146" i="17" a="1"/>
  <c r="N146" i="17" s="1"/>
  <c r="P180" i="17"/>
  <c r="Q180" i="17"/>
  <c r="O180" i="17"/>
  <c r="AF122" i="17"/>
  <c r="R106" i="17"/>
  <c r="Q194" i="17"/>
  <c r="X165" i="17"/>
  <c r="R194" i="17"/>
  <c r="O106" i="17"/>
  <c r="O194" i="17"/>
  <c r="W158" i="17"/>
  <c r="X158" i="17"/>
  <c r="AF159" i="17"/>
  <c r="AD159" i="17"/>
  <c r="W130" i="17"/>
  <c r="AE99" i="17"/>
  <c r="AF144" i="17"/>
  <c r="AF99" i="17"/>
  <c r="AF129" i="17"/>
  <c r="AD99" i="17"/>
  <c r="O166" i="17"/>
  <c r="AB174" i="17" a="1"/>
  <c r="AB174" i="17" s="1"/>
  <c r="AF174" i="17" s="1"/>
  <c r="AF93" i="17"/>
  <c r="AF173" i="17"/>
  <c r="O187" i="17"/>
  <c r="Q187" i="17"/>
  <c r="AC144" i="17"/>
  <c r="AD173" i="17"/>
  <c r="AC173" i="17"/>
  <c r="AC152" i="17"/>
  <c r="W173" i="17"/>
  <c r="AB145" i="17" a="1"/>
  <c r="AB145" i="17" s="1"/>
  <c r="AF145" i="17" s="1"/>
  <c r="AD144" i="17"/>
  <c r="Y173" i="17"/>
  <c r="X173" i="17"/>
  <c r="O158" i="17"/>
  <c r="P173" i="17"/>
  <c r="V144" i="17"/>
  <c r="P158" i="17"/>
  <c r="Y144" i="17"/>
  <c r="O173" i="17"/>
  <c r="AF152" i="17"/>
  <c r="AE93" i="17"/>
  <c r="AD116" i="17"/>
  <c r="Q85" i="17"/>
  <c r="Q173" i="17"/>
  <c r="AC93" i="17"/>
  <c r="AF116" i="17"/>
  <c r="AE116" i="17"/>
  <c r="AD86" i="17"/>
  <c r="W92" i="17"/>
  <c r="X92" i="17"/>
  <c r="V93" i="17"/>
  <c r="V92" i="17"/>
  <c r="Y92" i="17"/>
  <c r="X93" i="17"/>
  <c r="Y93" i="17"/>
  <c r="U94" i="17" a="1"/>
  <c r="U94" i="17" s="1"/>
  <c r="W94" i="17" s="1"/>
  <c r="O152" i="17"/>
  <c r="P152" i="17"/>
  <c r="R152" i="17"/>
  <c r="AF106" i="17"/>
  <c r="V107" i="17"/>
  <c r="Y137" i="17"/>
  <c r="Y107" i="17"/>
  <c r="V137" i="17"/>
  <c r="AE122" i="17"/>
  <c r="AD129" i="17"/>
  <c r="W144" i="17"/>
  <c r="R158" i="17"/>
  <c r="AD136" i="17"/>
  <c r="O116" i="17"/>
  <c r="AD122" i="17"/>
  <c r="AC129" i="17"/>
  <c r="V85" i="17"/>
  <c r="Q116" i="17"/>
  <c r="X137" i="17"/>
  <c r="W107" i="17"/>
  <c r="W85" i="17"/>
  <c r="R116" i="17"/>
  <c r="Y122" i="17"/>
  <c r="AB87" i="17" a="1"/>
  <c r="AB87" i="17" s="1"/>
  <c r="AE87" i="17" s="1"/>
  <c r="AA88" i="17"/>
  <c r="N174" i="17" a="1"/>
  <c r="N174" i="17" s="1"/>
  <c r="P174" i="17" s="1"/>
  <c r="M175" i="17"/>
  <c r="N167" i="17" a="1"/>
  <c r="N167" i="17" s="1"/>
  <c r="Q167" i="17" s="1"/>
  <c r="M168" i="17"/>
  <c r="O92" i="17"/>
  <c r="Q99" i="17"/>
  <c r="R99" i="17"/>
  <c r="P99" i="17"/>
  <c r="O99" i="17"/>
  <c r="W115" i="17"/>
  <c r="U131" i="17" a="1"/>
  <c r="U131" i="17" s="1"/>
  <c r="X131" i="17" s="1"/>
  <c r="T132" i="17"/>
  <c r="AE159" i="17"/>
  <c r="N195" i="17" a="1"/>
  <c r="N195" i="17" s="1"/>
  <c r="Q195" i="17" s="1"/>
  <c r="M196" i="17"/>
  <c r="U145" i="17" a="1"/>
  <c r="U145" i="17" s="1"/>
  <c r="Y145" i="17" s="1"/>
  <c r="T146" i="17"/>
  <c r="P100" i="17"/>
  <c r="AC136" i="17"/>
  <c r="R85" i="17"/>
  <c r="T124" i="17"/>
  <c r="U123" i="17" a="1"/>
  <c r="U123" i="17" s="1"/>
  <c r="Y123" i="17" s="1"/>
  <c r="AC158" i="17"/>
  <c r="AD158" i="17"/>
  <c r="AE158" i="17"/>
  <c r="AF158" i="17"/>
  <c r="R151" i="17"/>
  <c r="Q151" i="17"/>
  <c r="P151" i="17"/>
  <c r="O151" i="17"/>
  <c r="X115" i="17"/>
  <c r="AC159" i="17"/>
  <c r="U108" i="17" a="1"/>
  <c r="U108" i="17" s="1"/>
  <c r="V108" i="17" s="1"/>
  <c r="T109" i="17"/>
  <c r="Y158" i="17"/>
  <c r="R100" i="17"/>
  <c r="Q152" i="17"/>
  <c r="R92" i="17"/>
  <c r="AE86" i="17"/>
  <c r="W165" i="17"/>
  <c r="W180" i="17"/>
  <c r="AE136" i="17"/>
  <c r="N86" i="17" a="1"/>
  <c r="N86" i="17" s="1"/>
  <c r="R86" i="17" s="1"/>
  <c r="M87" i="17"/>
  <c r="V151" i="17"/>
  <c r="N117" i="17" a="1"/>
  <c r="N117" i="17" s="1"/>
  <c r="P117" i="17" s="1"/>
  <c r="M118" i="17"/>
  <c r="AF187" i="17"/>
  <c r="W122" i="17"/>
  <c r="AD152" i="17"/>
  <c r="M138" i="17"/>
  <c r="N137" i="17" a="1"/>
  <c r="N137" i="17" s="1"/>
  <c r="O137" i="17" s="1"/>
  <c r="U100" i="17" a="1"/>
  <c r="U100" i="17" s="1"/>
  <c r="X100" i="17" s="1"/>
  <c r="T101" i="17"/>
  <c r="AE180" i="17"/>
  <c r="AC180" i="17"/>
  <c r="AD180" i="17"/>
  <c r="AF180" i="17"/>
  <c r="AB181" i="17" a="1"/>
  <c r="AB181" i="17" s="1"/>
  <c r="AA108" i="17"/>
  <c r="AB107" i="17" a="1"/>
  <c r="AB107" i="17" s="1"/>
  <c r="AC107" i="17" s="1"/>
  <c r="Q92" i="17"/>
  <c r="AB100" i="17" a="1"/>
  <c r="AB100" i="17" s="1"/>
  <c r="AF100" i="17" s="1"/>
  <c r="AA101" i="17"/>
  <c r="T189" i="17"/>
  <c r="U188" i="17" a="1"/>
  <c r="U188" i="17" s="1"/>
  <c r="V188" i="17" s="1"/>
  <c r="R136" i="17"/>
  <c r="Y115" i="17"/>
  <c r="V99" i="17"/>
  <c r="P129" i="17"/>
  <c r="N101" i="17" a="1"/>
  <c r="N101" i="17" s="1"/>
  <c r="R101" i="17" s="1"/>
  <c r="M102" i="17"/>
  <c r="N93" i="17" a="1"/>
  <c r="N93" i="17" s="1"/>
  <c r="R93" i="17" s="1"/>
  <c r="M94" i="17"/>
  <c r="Y165" i="17"/>
  <c r="AB188" i="17" a="1"/>
  <c r="AB188" i="17" s="1"/>
  <c r="AD188" i="17" s="1"/>
  <c r="AA189" i="17"/>
  <c r="P187" i="17"/>
  <c r="T117" i="17"/>
  <c r="U116" i="17" a="1"/>
  <c r="U116" i="17" s="1"/>
  <c r="W116" i="17" s="1"/>
  <c r="W99" i="17"/>
  <c r="Y130" i="17"/>
  <c r="AB160" i="17" a="1"/>
  <c r="AB160" i="17" s="1"/>
  <c r="AC160" i="17" s="1"/>
  <c r="AA161" i="17"/>
  <c r="M131" i="17"/>
  <c r="N130" i="17" a="1"/>
  <c r="N130" i="17" s="1"/>
  <c r="P130" i="17" s="1"/>
  <c r="T167" i="17"/>
  <c r="U166" i="17" a="1"/>
  <c r="U166" i="17" s="1"/>
  <c r="Y166" i="17" s="1"/>
  <c r="AC106" i="17"/>
  <c r="Y180" i="17"/>
  <c r="AB137" i="17" a="1"/>
  <c r="AB137" i="17" s="1"/>
  <c r="AF137" i="17" s="1"/>
  <c r="AA138" i="17"/>
  <c r="AA147" i="17"/>
  <c r="Y151" i="17"/>
  <c r="AE187" i="17"/>
  <c r="AB153" i="17" a="1"/>
  <c r="AB153" i="17" s="1"/>
  <c r="AF153" i="17" s="1"/>
  <c r="AA154" i="17"/>
  <c r="O136" i="17"/>
  <c r="W151" i="17"/>
  <c r="P166" i="17"/>
  <c r="AD187" i="17"/>
  <c r="U138" i="17" a="1"/>
  <c r="U138" i="17" s="1"/>
  <c r="Y138" i="17" s="1"/>
  <c r="T139" i="17"/>
  <c r="AB123" i="17" a="1"/>
  <c r="AB123" i="17" s="1"/>
  <c r="AD123" i="17" s="1"/>
  <c r="AA124" i="17"/>
  <c r="X122" i="17"/>
  <c r="N123" i="17" a="1"/>
  <c r="N123" i="17" s="1"/>
  <c r="O122" i="17"/>
  <c r="P122" i="17"/>
  <c r="R122" i="17"/>
  <c r="Q122" i="17"/>
  <c r="Q129" i="17"/>
  <c r="Q100" i="17"/>
  <c r="Y187" i="17"/>
  <c r="P136" i="17"/>
  <c r="N159" i="17" a="1"/>
  <c r="N159" i="17" s="1"/>
  <c r="Q159" i="17" s="1"/>
  <c r="M160" i="17"/>
  <c r="T153" i="17"/>
  <c r="U152" i="17" a="1"/>
  <c r="U152" i="17" s="1"/>
  <c r="X152" i="17" s="1"/>
  <c r="U174" i="17" a="1"/>
  <c r="U174" i="17" s="1"/>
  <c r="V174" i="17" s="1"/>
  <c r="T175" i="17"/>
  <c r="X180" i="17"/>
  <c r="O85" i="17"/>
  <c r="AA176" i="17"/>
  <c r="T87" i="17"/>
  <c r="U86" i="17" a="1"/>
  <c r="U86" i="17" s="1"/>
  <c r="X86" i="17" s="1"/>
  <c r="W187" i="17"/>
  <c r="AB94" i="17" a="1"/>
  <c r="AB94" i="17" s="1"/>
  <c r="AD94" i="17" s="1"/>
  <c r="AA95" i="17"/>
  <c r="M109" i="17"/>
  <c r="X99" i="17"/>
  <c r="X130" i="17"/>
  <c r="AB130" i="17" a="1"/>
  <c r="AB130" i="17" s="1"/>
  <c r="AE130" i="17" s="1"/>
  <c r="AA131" i="17"/>
  <c r="R129" i="17"/>
  <c r="AB117" i="17" a="1"/>
  <c r="AB117" i="17" s="1"/>
  <c r="AF117" i="17" s="1"/>
  <c r="AA118" i="17"/>
  <c r="U159" i="17" a="1"/>
  <c r="U159" i="17" s="1"/>
  <c r="X159" i="17" s="1"/>
  <c r="T160" i="17"/>
  <c r="M154" i="17"/>
  <c r="N153" i="17" a="1"/>
  <c r="N153" i="17" s="1"/>
  <c r="O153" i="17" s="1"/>
  <c r="X85" i="17"/>
  <c r="X187" i="17"/>
  <c r="AC86" i="17"/>
  <c r="AD106" i="17"/>
  <c r="U181" i="17" a="1"/>
  <c r="U181" i="17" s="1"/>
  <c r="W181" i="17" s="1"/>
  <c r="T182" i="17"/>
  <c r="N188" i="17" a="1"/>
  <c r="N188" i="17" s="1"/>
  <c r="Q188" i="17" s="1"/>
  <c r="M189" i="17"/>
  <c r="AA197" i="17"/>
  <c r="O107" i="17" l="1"/>
  <c r="X196" i="17"/>
  <c r="U197" i="17" a="1"/>
  <c r="U197" i="17" s="1"/>
  <c r="X197" i="17" s="1"/>
  <c r="Y196" i="17"/>
  <c r="P107" i="17"/>
  <c r="N108" i="17" a="1"/>
  <c r="N108" i="17" s="1"/>
  <c r="R108" i="17" s="1"/>
  <c r="Q107" i="17"/>
  <c r="W196" i="17"/>
  <c r="AB168" i="17" a="1"/>
  <c r="AB168" i="17" s="1"/>
  <c r="AD168" i="17" s="1"/>
  <c r="AB196" i="17" a="1"/>
  <c r="AB196" i="17" s="1"/>
  <c r="AE196" i="17" s="1"/>
  <c r="AF167" i="17"/>
  <c r="AE167" i="17"/>
  <c r="AC167" i="17"/>
  <c r="AE195" i="17"/>
  <c r="AD195" i="17"/>
  <c r="AC195" i="17"/>
  <c r="P181" i="17"/>
  <c r="O181" i="17"/>
  <c r="N182" i="17" a="1"/>
  <c r="N182" i="17" s="1"/>
  <c r="N183" i="17" s="1" a="1"/>
  <c r="N183" i="17" s="1"/>
  <c r="R183" i="17" s="1"/>
  <c r="Q181" i="17"/>
  <c r="Q146" i="17"/>
  <c r="P146" i="17"/>
  <c r="R146" i="17"/>
  <c r="O146" i="17"/>
  <c r="N147" i="17" a="1"/>
  <c r="N147" i="17" s="1"/>
  <c r="AD107" i="17"/>
  <c r="AF123" i="17"/>
  <c r="AD160" i="17"/>
  <c r="AE188" i="17"/>
  <c r="AF130" i="17"/>
  <c r="X138" i="17"/>
  <c r="V166" i="17"/>
  <c r="Y100" i="17"/>
  <c r="AE160" i="17"/>
  <c r="AF188" i="17"/>
  <c r="Y188" i="17"/>
  <c r="Q117" i="17"/>
  <c r="AB175" i="17" a="1"/>
  <c r="AB175" i="17" s="1"/>
  <c r="AF175" i="17" s="1"/>
  <c r="AE174" i="17"/>
  <c r="AD174" i="17"/>
  <c r="W188" i="17"/>
  <c r="R130" i="17"/>
  <c r="AC188" i="17"/>
  <c r="X188" i="17"/>
  <c r="AD137" i="17"/>
  <c r="Q130" i="17"/>
  <c r="R167" i="17"/>
  <c r="O167" i="17"/>
  <c r="AC174" i="17"/>
  <c r="R117" i="17"/>
  <c r="O117" i="17"/>
  <c r="AC145" i="17"/>
  <c r="AD145" i="17"/>
  <c r="AE145" i="17"/>
  <c r="AB146" i="17" a="1"/>
  <c r="AB146" i="17" s="1"/>
  <c r="AC146" i="17" s="1"/>
  <c r="P188" i="17"/>
  <c r="W152" i="17"/>
  <c r="X145" i="17"/>
  <c r="X181" i="17"/>
  <c r="AE123" i="17"/>
  <c r="V181" i="17"/>
  <c r="AC123" i="17"/>
  <c r="AE153" i="17"/>
  <c r="AF87" i="17"/>
  <c r="P101" i="17"/>
  <c r="R159" i="17"/>
  <c r="O86" i="17"/>
  <c r="O93" i="17"/>
  <c r="Q93" i="17"/>
  <c r="P93" i="17"/>
  <c r="X94" i="17"/>
  <c r="V94" i="17"/>
  <c r="V123" i="17"/>
  <c r="W123" i="17"/>
  <c r="Y94" i="17"/>
  <c r="U95" i="17" a="1"/>
  <c r="U95" i="17" s="1"/>
  <c r="Q137" i="17"/>
  <c r="Y152" i="17"/>
  <c r="O159" i="17"/>
  <c r="R137" i="17"/>
  <c r="V152" i="17"/>
  <c r="P159" i="17"/>
  <c r="AC117" i="17"/>
  <c r="X174" i="17"/>
  <c r="X123" i="17"/>
  <c r="O188" i="17"/>
  <c r="Y181" i="17"/>
  <c r="R153" i="17"/>
  <c r="Q101" i="17"/>
  <c r="AF107" i="17"/>
  <c r="W108" i="17"/>
  <c r="P137" i="17"/>
  <c r="AD130" i="17"/>
  <c r="Y108" i="17"/>
  <c r="V131" i="17"/>
  <c r="O174" i="17"/>
  <c r="R188" i="17"/>
  <c r="AC130" i="17"/>
  <c r="V138" i="17"/>
  <c r="AC137" i="17"/>
  <c r="O130" i="17"/>
  <c r="X108" i="17"/>
  <c r="Y131" i="17"/>
  <c r="T168" i="17"/>
  <c r="U167" i="17" a="1"/>
  <c r="U167" i="17" s="1"/>
  <c r="V167" i="17" s="1"/>
  <c r="N168" i="17" a="1"/>
  <c r="N168" i="17" s="1"/>
  <c r="O168" i="17" s="1"/>
  <c r="T102" i="17"/>
  <c r="U101" i="17" a="1"/>
  <c r="U101" i="17" s="1"/>
  <c r="Y101" i="17" s="1"/>
  <c r="AE94" i="17"/>
  <c r="V86" i="17"/>
  <c r="AF181" i="17"/>
  <c r="AC181" i="17"/>
  <c r="AE181" i="17"/>
  <c r="AD181" i="17"/>
  <c r="AB182" i="17" a="1"/>
  <c r="AB182" i="17" s="1"/>
  <c r="U132" i="17" a="1"/>
  <c r="U132" i="17" s="1"/>
  <c r="X132" i="17" s="1"/>
  <c r="U182" i="17" a="1"/>
  <c r="U182" i="17" s="1"/>
  <c r="V182" i="17" s="1"/>
  <c r="T183" i="17"/>
  <c r="Q153" i="17"/>
  <c r="AD117" i="17"/>
  <c r="AC94" i="17"/>
  <c r="Y86" i="17"/>
  <c r="AB154" i="17" a="1"/>
  <c r="AB154" i="17" s="1"/>
  <c r="AE154" i="17" s="1"/>
  <c r="X166" i="17"/>
  <c r="AF160" i="17"/>
  <c r="Y116" i="17"/>
  <c r="O101" i="17"/>
  <c r="AE107" i="17"/>
  <c r="W100" i="17"/>
  <c r="Q86" i="17"/>
  <c r="V145" i="17"/>
  <c r="O195" i="17"/>
  <c r="W131" i="17"/>
  <c r="R174" i="17"/>
  <c r="AC87" i="17"/>
  <c r="W159" i="17"/>
  <c r="AB88" i="17" a="1"/>
  <c r="AB88" i="17" s="1"/>
  <c r="AC88" i="17" s="1"/>
  <c r="AF94" i="17"/>
  <c r="W174" i="17"/>
  <c r="P86" i="17"/>
  <c r="Y159" i="17"/>
  <c r="AE117" i="17"/>
  <c r="N124" i="17" a="1"/>
  <c r="N124" i="17" s="1"/>
  <c r="P123" i="17"/>
  <c r="R123" i="17"/>
  <c r="Q123" i="17"/>
  <c r="O123" i="17"/>
  <c r="W138" i="17"/>
  <c r="AC153" i="17"/>
  <c r="AE137" i="17"/>
  <c r="W166" i="17"/>
  <c r="U117" i="17" a="1"/>
  <c r="U117" i="17" s="1"/>
  <c r="W117" i="17" s="1"/>
  <c r="T118" i="17"/>
  <c r="AC100" i="17"/>
  <c r="W145" i="17"/>
  <c r="R195" i="17"/>
  <c r="Q174" i="17"/>
  <c r="AD87" i="17"/>
  <c r="AB95" i="17" a="1"/>
  <c r="AB95" i="17" s="1"/>
  <c r="AD95" i="17" s="1"/>
  <c r="W86" i="17"/>
  <c r="T176" i="17"/>
  <c r="U175" i="17" a="1"/>
  <c r="U175" i="17" s="1"/>
  <c r="X175" i="17" s="1"/>
  <c r="T154" i="17"/>
  <c r="U153" i="17" a="1"/>
  <c r="U153" i="17" s="1"/>
  <c r="X153" i="17" s="1"/>
  <c r="AD100" i="17"/>
  <c r="X116" i="17"/>
  <c r="AE100" i="17"/>
  <c r="U189" i="17" a="1"/>
  <c r="U189" i="17" s="1"/>
  <c r="V189" i="17" s="1"/>
  <c r="T190" i="17"/>
  <c r="V100" i="17"/>
  <c r="M139" i="17"/>
  <c r="N138" i="17" a="1"/>
  <c r="N138" i="17" s="1"/>
  <c r="Q138" i="17" s="1"/>
  <c r="T88" i="17"/>
  <c r="U87" i="17" a="1"/>
  <c r="U87" i="17" s="1"/>
  <c r="X87" i="17" s="1"/>
  <c r="V159" i="17"/>
  <c r="Y174" i="17"/>
  <c r="AD153" i="17"/>
  <c r="N94" i="17" a="1"/>
  <c r="N94" i="17" s="1"/>
  <c r="Q94" i="17" s="1"/>
  <c r="M95" i="17"/>
  <c r="N102" i="17" a="1"/>
  <c r="N102" i="17" s="1"/>
  <c r="O102" i="17" s="1"/>
  <c r="AB108" i="17" a="1"/>
  <c r="AB108" i="17" s="1"/>
  <c r="AC108" i="17" s="1"/>
  <c r="AA109" i="17"/>
  <c r="U109" i="17" a="1"/>
  <c r="U109" i="17" s="1"/>
  <c r="V109" i="17" s="1"/>
  <c r="P195" i="17"/>
  <c r="P167" i="17"/>
  <c r="M176" i="17"/>
  <c r="N175" i="17" a="1"/>
  <c r="N175" i="17" s="1"/>
  <c r="O175" i="17" s="1"/>
  <c r="M88" i="17"/>
  <c r="N87" i="17" a="1"/>
  <c r="N87" i="17" s="1"/>
  <c r="R87" i="17" s="1"/>
  <c r="N189" i="17" a="1"/>
  <c r="N189" i="17" s="1"/>
  <c r="O189" i="17" s="1"/>
  <c r="M190" i="17"/>
  <c r="AB161" i="17" a="1"/>
  <c r="AB161" i="17" s="1"/>
  <c r="AE161" i="17" s="1"/>
  <c r="V116" i="17"/>
  <c r="P153" i="17"/>
  <c r="AA132" i="17"/>
  <c r="AB131" i="17" a="1"/>
  <c r="AB131" i="17" s="1"/>
  <c r="AD131" i="17" s="1"/>
  <c r="M197" i="17"/>
  <c r="N196" i="17" a="1"/>
  <c r="N196" i="17" s="1"/>
  <c r="P196" i="17" s="1"/>
  <c r="N154" i="17" a="1"/>
  <c r="N154" i="17" s="1"/>
  <c r="Q154" i="17" s="1"/>
  <c r="AB118" i="17" a="1"/>
  <c r="AB118" i="17" s="1"/>
  <c r="AE118" i="17" s="1"/>
  <c r="M161" i="17"/>
  <c r="N160" i="17" a="1"/>
  <c r="N160" i="17" s="1"/>
  <c r="Q160" i="17" s="1"/>
  <c r="AB124" i="17" a="1"/>
  <c r="AB124" i="17" s="1"/>
  <c r="AC124" i="17" s="1"/>
  <c r="AA125" i="17"/>
  <c r="AB138" i="17" a="1"/>
  <c r="AB138" i="17" s="1"/>
  <c r="AF138" i="17" s="1"/>
  <c r="AA139" i="17"/>
  <c r="U160" i="17" a="1"/>
  <c r="U160" i="17" s="1"/>
  <c r="X160" i="17" s="1"/>
  <c r="T161" i="17"/>
  <c r="U139" i="17" a="1"/>
  <c r="U139" i="17" s="1"/>
  <c r="V139" i="17" s="1"/>
  <c r="N131" i="17" a="1"/>
  <c r="N131" i="17" s="1"/>
  <c r="P131" i="17" s="1"/>
  <c r="M132" i="17"/>
  <c r="AA190" i="17"/>
  <c r="AB189" i="17" a="1"/>
  <c r="AB189" i="17" s="1"/>
  <c r="AF189" i="17" s="1"/>
  <c r="AA102" i="17"/>
  <c r="AB101" i="17" a="1"/>
  <c r="AB101" i="17" s="1"/>
  <c r="AD101" i="17" s="1"/>
  <c r="N118" i="17" a="1"/>
  <c r="N118" i="17" s="1"/>
  <c r="O118" i="17" s="1"/>
  <c r="U124" i="17" a="1"/>
  <c r="U124" i="17" s="1"/>
  <c r="Y124" i="17" s="1"/>
  <c r="T125" i="17"/>
  <c r="U146" i="17" a="1"/>
  <c r="U146" i="17" s="1"/>
  <c r="W146" i="17" s="1"/>
  <c r="T147" i="17"/>
  <c r="W197" i="17" l="1"/>
  <c r="V197" i="17"/>
  <c r="Y197" i="17"/>
  <c r="N109" i="17" a="1"/>
  <c r="N109" i="17" s="1"/>
  <c r="P109" i="17" s="1"/>
  <c r="O108" i="17"/>
  <c r="P108" i="17"/>
  <c r="Q108" i="17"/>
  <c r="AB197" i="17" a="1"/>
  <c r="AB197" i="17" s="1"/>
  <c r="AD197" i="17" s="1"/>
  <c r="AF196" i="17"/>
  <c r="AD196" i="17"/>
  <c r="AC168" i="17"/>
  <c r="AC196" i="17"/>
  <c r="AF168" i="17"/>
  <c r="AE168" i="17"/>
  <c r="Q183" i="17"/>
  <c r="Q182" i="17"/>
  <c r="P183" i="17"/>
  <c r="O183" i="17"/>
  <c r="O182" i="17"/>
  <c r="P182" i="17"/>
  <c r="R182" i="17"/>
  <c r="O147" i="17"/>
  <c r="P147" i="17"/>
  <c r="Q147" i="17"/>
  <c r="R147" i="17"/>
  <c r="AB176" i="17" a="1"/>
  <c r="AB176" i="17" s="1"/>
  <c r="AF176" i="17" s="1"/>
  <c r="AF146" i="17"/>
  <c r="AC189" i="17"/>
  <c r="AC131" i="17"/>
  <c r="O138" i="17"/>
  <c r="AC161" i="17"/>
  <c r="AD189" i="17"/>
  <c r="V160" i="17"/>
  <c r="R138" i="17"/>
  <c r="AD175" i="17"/>
  <c r="X167" i="17"/>
  <c r="Y160" i="17"/>
  <c r="AE175" i="17"/>
  <c r="AE131" i="17"/>
  <c r="AF161" i="17"/>
  <c r="W109" i="17"/>
  <c r="P138" i="17"/>
  <c r="Y167" i="17"/>
  <c r="Q196" i="17"/>
  <c r="AC175" i="17"/>
  <c r="O196" i="17"/>
  <c r="P102" i="17"/>
  <c r="P168" i="17"/>
  <c r="R102" i="17"/>
  <c r="AB147" i="17" a="1"/>
  <c r="AB147" i="17" s="1"/>
  <c r="AD147" i="17" s="1"/>
  <c r="R131" i="17"/>
  <c r="AF118" i="17"/>
  <c r="AD146" i="17"/>
  <c r="AE146" i="17"/>
  <c r="AD118" i="17"/>
  <c r="W87" i="17"/>
  <c r="O154" i="17"/>
  <c r="P154" i="17"/>
  <c r="P189" i="17"/>
  <c r="AC118" i="17"/>
  <c r="X146" i="17"/>
  <c r="R154" i="17"/>
  <c r="Y175" i="17"/>
  <c r="W95" i="17"/>
  <c r="Y95" i="17"/>
  <c r="V95" i="17"/>
  <c r="X95" i="17"/>
  <c r="AE101" i="17"/>
  <c r="AC101" i="17"/>
  <c r="Q131" i="17"/>
  <c r="AF131" i="17"/>
  <c r="W175" i="17"/>
  <c r="V132" i="17"/>
  <c r="AF101" i="17"/>
  <c r="V117" i="17"/>
  <c r="X182" i="17"/>
  <c r="V101" i="17"/>
  <c r="P94" i="17"/>
  <c r="R118" i="17"/>
  <c r="P87" i="17"/>
  <c r="AE108" i="17"/>
  <c r="O94" i="17"/>
  <c r="V175" i="17"/>
  <c r="P118" i="17"/>
  <c r="AF108" i="17"/>
  <c r="R94" i="17"/>
  <c r="V87" i="17"/>
  <c r="AE95" i="17"/>
  <c r="X117" i="17"/>
  <c r="AF154" i="17"/>
  <c r="Y182" i="17"/>
  <c r="X101" i="17"/>
  <c r="Y87" i="17"/>
  <c r="AF95" i="17"/>
  <c r="AC154" i="17"/>
  <c r="AB190" i="17" a="1"/>
  <c r="AB190" i="17" s="1"/>
  <c r="AE190" i="17" s="1"/>
  <c r="P175" i="17"/>
  <c r="Y109" i="17"/>
  <c r="AB109" i="17" a="1"/>
  <c r="AB109" i="17" s="1"/>
  <c r="AC109" i="17" s="1"/>
  <c r="N139" i="17" a="1"/>
  <c r="N139" i="17" s="1"/>
  <c r="P139" i="17" s="1"/>
  <c r="W189" i="17"/>
  <c r="W153" i="17"/>
  <c r="Y117" i="17"/>
  <c r="W182" i="17"/>
  <c r="W132" i="17"/>
  <c r="U168" i="17" a="1"/>
  <c r="U168" i="17" s="1"/>
  <c r="Y168" i="17" s="1"/>
  <c r="V124" i="17"/>
  <c r="Q118" i="17"/>
  <c r="AB102" i="17" a="1"/>
  <c r="AB102" i="17" s="1"/>
  <c r="AF102" i="17" s="1"/>
  <c r="O131" i="17"/>
  <c r="W139" i="17"/>
  <c r="AC138" i="17"/>
  <c r="AE124" i="17"/>
  <c r="R160" i="17"/>
  <c r="R196" i="17"/>
  <c r="AB132" i="17" a="1"/>
  <c r="AB132" i="17" s="1"/>
  <c r="AC132" i="17" s="1"/>
  <c r="R175" i="17"/>
  <c r="X109" i="17"/>
  <c r="X189" i="17"/>
  <c r="V153" i="17"/>
  <c r="U118" i="17" a="1"/>
  <c r="U118" i="17" s="1"/>
  <c r="W118" i="17" s="1"/>
  <c r="AD88" i="17"/>
  <c r="U183" i="17" a="1"/>
  <c r="U183" i="17" s="1"/>
  <c r="Y183" i="17" s="1"/>
  <c r="AE182" i="17"/>
  <c r="AC182" i="17"/>
  <c r="AF182" i="17"/>
  <c r="AD182" i="17"/>
  <c r="AB183" i="17" a="1"/>
  <c r="AB183" i="17" s="1"/>
  <c r="R168" i="17"/>
  <c r="W167" i="17"/>
  <c r="X139" i="17"/>
  <c r="AB125" i="17" a="1"/>
  <c r="AB125" i="17" s="1"/>
  <c r="AF125" i="17" s="1"/>
  <c r="O160" i="17"/>
  <c r="U154" i="17" a="1"/>
  <c r="U154" i="17" s="1"/>
  <c r="Y154" i="17" s="1"/>
  <c r="U176" i="17" a="1"/>
  <c r="U176" i="17" s="1"/>
  <c r="Y176" i="17" s="1"/>
  <c r="V146" i="17"/>
  <c r="Y139" i="17"/>
  <c r="W124" i="17"/>
  <c r="AD138" i="17"/>
  <c r="N197" i="17" a="1"/>
  <c r="N197" i="17" s="1"/>
  <c r="R197" i="17" s="1"/>
  <c r="Y153" i="17"/>
  <c r="Q168" i="17"/>
  <c r="Y146" i="17"/>
  <c r="X124" i="17"/>
  <c r="N132" i="17" a="1"/>
  <c r="N132" i="17" s="1"/>
  <c r="P132" i="17" s="1"/>
  <c r="W160" i="17"/>
  <c r="AE138" i="17"/>
  <c r="AD124" i="17"/>
  <c r="Q189" i="17"/>
  <c r="Q87" i="17"/>
  <c r="Q175" i="17"/>
  <c r="Q102" i="17"/>
  <c r="N95" i="17" a="1"/>
  <c r="N95" i="17" s="1"/>
  <c r="P95" i="17" s="1"/>
  <c r="P124" i="17"/>
  <c r="O124" i="17"/>
  <c r="R124" i="17"/>
  <c r="Q124" i="17"/>
  <c r="N125" i="17" a="1"/>
  <c r="N125" i="17" s="1"/>
  <c r="AE88" i="17"/>
  <c r="AD154" i="17"/>
  <c r="W101" i="17"/>
  <c r="P160" i="17"/>
  <c r="AE189" i="17"/>
  <c r="Y189" i="17"/>
  <c r="AC95" i="17"/>
  <c r="AF88" i="17"/>
  <c r="Y132" i="17"/>
  <c r="N88" i="17" a="1"/>
  <c r="N88" i="17" s="1"/>
  <c r="R88" i="17" s="1"/>
  <c r="U190" i="17" a="1"/>
  <c r="U190" i="17" s="1"/>
  <c r="X190" i="17" s="1"/>
  <c r="U102" i="17" a="1"/>
  <c r="U102" i="17" s="1"/>
  <c r="W102" i="17" s="1"/>
  <c r="AF124" i="17"/>
  <c r="N161" i="17" a="1"/>
  <c r="N161" i="17" s="1"/>
  <c r="P161" i="17" s="1"/>
  <c r="R189" i="17"/>
  <c r="N176" i="17" a="1"/>
  <c r="N176" i="17" s="1"/>
  <c r="Q176" i="17" s="1"/>
  <c r="U147" i="17" a="1"/>
  <c r="U147" i="17" s="1"/>
  <c r="V147" i="17" s="1"/>
  <c r="AD161" i="17"/>
  <c r="N190" i="17" a="1"/>
  <c r="N190" i="17" s="1"/>
  <c r="O190" i="17" s="1"/>
  <c r="O87" i="17"/>
  <c r="AD108" i="17"/>
  <c r="U125" i="17" a="1"/>
  <c r="U125" i="17" s="1"/>
  <c r="W125" i="17" s="1"/>
  <c r="U161" i="17" a="1"/>
  <c r="U161" i="17" s="1"/>
  <c r="Y161" i="17" s="1"/>
  <c r="AB139" i="17" a="1"/>
  <c r="AB139" i="17" s="1"/>
  <c r="AE139" i="17" s="1"/>
  <c r="U88" i="17" a="1"/>
  <c r="U88" i="17" s="1"/>
  <c r="V88" i="17" s="1"/>
  <c r="R109" i="17" l="1"/>
  <c r="Q109" i="17"/>
  <c r="O109" i="17"/>
  <c r="AC197" i="17"/>
  <c r="AE197" i="17"/>
  <c r="AF197" i="17"/>
  <c r="AD176" i="17"/>
  <c r="AE176" i="17"/>
  <c r="AC176" i="17"/>
  <c r="AC147" i="17"/>
  <c r="W161" i="17"/>
  <c r="X161" i="17"/>
  <c r="V161" i="17"/>
  <c r="V168" i="17"/>
  <c r="R139" i="17"/>
  <c r="O197" i="17"/>
  <c r="AF147" i="17"/>
  <c r="W168" i="17"/>
  <c r="P197" i="17"/>
  <c r="AF190" i="17"/>
  <c r="AE147" i="17"/>
  <c r="Y147" i="17"/>
  <c r="AD125" i="17"/>
  <c r="O161" i="17"/>
  <c r="AC125" i="17"/>
  <c r="Q161" i="17"/>
  <c r="W176" i="17"/>
  <c r="AE125" i="17"/>
  <c r="R161" i="17"/>
  <c r="X176" i="17"/>
  <c r="X183" i="17"/>
  <c r="X125" i="17"/>
  <c r="V102" i="17"/>
  <c r="R95" i="17"/>
  <c r="V183" i="17"/>
  <c r="AC139" i="17"/>
  <c r="V125" i="17"/>
  <c r="R190" i="17"/>
  <c r="O176" i="17"/>
  <c r="X102" i="17"/>
  <c r="O95" i="17"/>
  <c r="W183" i="17"/>
  <c r="AD109" i="17"/>
  <c r="P190" i="17"/>
  <c r="W147" i="17"/>
  <c r="AF139" i="17"/>
  <c r="Y125" i="17"/>
  <c r="Q190" i="17"/>
  <c r="X147" i="17"/>
  <c r="AD139" i="17"/>
  <c r="Q88" i="17"/>
  <c r="Y88" i="17"/>
  <c r="Q95" i="17"/>
  <c r="W88" i="17"/>
  <c r="P176" i="17"/>
  <c r="X88" i="17"/>
  <c r="Q139" i="17"/>
  <c r="AE102" i="17"/>
  <c r="V190" i="17"/>
  <c r="Y190" i="17"/>
  <c r="O132" i="17"/>
  <c r="Q197" i="17"/>
  <c r="V176" i="17"/>
  <c r="W154" i="17"/>
  <c r="V118" i="17"/>
  <c r="AF132" i="17"/>
  <c r="AC190" i="17"/>
  <c r="Y118" i="17"/>
  <c r="R132" i="17"/>
  <c r="R176" i="17"/>
  <c r="P88" i="17"/>
  <c r="AD183" i="17"/>
  <c r="AF183" i="17"/>
  <c r="AC183" i="17"/>
  <c r="AE183" i="17"/>
  <c r="AD132" i="17"/>
  <c r="AC102" i="17"/>
  <c r="AE109" i="17"/>
  <c r="W190" i="17"/>
  <c r="R125" i="17"/>
  <c r="O125" i="17"/>
  <c r="P125" i="17"/>
  <c r="Q125" i="17"/>
  <c r="Y102" i="17"/>
  <c r="O88" i="17"/>
  <c r="AE132" i="17"/>
  <c r="AD102" i="17"/>
  <c r="X168" i="17"/>
  <c r="O139" i="17"/>
  <c r="AF109" i="17"/>
  <c r="AD190" i="17"/>
  <c r="Q132" i="17"/>
  <c r="X154" i="17"/>
  <c r="X118" i="17"/>
  <c r="V154" i="17"/>
  <c r="K22" i="18" l="1"/>
  <c r="J22" i="18"/>
  <c r="I22" i="18"/>
  <c r="H22" i="18"/>
  <c r="G22" i="18"/>
  <c r="F22" i="18"/>
  <c r="E22" i="18"/>
  <c r="G40" i="18"/>
  <c r="H40" i="18" s="1"/>
  <c r="D40" i="18"/>
  <c r="B21" i="18"/>
  <c r="E21" i="18" l="1"/>
  <c r="E23" i="18" s="1"/>
  <c r="F23" i="18" s="1"/>
  <c r="G23" i="18" s="1"/>
  <c r="H23" i="18" s="1"/>
  <c r="R33" i="7" l="1"/>
  <c r="I33" i="7"/>
  <c r="R32" i="7"/>
  <c r="Q32" i="7"/>
  <c r="I32" i="7"/>
  <c r="H32" i="7"/>
  <c r="S31" i="7"/>
  <c r="R31" i="7"/>
  <c r="J31" i="7"/>
  <c r="I31" i="7"/>
  <c r="S30" i="7"/>
  <c r="R30" i="7"/>
  <c r="J30" i="7"/>
  <c r="I30" i="7"/>
  <c r="U28" i="7"/>
  <c r="T28" i="7"/>
  <c r="L28" i="7"/>
  <c r="K28" i="7"/>
  <c r="W27" i="7"/>
  <c r="V27" i="7"/>
  <c r="T27" i="7"/>
  <c r="S27" i="7"/>
  <c r="N27" i="7"/>
  <c r="M27" i="7"/>
  <c r="K27" i="7"/>
  <c r="J27" i="7"/>
  <c r="W26" i="7"/>
  <c r="V26" i="7"/>
  <c r="T26" i="7"/>
  <c r="S26" i="7"/>
  <c r="N26" i="7"/>
  <c r="M26" i="7"/>
  <c r="K26" i="7"/>
  <c r="J26" i="7"/>
  <c r="W25" i="7"/>
  <c r="N25" i="7"/>
  <c r="R24" i="7"/>
  <c r="I24" i="7"/>
  <c r="R23" i="7"/>
  <c r="Q23" i="7"/>
  <c r="I23" i="7"/>
  <c r="H23" i="7"/>
  <c r="S22" i="7"/>
  <c r="R22" i="7"/>
  <c r="J22" i="7"/>
  <c r="I22" i="7"/>
  <c r="S21" i="7"/>
  <c r="R21" i="7"/>
  <c r="J21" i="7"/>
  <c r="I21" i="7"/>
  <c r="U19" i="7"/>
  <c r="T19" i="7"/>
  <c r="L19" i="7"/>
  <c r="K19" i="7"/>
  <c r="W18" i="7"/>
  <c r="V18" i="7"/>
  <c r="T18" i="7"/>
  <c r="S18" i="7"/>
  <c r="N18" i="7"/>
  <c r="M18" i="7"/>
  <c r="K18" i="7"/>
  <c r="J18" i="7"/>
  <c r="W17" i="7"/>
  <c r="V17" i="7"/>
  <c r="T17" i="7"/>
  <c r="S17" i="7"/>
  <c r="N17" i="7"/>
  <c r="M17" i="7"/>
  <c r="K17" i="7"/>
  <c r="J17" i="7"/>
  <c r="W16" i="7"/>
  <c r="N16" i="7"/>
  <c r="R15" i="7"/>
  <c r="I15" i="7"/>
  <c r="R14" i="7"/>
  <c r="Q14" i="7"/>
  <c r="I14" i="7"/>
  <c r="H14" i="7"/>
  <c r="S13" i="7"/>
  <c r="R13" i="7"/>
  <c r="J13" i="7"/>
  <c r="I13" i="7"/>
  <c r="S12" i="7"/>
  <c r="R12" i="7"/>
  <c r="J12" i="7"/>
  <c r="I12" i="7"/>
  <c r="U10" i="7"/>
  <c r="T10" i="7"/>
  <c r="L10" i="7"/>
  <c r="K10" i="7"/>
  <c r="W9" i="7"/>
  <c r="V9" i="7"/>
  <c r="T9" i="7"/>
  <c r="S9" i="7"/>
  <c r="N9" i="7"/>
  <c r="M9" i="7"/>
  <c r="K9" i="7"/>
  <c r="J9" i="7"/>
  <c r="W8" i="7"/>
  <c r="V8" i="7"/>
  <c r="T8" i="7"/>
  <c r="S8" i="7"/>
  <c r="N8" i="7"/>
  <c r="M8" i="7"/>
  <c r="K8" i="7"/>
  <c r="J8" i="7"/>
  <c r="W7" i="7"/>
  <c r="N7" i="7"/>
  <c r="F7" i="17"/>
  <c r="H5" i="7" s="1"/>
  <c r="E48" i="18"/>
  <c r="E47" i="18"/>
  <c r="E46" i="18"/>
  <c r="E45" i="18"/>
  <c r="E44" i="18"/>
  <c r="E43" i="18"/>
  <c r="U21" i="7" l="1"/>
  <c r="U22" i="7" s="1"/>
  <c r="U30" i="7"/>
  <c r="U31" i="7" s="1"/>
  <c r="U12" i="7"/>
  <c r="U13" i="7" s="1"/>
  <c r="L21" i="7"/>
  <c r="L22" i="7" s="1"/>
  <c r="L30" i="7"/>
  <c r="L31" i="7" s="1"/>
  <c r="L12" i="7"/>
  <c r="L13" i="7" s="1"/>
  <c r="H15" i="7"/>
  <c r="H24" i="7"/>
  <c r="H33" i="7"/>
  <c r="F76" i="17"/>
  <c r="F75" i="17"/>
  <c r="F74" i="17"/>
  <c r="F73" i="17"/>
  <c r="F72" i="17"/>
  <c r="E76" i="17"/>
  <c r="D76" i="17"/>
  <c r="C76" i="17"/>
  <c r="E75" i="17"/>
  <c r="D75" i="17"/>
  <c r="C75" i="17"/>
  <c r="E74" i="17"/>
  <c r="D74" i="17"/>
  <c r="C74" i="17"/>
  <c r="E73" i="17"/>
  <c r="D73" i="17"/>
  <c r="C73" i="17"/>
  <c r="E72" i="17"/>
  <c r="D72" i="17"/>
  <c r="C72" i="17"/>
  <c r="S16" i="7"/>
  <c r="R16" i="7"/>
  <c r="S7" i="7"/>
  <c r="J25" i="7"/>
  <c r="I25" i="7"/>
  <c r="J16" i="7"/>
  <c r="I16" i="7"/>
  <c r="Q19" i="7"/>
  <c r="Q28" i="7"/>
  <c r="Q10" i="7"/>
  <c r="H28" i="7"/>
  <c r="H19" i="7"/>
  <c r="H10" i="7"/>
  <c r="O8" i="17"/>
  <c r="S54" i="17" l="1"/>
  <c r="S51" i="17"/>
  <c r="S50" i="17"/>
  <c r="S70" i="17"/>
  <c r="S68" i="17"/>
  <c r="S69" i="17"/>
  <c r="S71" i="17"/>
  <c r="S65" i="17"/>
  <c r="S66" i="17"/>
  <c r="S67" i="17"/>
  <c r="S49" i="17"/>
  <c r="S52" i="17"/>
  <c r="S53" i="17"/>
  <c r="S55" i="17"/>
  <c r="S56" i="17"/>
  <c r="S57" i="17"/>
  <c r="S58" i="17"/>
  <c r="S59" i="17"/>
  <c r="S60" i="17"/>
  <c r="S72" i="17"/>
  <c r="H72" i="17"/>
  <c r="S73" i="17"/>
  <c r="H73" i="17"/>
  <c r="S74" i="17"/>
  <c r="H74" i="17"/>
  <c r="S75" i="17"/>
  <c r="H75" i="17"/>
  <c r="S76" i="17"/>
  <c r="H76" i="17"/>
  <c r="Z54" i="17"/>
  <c r="Z51" i="17"/>
  <c r="Z50" i="17"/>
  <c r="Z70" i="17"/>
  <c r="Z68" i="17"/>
  <c r="Z69" i="17"/>
  <c r="Z71" i="17"/>
  <c r="Z65" i="17"/>
  <c r="Z66" i="17"/>
  <c r="Z67" i="17"/>
  <c r="Z49" i="17"/>
  <c r="Z52" i="17"/>
  <c r="Z53" i="17"/>
  <c r="Z55" i="17"/>
  <c r="Z56" i="17"/>
  <c r="Z57" i="17"/>
  <c r="Z58" i="17"/>
  <c r="Z59" i="17"/>
  <c r="AG76" i="17"/>
  <c r="AG75" i="17"/>
  <c r="Z75" i="17"/>
  <c r="Z73" i="17"/>
  <c r="AG73" i="17"/>
  <c r="AG74" i="17"/>
  <c r="Z72" i="17"/>
  <c r="Z74" i="17"/>
  <c r="AG72" i="17"/>
  <c r="I74" i="17"/>
  <c r="I72" i="17"/>
  <c r="I76" i="17"/>
  <c r="I75" i="17"/>
  <c r="I73" i="17"/>
  <c r="Z60" i="17"/>
  <c r="AJ74" i="17"/>
  <c r="AR73" i="17"/>
  <c r="AV73" i="17" s="1"/>
  <c r="AR76" i="17"/>
  <c r="AV76" i="17" s="1"/>
  <c r="AJ72" i="17"/>
  <c r="AR72" i="17"/>
  <c r="AV72" i="17" s="1"/>
  <c r="AJ75" i="17"/>
  <c r="AJ73" i="17"/>
  <c r="AJ76" i="17"/>
  <c r="Z76" i="17"/>
  <c r="AR74" i="17"/>
  <c r="AV74" i="17" s="1"/>
  <c r="AR75" i="17"/>
  <c r="AV75" i="17" s="1"/>
  <c r="AS75" i="17"/>
  <c r="AT75" i="17"/>
  <c r="AT73" i="17"/>
  <c r="AS73" i="17"/>
  <c r="AT76" i="17"/>
  <c r="AS76" i="17"/>
  <c r="AX73" i="17"/>
  <c r="AY73" i="17" s="1"/>
  <c r="AX76" i="17"/>
  <c r="AY76" i="17" s="1"/>
  <c r="AX72" i="17"/>
  <c r="AY72" i="17" s="1"/>
  <c r="AX74" i="17"/>
  <c r="AY74" i="17" s="1"/>
  <c r="AT72" i="17"/>
  <c r="AS72" i="17"/>
  <c r="AT74" i="17"/>
  <c r="AS74" i="17"/>
  <c r="AX75" i="17"/>
  <c r="AY75" i="17" s="1"/>
  <c r="H9" i="7"/>
  <c r="Q9" i="7"/>
  <c r="H18" i="7"/>
  <c r="Q27" i="7"/>
  <c r="Q18" i="7"/>
  <c r="J7" i="7"/>
  <c r="R25" i="7"/>
  <c r="I7" i="7"/>
  <c r="S25" i="7"/>
  <c r="R7" i="7"/>
  <c r="H27" i="7"/>
  <c r="AZ75" i="17" l="1"/>
  <c r="AO75" i="17" s="1"/>
  <c r="BC40" i="17" s="1"/>
  <c r="AZ72" i="17"/>
  <c r="AO72" i="17" s="1"/>
  <c r="BC37" i="17" s="1"/>
  <c r="AU73" i="17"/>
  <c r="BC74" i="17"/>
  <c r="AP74" i="17" s="1"/>
  <c r="BB39" i="17" s="1"/>
  <c r="BB74" i="17"/>
  <c r="BC75" i="17"/>
  <c r="AP75" i="17" s="1"/>
  <c r="BB40" i="17" s="1"/>
  <c r="BB75" i="17"/>
  <c r="AU75" i="17"/>
  <c r="AU74" i="17"/>
  <c r="AZ74" i="17"/>
  <c r="AO74" i="17" s="1"/>
  <c r="BC39" i="17" s="1"/>
  <c r="AU72" i="17"/>
  <c r="BB73" i="17"/>
  <c r="BC73" i="17"/>
  <c r="AP73" i="17" s="1"/>
  <c r="BB38" i="17" s="1"/>
  <c r="AZ76" i="17"/>
  <c r="AO76" i="17" s="1"/>
  <c r="BC41" i="17" s="1"/>
  <c r="AU76" i="17"/>
  <c r="BC76" i="17"/>
  <c r="AP76" i="17" s="1"/>
  <c r="BB41" i="17" s="1"/>
  <c r="BB76" i="17"/>
  <c r="BC72" i="17"/>
  <c r="AP72" i="17" s="1"/>
  <c r="BB37" i="17" s="1"/>
  <c r="BB72" i="17"/>
  <c r="AZ73" i="17"/>
  <c r="AO73" i="17" s="1"/>
  <c r="BC38" i="17" s="1"/>
  <c r="X7" i="7" l="1"/>
  <c r="X16" i="7" s="1"/>
  <c r="X25" i="7" s="1"/>
  <c r="X34" i="7" s="1"/>
  <c r="X43" i="7" s="1"/>
  <c r="O7" i="7"/>
  <c r="O16" i="7" s="1"/>
  <c r="O25" i="7" s="1"/>
  <c r="O34" i="7" s="1"/>
  <c r="AG34" i="7" l="1"/>
  <c r="O43" i="7"/>
  <c r="D100" i="3"/>
  <c r="D99" i="3"/>
  <c r="D98" i="3"/>
  <c r="D97" i="3"/>
  <c r="D96" i="3"/>
  <c r="D95" i="3"/>
  <c r="D94" i="3"/>
  <c r="D93" i="3"/>
  <c r="D92" i="3"/>
  <c r="D91" i="3"/>
  <c r="D90" i="3"/>
  <c r="D89" i="3"/>
  <c r="AG43" i="7" l="1"/>
  <c r="C8" i="1"/>
  <c r="C7" i="1"/>
  <c r="A9" i="11" l="1"/>
  <c r="AJ21" i="1"/>
  <c r="AI23" i="1" s="1"/>
  <c r="AJ23" i="1" s="1"/>
  <c r="AK23" i="1" s="1"/>
  <c r="AL23" i="1" s="1"/>
  <c r="AM23" i="1" s="1"/>
  <c r="AN23" i="1" s="1"/>
  <c r="AO23" i="1" s="1"/>
  <c r="AP23" i="1" s="1"/>
  <c r="AQ23" i="1" s="1"/>
  <c r="A199" i="11"/>
  <c r="A206" i="11"/>
  <c r="AH21" i="1"/>
  <c r="A11" i="11"/>
  <c r="A200" i="11"/>
  <c r="A16" i="11"/>
  <c r="C3" i="8"/>
  <c r="A15" i="11"/>
  <c r="A13" i="11"/>
  <c r="A12" i="11"/>
  <c r="A211" i="11"/>
  <c r="Y94" i="1" l="1"/>
  <c r="Y82" i="1"/>
  <c r="Z82" i="1" s="1"/>
  <c r="AB82" i="1" s="1"/>
  <c r="Y70" i="1"/>
  <c r="Y54" i="1"/>
  <c r="Z54" i="1" s="1"/>
  <c r="AB54" i="1" s="1"/>
  <c r="Y42" i="1"/>
  <c r="Y36" i="1"/>
  <c r="Y64" i="1"/>
  <c r="Y33" i="1"/>
  <c r="Y46" i="1"/>
  <c r="Y43" i="1"/>
  <c r="Y92" i="1"/>
  <c r="Y80" i="1"/>
  <c r="Y68" i="1"/>
  <c r="Z68" i="1" s="1"/>
  <c r="AB68" i="1" s="1"/>
  <c r="Y52" i="1"/>
  <c r="Y41" i="1"/>
  <c r="Z41" i="1" s="1"/>
  <c r="AB41" i="1" s="1"/>
  <c r="Y35" i="1"/>
  <c r="Y29" i="1"/>
  <c r="Y24" i="1"/>
  <c r="Y76" i="1"/>
  <c r="Y40" i="1"/>
  <c r="AL21" i="1"/>
  <c r="Y27" i="1"/>
  <c r="Z27" i="1" s="1"/>
  <c r="AB27" i="1" s="1"/>
  <c r="Y84" i="1"/>
  <c r="Z84" i="1" s="1"/>
  <c r="AB84" i="1" s="1"/>
  <c r="Y78" i="1"/>
  <c r="Y66" i="1"/>
  <c r="Z66" i="1" s="1"/>
  <c r="AB66" i="1" s="1"/>
  <c r="Y50" i="1"/>
  <c r="Y34" i="1"/>
  <c r="Y90" i="1"/>
  <c r="Z90" i="1" s="1"/>
  <c r="AB90" i="1" s="1"/>
  <c r="Y48" i="1"/>
  <c r="Z48" i="1" s="1"/>
  <c r="AB48" i="1" s="1"/>
  <c r="Y28" i="1"/>
  <c r="Y62" i="1"/>
  <c r="Z62" i="1" s="1"/>
  <c r="AB62" i="1" s="1"/>
  <c r="Y39" i="1"/>
  <c r="Y56" i="1"/>
  <c r="Y25" i="1"/>
  <c r="Y88" i="1"/>
  <c r="Z88" i="1" s="1"/>
  <c r="AB88" i="1" s="1"/>
  <c r="Y74" i="1"/>
  <c r="Z74" i="1" s="1"/>
  <c r="AB74" i="1" s="1"/>
  <c r="Y60" i="1"/>
  <c r="Y38" i="1"/>
  <c r="Y32" i="1"/>
  <c r="Y26" i="1"/>
  <c r="Y86" i="1"/>
  <c r="Z86" i="1" s="1"/>
  <c r="AB86" i="1" s="1"/>
  <c r="Y58" i="1"/>
  <c r="Y44" i="1"/>
  <c r="Y37" i="1"/>
  <c r="Y31" i="1"/>
  <c r="Y72" i="1"/>
  <c r="Z72" i="1" s="1"/>
  <c r="AB72" i="1" s="1"/>
  <c r="Y30" i="1"/>
  <c r="Y53" i="1"/>
  <c r="Y69" i="1"/>
  <c r="Z69" i="1" s="1"/>
  <c r="AB69" i="1" s="1"/>
  <c r="Y55" i="1"/>
  <c r="Y89" i="1"/>
  <c r="Y59" i="1"/>
  <c r="Z59" i="1" s="1"/>
  <c r="AB59" i="1" s="1"/>
  <c r="Y91" i="1"/>
  <c r="Y87" i="1"/>
  <c r="Y45" i="1"/>
  <c r="Y61" i="1"/>
  <c r="Y77" i="1"/>
  <c r="Y93" i="1"/>
  <c r="Z93" i="1" s="1"/>
  <c r="AB93" i="1" s="1"/>
  <c r="Y47" i="1"/>
  <c r="Y63" i="1"/>
  <c r="Y79" i="1"/>
  <c r="Y95" i="1"/>
  <c r="Y49" i="1"/>
  <c r="Y65" i="1"/>
  <c r="Y81" i="1"/>
  <c r="AG24" i="1"/>
  <c r="AG25" i="1" s="1"/>
  <c r="AG26" i="1" s="1"/>
  <c r="AG27" i="1" s="1"/>
  <c r="AG28" i="1" s="1"/>
  <c r="AG29" i="1" s="1"/>
  <c r="AG30" i="1" s="1"/>
  <c r="AG31" i="1" s="1"/>
  <c r="AG32" i="1" s="1"/>
  <c r="AG33" i="1" s="1"/>
  <c r="AG34" i="1" s="1"/>
  <c r="AG35" i="1" s="1"/>
  <c r="AG36" i="1" s="1"/>
  <c r="AG37" i="1" s="1"/>
  <c r="AG38" i="1" s="1"/>
  <c r="AG39" i="1" s="1"/>
  <c r="AG40" i="1" s="1"/>
  <c r="AG41" i="1" s="1"/>
  <c r="AG42" i="1" s="1"/>
  <c r="AG43" i="1" s="1"/>
  <c r="Y51" i="1"/>
  <c r="Y67" i="1"/>
  <c r="Z67" i="1" s="1"/>
  <c r="AB67" i="1" s="1"/>
  <c r="Y83" i="1"/>
  <c r="Y85" i="1"/>
  <c r="Z85" i="1" s="1"/>
  <c r="AB85" i="1" s="1"/>
  <c r="Y71" i="1"/>
  <c r="Y57" i="1"/>
  <c r="Y73" i="1"/>
  <c r="Y75" i="1"/>
  <c r="A28" i="11"/>
  <c r="A33" i="11"/>
  <c r="A38" i="11"/>
  <c r="A43" i="11"/>
  <c r="A21" i="11"/>
  <c r="A26" i="11"/>
  <c r="A31" i="11"/>
  <c r="A41" i="11"/>
  <c r="A34" i="11"/>
  <c r="A22" i="11"/>
  <c r="A27" i="11"/>
  <c r="A32" i="11"/>
  <c r="A37" i="11"/>
  <c r="A42" i="11"/>
  <c r="A44" i="11"/>
  <c r="A36" i="11"/>
  <c r="A24" i="11"/>
  <c r="A29" i="11"/>
  <c r="A39" i="11"/>
  <c r="A23" i="11"/>
  <c r="Z61" i="1" l="1"/>
  <c r="AB61" i="1" s="1"/>
  <c r="Z39" i="1"/>
  <c r="AB39" i="1" s="1"/>
  <c r="Z33" i="1"/>
  <c r="AB33" i="1" s="1"/>
  <c r="Z71" i="1"/>
  <c r="AB71" i="1" s="1"/>
  <c r="Z87" i="1"/>
  <c r="AB87" i="1" s="1"/>
  <c r="Z38" i="1"/>
  <c r="AB38" i="1" s="1"/>
  <c r="Z28" i="1"/>
  <c r="AB28" i="1" s="1"/>
  <c r="Z52" i="1"/>
  <c r="AB52" i="1" s="1"/>
  <c r="Z36" i="1"/>
  <c r="AB36" i="1" s="1"/>
  <c r="Z83" i="1"/>
  <c r="AB83" i="1" s="1"/>
  <c r="Z79" i="1"/>
  <c r="Z91" i="1"/>
  <c r="AB91" i="1" s="1"/>
  <c r="Z31" i="1"/>
  <c r="AB31" i="1" s="1"/>
  <c r="Z60" i="1"/>
  <c r="AB60" i="1" s="1"/>
  <c r="AQ43" i="1"/>
  <c r="AI43" i="1"/>
  <c r="AK42" i="1"/>
  <c r="AM41" i="1"/>
  <c r="AO40" i="1"/>
  <c r="AQ39" i="1"/>
  <c r="AI39" i="1"/>
  <c r="AK38" i="1"/>
  <c r="AM37" i="1"/>
  <c r="AO36" i="1"/>
  <c r="AQ35" i="1"/>
  <c r="AI35" i="1"/>
  <c r="AK34" i="1"/>
  <c r="AM33" i="1"/>
  <c r="AO32" i="1"/>
  <c r="AQ31" i="1"/>
  <c r="AI31" i="1"/>
  <c r="AK30" i="1"/>
  <c r="AM29" i="1"/>
  <c r="AO28" i="1"/>
  <c r="AQ27" i="1"/>
  <c r="AI27" i="1"/>
  <c r="AK26" i="1"/>
  <c r="AM25" i="1"/>
  <c r="AO24" i="1"/>
  <c r="AH38" i="1"/>
  <c r="AJ33" i="1"/>
  <c r="AH30" i="1"/>
  <c r="AP26" i="1"/>
  <c r="AL24" i="1"/>
  <c r="AM43" i="1"/>
  <c r="AI41" i="1"/>
  <c r="AM39" i="1"/>
  <c r="AI37" i="1"/>
  <c r="AO34" i="1"/>
  <c r="AK32" i="1"/>
  <c r="AI29" i="1"/>
  <c r="AO26" i="1"/>
  <c r="AK24" i="1"/>
  <c r="AH32" i="1"/>
  <c r="AH28" i="1"/>
  <c r="AP24" i="1"/>
  <c r="AP43" i="1"/>
  <c r="AH43" i="1"/>
  <c r="AJ42" i="1"/>
  <c r="AL41" i="1"/>
  <c r="AN40" i="1"/>
  <c r="AP39" i="1"/>
  <c r="AH39" i="1"/>
  <c r="AJ38" i="1"/>
  <c r="AL37" i="1"/>
  <c r="AN36" i="1"/>
  <c r="AP35" i="1"/>
  <c r="AH35" i="1"/>
  <c r="AJ34" i="1"/>
  <c r="AL33" i="1"/>
  <c r="AN32" i="1"/>
  <c r="AP31" i="1"/>
  <c r="AH31" i="1"/>
  <c r="AJ30" i="1"/>
  <c r="AL29" i="1"/>
  <c r="AN28" i="1"/>
  <c r="AP27" i="1"/>
  <c r="AH27" i="1"/>
  <c r="AJ26" i="1"/>
  <c r="AL25" i="1"/>
  <c r="AN24" i="1"/>
  <c r="AN39" i="1"/>
  <c r="AN35" i="1"/>
  <c r="AH34" i="1"/>
  <c r="AP30" i="1"/>
  <c r="AL28" i="1"/>
  <c r="AH26" i="1"/>
  <c r="AQ41" i="1"/>
  <c r="AO38" i="1"/>
  <c r="AM35" i="1"/>
  <c r="AI33" i="1"/>
  <c r="AO30" i="1"/>
  <c r="AM27" i="1"/>
  <c r="AI25" i="1"/>
  <c r="AJ31" i="1"/>
  <c r="AJ27" i="1"/>
  <c r="AO43" i="1"/>
  <c r="AQ42" i="1"/>
  <c r="AI42" i="1"/>
  <c r="AK41" i="1"/>
  <c r="AM40" i="1"/>
  <c r="AO39" i="1"/>
  <c r="AQ38" i="1"/>
  <c r="AI38" i="1"/>
  <c r="AK37" i="1"/>
  <c r="AM36" i="1"/>
  <c r="AO35" i="1"/>
  <c r="AQ34" i="1"/>
  <c r="AI34" i="1"/>
  <c r="AK33" i="1"/>
  <c r="AM32" i="1"/>
  <c r="AO31" i="1"/>
  <c r="AQ30" i="1"/>
  <c r="AI30" i="1"/>
  <c r="AK29" i="1"/>
  <c r="AM28" i="1"/>
  <c r="AO27" i="1"/>
  <c r="AQ26" i="1"/>
  <c r="AI26" i="1"/>
  <c r="AK25" i="1"/>
  <c r="AM24" i="1"/>
  <c r="AN43" i="1"/>
  <c r="AP42" i="1"/>
  <c r="AH42" i="1"/>
  <c r="AJ41" i="1"/>
  <c r="AL40" i="1"/>
  <c r="AP38" i="1"/>
  <c r="AJ37" i="1"/>
  <c r="AL36" i="1"/>
  <c r="AP34" i="1"/>
  <c r="AL32" i="1"/>
  <c r="AN31" i="1"/>
  <c r="AJ29" i="1"/>
  <c r="AN27" i="1"/>
  <c r="AJ25" i="1"/>
  <c r="AO42" i="1"/>
  <c r="AK40" i="1"/>
  <c r="AQ37" i="1"/>
  <c r="AK36" i="1"/>
  <c r="AQ33" i="1"/>
  <c r="AM31" i="1"/>
  <c r="AQ29" i="1"/>
  <c r="AK28" i="1"/>
  <c r="AQ25" i="1"/>
  <c r="AN33" i="1"/>
  <c r="AN29" i="1"/>
  <c r="AL26" i="1"/>
  <c r="AH24" i="1"/>
  <c r="AL43" i="1"/>
  <c r="AN42" i="1"/>
  <c r="AP41" i="1"/>
  <c r="AH41" i="1"/>
  <c r="AJ40" i="1"/>
  <c r="AL39" i="1"/>
  <c r="AN38" i="1"/>
  <c r="AP37" i="1"/>
  <c r="AH37" i="1"/>
  <c r="AJ36" i="1"/>
  <c r="AL35" i="1"/>
  <c r="AN34" i="1"/>
  <c r="AP33" i="1"/>
  <c r="AH33" i="1"/>
  <c r="AJ32" i="1"/>
  <c r="AL31" i="1"/>
  <c r="AN30" i="1"/>
  <c r="AP29" i="1"/>
  <c r="AH29" i="1"/>
  <c r="AJ28" i="1"/>
  <c r="AL27" i="1"/>
  <c r="AN26" i="1"/>
  <c r="AP25" i="1"/>
  <c r="AH25" i="1"/>
  <c r="AJ24" i="1"/>
  <c r="AK43" i="1"/>
  <c r="AM42" i="1"/>
  <c r="AO41" i="1"/>
  <c r="AQ40" i="1"/>
  <c r="AI40" i="1"/>
  <c r="AK39" i="1"/>
  <c r="AM38" i="1"/>
  <c r="AO37" i="1"/>
  <c r="AQ36" i="1"/>
  <c r="AI36" i="1"/>
  <c r="AK35" i="1"/>
  <c r="AM34" i="1"/>
  <c r="AO33" i="1"/>
  <c r="AQ32" i="1"/>
  <c r="AI32" i="1"/>
  <c r="AK31" i="1"/>
  <c r="AM30" i="1"/>
  <c r="AO29" i="1"/>
  <c r="AQ28" i="1"/>
  <c r="AI28" i="1"/>
  <c r="AK27" i="1"/>
  <c r="AM26" i="1"/>
  <c r="AO25" i="1"/>
  <c r="AQ24" i="1"/>
  <c r="AI24" i="1"/>
  <c r="AJ43" i="1"/>
  <c r="AL42" i="1"/>
  <c r="AN41" i="1"/>
  <c r="AP40" i="1"/>
  <c r="AH40" i="1"/>
  <c r="AJ39" i="1"/>
  <c r="AL38" i="1"/>
  <c r="AN37" i="1"/>
  <c r="AP36" i="1"/>
  <c r="AH36" i="1"/>
  <c r="AJ35" i="1"/>
  <c r="AL34" i="1"/>
  <c r="AP32" i="1"/>
  <c r="AL30" i="1"/>
  <c r="AP28" i="1"/>
  <c r="AN25" i="1"/>
  <c r="Z42" i="1"/>
  <c r="AB42" i="1" s="1"/>
  <c r="Z65" i="1"/>
  <c r="AB65" i="1" s="1"/>
  <c r="Z26" i="1"/>
  <c r="AB26" i="1" s="1"/>
  <c r="Z35" i="1"/>
  <c r="AB35" i="1" s="1"/>
  <c r="Z95" i="1"/>
  <c r="AB95" i="1" s="1"/>
  <c r="Z37" i="1"/>
  <c r="AB37" i="1" s="1"/>
  <c r="Z40" i="1"/>
  <c r="AB40" i="1" s="1"/>
  <c r="Z80" i="1"/>
  <c r="Z51" i="1"/>
  <c r="AB51" i="1" s="1"/>
  <c r="Z47" i="1"/>
  <c r="AB47" i="1" s="1"/>
  <c r="Z89" i="1"/>
  <c r="AB89" i="1" s="1"/>
  <c r="Z44" i="1"/>
  <c r="AB44" i="1" s="1"/>
  <c r="Z34" i="1"/>
  <c r="AB34" i="1" s="1"/>
  <c r="Z76" i="1"/>
  <c r="AB76" i="1" s="1"/>
  <c r="Z92" i="1"/>
  <c r="AB92" i="1" s="1"/>
  <c r="Z70" i="1"/>
  <c r="AB70" i="1" s="1"/>
  <c r="Z45" i="1"/>
  <c r="AB45" i="1" s="1"/>
  <c r="Z30" i="1"/>
  <c r="AB30" i="1" s="1"/>
  <c r="Z32" i="1"/>
  <c r="AB32" i="1" s="1"/>
  <c r="Z64" i="1"/>
  <c r="AB64" i="1" s="1"/>
  <c r="Z55" i="1"/>
  <c r="AB55" i="1" s="1"/>
  <c r="Z58" i="1"/>
  <c r="AB58" i="1" s="1"/>
  <c r="Z25" i="1"/>
  <c r="AB25" i="1" s="1"/>
  <c r="Z50" i="1"/>
  <c r="AB50" i="1" s="1"/>
  <c r="Z24" i="1"/>
  <c r="AB24" i="1" s="1"/>
  <c r="Z43" i="1"/>
  <c r="AB43" i="1" s="1"/>
  <c r="Z57" i="1"/>
  <c r="AB57" i="1" s="1"/>
  <c r="Z53" i="1"/>
  <c r="AB53" i="1" s="1"/>
  <c r="Z78" i="1"/>
  <c r="AB78" i="1" s="1"/>
  <c r="Z49" i="1"/>
  <c r="AB49" i="1" s="1"/>
  <c r="Z63" i="1"/>
  <c r="AB63" i="1" s="1"/>
  <c r="Z75" i="1"/>
  <c r="AB75" i="1" s="1"/>
  <c r="Z73" i="1"/>
  <c r="AB73" i="1" s="1"/>
  <c r="Z81" i="1"/>
  <c r="AB81" i="1" s="1"/>
  <c r="Z77" i="1"/>
  <c r="AB77" i="1" s="1"/>
  <c r="Z56" i="1"/>
  <c r="AB56" i="1" s="1"/>
  <c r="Z29" i="1"/>
  <c r="AB29" i="1" s="1"/>
  <c r="Z46" i="1"/>
  <c r="AB46" i="1" s="1"/>
  <c r="Z94" i="1"/>
  <c r="W88" i="1"/>
  <c r="AF39" i="1" l="1"/>
  <c r="AC87" i="1" s="1"/>
  <c r="AF29" i="1"/>
  <c r="AF28" i="1"/>
  <c r="AF27" i="1"/>
  <c r="AF25" i="1"/>
  <c r="AF24" i="1"/>
  <c r="AF42" i="1"/>
  <c r="AF34" i="1"/>
  <c r="AF35" i="1"/>
  <c r="AF26" i="1"/>
  <c r="AB94" i="1"/>
  <c r="AF33" i="1"/>
  <c r="AF43" i="1"/>
  <c r="AF30" i="1"/>
  <c r="AF32" i="1"/>
  <c r="AF31" i="1"/>
  <c r="AB80" i="1"/>
  <c r="AF37" i="1"/>
  <c r="AC78" i="1" s="1"/>
  <c r="AF40" i="1"/>
  <c r="AF36" i="1"/>
  <c r="AC75" i="1" s="1"/>
  <c r="AF41" i="1"/>
  <c r="AC93" i="1" s="1"/>
  <c r="AF38" i="1"/>
  <c r="AC82" i="1" s="1"/>
  <c r="AB79" i="1"/>
  <c r="AC85" i="1" l="1"/>
  <c r="AC84" i="1"/>
  <c r="AC92" i="1"/>
  <c r="AC86" i="1"/>
  <c r="AC81" i="1"/>
  <c r="AC94" i="1"/>
  <c r="AC83" i="1"/>
  <c r="AC95" i="1"/>
  <c r="AC77" i="1"/>
  <c r="AC76" i="1"/>
  <c r="AC79" i="1"/>
  <c r="AC72" i="1"/>
  <c r="AC74" i="1"/>
  <c r="AC80" i="1"/>
  <c r="AC88" i="1"/>
  <c r="AC90" i="1"/>
  <c r="AC91" i="1"/>
  <c r="AC89" i="1"/>
  <c r="AC73" i="1"/>
  <c r="X26" i="13"/>
  <c r="X27" i="13"/>
  <c r="AC14" i="1" l="1"/>
  <c r="AB14" i="1"/>
  <c r="AA14" i="1"/>
  <c r="Z14" i="1"/>
  <c r="Y14" i="1"/>
  <c r="X14" i="1"/>
  <c r="W14" i="1"/>
  <c r="V14" i="1"/>
  <c r="U14" i="1"/>
  <c r="T14" i="1"/>
  <c r="AG25" i="7" l="1"/>
  <c r="AG16" i="7"/>
  <c r="AG7" i="7"/>
  <c r="AA33" i="7"/>
  <c r="AB31" i="7"/>
  <c r="AB30" i="7"/>
  <c r="AA30" i="7"/>
  <c r="U27" i="7"/>
  <c r="AB22" i="7"/>
  <c r="AB21" i="7"/>
  <c r="AA21" i="7"/>
  <c r="U18" i="7"/>
  <c r="U9" i="7"/>
  <c r="U8" i="7"/>
  <c r="AA13" i="7"/>
  <c r="AC12" i="7" s="1"/>
  <c r="AA15" i="7"/>
  <c r="AB13" i="7"/>
  <c r="AB12" i="7"/>
  <c r="AA12" i="7"/>
  <c r="AJ15" i="7"/>
  <c r="AJ33" i="7"/>
  <c r="AK31" i="7"/>
  <c r="AJ31" i="7"/>
  <c r="AL30" i="7" s="1"/>
  <c r="AK30" i="7"/>
  <c r="AJ30" i="7"/>
  <c r="AC28" i="7"/>
  <c r="AF27" i="7"/>
  <c r="L27" i="7"/>
  <c r="AD27" i="7" s="1"/>
  <c r="AC27" i="7"/>
  <c r="AB27" i="7"/>
  <c r="AF26" i="7"/>
  <c r="AC26" i="7"/>
  <c r="AB26" i="7"/>
  <c r="AF25" i="7"/>
  <c r="AJ24" i="7"/>
  <c r="AK22" i="7"/>
  <c r="K21" i="7"/>
  <c r="AK21" i="7"/>
  <c r="AJ21" i="7"/>
  <c r="AD19" i="7"/>
  <c r="AF18" i="7"/>
  <c r="L18" i="7"/>
  <c r="AD18" i="7" s="1"/>
  <c r="AC18" i="7"/>
  <c r="AB18" i="7"/>
  <c r="AF17" i="7"/>
  <c r="AC17" i="7"/>
  <c r="AB17" i="7"/>
  <c r="AF16" i="7"/>
  <c r="AF9" i="7"/>
  <c r="L9" i="7"/>
  <c r="AD9" i="7" s="1"/>
  <c r="AC9" i="7"/>
  <c r="AB9" i="7"/>
  <c r="AD10" i="7"/>
  <c r="AF8" i="7"/>
  <c r="AE8" i="7"/>
  <c r="AC8" i="7"/>
  <c r="AB8" i="7"/>
  <c r="AC10" i="7"/>
  <c r="AF7" i="7"/>
  <c r="AK13" i="7"/>
  <c r="K12" i="7"/>
  <c r="AK12" i="7"/>
  <c r="AJ12" i="7"/>
  <c r="AA25" i="7"/>
  <c r="AA23" i="7"/>
  <c r="AA14" i="7"/>
  <c r="AJ32" i="7"/>
  <c r="AI23" i="7"/>
  <c r="AJ14" i="7"/>
  <c r="AI10" i="7"/>
  <c r="B19" i="14"/>
  <c r="M19" i="14" s="1"/>
  <c r="M16" i="14"/>
  <c r="B15" i="14"/>
  <c r="M15" i="14" s="1"/>
  <c r="B10" i="14"/>
  <c r="M10" i="14" s="1"/>
  <c r="M5" i="14"/>
  <c r="B4" i="14"/>
  <c r="M4" i="14" s="1"/>
  <c r="M3" i="14"/>
  <c r="C53" i="13"/>
  <c r="C52" i="13"/>
  <c r="C47" i="13"/>
  <c r="M7" i="13" s="1"/>
  <c r="C45" i="13"/>
  <c r="AN11" i="17" s="1"/>
  <c r="C44" i="13"/>
  <c r="AM11" i="17" s="1"/>
  <c r="O38" i="13"/>
  <c r="O39" i="13" s="1"/>
  <c r="S36" i="13"/>
  <c r="O36" i="13"/>
  <c r="J36" i="13"/>
  <c r="J40" i="13" s="1"/>
  <c r="M4" i="13" s="1"/>
  <c r="O29" i="13"/>
  <c r="O30" i="13" s="1"/>
  <c r="C27" i="13"/>
  <c r="B45" i="14" s="1"/>
  <c r="B55" i="14" s="1"/>
  <c r="S27" i="13"/>
  <c r="X31" i="13" s="1"/>
  <c r="O27" i="13"/>
  <c r="J27" i="13"/>
  <c r="B56" i="14" l="1"/>
  <c r="B57" i="14"/>
  <c r="B60" i="14" s="1"/>
  <c r="B63" i="14" s="1"/>
  <c r="C28" i="13"/>
  <c r="B13" i="14"/>
  <c r="M13" i="14" s="1"/>
  <c r="B46" i="14"/>
  <c r="B14" i="14"/>
  <c r="M14" i="14" s="1"/>
  <c r="B47" i="14"/>
  <c r="B12" i="14"/>
  <c r="M12" i="14" s="1"/>
  <c r="AL20" i="13"/>
  <c r="AL15" i="13"/>
  <c r="AL13" i="13"/>
  <c r="AL21" i="13"/>
  <c r="AL16" i="13"/>
  <c r="AL12" i="13"/>
  <c r="AL18" i="13"/>
  <c r="AL11" i="13"/>
  <c r="AL19" i="13"/>
  <c r="AL17" i="13"/>
  <c r="AL14" i="13"/>
  <c r="AL22" i="13"/>
  <c r="B21" i="14"/>
  <c r="M9" i="14"/>
  <c r="M21" i="14" s="1"/>
  <c r="M22" i="14"/>
  <c r="M24" i="14" s="1"/>
  <c r="M23" i="14"/>
  <c r="M25" i="14" s="1"/>
  <c r="C49" i="13"/>
  <c r="E49" i="13" s="1"/>
  <c r="C50" i="13"/>
  <c r="E50" i="13" s="1"/>
  <c r="M7" i="14"/>
  <c r="AI33" i="7"/>
  <c r="AI24" i="7"/>
  <c r="AI15" i="7"/>
  <c r="H12" i="7"/>
  <c r="X30" i="13"/>
  <c r="X33" i="13"/>
  <c r="AJ23" i="7"/>
  <c r="T16" i="7"/>
  <c r="Z23" i="7"/>
  <c r="AI14" i="7"/>
  <c r="Z32" i="7"/>
  <c r="AI32" i="7"/>
  <c r="Z14" i="7"/>
  <c r="AA7" i="7"/>
  <c r="Z18" i="7"/>
  <c r="J39" i="13"/>
  <c r="M3" i="13" s="1"/>
  <c r="U3" i="13" s="1"/>
  <c r="U25" i="7"/>
  <c r="AB25" i="7"/>
  <c r="AA16" i="7"/>
  <c r="AI9" i="7"/>
  <c r="AB16" i="7"/>
  <c r="Z28" i="7"/>
  <c r="AI28" i="7"/>
  <c r="B7" i="14"/>
  <c r="Z19" i="7"/>
  <c r="Z10" i="7"/>
  <c r="AB7" i="7"/>
  <c r="AI19" i="7"/>
  <c r="Q24" i="7"/>
  <c r="Z24" i="7" s="1"/>
  <c r="AJ22" i="7"/>
  <c r="AL21" i="7" s="1"/>
  <c r="V16" i="7"/>
  <c r="Q33" i="7"/>
  <c r="Z33" i="7" s="1"/>
  <c r="AE27" i="7"/>
  <c r="Q15" i="7"/>
  <c r="Z15" i="7" s="1"/>
  <c r="AE18" i="7"/>
  <c r="AA24" i="7"/>
  <c r="T12" i="7"/>
  <c r="U26" i="7"/>
  <c r="L8" i="7"/>
  <c r="AD8" i="7" s="1"/>
  <c r="U17" i="7"/>
  <c r="AA32" i="7"/>
  <c r="AE9" i="7"/>
  <c r="AE26" i="7"/>
  <c r="L26" i="7"/>
  <c r="AD26" i="7" s="1"/>
  <c r="AE17" i="7"/>
  <c r="L17" i="7"/>
  <c r="AD17" i="7" s="1"/>
  <c r="AC19" i="7"/>
  <c r="M25" i="7"/>
  <c r="AE25" i="7" s="1"/>
  <c r="AD28" i="7"/>
  <c r="K30" i="7"/>
  <c r="AJ13" i="7"/>
  <c r="AL12" i="7" s="1"/>
  <c r="T21" i="7"/>
  <c r="AA22" i="7"/>
  <c r="AC21" i="7" s="1"/>
  <c r="AA31" i="7"/>
  <c r="AC30" i="7" s="1"/>
  <c r="T30" i="7"/>
  <c r="V25" i="7"/>
  <c r="J31" i="13"/>
  <c r="H4" i="13" s="1"/>
  <c r="E33" i="13" s="1"/>
  <c r="F33" i="13" s="1"/>
  <c r="J30" i="13"/>
  <c r="H3" i="13" s="1"/>
  <c r="C46" i="13"/>
  <c r="B23" i="14"/>
  <c r="B22" i="14"/>
  <c r="B24" i="14" s="1"/>
  <c r="B27" i="14" l="1"/>
  <c r="W85" i="1" s="1"/>
  <c r="C29" i="13"/>
  <c r="B58" i="14"/>
  <c r="B61" i="14" s="1"/>
  <c r="B64" i="14" s="1"/>
  <c r="C39" i="13" s="1"/>
  <c r="M27" i="14"/>
  <c r="M30" i="14" s="1"/>
  <c r="M28" i="14"/>
  <c r="M31" i="14" s="1"/>
  <c r="AM9" i="13"/>
  <c r="AM12" i="13" s="1"/>
  <c r="AO12" i="13" s="1"/>
  <c r="X28" i="13"/>
  <c r="Z29" i="13" s="1"/>
  <c r="E32" i="13"/>
  <c r="F32" i="13" s="1"/>
  <c r="H30" i="7"/>
  <c r="AI30" i="7" s="1"/>
  <c r="Q30" i="7"/>
  <c r="Z30" i="7" s="1"/>
  <c r="Q12" i="7"/>
  <c r="H21" i="7"/>
  <c r="AI21" i="7" s="1"/>
  <c r="Q21" i="7"/>
  <c r="Z21" i="7" s="1"/>
  <c r="U16" i="7"/>
  <c r="H22" i="7"/>
  <c r="AI22" i="7" s="1"/>
  <c r="Q22" i="7"/>
  <c r="Z22" i="7" s="1"/>
  <c r="Q31" i="7"/>
  <c r="Z31" i="7" s="1"/>
  <c r="H31" i="7"/>
  <c r="AI31" i="7" s="1"/>
  <c r="M16" i="7"/>
  <c r="AE16" i="7" s="1"/>
  <c r="L25" i="7"/>
  <c r="AD25" i="7" s="1"/>
  <c r="K16" i="7"/>
  <c r="AC16" i="7" s="1"/>
  <c r="Q20" i="7"/>
  <c r="Z20" i="7" s="1"/>
  <c r="H29" i="7"/>
  <c r="AI29" i="7" s="1"/>
  <c r="H20" i="7"/>
  <c r="AI20" i="7" s="1"/>
  <c r="Z9" i="7"/>
  <c r="T25" i="7"/>
  <c r="K25" i="7"/>
  <c r="AC25" i="7" s="1"/>
  <c r="AI27" i="7"/>
  <c r="Z27" i="7"/>
  <c r="Q29" i="7"/>
  <c r="Z29" i="7" s="1"/>
  <c r="L16" i="7"/>
  <c r="AD16" i="7" s="1"/>
  <c r="AI18" i="7"/>
  <c r="Q3" i="13"/>
  <c r="B25" i="14"/>
  <c r="B28" i="14" s="1"/>
  <c r="B31" i="14" s="1"/>
  <c r="AM20" i="13" l="1"/>
  <c r="AO20" i="13" s="1"/>
  <c r="AM19" i="13"/>
  <c r="AO19" i="13" s="1"/>
  <c r="AM15" i="13"/>
  <c r="AO15" i="13" s="1"/>
  <c r="AM16" i="13"/>
  <c r="AO16" i="13" s="1"/>
  <c r="AM18" i="13"/>
  <c r="AO18" i="13" s="1"/>
  <c r="AM17" i="13"/>
  <c r="AO17" i="13" s="1"/>
  <c r="AM21" i="13"/>
  <c r="AO21" i="13" s="1"/>
  <c r="AM13" i="13"/>
  <c r="AO13" i="13" s="1"/>
  <c r="AM11" i="13"/>
  <c r="AO11" i="13" s="1"/>
  <c r="AM14" i="13"/>
  <c r="AO14" i="13" s="1"/>
  <c r="AM22" i="13"/>
  <c r="AO22" i="13" s="1"/>
  <c r="G32" i="13"/>
  <c r="B30" i="14"/>
  <c r="C38" i="13" s="1"/>
  <c r="C89" i="3" l="1"/>
  <c r="C90" i="3"/>
  <c r="C91" i="3"/>
  <c r="C92" i="3"/>
  <c r="C93" i="3"/>
  <c r="C94" i="3"/>
  <c r="C95" i="3"/>
  <c r="C96" i="3"/>
  <c r="C97" i="3"/>
  <c r="C98" i="3"/>
  <c r="C99" i="3"/>
  <c r="C100" i="3"/>
  <c r="F10" i="10"/>
  <c r="B19" i="10"/>
  <c r="AM148" i="4"/>
  <c r="AD148" i="4"/>
  <c r="U148" i="4"/>
  <c r="L148" i="4"/>
  <c r="AP147" i="4"/>
  <c r="AM147" i="4"/>
  <c r="AG147" i="4"/>
  <c r="AD147" i="4"/>
  <c r="X147" i="4"/>
  <c r="U147" i="4"/>
  <c r="O147" i="4"/>
  <c r="L147" i="4"/>
  <c r="AM146" i="4"/>
  <c r="AD146" i="4"/>
  <c r="U146" i="4"/>
  <c r="L146" i="4"/>
  <c r="AH144" i="4"/>
  <c r="Y144" i="4"/>
  <c r="P144" i="4"/>
  <c r="AH143" i="4"/>
  <c r="Y143" i="4"/>
  <c r="P143" i="4"/>
  <c r="AI142" i="4"/>
  <c r="AH142" i="4"/>
  <c r="AG142" i="4"/>
  <c r="Z142" i="4"/>
  <c r="Y142" i="4"/>
  <c r="X142" i="4"/>
  <c r="Q142" i="4"/>
  <c r="P142" i="4"/>
  <c r="O142" i="4"/>
  <c r="AM139" i="4"/>
  <c r="AD139" i="4"/>
  <c r="U139" i="4"/>
  <c r="L139" i="4"/>
  <c r="AP138" i="4"/>
  <c r="AM138" i="4"/>
  <c r="AG138" i="4"/>
  <c r="AD138" i="4"/>
  <c r="X138" i="4"/>
  <c r="U138" i="4"/>
  <c r="O138" i="4"/>
  <c r="L138" i="4"/>
  <c r="AM137" i="4"/>
  <c r="AD137" i="4"/>
  <c r="U137" i="4"/>
  <c r="L137" i="4"/>
  <c r="AH135" i="4"/>
  <c r="Y135" i="4"/>
  <c r="P135" i="4"/>
  <c r="AH134" i="4"/>
  <c r="Y134" i="4"/>
  <c r="P134" i="4"/>
  <c r="AI133" i="4"/>
  <c r="AH133" i="4"/>
  <c r="AG133" i="4"/>
  <c r="Z133" i="4"/>
  <c r="Y133" i="4"/>
  <c r="X133" i="4"/>
  <c r="Q133" i="4"/>
  <c r="P133" i="4"/>
  <c r="O133" i="4"/>
  <c r="AM130" i="4"/>
  <c r="AD130" i="4"/>
  <c r="U130" i="4"/>
  <c r="L130" i="4"/>
  <c r="AP129" i="4"/>
  <c r="AM129" i="4"/>
  <c r="AG129" i="4"/>
  <c r="AD129" i="4"/>
  <c r="X129" i="4"/>
  <c r="U129" i="4"/>
  <c r="O129" i="4"/>
  <c r="L129" i="4"/>
  <c r="AM128" i="4"/>
  <c r="AD128" i="4"/>
  <c r="U128" i="4"/>
  <c r="L128" i="4"/>
  <c r="AH126" i="4"/>
  <c r="Y126" i="4"/>
  <c r="P126" i="4"/>
  <c r="AH125" i="4"/>
  <c r="Y125" i="4"/>
  <c r="P125" i="4"/>
  <c r="AI124" i="4"/>
  <c r="AH124" i="4"/>
  <c r="AG124" i="4"/>
  <c r="Z124" i="4"/>
  <c r="Y124" i="4"/>
  <c r="X124" i="4"/>
  <c r="Q124" i="4"/>
  <c r="P124" i="4"/>
  <c r="O124" i="4"/>
  <c r="AM121" i="4"/>
  <c r="AD121" i="4"/>
  <c r="U121" i="4"/>
  <c r="L121" i="4"/>
  <c r="AP120" i="4"/>
  <c r="AM120" i="4"/>
  <c r="AG120" i="4"/>
  <c r="AD120" i="4"/>
  <c r="X120" i="4"/>
  <c r="U120" i="4"/>
  <c r="O120" i="4"/>
  <c r="L120" i="4"/>
  <c r="AM119" i="4"/>
  <c r="AD119" i="4"/>
  <c r="U119" i="4"/>
  <c r="L119" i="4"/>
  <c r="AH117" i="4"/>
  <c r="Y117" i="4"/>
  <c r="P117" i="4"/>
  <c r="AH116" i="4"/>
  <c r="Y116" i="4"/>
  <c r="P116" i="4"/>
  <c r="AI115" i="4"/>
  <c r="AH115" i="4"/>
  <c r="AG115" i="4"/>
  <c r="Z115" i="4"/>
  <c r="Y115" i="4"/>
  <c r="X115" i="4"/>
  <c r="Q115" i="4"/>
  <c r="P115" i="4"/>
  <c r="O115" i="4"/>
  <c r="AM112" i="4"/>
  <c r="AD112" i="4"/>
  <c r="U112" i="4"/>
  <c r="L112" i="4"/>
  <c r="AP111" i="4"/>
  <c r="AM111" i="4"/>
  <c r="AG111" i="4"/>
  <c r="AD111" i="4"/>
  <c r="X111" i="4"/>
  <c r="U111" i="4"/>
  <c r="O111" i="4"/>
  <c r="L111" i="4"/>
  <c r="AM110" i="4"/>
  <c r="AD110" i="4"/>
  <c r="U110" i="4"/>
  <c r="L110" i="4"/>
  <c r="AH108" i="4"/>
  <c r="Y108" i="4"/>
  <c r="P108" i="4"/>
  <c r="AH107" i="4"/>
  <c r="Y107" i="4"/>
  <c r="P107" i="4"/>
  <c r="AI106" i="4"/>
  <c r="AH106" i="4"/>
  <c r="AG106" i="4"/>
  <c r="Z106" i="4"/>
  <c r="Y106" i="4"/>
  <c r="X106" i="4"/>
  <c r="Q106" i="4"/>
  <c r="P106" i="4"/>
  <c r="O106" i="4"/>
  <c r="AM103" i="4"/>
  <c r="AD103" i="4"/>
  <c r="U103" i="4"/>
  <c r="L103" i="4"/>
  <c r="AP102" i="4"/>
  <c r="AM102" i="4"/>
  <c r="AG102" i="4"/>
  <c r="AD102" i="4"/>
  <c r="X102" i="4"/>
  <c r="U102" i="4"/>
  <c r="O102" i="4"/>
  <c r="L102" i="4"/>
  <c r="AM101" i="4"/>
  <c r="AD101" i="4"/>
  <c r="U101" i="4"/>
  <c r="L101" i="4"/>
  <c r="AH99" i="4"/>
  <c r="Y99" i="4"/>
  <c r="P99" i="4"/>
  <c r="AH98" i="4"/>
  <c r="Y98" i="4"/>
  <c r="P98" i="4"/>
  <c r="AI97" i="4"/>
  <c r="AH97" i="4"/>
  <c r="AG97" i="4"/>
  <c r="Z97" i="4"/>
  <c r="Y97" i="4"/>
  <c r="X97" i="4"/>
  <c r="Q97" i="4"/>
  <c r="P97" i="4"/>
  <c r="O97" i="4"/>
  <c r="AM94" i="4"/>
  <c r="AD94" i="4"/>
  <c r="U94" i="4"/>
  <c r="L94" i="4"/>
  <c r="AP93" i="4"/>
  <c r="AM93" i="4"/>
  <c r="AG93" i="4"/>
  <c r="AD93" i="4"/>
  <c r="X93" i="4"/>
  <c r="U93" i="4"/>
  <c r="O93" i="4"/>
  <c r="L93" i="4"/>
  <c r="AM92" i="4"/>
  <c r="AD92" i="4"/>
  <c r="U92" i="4"/>
  <c r="L92" i="4"/>
  <c r="AH90" i="4"/>
  <c r="Y90" i="4"/>
  <c r="P90" i="4"/>
  <c r="AH89" i="4"/>
  <c r="Y89" i="4"/>
  <c r="P89" i="4"/>
  <c r="AI88" i="4"/>
  <c r="AH88" i="4"/>
  <c r="AG88" i="4"/>
  <c r="Z88" i="4"/>
  <c r="Y88" i="4"/>
  <c r="X88" i="4"/>
  <c r="Q88" i="4"/>
  <c r="P88" i="4"/>
  <c r="O88" i="4"/>
  <c r="AM85" i="4"/>
  <c r="AD85" i="4"/>
  <c r="U85" i="4"/>
  <c r="L85" i="4"/>
  <c r="AP84" i="4"/>
  <c r="AM84" i="4"/>
  <c r="AG84" i="4"/>
  <c r="AD84" i="4"/>
  <c r="X84" i="4"/>
  <c r="U84" i="4"/>
  <c r="O84" i="4"/>
  <c r="L84" i="4"/>
  <c r="AM83" i="4"/>
  <c r="AD83" i="4"/>
  <c r="U83" i="4"/>
  <c r="L83" i="4"/>
  <c r="AH81" i="4"/>
  <c r="Y81" i="4"/>
  <c r="P81" i="4"/>
  <c r="AH80" i="4"/>
  <c r="Y80" i="4"/>
  <c r="P80" i="4"/>
  <c r="AI79" i="4"/>
  <c r="AH79" i="4"/>
  <c r="AG79" i="4"/>
  <c r="Z79" i="4"/>
  <c r="Y79" i="4"/>
  <c r="X79" i="4"/>
  <c r="Q79" i="4"/>
  <c r="P79" i="4"/>
  <c r="O79" i="4"/>
  <c r="AM76" i="4"/>
  <c r="AD76" i="4"/>
  <c r="U76" i="4"/>
  <c r="L76" i="4"/>
  <c r="AP75" i="4"/>
  <c r="AM75" i="4"/>
  <c r="AG75" i="4"/>
  <c r="AD75" i="4"/>
  <c r="X75" i="4"/>
  <c r="U75" i="4"/>
  <c r="O75" i="4"/>
  <c r="L75" i="4"/>
  <c r="AM74" i="4"/>
  <c r="AD74" i="4"/>
  <c r="U74" i="4"/>
  <c r="L74" i="4"/>
  <c r="AH72" i="4"/>
  <c r="Y72" i="4"/>
  <c r="P72" i="4"/>
  <c r="AH71" i="4"/>
  <c r="Y71" i="4"/>
  <c r="P71" i="4"/>
  <c r="AI70" i="4"/>
  <c r="AH70" i="4"/>
  <c r="AG70" i="4"/>
  <c r="Z70" i="4"/>
  <c r="Y70" i="4"/>
  <c r="X70" i="4"/>
  <c r="Q70" i="4"/>
  <c r="P70" i="4"/>
  <c r="O70" i="4"/>
  <c r="AM67" i="4"/>
  <c r="AD67" i="4"/>
  <c r="U67" i="4"/>
  <c r="L67" i="4"/>
  <c r="AP66" i="4"/>
  <c r="AM66" i="4"/>
  <c r="AG66" i="4"/>
  <c r="AD66" i="4"/>
  <c r="X66" i="4"/>
  <c r="U66" i="4"/>
  <c r="O66" i="4"/>
  <c r="L66" i="4"/>
  <c r="AM65" i="4"/>
  <c r="AD65" i="4"/>
  <c r="U65" i="4"/>
  <c r="L65" i="4"/>
  <c r="AH63" i="4"/>
  <c r="Y63" i="4"/>
  <c r="P63" i="4"/>
  <c r="AH62" i="4"/>
  <c r="Y62" i="4"/>
  <c r="P62" i="4"/>
  <c r="AI61" i="4"/>
  <c r="AH61" i="4"/>
  <c r="AG61" i="4"/>
  <c r="Z61" i="4"/>
  <c r="Y61" i="4"/>
  <c r="X61" i="4"/>
  <c r="Q61" i="4"/>
  <c r="P61" i="4"/>
  <c r="O61" i="4"/>
  <c r="AM58" i="4"/>
  <c r="AD58" i="4"/>
  <c r="U58" i="4"/>
  <c r="L58" i="4"/>
  <c r="AP57" i="4"/>
  <c r="AM57" i="4"/>
  <c r="AG57" i="4"/>
  <c r="AD57" i="4"/>
  <c r="X57" i="4"/>
  <c r="U57" i="4"/>
  <c r="O57" i="4"/>
  <c r="L57" i="4"/>
  <c r="AM56" i="4"/>
  <c r="AD56" i="4"/>
  <c r="U56" i="4"/>
  <c r="L56" i="4"/>
  <c r="AH54" i="4"/>
  <c r="Y54" i="4"/>
  <c r="P54" i="4"/>
  <c r="AH53" i="4"/>
  <c r="Y53" i="4"/>
  <c r="P53" i="4"/>
  <c r="AI52" i="4"/>
  <c r="AH52" i="4"/>
  <c r="AG52" i="4"/>
  <c r="Z52" i="4"/>
  <c r="Y52" i="4"/>
  <c r="X52" i="4"/>
  <c r="Q52" i="4"/>
  <c r="P52" i="4"/>
  <c r="O52" i="4"/>
  <c r="AM49" i="4"/>
  <c r="AD49" i="4"/>
  <c r="U49" i="4"/>
  <c r="L49" i="4"/>
  <c r="AP48" i="4"/>
  <c r="AM48" i="4"/>
  <c r="AG48" i="4"/>
  <c r="AD48" i="4"/>
  <c r="X48" i="4"/>
  <c r="U48" i="4"/>
  <c r="O48" i="4"/>
  <c r="L48" i="4"/>
  <c r="AM47" i="4"/>
  <c r="AD47" i="4"/>
  <c r="U47" i="4"/>
  <c r="L47" i="4"/>
  <c r="AH45" i="4"/>
  <c r="Y45" i="4"/>
  <c r="P45" i="4"/>
  <c r="AH44" i="4"/>
  <c r="Y44" i="4"/>
  <c r="P44" i="4"/>
  <c r="AI43" i="4"/>
  <c r="AH43" i="4"/>
  <c r="AG43" i="4"/>
  <c r="Z43" i="4"/>
  <c r="Y43" i="4"/>
  <c r="X43" i="4"/>
  <c r="Q43" i="4"/>
  <c r="P43" i="4"/>
  <c r="O43" i="4"/>
  <c r="M7" i="7"/>
  <c r="AE7" i="7" s="1"/>
  <c r="L7" i="7"/>
  <c r="AD7" i="7" s="1"/>
  <c r="K7" i="7"/>
  <c r="AC7" i="7" s="1"/>
  <c r="V7" i="7"/>
  <c r="U7" i="7"/>
  <c r="T7" i="7"/>
  <c r="Q13" i="7"/>
  <c r="Z13" i="7" s="1"/>
  <c r="Z12" i="7"/>
  <c r="Q11" i="7"/>
  <c r="Z11" i="7" s="1"/>
  <c r="D19" i="10" l="1"/>
  <c r="D18" i="10"/>
  <c r="C16" i="1"/>
  <c r="C18" i="1"/>
  <c r="D66" i="10"/>
  <c r="D63" i="10"/>
  <c r="D132" i="3" l="1"/>
  <c r="D135" i="3"/>
  <c r="D131" i="3"/>
  <c r="D134" i="3"/>
  <c r="D133" i="3"/>
  <c r="W89" i="1" l="1"/>
  <c r="W91" i="1" s="1"/>
  <c r="H13" i="7" l="1"/>
  <c r="AI13" i="7" s="1"/>
  <c r="A3" i="11"/>
  <c r="A8" i="11"/>
  <c r="C19" i="10" l="1"/>
  <c r="L27" i="10"/>
  <c r="K34" i="10"/>
  <c r="L34" i="10" s="1"/>
  <c r="M34" i="10" s="1"/>
  <c r="B26" i="10"/>
  <c r="B27" i="10" s="1"/>
  <c r="N116" i="1"/>
  <c r="C116" i="1"/>
  <c r="P115" i="1"/>
  <c r="Q115" i="1" s="1"/>
  <c r="R115" i="1" s="1"/>
  <c r="S115" i="1" s="1"/>
  <c r="T115" i="1" s="1"/>
  <c r="U115" i="1" s="1"/>
  <c r="E115" i="1"/>
  <c r="F115" i="1" l="1"/>
  <c r="G115" i="1" l="1"/>
  <c r="H115" i="1" l="1"/>
  <c r="S126" i="1" l="1"/>
  <c r="S124" i="1"/>
  <c r="S123" i="1"/>
  <c r="S125" i="1"/>
  <c r="S127" i="1"/>
  <c r="S122" i="1"/>
  <c r="S121" i="1"/>
  <c r="S119" i="1"/>
  <c r="S116" i="1"/>
  <c r="S120" i="1"/>
  <c r="S117" i="1"/>
  <c r="S118" i="1"/>
  <c r="I115" i="1"/>
  <c r="T123" i="1" l="1"/>
  <c r="T125" i="1"/>
  <c r="T126" i="1"/>
  <c r="T124" i="1"/>
  <c r="T127" i="1"/>
  <c r="T122" i="1"/>
  <c r="T119" i="1"/>
  <c r="T116" i="1"/>
  <c r="T121" i="1"/>
  <c r="T118" i="1"/>
  <c r="T120" i="1"/>
  <c r="T117" i="1"/>
  <c r="J115" i="1"/>
  <c r="U127" i="1" l="1"/>
  <c r="U123" i="1"/>
  <c r="U126" i="1"/>
  <c r="U125" i="1"/>
  <c r="U124" i="1"/>
  <c r="U122" i="1"/>
  <c r="U116" i="1"/>
  <c r="U121" i="1"/>
  <c r="U118" i="1"/>
  <c r="U120" i="1"/>
  <c r="U117" i="1"/>
  <c r="U119" i="1"/>
  <c r="AI12" i="7"/>
  <c r="AX18" i="3"/>
  <c r="K33" i="10"/>
  <c r="C26" i="1" l="1"/>
  <c r="F25" i="17"/>
  <c r="Y14" i="17"/>
  <c r="D130" i="3"/>
  <c r="D129" i="3"/>
  <c r="L33" i="10"/>
  <c r="M33" i="10" s="1"/>
  <c r="I20" i="17" l="1"/>
  <c r="Y20" i="17" s="1"/>
  <c r="I40" i="17"/>
  <c r="Y40" i="17" s="1"/>
  <c r="I35" i="17"/>
  <c r="Y35" i="17" s="1"/>
  <c r="I31" i="17"/>
  <c r="Y31" i="17" s="1"/>
  <c r="I25" i="17"/>
  <c r="Y25" i="17" s="1"/>
  <c r="I23" i="17"/>
  <c r="Y23" i="17" s="1"/>
  <c r="I19" i="17"/>
  <c r="Y19" i="17" s="1"/>
  <c r="I17" i="17"/>
  <c r="Y17" i="17" s="1"/>
  <c r="I22" i="17"/>
  <c r="Y22" i="17" s="1"/>
  <c r="I38" i="17"/>
  <c r="Y38" i="17" s="1"/>
  <c r="I36" i="17"/>
  <c r="Y36" i="17" s="1"/>
  <c r="I41" i="17"/>
  <c r="Y41" i="17" s="1"/>
  <c r="I30" i="17"/>
  <c r="Y30" i="17" s="1"/>
  <c r="I24" i="17"/>
  <c r="Y24" i="17" s="1"/>
  <c r="I21" i="17"/>
  <c r="Y21" i="17" s="1"/>
  <c r="I18" i="17"/>
  <c r="Y18" i="17" s="1"/>
  <c r="I16" i="17"/>
  <c r="Y16" i="17" s="1"/>
  <c r="I32" i="17"/>
  <c r="Y32" i="17" s="1"/>
  <c r="I33" i="17"/>
  <c r="Y33" i="17" s="1"/>
  <c r="I15" i="17"/>
  <c r="Y15" i="17" s="1"/>
  <c r="I34" i="17"/>
  <c r="Y34" i="17" s="1"/>
  <c r="I39" i="17"/>
  <c r="Y39" i="17" s="1"/>
  <c r="I37" i="17"/>
  <c r="Y37" i="17" s="1"/>
  <c r="H13" i="1" l="1"/>
  <c r="H12" i="1"/>
  <c r="C24" i="1" l="1"/>
  <c r="M24" i="1" l="1"/>
  <c r="N24" i="1" l="1"/>
  <c r="T24" i="1"/>
  <c r="M25" i="1"/>
  <c r="T25" i="1" s="1"/>
  <c r="N25" i="1" l="1"/>
  <c r="M26" i="1"/>
  <c r="N96" i="1"/>
  <c r="P95" i="1"/>
  <c r="Q95" i="1" s="1"/>
  <c r="L120" i="3"/>
  <c r="M120" i="3" s="1"/>
  <c r="N120" i="3" s="1"/>
  <c r="O120" i="3" s="1"/>
  <c r="P120" i="3" s="1"/>
  <c r="Q120" i="3" s="1"/>
  <c r="R120" i="3" s="1"/>
  <c r="S120" i="3" s="1"/>
  <c r="E120" i="3"/>
  <c r="F120" i="3" s="1"/>
  <c r="G120" i="3" s="1"/>
  <c r="H120" i="3" s="1"/>
  <c r="I120" i="3" s="1"/>
  <c r="J120" i="3" s="1"/>
  <c r="N26" i="1" l="1"/>
  <c r="T26" i="1"/>
  <c r="N97" i="1"/>
  <c r="N117" i="1"/>
  <c r="R95" i="1"/>
  <c r="S95" i="1" s="1"/>
  <c r="U120" i="3"/>
  <c r="M27" i="1"/>
  <c r="N27" i="1" l="1"/>
  <c r="T27" i="1"/>
  <c r="S107" i="1"/>
  <c r="S106" i="1"/>
  <c r="S104" i="1"/>
  <c r="S103" i="1"/>
  <c r="S105" i="1"/>
  <c r="N98" i="1"/>
  <c r="N118" i="1"/>
  <c r="AD120" i="3"/>
  <c r="V120" i="3"/>
  <c r="W120" i="3" s="1"/>
  <c r="X120" i="3" s="1"/>
  <c r="Y120" i="3" s="1"/>
  <c r="Z120" i="3" s="1"/>
  <c r="AA120" i="3" s="1"/>
  <c r="AB120" i="3" s="1"/>
  <c r="S99" i="1"/>
  <c r="S102" i="1"/>
  <c r="S96" i="1"/>
  <c r="S101" i="1"/>
  <c r="S97" i="1"/>
  <c r="S100" i="1"/>
  <c r="S98" i="1"/>
  <c r="M28" i="1"/>
  <c r="T95" i="1"/>
  <c r="N28" i="1" l="1"/>
  <c r="T28" i="1"/>
  <c r="T106" i="1"/>
  <c r="T104" i="1"/>
  <c r="T107" i="1"/>
  <c r="T105" i="1"/>
  <c r="T103" i="1"/>
  <c r="M29" i="1"/>
  <c r="N99" i="1"/>
  <c r="N119" i="1"/>
  <c r="AM120" i="3"/>
  <c r="AE120" i="3"/>
  <c r="AF120" i="3" s="1"/>
  <c r="AG120" i="3" s="1"/>
  <c r="AH120" i="3" s="1"/>
  <c r="AI120" i="3" s="1"/>
  <c r="AJ120" i="3" s="1"/>
  <c r="AK120" i="3" s="1"/>
  <c r="T96" i="1"/>
  <c r="T99" i="1"/>
  <c r="T102" i="1"/>
  <c r="T101" i="1"/>
  <c r="T97" i="1"/>
  <c r="T100" i="1"/>
  <c r="T98" i="1"/>
  <c r="U95" i="1"/>
  <c r="N29" i="1" l="1"/>
  <c r="T29" i="1"/>
  <c r="U103" i="1"/>
  <c r="U106" i="1"/>
  <c r="U104" i="1"/>
  <c r="U107" i="1"/>
  <c r="U105" i="1"/>
  <c r="N100" i="1"/>
  <c r="N120" i="1"/>
  <c r="M30" i="1"/>
  <c r="AN120" i="3"/>
  <c r="AO120" i="3" s="1"/>
  <c r="AP120" i="3" s="1"/>
  <c r="AQ120" i="3" s="1"/>
  <c r="AR120" i="3" s="1"/>
  <c r="AS120" i="3" s="1"/>
  <c r="AT120" i="3" s="1"/>
  <c r="AV120" i="3"/>
  <c r="AW120" i="3" s="1"/>
  <c r="AX120" i="3" s="1"/>
  <c r="AY120" i="3" s="1"/>
  <c r="AZ120" i="3" s="1"/>
  <c r="BA120" i="3" s="1"/>
  <c r="BB120" i="3" s="1"/>
  <c r="BC120" i="3" s="1"/>
  <c r="U99" i="1"/>
  <c r="U102" i="1"/>
  <c r="U101" i="1"/>
  <c r="U97" i="1"/>
  <c r="U100" i="1"/>
  <c r="U98" i="1"/>
  <c r="U96" i="1"/>
  <c r="C4" i="8"/>
  <c r="N30" i="1" l="1"/>
  <c r="T30" i="1"/>
  <c r="M31" i="1"/>
  <c r="N31" i="1" s="1"/>
  <c r="N101" i="1"/>
  <c r="N122" i="1" s="1"/>
  <c r="N121" i="1"/>
  <c r="H11" i="7"/>
  <c r="AI11" i="7" s="1"/>
  <c r="M32" i="1" l="1"/>
  <c r="N32" i="1" s="1"/>
  <c r="T31" i="1"/>
  <c r="N102" i="1"/>
  <c r="C18" i="10"/>
  <c r="L26" i="10"/>
  <c r="A26" i="10"/>
  <c r="A27" i="10" s="1"/>
  <c r="D27" i="10" s="1"/>
  <c r="A78" i="10"/>
  <c r="B78" i="10"/>
  <c r="C96" i="1"/>
  <c r="E95" i="1"/>
  <c r="F95" i="1" s="1"/>
  <c r="G95" i="1" s="1"/>
  <c r="H95" i="1" s="1"/>
  <c r="D128" i="3"/>
  <c r="L85" i="3"/>
  <c r="U85" i="3" s="1"/>
  <c r="E85" i="3"/>
  <c r="F85" i="3" l="1"/>
  <c r="G85" i="3" s="1"/>
  <c r="H85" i="3" s="1"/>
  <c r="I85" i="3" s="1"/>
  <c r="J85" i="3" s="1"/>
  <c r="E100" i="3"/>
  <c r="E135" i="3" s="1"/>
  <c r="E99" i="3"/>
  <c r="E134" i="3" s="1"/>
  <c r="E98" i="3"/>
  <c r="E133" i="3" s="1"/>
  <c r="E97" i="3"/>
  <c r="E132" i="3" s="1"/>
  <c r="E96" i="3"/>
  <c r="E131" i="3" s="1"/>
  <c r="E95" i="3"/>
  <c r="E130" i="3" s="1"/>
  <c r="E94" i="3"/>
  <c r="E129" i="3" s="1"/>
  <c r="E93" i="3"/>
  <c r="E128" i="3" s="1"/>
  <c r="E92" i="3"/>
  <c r="E91" i="3"/>
  <c r="E90" i="3"/>
  <c r="E89" i="3"/>
  <c r="E124" i="3" s="1"/>
  <c r="I95" i="1"/>
  <c r="I99" i="1" s="1"/>
  <c r="I119" i="1" s="1"/>
  <c r="H103" i="1"/>
  <c r="H123" i="1" s="1"/>
  <c r="H106" i="1"/>
  <c r="H126" i="1" s="1"/>
  <c r="H102" i="1"/>
  <c r="H122" i="1" s="1"/>
  <c r="H104" i="1"/>
  <c r="H124" i="1" s="1"/>
  <c r="H107" i="1"/>
  <c r="H127" i="1" s="1"/>
  <c r="H105" i="1"/>
  <c r="H125" i="1" s="1"/>
  <c r="N103" i="1"/>
  <c r="N123" i="1"/>
  <c r="M33" i="1"/>
  <c r="N33" i="1" s="1"/>
  <c r="T32" i="1"/>
  <c r="C97" i="1"/>
  <c r="C117" i="1"/>
  <c r="M85" i="3"/>
  <c r="N85" i="3" s="1"/>
  <c r="O85" i="3" s="1"/>
  <c r="P85" i="3" s="1"/>
  <c r="Q85" i="3" s="1"/>
  <c r="R85" i="3" s="1"/>
  <c r="S85" i="3" s="1"/>
  <c r="H101" i="1"/>
  <c r="H121" i="1" s="1"/>
  <c r="H99" i="1"/>
  <c r="H119" i="1" s="1"/>
  <c r="D126" i="3"/>
  <c r="D124" i="3"/>
  <c r="D125" i="3"/>
  <c r="D127" i="3"/>
  <c r="H97" i="1"/>
  <c r="H117" i="1" s="1"/>
  <c r="H96" i="1"/>
  <c r="H116" i="1" s="1"/>
  <c r="H100" i="1"/>
  <c r="H120" i="1" s="1"/>
  <c r="H98" i="1"/>
  <c r="H118" i="1" s="1"/>
  <c r="AD85" i="3"/>
  <c r="V85" i="3"/>
  <c r="E126" i="3"/>
  <c r="E125" i="3"/>
  <c r="E127" i="3"/>
  <c r="D26" i="10"/>
  <c r="AE85" i="3" l="1"/>
  <c r="AF85" i="3" s="1"/>
  <c r="AM85" i="3"/>
  <c r="I96" i="1"/>
  <c r="I116" i="1" s="1"/>
  <c r="I97" i="1"/>
  <c r="I117" i="1" s="1"/>
  <c r="I98" i="1"/>
  <c r="I118" i="1" s="1"/>
  <c r="I101" i="1"/>
  <c r="I121" i="1" s="1"/>
  <c r="I100" i="1"/>
  <c r="I120" i="1" s="1"/>
  <c r="J95" i="1"/>
  <c r="I102" i="1"/>
  <c r="I122" i="1" s="1"/>
  <c r="I103" i="1"/>
  <c r="I123" i="1" s="1"/>
  <c r="I106" i="1"/>
  <c r="I126" i="1" s="1"/>
  <c r="I104" i="1"/>
  <c r="I124" i="1" s="1"/>
  <c r="I107" i="1"/>
  <c r="I127" i="1" s="1"/>
  <c r="I105" i="1"/>
  <c r="I125" i="1" s="1"/>
  <c r="M34" i="1"/>
  <c r="N34" i="1" s="1"/>
  <c r="T33" i="1"/>
  <c r="N124" i="1"/>
  <c r="N104" i="1"/>
  <c r="C98" i="1"/>
  <c r="C118" i="1"/>
  <c r="W85" i="3"/>
  <c r="X85" i="3" s="1"/>
  <c r="Y85" i="3" s="1"/>
  <c r="Z85" i="3" s="1"/>
  <c r="AA85" i="3" s="1"/>
  <c r="AB85" i="3" s="1"/>
  <c r="AG85" i="3"/>
  <c r="AN85" i="3" l="1"/>
  <c r="AO85" i="3" s="1"/>
  <c r="AP85" i="3" s="1"/>
  <c r="AQ85" i="3" s="1"/>
  <c r="AR85" i="3" s="1"/>
  <c r="AS85" i="3" s="1"/>
  <c r="AT85" i="3" s="1"/>
  <c r="AV85" i="3"/>
  <c r="AW85" i="3" s="1"/>
  <c r="AX85" i="3" s="1"/>
  <c r="AY85" i="3" s="1"/>
  <c r="AZ85" i="3" s="1"/>
  <c r="BA85" i="3" s="1"/>
  <c r="BB85" i="3" s="1"/>
  <c r="BC85" i="3" s="1"/>
  <c r="J96" i="1"/>
  <c r="J116" i="1" s="1"/>
  <c r="J105" i="1"/>
  <c r="J125" i="1" s="1"/>
  <c r="J103" i="1"/>
  <c r="J123" i="1" s="1"/>
  <c r="J104" i="1"/>
  <c r="J124" i="1" s="1"/>
  <c r="J107" i="1"/>
  <c r="J127" i="1" s="1"/>
  <c r="J102" i="1"/>
  <c r="J122" i="1" s="1"/>
  <c r="J106" i="1"/>
  <c r="J126" i="1" s="1"/>
  <c r="J98" i="1"/>
  <c r="J118" i="1" s="1"/>
  <c r="J100" i="1"/>
  <c r="J120" i="1" s="1"/>
  <c r="J97" i="1"/>
  <c r="J117" i="1" s="1"/>
  <c r="J99" i="1"/>
  <c r="J119" i="1" s="1"/>
  <c r="J101" i="1"/>
  <c r="J121" i="1" s="1"/>
  <c r="N105" i="1"/>
  <c r="N125" i="1"/>
  <c r="M35" i="1"/>
  <c r="N35" i="1" s="1"/>
  <c r="T34" i="1"/>
  <c r="C99" i="1"/>
  <c r="C119" i="1"/>
  <c r="AH85" i="3"/>
  <c r="AI85" i="3" s="1"/>
  <c r="AJ85" i="3" s="1"/>
  <c r="AK85" i="3" s="1"/>
  <c r="M36" i="1" l="1"/>
  <c r="M37" i="1" s="1"/>
  <c r="M38" i="1" s="1"/>
  <c r="M39" i="1" s="1"/>
  <c r="M40" i="1" s="1"/>
  <c r="M41" i="1" s="1"/>
  <c r="M42" i="1" s="1"/>
  <c r="M43" i="1" s="1"/>
  <c r="T35" i="1"/>
  <c r="P24" i="1"/>
  <c r="N22" i="1" s="1"/>
  <c r="N20" i="1" s="1"/>
  <c r="N106" i="1"/>
  <c r="N126" i="1"/>
  <c r="C100" i="1"/>
  <c r="C120" i="1"/>
  <c r="J66" i="10"/>
  <c r="I66" i="10"/>
  <c r="H66" i="10"/>
  <c r="G66" i="10"/>
  <c r="C66" i="10"/>
  <c r="J78" i="10"/>
  <c r="I78" i="10"/>
  <c r="H78" i="10"/>
  <c r="E78" i="10"/>
  <c r="C78" i="10"/>
  <c r="D78" i="10"/>
  <c r="C63" i="10"/>
  <c r="N107" i="1" l="1"/>
  <c r="N127" i="1"/>
  <c r="E19" i="10"/>
  <c r="C101" i="1"/>
  <c r="C121" i="1"/>
  <c r="S66" i="10"/>
  <c r="F78" i="10"/>
  <c r="T66" i="10"/>
  <c r="K78" i="10"/>
  <c r="E63" i="10"/>
  <c r="S63" i="10"/>
  <c r="T63" i="10"/>
  <c r="D74" i="10"/>
  <c r="F74" i="10" s="1"/>
  <c r="K74" i="10"/>
  <c r="L74" i="10"/>
  <c r="L78" i="10" s="1"/>
  <c r="AF29" i="4"/>
  <c r="C102" i="1" l="1"/>
  <c r="C122" i="1"/>
  <c r="E18" i="10"/>
  <c r="E66" i="10"/>
  <c r="N66" i="10" s="1"/>
  <c r="M74" i="10"/>
  <c r="M78" i="10"/>
  <c r="P63" i="10"/>
  <c r="R63" i="10"/>
  <c r="M63" i="10"/>
  <c r="U63" i="10" s="1"/>
  <c r="N74" i="10" s="1"/>
  <c r="K63" i="10"/>
  <c r="L63" i="10"/>
  <c r="Q63" i="10"/>
  <c r="O63" i="10"/>
  <c r="N63" i="10"/>
  <c r="V63" i="10" s="1"/>
  <c r="C123" i="1" l="1"/>
  <c r="C103" i="1"/>
  <c r="O66" i="10"/>
  <c r="R66" i="10"/>
  <c r="L66" i="10"/>
  <c r="P66" i="10"/>
  <c r="K66" i="10"/>
  <c r="M66" i="10"/>
  <c r="U66" i="10" s="1"/>
  <c r="Q66" i="10"/>
  <c r="V66" i="10"/>
  <c r="O74" i="10"/>
  <c r="C104" i="1" l="1"/>
  <c r="C124" i="1"/>
  <c r="N78" i="10"/>
  <c r="O78" i="10" s="1"/>
  <c r="C125" i="1" l="1"/>
  <c r="C105" i="1"/>
  <c r="M32" i="4"/>
  <c r="C106" i="1" l="1"/>
  <c r="C126" i="1"/>
  <c r="J60" i="1"/>
  <c r="Q43" i="3"/>
  <c r="P43" i="3"/>
  <c r="O43" i="3"/>
  <c r="N43" i="3"/>
  <c r="M43" i="3"/>
  <c r="L43" i="3"/>
  <c r="N64" i="1"/>
  <c r="N65" i="1" s="1"/>
  <c r="N66" i="1" s="1"/>
  <c r="N67" i="1" s="1"/>
  <c r="N68" i="1" s="1"/>
  <c r="N69" i="1" s="1"/>
  <c r="N70" i="1" s="1"/>
  <c r="N71" i="1" s="1"/>
  <c r="N72" i="1" s="1"/>
  <c r="N73" i="1" s="1"/>
  <c r="N74" i="1" s="1"/>
  <c r="N75" i="1" s="1"/>
  <c r="L50" i="3"/>
  <c r="M50" i="3"/>
  <c r="N50" i="3"/>
  <c r="O50" i="3"/>
  <c r="P50" i="3"/>
  <c r="Q50" i="3"/>
  <c r="R50" i="3"/>
  <c r="S50" i="3"/>
  <c r="D46" i="3"/>
  <c r="D45" i="3"/>
  <c r="BL15" i="3" l="1"/>
  <c r="AX93" i="3"/>
  <c r="AX128" i="3" s="1"/>
  <c r="AX100" i="3"/>
  <c r="AX135" i="3" s="1"/>
  <c r="AX99" i="3"/>
  <c r="AX134" i="3" s="1"/>
  <c r="AX91" i="3"/>
  <c r="AX126" i="3" s="1"/>
  <c r="AX98" i="3"/>
  <c r="AX133" i="3" s="1"/>
  <c r="AX97" i="3"/>
  <c r="AX132" i="3" s="1"/>
  <c r="AX96" i="3"/>
  <c r="AX131" i="3" s="1"/>
  <c r="AX92" i="3"/>
  <c r="AX127" i="3" s="1"/>
  <c r="AX95" i="3"/>
  <c r="AX130" i="3" s="1"/>
  <c r="AX94" i="3"/>
  <c r="AX129" i="3" s="1"/>
  <c r="AX90" i="3"/>
  <c r="AX125" i="3" s="1"/>
  <c r="AX89" i="3"/>
  <c r="AX124" i="3" s="1"/>
  <c r="CA15" i="3"/>
  <c r="AW15" i="3"/>
  <c r="AO93" i="3"/>
  <c r="AO128" i="3" s="1"/>
  <c r="AO99" i="3"/>
  <c r="AO134" i="3" s="1"/>
  <c r="AO96" i="3"/>
  <c r="AO131" i="3" s="1"/>
  <c r="AO100" i="3"/>
  <c r="AO135" i="3" s="1"/>
  <c r="AO92" i="3"/>
  <c r="AO127" i="3" s="1"/>
  <c r="AO91" i="3"/>
  <c r="AO126" i="3" s="1"/>
  <c r="AO90" i="3"/>
  <c r="AO125" i="3" s="1"/>
  <c r="AO89" i="3"/>
  <c r="AO124" i="3" s="1"/>
  <c r="AO95" i="3"/>
  <c r="AO130" i="3" s="1"/>
  <c r="AO94" i="3"/>
  <c r="AO129" i="3" s="1"/>
  <c r="AO98" i="3"/>
  <c r="AO133" i="3" s="1"/>
  <c r="AO97" i="3"/>
  <c r="AO132" i="3" s="1"/>
  <c r="AF94" i="3"/>
  <c r="AF129" i="3" s="1"/>
  <c r="AF95" i="3"/>
  <c r="AF130" i="3" s="1"/>
  <c r="AF89" i="3"/>
  <c r="AF124" i="3" s="1"/>
  <c r="AF96" i="3"/>
  <c r="AF131" i="3" s="1"/>
  <c r="AF100" i="3"/>
  <c r="AF98" i="3"/>
  <c r="AF92" i="3"/>
  <c r="AF127" i="3" s="1"/>
  <c r="AF90" i="3"/>
  <c r="AF125" i="3" s="1"/>
  <c r="AF91" i="3"/>
  <c r="AF126" i="3" s="1"/>
  <c r="AF97" i="3"/>
  <c r="AF132" i="3" s="1"/>
  <c r="AF93" i="3"/>
  <c r="AF99" i="3"/>
  <c r="AF134" i="3" s="1"/>
  <c r="W93" i="3"/>
  <c r="W128" i="3" s="1"/>
  <c r="W100" i="3"/>
  <c r="W135" i="3" s="1"/>
  <c r="W98" i="3"/>
  <c r="W96" i="3"/>
  <c r="W131" i="3" s="1"/>
  <c r="W94" i="3"/>
  <c r="W92" i="3"/>
  <c r="W127" i="3" s="1"/>
  <c r="W90" i="3"/>
  <c r="W125" i="3" s="1"/>
  <c r="W97" i="3"/>
  <c r="W132" i="3" s="1"/>
  <c r="W95" i="3"/>
  <c r="W91" i="3"/>
  <c r="W126" i="3" s="1"/>
  <c r="W99" i="3"/>
  <c r="W134" i="3" s="1"/>
  <c r="W89" i="3"/>
  <c r="W124" i="3" s="1"/>
  <c r="AH15" i="3"/>
  <c r="S15" i="3"/>
  <c r="N95" i="3"/>
  <c r="N89" i="3"/>
  <c r="N124" i="3" s="1"/>
  <c r="N100" i="3"/>
  <c r="N98" i="3"/>
  <c r="N133" i="3" s="1"/>
  <c r="N96" i="3"/>
  <c r="N94" i="3"/>
  <c r="N129" i="3" s="1"/>
  <c r="N92" i="3"/>
  <c r="N127" i="3" s="1"/>
  <c r="N90" i="3"/>
  <c r="N125" i="3" s="1"/>
  <c r="N97" i="3"/>
  <c r="N132" i="3" s="1"/>
  <c r="N99" i="3"/>
  <c r="N91" i="3"/>
  <c r="N126" i="3" s="1"/>
  <c r="N93" i="3"/>
  <c r="D15" i="3"/>
  <c r="C107" i="1"/>
  <c r="C127" i="1"/>
  <c r="I60" i="1"/>
  <c r="H60" i="1"/>
  <c r="E60" i="1"/>
  <c r="G60" i="1"/>
  <c r="F60" i="1"/>
  <c r="D60" i="1"/>
  <c r="AF133" i="3" l="1"/>
  <c r="AF135" i="3"/>
  <c r="N131" i="3"/>
  <c r="W133" i="3"/>
  <c r="N135" i="3"/>
  <c r="N134" i="3"/>
  <c r="N130" i="3"/>
  <c r="W129" i="3"/>
  <c r="W130" i="3"/>
  <c r="AF128" i="3"/>
  <c r="N128" i="3"/>
  <c r="P48" i="3"/>
  <c r="T48" i="3"/>
  <c r="CF18" i="3"/>
  <c r="BQ18" i="3"/>
  <c r="BB18" i="3"/>
  <c r="X18" i="3"/>
  <c r="X50" i="3"/>
  <c r="AG50" i="3" s="1"/>
  <c r="AP50" i="3" s="1"/>
  <c r="AY50" i="3" s="1"/>
  <c r="AB50" i="3"/>
  <c r="AK50" i="3" s="1"/>
  <c r="AT50" i="3" s="1"/>
  <c r="BC50" i="3" s="1"/>
  <c r="AA50" i="3"/>
  <c r="AJ50" i="3" s="1"/>
  <c r="AS50" i="3" s="1"/>
  <c r="BB50" i="3" s="1"/>
  <c r="Z50" i="3"/>
  <c r="AI50" i="3" s="1"/>
  <c r="AR50" i="3" s="1"/>
  <c r="BA50" i="3" s="1"/>
  <c r="U50" i="3"/>
  <c r="AD50" i="3" s="1"/>
  <c r="AM50" i="3" s="1"/>
  <c r="AV50" i="3" s="1"/>
  <c r="P63" i="1"/>
  <c r="Q63" i="1" l="1"/>
  <c r="V50" i="3"/>
  <c r="AE50" i="3" s="1"/>
  <c r="AN50" i="3" s="1"/>
  <c r="AW50" i="3" s="1"/>
  <c r="W50" i="3"/>
  <c r="AF50" i="3" s="1"/>
  <c r="AO50" i="3" s="1"/>
  <c r="AX50" i="3" s="1"/>
  <c r="Y50" i="3"/>
  <c r="AH50" i="3" s="1"/>
  <c r="AQ50" i="3" s="1"/>
  <c r="AZ50" i="3" s="1"/>
  <c r="P21" i="1"/>
  <c r="CC19" i="3"/>
  <c r="CA19" i="3"/>
  <c r="CA20" i="3" s="1"/>
  <c r="CA21" i="3" s="1"/>
  <c r="BZ19" i="3"/>
  <c r="BN19" i="3"/>
  <c r="BQ19" i="3" s="1"/>
  <c r="BV19" i="3" s="1"/>
  <c r="BL19" i="3"/>
  <c r="BL20" i="3" s="1"/>
  <c r="BL21" i="3" s="1"/>
  <c r="BK19" i="3"/>
  <c r="BK20" i="3" s="1"/>
  <c r="BK21" i="3" s="1"/>
  <c r="AY19" i="3"/>
  <c r="BB19" i="3" s="1"/>
  <c r="AW19" i="3"/>
  <c r="AW20" i="3" s="1"/>
  <c r="AW21" i="3" s="1"/>
  <c r="AV19" i="3"/>
  <c r="AV20" i="3" s="1"/>
  <c r="AV21" i="3" s="1"/>
  <c r="AJ19" i="3"/>
  <c r="AJ20" i="3" s="1"/>
  <c r="AJ21" i="3" s="1"/>
  <c r="U19" i="3"/>
  <c r="X19" i="3" s="1"/>
  <c r="AH19" i="3"/>
  <c r="AH20" i="3" s="1"/>
  <c r="AH21" i="3" s="1"/>
  <c r="AG19" i="3"/>
  <c r="AG20" i="3" s="1"/>
  <c r="AG21" i="3" s="1"/>
  <c r="S19" i="3"/>
  <c r="S20" i="3" s="1"/>
  <c r="S21" i="3" s="1"/>
  <c r="R19" i="3"/>
  <c r="R20" i="3" s="1"/>
  <c r="R21" i="3" s="1"/>
  <c r="R22" i="3" s="1"/>
  <c r="C19" i="3"/>
  <c r="C20" i="3" s="1"/>
  <c r="C21" i="3" s="1"/>
  <c r="D19" i="3"/>
  <c r="D20" i="3" s="1"/>
  <c r="D21" i="3" s="1"/>
  <c r="E19" i="3"/>
  <c r="E20" i="3" s="1"/>
  <c r="E21" i="3" s="1"/>
  <c r="F19" i="3"/>
  <c r="F20" i="3" s="1"/>
  <c r="F21" i="3" s="1"/>
  <c r="CB18" i="3"/>
  <c r="CB19" i="3" s="1"/>
  <c r="CB20" i="3" s="1"/>
  <c r="CB21" i="3" s="1"/>
  <c r="BM18" i="3"/>
  <c r="BU18" i="3" s="1"/>
  <c r="AX19" i="3"/>
  <c r="AX20" i="3" s="1"/>
  <c r="AX21" i="3" s="1"/>
  <c r="AI18" i="3"/>
  <c r="AI19" i="3" s="1"/>
  <c r="AI20" i="3" s="1"/>
  <c r="AI21" i="3" s="1"/>
  <c r="T18" i="3"/>
  <c r="T19" i="3" s="1"/>
  <c r="T20" i="3" s="1"/>
  <c r="T21" i="3" s="1"/>
  <c r="CK18" i="3"/>
  <c r="BV18" i="3"/>
  <c r="AI22" i="3" l="1"/>
  <c r="AQ21" i="3"/>
  <c r="R23" i="3"/>
  <c r="O21" i="3"/>
  <c r="D22" i="3"/>
  <c r="K21" i="3"/>
  <c r="C22" i="3"/>
  <c r="BF21" i="3"/>
  <c r="AX22" i="3"/>
  <c r="AG22" i="3"/>
  <c r="AO21" i="3"/>
  <c r="CB22" i="3"/>
  <c r="CJ21" i="3"/>
  <c r="AH22" i="3"/>
  <c r="AS21" i="3"/>
  <c r="F22" i="3"/>
  <c r="I21" i="3"/>
  <c r="N21" i="3" s="1"/>
  <c r="BD21" i="3"/>
  <c r="AV22" i="3"/>
  <c r="Z21" i="3"/>
  <c r="T22" i="3"/>
  <c r="AB21" i="3"/>
  <c r="BH21" i="3"/>
  <c r="AW22" i="3"/>
  <c r="S22" i="3"/>
  <c r="AD21" i="3"/>
  <c r="BK22" i="3"/>
  <c r="BL22" i="3"/>
  <c r="E22" i="3"/>
  <c r="M21" i="3"/>
  <c r="AM21" i="3"/>
  <c r="AR21" i="3" s="1"/>
  <c r="AJ22" i="3"/>
  <c r="CA22" i="3"/>
  <c r="CL21" i="3"/>
  <c r="BN20" i="3"/>
  <c r="CJ18" i="3"/>
  <c r="CH18" i="3"/>
  <c r="AY20" i="3"/>
  <c r="R63" i="1"/>
  <c r="CH19" i="3"/>
  <c r="BS18" i="3"/>
  <c r="CL18" i="3"/>
  <c r="BM19" i="3"/>
  <c r="BW19" i="3" s="1"/>
  <c r="BW18" i="3"/>
  <c r="CC20" i="3"/>
  <c r="CC21" i="3" s="1"/>
  <c r="CF19" i="3"/>
  <c r="CK19" i="3" s="1"/>
  <c r="U20" i="3"/>
  <c r="U21" i="3" s="1"/>
  <c r="BZ20" i="3"/>
  <c r="CL20" i="3"/>
  <c r="CJ19" i="3"/>
  <c r="CL19" i="3"/>
  <c r="CJ20" i="3"/>
  <c r="C23" i="3" l="1"/>
  <c r="K22" i="3"/>
  <c r="BQ20" i="3"/>
  <c r="BV20" i="3" s="1"/>
  <c r="BN21" i="3"/>
  <c r="BL23" i="3"/>
  <c r="AB22" i="3"/>
  <c r="T23" i="3"/>
  <c r="AH23" i="3"/>
  <c r="AS22" i="3"/>
  <c r="O22" i="3"/>
  <c r="D23" i="3"/>
  <c r="CA23" i="3"/>
  <c r="CL22" i="3"/>
  <c r="BK23" i="3"/>
  <c r="AV23" i="3"/>
  <c r="BD22" i="3"/>
  <c r="CB23" i="3"/>
  <c r="CJ22" i="3"/>
  <c r="Z22" i="3"/>
  <c r="X21" i="3"/>
  <c r="AC21" i="3" s="1"/>
  <c r="U22" i="3"/>
  <c r="S23" i="3"/>
  <c r="S24" i="3" s="1"/>
  <c r="S25" i="3" s="1"/>
  <c r="AD22" i="3"/>
  <c r="AO22" i="3"/>
  <c r="AG23" i="3"/>
  <c r="R24" i="3"/>
  <c r="R25" i="3" s="1"/>
  <c r="BB20" i="3"/>
  <c r="AY21" i="3"/>
  <c r="BH22" i="3"/>
  <c r="AW23" i="3"/>
  <c r="AX23" i="3"/>
  <c r="BF22" i="3"/>
  <c r="CH20" i="3"/>
  <c r="BZ21" i="3"/>
  <c r="AJ23" i="3"/>
  <c r="AM22" i="3"/>
  <c r="AR22" i="3" s="1"/>
  <c r="CC22" i="3"/>
  <c r="CF21" i="3"/>
  <c r="CK21" i="3" s="1"/>
  <c r="E23" i="3"/>
  <c r="M22" i="3"/>
  <c r="F23" i="3"/>
  <c r="I22" i="3"/>
  <c r="N22" i="3" s="1"/>
  <c r="AQ22" i="3"/>
  <c r="AI23" i="3"/>
  <c r="BS19" i="3"/>
  <c r="S63" i="1"/>
  <c r="CF20" i="3"/>
  <c r="CK20" i="3" s="1"/>
  <c r="BU19" i="3"/>
  <c r="BM20" i="3"/>
  <c r="X20" i="3"/>
  <c r="R26" i="3" l="1"/>
  <c r="S26" i="3"/>
  <c r="S73" i="1"/>
  <c r="S71" i="1"/>
  <c r="S70" i="1"/>
  <c r="S72" i="1"/>
  <c r="S74" i="1"/>
  <c r="S75" i="1"/>
  <c r="BW20" i="3"/>
  <c r="BM21" i="3"/>
  <c r="X22" i="3"/>
  <c r="AC22" i="3" s="1"/>
  <c r="U23" i="3"/>
  <c r="AD23" i="3"/>
  <c r="T24" i="3"/>
  <c r="Z24" i="3" s="1"/>
  <c r="AB23" i="3"/>
  <c r="AJ24" i="3"/>
  <c r="AM23" i="3"/>
  <c r="AR23" i="3" s="1"/>
  <c r="BZ22" i="3"/>
  <c r="CH21" i="3"/>
  <c r="E24" i="3"/>
  <c r="M23" i="3"/>
  <c r="CL23" i="3"/>
  <c r="CA24" i="3"/>
  <c r="CA25" i="3" s="1"/>
  <c r="CA26" i="3" s="1"/>
  <c r="CA27" i="3" s="1"/>
  <c r="CA28" i="3" s="1"/>
  <c r="CA29" i="3" s="1"/>
  <c r="BL24" i="3"/>
  <c r="BL25" i="3" s="1"/>
  <c r="BL26" i="3" s="1"/>
  <c r="BL27" i="3" s="1"/>
  <c r="BL28" i="3" s="1"/>
  <c r="BL29" i="3" s="1"/>
  <c r="AY22" i="3"/>
  <c r="BB21" i="3"/>
  <c r="BG21" i="3" s="1"/>
  <c r="F24" i="3"/>
  <c r="I23" i="3"/>
  <c r="N23" i="3" s="1"/>
  <c r="BK24" i="3"/>
  <c r="BK25" i="3" s="1"/>
  <c r="BK26" i="3" s="1"/>
  <c r="BK27" i="3" s="1"/>
  <c r="BK28" i="3" s="1"/>
  <c r="BK29" i="3" s="1"/>
  <c r="Z23" i="3"/>
  <c r="AG24" i="3"/>
  <c r="AG25" i="3" s="1"/>
  <c r="AO23" i="3"/>
  <c r="D24" i="3"/>
  <c r="D25" i="3" s="1"/>
  <c r="O23" i="3"/>
  <c r="BQ21" i="3"/>
  <c r="BV21" i="3" s="1"/>
  <c r="BN22" i="3"/>
  <c r="AX24" i="3"/>
  <c r="BF23" i="3"/>
  <c r="CJ23" i="3"/>
  <c r="CB24" i="3"/>
  <c r="AI24" i="3"/>
  <c r="AQ23" i="3"/>
  <c r="CC23" i="3"/>
  <c r="CF22" i="3"/>
  <c r="CK22" i="3" s="1"/>
  <c r="BH23" i="3"/>
  <c r="AW24" i="3"/>
  <c r="AW25" i="3" s="1"/>
  <c r="AW26" i="3" s="1"/>
  <c r="AW27" i="3" s="1"/>
  <c r="AW28" i="3" s="1"/>
  <c r="AW29" i="3" s="1"/>
  <c r="AV24" i="3"/>
  <c r="AV25" i="3" s="1"/>
  <c r="AV26" i="3" s="1"/>
  <c r="AV27" i="3" s="1"/>
  <c r="AV28" i="3" s="1"/>
  <c r="AV29" i="3" s="1"/>
  <c r="BD23" i="3"/>
  <c r="AH24" i="3"/>
  <c r="AS23" i="3"/>
  <c r="C24" i="3"/>
  <c r="K23" i="3"/>
  <c r="BS20" i="3"/>
  <c r="BU20" i="3"/>
  <c r="T63" i="1"/>
  <c r="S69" i="1"/>
  <c r="S66" i="1"/>
  <c r="S64" i="1"/>
  <c r="S68" i="1"/>
  <c r="S67" i="1"/>
  <c r="S65" i="1"/>
  <c r="AM24" i="3" l="1"/>
  <c r="AR24" i="3" s="1"/>
  <c r="AJ25" i="3"/>
  <c r="I24" i="3"/>
  <c r="N24" i="3" s="1"/>
  <c r="F25" i="3"/>
  <c r="AB24" i="3"/>
  <c r="T25" i="3"/>
  <c r="BF24" i="3"/>
  <c r="AX25" i="3"/>
  <c r="CJ24" i="3"/>
  <c r="CB25" i="3"/>
  <c r="M24" i="3"/>
  <c r="E25" i="3"/>
  <c r="O25" i="3" s="1"/>
  <c r="BD24" i="3"/>
  <c r="CL24" i="3"/>
  <c r="AQ24" i="3"/>
  <c r="AI25" i="3"/>
  <c r="AO25" i="3" s="1"/>
  <c r="AS24" i="3"/>
  <c r="AH25" i="3"/>
  <c r="AG26" i="3"/>
  <c r="R27" i="3"/>
  <c r="K24" i="3"/>
  <c r="C25" i="3"/>
  <c r="S27" i="3"/>
  <c r="D26" i="3"/>
  <c r="T70" i="1"/>
  <c r="T72" i="1"/>
  <c r="T73" i="1"/>
  <c r="T71" i="1"/>
  <c r="T74" i="1"/>
  <c r="T75" i="1"/>
  <c r="O24" i="3"/>
  <c r="BN23" i="3"/>
  <c r="BQ22" i="3"/>
  <c r="BV22" i="3" s="1"/>
  <c r="CC24" i="3"/>
  <c r="CF23" i="3"/>
  <c r="CK23" i="3" s="1"/>
  <c r="X23" i="3"/>
  <c r="AC23" i="3" s="1"/>
  <c r="U24" i="3"/>
  <c r="AD24" i="3"/>
  <c r="BB22" i="3"/>
  <c r="BG22" i="3" s="1"/>
  <c r="AY23" i="3"/>
  <c r="BH24" i="3"/>
  <c r="AO24" i="3"/>
  <c r="CH22" i="3"/>
  <c r="BZ23" i="3"/>
  <c r="BM22" i="3"/>
  <c r="BU21" i="3"/>
  <c r="BS21" i="3"/>
  <c r="BW21" i="3"/>
  <c r="U63" i="1"/>
  <c r="T66" i="1"/>
  <c r="T69" i="1"/>
  <c r="T64" i="1"/>
  <c r="T68" i="1"/>
  <c r="T67" i="1"/>
  <c r="T65" i="1"/>
  <c r="X24" i="3" l="1"/>
  <c r="AC24" i="3" s="1"/>
  <c r="U25" i="3"/>
  <c r="CF24" i="3"/>
  <c r="CK24" i="3" s="1"/>
  <c r="CC25" i="3"/>
  <c r="I25" i="3"/>
  <c r="N25" i="3" s="1"/>
  <c r="F26" i="3"/>
  <c r="AM25" i="3"/>
  <c r="AR25" i="3" s="1"/>
  <c r="AJ26" i="3"/>
  <c r="CJ25" i="3"/>
  <c r="CL25" i="3"/>
  <c r="CB26" i="3"/>
  <c r="M25" i="3"/>
  <c r="E26" i="3"/>
  <c r="O26" i="3" s="1"/>
  <c r="AQ25" i="3"/>
  <c r="AI26" i="3"/>
  <c r="BF25" i="3"/>
  <c r="BD25" i="3"/>
  <c r="BH25" i="3"/>
  <c r="AX26" i="3"/>
  <c r="AB25" i="3"/>
  <c r="T26" i="3"/>
  <c r="Z25" i="3"/>
  <c r="AD25" i="3"/>
  <c r="AH26" i="3"/>
  <c r="AS25" i="3"/>
  <c r="AG27" i="3"/>
  <c r="R28" i="3"/>
  <c r="K25" i="3"/>
  <c r="C26" i="3"/>
  <c r="S28" i="3"/>
  <c r="D27" i="3"/>
  <c r="U75" i="1"/>
  <c r="U70" i="1"/>
  <c r="U73" i="1"/>
  <c r="U72" i="1"/>
  <c r="U71" i="1"/>
  <c r="U74" i="1"/>
  <c r="BU22" i="3"/>
  <c r="BM23" i="3"/>
  <c r="BS22" i="3"/>
  <c r="BW22" i="3"/>
  <c r="BB23" i="3"/>
  <c r="BG23" i="3" s="1"/>
  <c r="AY24" i="3"/>
  <c r="CH23" i="3"/>
  <c r="BZ24" i="3"/>
  <c r="BN24" i="3"/>
  <c r="BQ23" i="3"/>
  <c r="BV23" i="3" s="1"/>
  <c r="U65" i="1"/>
  <c r="U66" i="1"/>
  <c r="U69" i="1"/>
  <c r="U64" i="1"/>
  <c r="U68" i="1"/>
  <c r="U67" i="1"/>
  <c r="AJ27" i="3" l="1"/>
  <c r="AM26" i="3"/>
  <c r="AR26" i="3" s="1"/>
  <c r="CH24" i="3"/>
  <c r="BZ25" i="3"/>
  <c r="F27" i="3"/>
  <c r="I26" i="3"/>
  <c r="N26" i="3" s="1"/>
  <c r="CF25" i="3"/>
  <c r="CK25" i="3" s="1"/>
  <c r="CC26" i="3"/>
  <c r="BQ24" i="3"/>
  <c r="BV24" i="3" s="1"/>
  <c r="BN25" i="3"/>
  <c r="BB24" i="3"/>
  <c r="BG24" i="3" s="1"/>
  <c r="AY25" i="3"/>
  <c r="X25" i="3"/>
  <c r="AC25" i="3" s="1"/>
  <c r="U26" i="3"/>
  <c r="AB26" i="3"/>
  <c r="T27" i="3"/>
  <c r="Z26" i="3"/>
  <c r="AD26" i="3"/>
  <c r="M26" i="3"/>
  <c r="E27" i="3"/>
  <c r="O27" i="3" s="1"/>
  <c r="AI27" i="3"/>
  <c r="AO27" i="3" s="1"/>
  <c r="AQ26" i="3"/>
  <c r="AO26" i="3"/>
  <c r="AX27" i="3"/>
  <c r="BD26" i="3"/>
  <c r="BH26" i="3"/>
  <c r="BF26" i="3"/>
  <c r="CJ26" i="3"/>
  <c r="CB27" i="3"/>
  <c r="CL26" i="3"/>
  <c r="AH27" i="3"/>
  <c r="AS26" i="3"/>
  <c r="AG28" i="3"/>
  <c r="R29" i="3"/>
  <c r="C27" i="3"/>
  <c r="K26" i="3"/>
  <c r="S29" i="3"/>
  <c r="D28" i="3"/>
  <c r="BM24" i="3"/>
  <c r="BM25" i="3" s="1"/>
  <c r="BU23" i="3"/>
  <c r="BW23" i="3"/>
  <c r="BS23" i="3"/>
  <c r="AS20" i="3"/>
  <c r="AQ20" i="3"/>
  <c r="AO20" i="3"/>
  <c r="AS19" i="3"/>
  <c r="AQ19" i="3"/>
  <c r="AO19" i="3"/>
  <c r="AS18" i="3"/>
  <c r="AQ18" i="3"/>
  <c r="AO18" i="3"/>
  <c r="BH20" i="3"/>
  <c r="BF20" i="3"/>
  <c r="BD20" i="3"/>
  <c r="BG20" i="3"/>
  <c r="BH19" i="3"/>
  <c r="BF19" i="3"/>
  <c r="BD19" i="3"/>
  <c r="BG19" i="3"/>
  <c r="BH18" i="3"/>
  <c r="BF18" i="3"/>
  <c r="BD18" i="3"/>
  <c r="BG18" i="3"/>
  <c r="AD20" i="3"/>
  <c r="AB20" i="3"/>
  <c r="Z20" i="3"/>
  <c r="AD19" i="3"/>
  <c r="AB19" i="3"/>
  <c r="Z19" i="3"/>
  <c r="AD18" i="3"/>
  <c r="AB18" i="3"/>
  <c r="Z18" i="3"/>
  <c r="E63" i="1"/>
  <c r="F63" i="1" s="1"/>
  <c r="C64" i="1"/>
  <c r="C65" i="1" s="1"/>
  <c r="C66" i="1" s="1"/>
  <c r="C67" i="1" s="1"/>
  <c r="C68" i="1" s="1"/>
  <c r="C69" i="1" s="1"/>
  <c r="C70" i="1" s="1"/>
  <c r="C71" i="1" s="1"/>
  <c r="C72" i="1" s="1"/>
  <c r="C73" i="1" s="1"/>
  <c r="C74" i="1" s="1"/>
  <c r="C75" i="1" s="1"/>
  <c r="C3" i="3"/>
  <c r="C4" i="3"/>
  <c r="O20" i="3"/>
  <c r="M20" i="3"/>
  <c r="K20" i="3"/>
  <c r="O19" i="3"/>
  <c r="M19" i="3"/>
  <c r="K19" i="3"/>
  <c r="O18" i="3"/>
  <c r="K18" i="3"/>
  <c r="M18" i="3"/>
  <c r="I27" i="3" l="1"/>
  <c r="N27" i="3" s="1"/>
  <c r="F28" i="3"/>
  <c r="CC27" i="3"/>
  <c r="CF26" i="3"/>
  <c r="CK26" i="3" s="1"/>
  <c r="X26" i="3"/>
  <c r="AC26" i="3" s="1"/>
  <c r="U27" i="3"/>
  <c r="BB25" i="3"/>
  <c r="BG25" i="3" s="1"/>
  <c r="AY26" i="3"/>
  <c r="BZ26" i="3"/>
  <c r="CH25" i="3"/>
  <c r="AZ94" i="3"/>
  <c r="AZ129" i="3" s="1"/>
  <c r="AQ97" i="3"/>
  <c r="AQ132" i="3" s="1"/>
  <c r="AQ100" i="3"/>
  <c r="AQ135" i="3" s="1"/>
  <c r="AZ93" i="3"/>
  <c r="AZ128" i="3" s="1"/>
  <c r="AQ99" i="3"/>
  <c r="AQ134" i="3" s="1"/>
  <c r="AZ99" i="3"/>
  <c r="AZ134" i="3" s="1"/>
  <c r="AQ93" i="3"/>
  <c r="AQ128" i="3" s="1"/>
  <c r="AQ96" i="3"/>
  <c r="AQ131" i="3" s="1"/>
  <c r="AZ92" i="3"/>
  <c r="AZ127" i="3" s="1"/>
  <c r="AZ100" i="3"/>
  <c r="AZ135" i="3" s="1"/>
  <c r="AZ98" i="3"/>
  <c r="AZ133" i="3" s="1"/>
  <c r="AQ94" i="3"/>
  <c r="AQ129" i="3" s="1"/>
  <c r="AQ95" i="3"/>
  <c r="AQ130" i="3" s="1"/>
  <c r="AQ92" i="3"/>
  <c r="AQ127" i="3" s="1"/>
  <c r="AQ90" i="3"/>
  <c r="AQ125" i="3" s="1"/>
  <c r="AZ97" i="3"/>
  <c r="AZ132" i="3" s="1"/>
  <c r="AQ98" i="3"/>
  <c r="AQ133" i="3" s="1"/>
  <c r="AQ91" i="3"/>
  <c r="AQ126" i="3" s="1"/>
  <c r="AQ89" i="3"/>
  <c r="AQ124" i="3" s="1"/>
  <c r="AZ96" i="3"/>
  <c r="AZ131" i="3" s="1"/>
  <c r="AZ95" i="3"/>
  <c r="AZ130" i="3" s="1"/>
  <c r="AZ91" i="3"/>
  <c r="AZ126" i="3" s="1"/>
  <c r="AZ89" i="3"/>
  <c r="AZ124" i="3" s="1"/>
  <c r="AZ90" i="3"/>
  <c r="AZ125" i="3" s="1"/>
  <c r="BQ25" i="3"/>
  <c r="BV25" i="3" s="1"/>
  <c r="BN26" i="3"/>
  <c r="AJ28" i="3"/>
  <c r="AM27" i="3"/>
  <c r="AR27" i="3" s="1"/>
  <c r="BU25" i="3"/>
  <c r="BM26" i="3"/>
  <c r="BS25" i="3"/>
  <c r="BW25" i="3"/>
  <c r="CJ27" i="3"/>
  <c r="CB28" i="3"/>
  <c r="CL27" i="3"/>
  <c r="M27" i="3"/>
  <c r="E28" i="3"/>
  <c r="O28" i="3" s="1"/>
  <c r="AX28" i="3"/>
  <c r="BH27" i="3"/>
  <c r="BD27" i="3"/>
  <c r="BF27" i="3"/>
  <c r="AB27" i="3"/>
  <c r="T28" i="3"/>
  <c r="AD27" i="3"/>
  <c r="Z27" i="3"/>
  <c r="AI28" i="3"/>
  <c r="AQ27" i="3"/>
  <c r="AH28" i="3"/>
  <c r="AS27" i="3"/>
  <c r="AG29" i="3"/>
  <c r="C28" i="3"/>
  <c r="K27" i="3"/>
  <c r="D29" i="3"/>
  <c r="AH100" i="3"/>
  <c r="AH135" i="3" s="1"/>
  <c r="AH96" i="3"/>
  <c r="AH92" i="3"/>
  <c r="AH127" i="3" s="1"/>
  <c r="AG96" i="3"/>
  <c r="AG92" i="3"/>
  <c r="AG100" i="3"/>
  <c r="AH99" i="3"/>
  <c r="AH134" i="3" s="1"/>
  <c r="AH95" i="3"/>
  <c r="AH130" i="3" s="1"/>
  <c r="AH91" i="3"/>
  <c r="AH126" i="3" s="1"/>
  <c r="AG99" i="3"/>
  <c r="AG95" i="3"/>
  <c r="AG91" i="3"/>
  <c r="AG90" i="3"/>
  <c r="AH97" i="3"/>
  <c r="AH132" i="3" s="1"/>
  <c r="AH89" i="3"/>
  <c r="AH124" i="3" s="1"/>
  <c r="AG93" i="3"/>
  <c r="AG89" i="3"/>
  <c r="AH98" i="3"/>
  <c r="AH133" i="3" s="1"/>
  <c r="AH94" i="3"/>
  <c r="AH129" i="3" s="1"/>
  <c r="AH90" i="3"/>
  <c r="AH125" i="3" s="1"/>
  <c r="AG98" i="3"/>
  <c r="AG94" i="3"/>
  <c r="AH93" i="3"/>
  <c r="AH128" i="3" s="1"/>
  <c r="AG97" i="3"/>
  <c r="Y97" i="3"/>
  <c r="Y132" i="3" s="1"/>
  <c r="P96" i="3"/>
  <c r="P131" i="3" s="1"/>
  <c r="P97" i="3"/>
  <c r="P132" i="3" s="1"/>
  <c r="G98" i="3"/>
  <c r="G133" i="3" s="1"/>
  <c r="G91" i="3"/>
  <c r="G126" i="3" s="1"/>
  <c r="Y100" i="3"/>
  <c r="Y135" i="3" s="1"/>
  <c r="Y95" i="3"/>
  <c r="Y130" i="3" s="1"/>
  <c r="P94" i="3"/>
  <c r="P129" i="3" s="1"/>
  <c r="P95" i="3"/>
  <c r="P130" i="3" s="1"/>
  <c r="G94" i="3"/>
  <c r="G129" i="3" s="1"/>
  <c r="G89" i="3"/>
  <c r="G124" i="3" s="1"/>
  <c r="Y92" i="3"/>
  <c r="Y127" i="3" s="1"/>
  <c r="G97" i="3"/>
  <c r="G132" i="3" s="1"/>
  <c r="G93" i="3"/>
  <c r="G128" i="3" s="1"/>
  <c r="Y98" i="3"/>
  <c r="Y133" i="3" s="1"/>
  <c r="Y93" i="3"/>
  <c r="Y128" i="3" s="1"/>
  <c r="P92" i="3"/>
  <c r="P127" i="3" s="1"/>
  <c r="G92" i="3"/>
  <c r="G127" i="3" s="1"/>
  <c r="G96" i="3"/>
  <c r="G131" i="3" s="1"/>
  <c r="Y96" i="3"/>
  <c r="Y131" i="3" s="1"/>
  <c r="Y91" i="3"/>
  <c r="Y126" i="3" s="1"/>
  <c r="P90" i="3"/>
  <c r="P125" i="3" s="1"/>
  <c r="G90" i="3"/>
  <c r="G125" i="3" s="1"/>
  <c r="P89" i="3"/>
  <c r="P124" i="3" s="1"/>
  <c r="G95" i="3"/>
  <c r="G130" i="3" s="1"/>
  <c r="G100" i="3"/>
  <c r="G135" i="3" s="1"/>
  <c r="Y94" i="3"/>
  <c r="Y129" i="3" s="1"/>
  <c r="Y89" i="3"/>
  <c r="Y124" i="3" s="1"/>
  <c r="P91" i="3"/>
  <c r="P126" i="3" s="1"/>
  <c r="G99" i="3"/>
  <c r="G134" i="3" s="1"/>
  <c r="Y90" i="3"/>
  <c r="Y125" i="3" s="1"/>
  <c r="P100" i="3"/>
  <c r="P135" i="3" s="1"/>
  <c r="P93" i="3"/>
  <c r="P128" i="3" s="1"/>
  <c r="Y99" i="3"/>
  <c r="Y134" i="3" s="1"/>
  <c r="P98" i="3"/>
  <c r="P133" i="3" s="1"/>
  <c r="P99" i="3"/>
  <c r="P134" i="3" s="1"/>
  <c r="AH131" i="3"/>
  <c r="BU24" i="3"/>
  <c r="BW24" i="3"/>
  <c r="BS24" i="3"/>
  <c r="B89" i="3"/>
  <c r="B90" i="3" s="1"/>
  <c r="B91" i="3" s="1"/>
  <c r="B92" i="3" s="1"/>
  <c r="B93" i="3" s="1"/>
  <c r="B94" i="3" s="1"/>
  <c r="B95" i="3" s="1"/>
  <c r="B96" i="3" s="1"/>
  <c r="B97" i="3" s="1"/>
  <c r="B98" i="3" s="1"/>
  <c r="B99" i="3" s="1"/>
  <c r="B100" i="3" s="1"/>
  <c r="B124" i="3"/>
  <c r="B125" i="3" s="1"/>
  <c r="B126" i="3" s="1"/>
  <c r="B127" i="3" s="1"/>
  <c r="B128" i="3" s="1"/>
  <c r="B129" i="3" s="1"/>
  <c r="B130" i="3" s="1"/>
  <c r="B131" i="3" s="1"/>
  <c r="B132" i="3" s="1"/>
  <c r="B133" i="3" s="1"/>
  <c r="B134" i="3" s="1"/>
  <c r="B135" i="3" s="1"/>
  <c r="B18" i="3"/>
  <c r="B19" i="3" s="1"/>
  <c r="B20" i="3" s="1"/>
  <c r="B21" i="3" s="1"/>
  <c r="G21" i="3" s="1"/>
  <c r="B54" i="3"/>
  <c r="B55" i="3" s="1"/>
  <c r="B56" i="3" s="1"/>
  <c r="B57" i="3" s="1"/>
  <c r="B58" i="3" s="1"/>
  <c r="N58" i="3" s="1"/>
  <c r="G63" i="1"/>
  <c r="AM28" i="3" l="1"/>
  <c r="AR28" i="3" s="1"/>
  <c r="AJ29" i="3"/>
  <c r="AM29" i="3" s="1"/>
  <c r="AR29" i="3" s="1"/>
  <c r="BZ27" i="3"/>
  <c r="CH26" i="3"/>
  <c r="BQ26" i="3"/>
  <c r="BV26" i="3" s="1"/>
  <c r="BN27" i="3"/>
  <c r="BB26" i="3"/>
  <c r="BG26" i="3" s="1"/>
  <c r="AY27" i="3"/>
  <c r="X27" i="3"/>
  <c r="AC27" i="3" s="1"/>
  <c r="U28" i="3"/>
  <c r="CC28" i="3"/>
  <c r="CF27" i="3"/>
  <c r="CK27" i="3" s="1"/>
  <c r="I28" i="3"/>
  <c r="N28" i="3" s="1"/>
  <c r="F29" i="3"/>
  <c r="I29" i="3" s="1"/>
  <c r="N29" i="3" s="1"/>
  <c r="CB29" i="3"/>
  <c r="CL28" i="3"/>
  <c r="CJ28" i="3"/>
  <c r="BF28" i="3"/>
  <c r="BH28" i="3"/>
  <c r="AX29" i="3"/>
  <c r="BD28" i="3"/>
  <c r="AB28" i="3"/>
  <c r="T29" i="3"/>
  <c r="AD28" i="3"/>
  <c r="Z28" i="3"/>
  <c r="E29" i="3"/>
  <c r="M29" i="3" s="1"/>
  <c r="M28" i="3"/>
  <c r="BU26" i="3"/>
  <c r="BM27" i="3"/>
  <c r="BW26" i="3"/>
  <c r="BS26" i="3"/>
  <c r="AI29" i="3"/>
  <c r="AQ29" i="3" s="1"/>
  <c r="AQ28" i="3"/>
  <c r="AO28" i="3"/>
  <c r="AH29" i="3"/>
  <c r="AS28" i="3"/>
  <c r="C29" i="3"/>
  <c r="K28" i="3"/>
  <c r="G71" i="1"/>
  <c r="G75" i="1"/>
  <c r="G72" i="1"/>
  <c r="G74" i="1"/>
  <c r="G73" i="1"/>
  <c r="C58" i="3"/>
  <c r="C10" i="18" s="1"/>
  <c r="C57" i="3"/>
  <c r="C54" i="3"/>
  <c r="C6" i="18" s="1"/>
  <c r="C55" i="3"/>
  <c r="C7" i="18" s="1"/>
  <c r="C56" i="3"/>
  <c r="C8" i="18" s="1"/>
  <c r="X58" i="3"/>
  <c r="AX58" i="3"/>
  <c r="H21" i="3"/>
  <c r="L21" i="3" s="1"/>
  <c r="V58" i="3"/>
  <c r="H10" i="18" s="1"/>
  <c r="AZ21" i="3"/>
  <c r="M58" i="3"/>
  <c r="F10" i="18" s="1"/>
  <c r="AL21" i="3"/>
  <c r="AD58" i="3"/>
  <c r="I10" i="18" s="1"/>
  <c r="V21" i="3"/>
  <c r="AN58" i="3"/>
  <c r="O58" i="3"/>
  <c r="AZ58" i="3"/>
  <c r="P58" i="3"/>
  <c r="AE58" i="3"/>
  <c r="J10" i="18" s="1"/>
  <c r="AK21" i="3"/>
  <c r="W58" i="3"/>
  <c r="F58" i="3"/>
  <c r="G58" i="3"/>
  <c r="AY58" i="3"/>
  <c r="AP58" i="3"/>
  <c r="U58" i="3"/>
  <c r="G10" i="18" s="1"/>
  <c r="AM58" i="3"/>
  <c r="AW58" i="3"/>
  <c r="CG22" i="3" s="1"/>
  <c r="W21" i="3"/>
  <c r="L58" i="3"/>
  <c r="E10" i="18" s="1"/>
  <c r="BO21" i="3"/>
  <c r="CD21" i="3"/>
  <c r="BA21" i="3"/>
  <c r="AO58" i="3"/>
  <c r="AQ58" i="3"/>
  <c r="AG58" i="3"/>
  <c r="BP21" i="3"/>
  <c r="B22" i="3"/>
  <c r="CE21" i="3"/>
  <c r="D58" i="3"/>
  <c r="D10" i="18" s="1"/>
  <c r="Y58" i="3"/>
  <c r="AV58" i="3"/>
  <c r="B59" i="3"/>
  <c r="C59" i="3" s="1"/>
  <c r="C11" i="18" s="1"/>
  <c r="AF58" i="3"/>
  <c r="E58" i="3"/>
  <c r="AH58" i="3"/>
  <c r="AZ18" i="3"/>
  <c r="H18" i="3"/>
  <c r="I18" i="3" s="1"/>
  <c r="N18" i="3" s="1"/>
  <c r="BP18" i="3"/>
  <c r="U57" i="3"/>
  <c r="G9" i="18" s="1"/>
  <c r="CD20" i="3"/>
  <c r="BP19" i="3"/>
  <c r="D56" i="3"/>
  <c r="D8" i="18" s="1"/>
  <c r="BA20" i="3"/>
  <c r="BO19" i="3"/>
  <c r="AZ19" i="3"/>
  <c r="G19" i="3"/>
  <c r="W20" i="3"/>
  <c r="CD18" i="3"/>
  <c r="AK19" i="3"/>
  <c r="W18" i="3"/>
  <c r="BO20" i="3"/>
  <c r="AQ56" i="3"/>
  <c r="CE20" i="3"/>
  <c r="W56" i="3"/>
  <c r="E54" i="3"/>
  <c r="G20" i="3"/>
  <c r="AL20" i="3"/>
  <c r="AM20" i="3" s="1"/>
  <c r="AR20" i="3" s="1"/>
  <c r="G18" i="3"/>
  <c r="AW54" i="3"/>
  <c r="CG18" i="3" s="1"/>
  <c r="E56" i="3"/>
  <c r="M55" i="3"/>
  <c r="F7" i="18" s="1"/>
  <c r="AK20" i="3"/>
  <c r="CE19" i="3"/>
  <c r="V19" i="3"/>
  <c r="AG57" i="3"/>
  <c r="M57" i="3"/>
  <c r="AG54" i="3"/>
  <c r="Y57" i="3"/>
  <c r="AP57" i="3"/>
  <c r="AD57" i="3"/>
  <c r="I9" i="18" s="1"/>
  <c r="AQ57" i="3"/>
  <c r="AW55" i="3"/>
  <c r="CG19" i="3" s="1"/>
  <c r="AX56" i="3"/>
  <c r="Y54" i="3"/>
  <c r="L55" i="3"/>
  <c r="E7" i="18" s="1"/>
  <c r="AN56" i="3"/>
  <c r="AY57" i="3"/>
  <c r="AG55" i="3"/>
  <c r="AE57" i="3"/>
  <c r="J9" i="18" s="1"/>
  <c r="W54" i="3"/>
  <c r="V57" i="3"/>
  <c r="H9" i="18" s="1"/>
  <c r="D57" i="3"/>
  <c r="AM56" i="3"/>
  <c r="AP54" i="3"/>
  <c r="AE55" i="3"/>
  <c r="J7" i="18" s="1"/>
  <c r="AX54" i="3"/>
  <c r="AV55" i="3"/>
  <c r="AZ57" i="3"/>
  <c r="V54" i="3"/>
  <c r="H6" i="18" s="1"/>
  <c r="M56" i="3"/>
  <c r="F8" i="18" s="1"/>
  <c r="G54" i="3"/>
  <c r="D54" i="3"/>
  <c r="D6" i="18" s="1"/>
  <c r="F54" i="3"/>
  <c r="X56" i="3"/>
  <c r="AP55" i="3"/>
  <c r="AO55" i="3"/>
  <c r="AQ55" i="3"/>
  <c r="AF55" i="3"/>
  <c r="AH55" i="3"/>
  <c r="AW57" i="3"/>
  <c r="CG21" i="3" s="1"/>
  <c r="AV57" i="3"/>
  <c r="AZ56" i="3"/>
  <c r="N55" i="3"/>
  <c r="AN55" i="3"/>
  <c r="AX57" i="3"/>
  <c r="L56" i="3"/>
  <c r="E8" i="18" s="1"/>
  <c r="P56" i="3"/>
  <c r="L54" i="3"/>
  <c r="E6" i="18" s="1"/>
  <c r="AM57" i="3"/>
  <c r="AM54" i="3"/>
  <c r="AV54" i="3"/>
  <c r="AE56" i="3"/>
  <c r="J8" i="18" s="1"/>
  <c r="AX55" i="3"/>
  <c r="W57" i="3"/>
  <c r="L57" i="3"/>
  <c r="D55" i="3"/>
  <c r="D7" i="18" s="1"/>
  <c r="O56" i="3"/>
  <c r="F55" i="3"/>
  <c r="AO54" i="3"/>
  <c r="AN57" i="3"/>
  <c r="AQ54" i="3"/>
  <c r="AE54" i="3"/>
  <c r="J6" i="18" s="1"/>
  <c r="AD54" i="3"/>
  <c r="I6" i="18" s="1"/>
  <c r="AG56" i="3"/>
  <c r="AZ54" i="3"/>
  <c r="AW56" i="3"/>
  <c r="CG20" i="3" s="1"/>
  <c r="AH56" i="3"/>
  <c r="AY55" i="3"/>
  <c r="X55" i="3"/>
  <c r="AO56" i="3"/>
  <c r="AF57" i="3"/>
  <c r="AN54" i="3"/>
  <c r="AF56" i="3"/>
  <c r="AH54" i="3"/>
  <c r="N54" i="3"/>
  <c r="AO57" i="3"/>
  <c r="AY54" i="3"/>
  <c r="AV56" i="3"/>
  <c r="V56" i="3"/>
  <c r="H8" i="18" s="1"/>
  <c r="X54" i="3"/>
  <c r="P57" i="3"/>
  <c r="U56" i="3"/>
  <c r="G8" i="18" s="1"/>
  <c r="N57" i="3"/>
  <c r="AP56" i="3"/>
  <c r="AM55" i="3"/>
  <c r="AD56" i="3"/>
  <c r="I8" i="18" s="1"/>
  <c r="AH57" i="3"/>
  <c r="AD55" i="3"/>
  <c r="I7" i="18" s="1"/>
  <c r="AF54" i="3"/>
  <c r="AY56" i="3"/>
  <c r="AZ55" i="3"/>
  <c r="V55" i="3"/>
  <c r="H7" i="18" s="1"/>
  <c r="U54" i="3"/>
  <c r="G6" i="18" s="1"/>
  <c r="O57" i="3"/>
  <c r="O55" i="3"/>
  <c r="Y56" i="3"/>
  <c r="P54" i="3"/>
  <c r="N56" i="3"/>
  <c r="G56" i="3"/>
  <c r="H19" i="3"/>
  <c r="AL19" i="3"/>
  <c r="AM19" i="3" s="1"/>
  <c r="AR19" i="3" s="1"/>
  <c r="BP20" i="3"/>
  <c r="BA19" i="3"/>
  <c r="BA18" i="3"/>
  <c r="W19" i="3"/>
  <c r="V20" i="3"/>
  <c r="V18" i="3"/>
  <c r="AZ20" i="3"/>
  <c r="W55" i="3"/>
  <c r="X57" i="3"/>
  <c r="Y55" i="3"/>
  <c r="O54" i="3"/>
  <c r="G55" i="3"/>
  <c r="F57" i="3"/>
  <c r="U55" i="3"/>
  <c r="G7" i="18" s="1"/>
  <c r="M54" i="3"/>
  <c r="F6" i="18" s="1"/>
  <c r="H20" i="3"/>
  <c r="AL18" i="3"/>
  <c r="AM18" i="3" s="1"/>
  <c r="AR18" i="3" s="1"/>
  <c r="E55" i="3"/>
  <c r="BO18" i="3"/>
  <c r="CE18" i="3"/>
  <c r="P55" i="3"/>
  <c r="AK18" i="3"/>
  <c r="CD19" i="3"/>
  <c r="F56" i="3"/>
  <c r="E57" i="3"/>
  <c r="G57" i="3"/>
  <c r="G68" i="1"/>
  <c r="G69" i="1"/>
  <c r="G67" i="1"/>
  <c r="G70" i="1"/>
  <c r="G65" i="1"/>
  <c r="G64" i="1"/>
  <c r="G59" i="1" s="1"/>
  <c r="G66" i="1"/>
  <c r="H63" i="1"/>
  <c r="AC19" i="3"/>
  <c r="AS29" i="3" l="1"/>
  <c r="CC29" i="3"/>
  <c r="CF29" i="3" s="1"/>
  <c r="CK29" i="3" s="1"/>
  <c r="CF28" i="3"/>
  <c r="CK28" i="3" s="1"/>
  <c r="X28" i="3"/>
  <c r="AC28" i="3" s="1"/>
  <c r="U29" i="3"/>
  <c r="BB27" i="3"/>
  <c r="BG27" i="3" s="1"/>
  <c r="AY28" i="3"/>
  <c r="BQ27" i="3"/>
  <c r="BV27" i="3" s="1"/>
  <c r="BN28" i="3"/>
  <c r="BZ28" i="3"/>
  <c r="CH27" i="3"/>
  <c r="AO29" i="3"/>
  <c r="AA20" i="3"/>
  <c r="AP21" i="3"/>
  <c r="AP20" i="3"/>
  <c r="BE19" i="3"/>
  <c r="F9" i="18"/>
  <c r="BE20" i="3"/>
  <c r="E9" i="18"/>
  <c r="D9" i="18"/>
  <c r="C9" i="18"/>
  <c r="BT21" i="3"/>
  <c r="BT19" i="3"/>
  <c r="BE18" i="3"/>
  <c r="BT20" i="3"/>
  <c r="AA21" i="3"/>
  <c r="BT18" i="3"/>
  <c r="AP19" i="3"/>
  <c r="AP18" i="3"/>
  <c r="BE21" i="3"/>
  <c r="AA18" i="3"/>
  <c r="L18" i="3"/>
  <c r="AA19" i="3"/>
  <c r="L20" i="3"/>
  <c r="L19" i="3"/>
  <c r="BF29" i="3"/>
  <c r="BH29" i="3"/>
  <c r="BD29" i="3"/>
  <c r="AB29" i="3"/>
  <c r="Z29" i="3"/>
  <c r="AD29" i="3"/>
  <c r="K29" i="3"/>
  <c r="CJ29" i="3"/>
  <c r="CL29" i="3"/>
  <c r="BU27" i="3"/>
  <c r="BM28" i="3"/>
  <c r="BW27" i="3"/>
  <c r="BS27" i="3"/>
  <c r="O29" i="3"/>
  <c r="E25" i="18"/>
  <c r="G26" i="18"/>
  <c r="E28" i="18"/>
  <c r="G27" i="18"/>
  <c r="H28" i="18"/>
  <c r="E29" i="18"/>
  <c r="H25" i="18"/>
  <c r="F28" i="18"/>
  <c r="F26" i="18"/>
  <c r="F29" i="18"/>
  <c r="H26" i="18"/>
  <c r="F25" i="18"/>
  <c r="H27" i="18"/>
  <c r="F27" i="18"/>
  <c r="H29" i="18"/>
  <c r="E27" i="18"/>
  <c r="G28" i="18"/>
  <c r="G29" i="18"/>
  <c r="G25" i="18"/>
  <c r="E26" i="18"/>
  <c r="H75" i="1"/>
  <c r="H74" i="1"/>
  <c r="H71" i="1"/>
  <c r="H72" i="1"/>
  <c r="H73" i="1"/>
  <c r="BR19" i="3"/>
  <c r="AV90" i="3" s="1"/>
  <c r="AV125" i="3" s="1"/>
  <c r="AN21" i="3"/>
  <c r="AD92" i="3" s="1"/>
  <c r="AN18" i="3"/>
  <c r="AD89" i="3" s="1"/>
  <c r="J22" i="3"/>
  <c r="L93" i="3" s="1"/>
  <c r="BR18" i="3"/>
  <c r="AV89" i="3" s="1"/>
  <c r="AV124" i="3" s="1"/>
  <c r="BR21" i="3"/>
  <c r="AV92" i="3" s="1"/>
  <c r="AV127" i="3" s="1"/>
  <c r="BC20" i="3"/>
  <c r="AM91" i="3" s="1"/>
  <c r="AM126" i="3" s="1"/>
  <c r="BC22" i="3"/>
  <c r="AM93" i="3" s="1"/>
  <c r="AM128" i="3" s="1"/>
  <c r="AN19" i="3"/>
  <c r="AD90" i="3" s="1"/>
  <c r="AN22" i="3"/>
  <c r="AD93" i="3" s="1"/>
  <c r="BR20" i="3"/>
  <c r="AV91" i="3" s="1"/>
  <c r="AV126" i="3" s="1"/>
  <c r="BR22" i="3"/>
  <c r="AV93" i="3" s="1"/>
  <c r="AV128" i="3" s="1"/>
  <c r="BC18" i="3"/>
  <c r="AM89" i="3" s="1"/>
  <c r="AM124" i="3" s="1"/>
  <c r="BC21" i="3"/>
  <c r="AM92" i="3" s="1"/>
  <c r="AM127" i="3" s="1"/>
  <c r="BC19" i="3"/>
  <c r="AM90" i="3" s="1"/>
  <c r="AM125" i="3" s="1"/>
  <c r="Y20" i="3"/>
  <c r="U91" i="3" s="1"/>
  <c r="AN20" i="3"/>
  <c r="AD91" i="3" s="1"/>
  <c r="Y18" i="3"/>
  <c r="U89" i="3" s="1"/>
  <c r="Y22" i="3"/>
  <c r="U93" i="3" s="1"/>
  <c r="Y19" i="3"/>
  <c r="U90" i="3" s="1"/>
  <c r="Y21" i="3"/>
  <c r="U92" i="3" s="1"/>
  <c r="J18" i="3"/>
  <c r="L89" i="3" s="1"/>
  <c r="J19" i="3"/>
  <c r="L90" i="3" s="1"/>
  <c r="J21" i="3"/>
  <c r="L92" i="3" s="1"/>
  <c r="J20" i="3"/>
  <c r="L91" i="3" s="1"/>
  <c r="R120" i="1"/>
  <c r="Z58" i="3"/>
  <c r="Z93" i="3" s="1"/>
  <c r="BA58" i="3"/>
  <c r="P120" i="1"/>
  <c r="Q120" i="1"/>
  <c r="Q58" i="3"/>
  <c r="Q93" i="3" s="1"/>
  <c r="O120" i="1"/>
  <c r="AR58" i="3"/>
  <c r="CI21" i="3"/>
  <c r="CM21" i="3" s="1"/>
  <c r="AY92" i="3" s="1"/>
  <c r="AY127" i="3" s="1"/>
  <c r="H58" i="3"/>
  <c r="J58" i="3" s="1"/>
  <c r="AQ59" i="3"/>
  <c r="B60" i="3"/>
  <c r="AP59" i="3"/>
  <c r="AX59" i="3"/>
  <c r="AM59" i="3"/>
  <c r="AG59" i="3"/>
  <c r="G59" i="3"/>
  <c r="W59" i="3"/>
  <c r="AZ59" i="3"/>
  <c r="Y59" i="3"/>
  <c r="AW59" i="3"/>
  <c r="CG23" i="3" s="1"/>
  <c r="L59" i="3"/>
  <c r="E11" i="18" s="1"/>
  <c r="AN59" i="3"/>
  <c r="AV59" i="3"/>
  <c r="AD59" i="3"/>
  <c r="I11" i="18" s="1"/>
  <c r="AO59" i="3"/>
  <c r="N59" i="3"/>
  <c r="P59" i="3"/>
  <c r="O59" i="3"/>
  <c r="AF59" i="3"/>
  <c r="E59" i="3"/>
  <c r="M59" i="3"/>
  <c r="F11" i="18" s="1"/>
  <c r="AH59" i="3"/>
  <c r="F59" i="3"/>
  <c r="AY59" i="3"/>
  <c r="U59" i="3"/>
  <c r="G11" i="18" s="1"/>
  <c r="X59" i="3"/>
  <c r="AE59" i="3"/>
  <c r="J11" i="18" s="1"/>
  <c r="D59" i="3"/>
  <c r="D11" i="18" s="1"/>
  <c r="V59" i="3"/>
  <c r="H11" i="18" s="1"/>
  <c r="AI58" i="3"/>
  <c r="B23" i="3"/>
  <c r="BP22" i="3"/>
  <c r="BO22" i="3"/>
  <c r="AK22" i="3"/>
  <c r="CD22" i="3"/>
  <c r="H22" i="3"/>
  <c r="AL22" i="3"/>
  <c r="BA22" i="3"/>
  <c r="CE22" i="3"/>
  <c r="W22" i="3"/>
  <c r="V22" i="3"/>
  <c r="AZ22" i="3"/>
  <c r="G22" i="3"/>
  <c r="P116" i="1"/>
  <c r="Q116" i="1"/>
  <c r="R118" i="1"/>
  <c r="R119" i="1"/>
  <c r="R116" i="1"/>
  <c r="O119" i="1"/>
  <c r="Q119" i="1"/>
  <c r="R117" i="1"/>
  <c r="O118" i="1"/>
  <c r="Q118" i="1"/>
  <c r="O116" i="1"/>
  <c r="P118" i="1"/>
  <c r="Q117" i="1"/>
  <c r="O117" i="1"/>
  <c r="P119" i="1"/>
  <c r="P117" i="1"/>
  <c r="CI20" i="3"/>
  <c r="CM20" i="3" s="1"/>
  <c r="AY91" i="3" s="1"/>
  <c r="AY126" i="3" s="1"/>
  <c r="CI19" i="3"/>
  <c r="CM19" i="3" s="1"/>
  <c r="AY90" i="3" s="1"/>
  <c r="AY125" i="3" s="1"/>
  <c r="CI18" i="3"/>
  <c r="CM18" i="3" s="1"/>
  <c r="AY89" i="3" s="1"/>
  <c r="AY124" i="3" s="1"/>
  <c r="H54" i="3"/>
  <c r="H89" i="3" s="1"/>
  <c r="AI57" i="3"/>
  <c r="AI92" i="3" s="1"/>
  <c r="Q57" i="3"/>
  <c r="Q92" i="3" s="1"/>
  <c r="AR54" i="3"/>
  <c r="AR56" i="3"/>
  <c r="AI56" i="3"/>
  <c r="AI91" i="3" s="1"/>
  <c r="AR57" i="3"/>
  <c r="Z54" i="3"/>
  <c r="Z89" i="3" s="1"/>
  <c r="BA55" i="3"/>
  <c r="AR55" i="3"/>
  <c r="Q56" i="3"/>
  <c r="Q91" i="3" s="1"/>
  <c r="BA56" i="3"/>
  <c r="BA57" i="3"/>
  <c r="BA54" i="3"/>
  <c r="Z57" i="3"/>
  <c r="Z92" i="3" s="1"/>
  <c r="Z56" i="3"/>
  <c r="Z91" i="3" s="1"/>
  <c r="AI55" i="3"/>
  <c r="AI90" i="3" s="1"/>
  <c r="AI54" i="3"/>
  <c r="AI89" i="3" s="1"/>
  <c r="H55" i="3"/>
  <c r="H90" i="3" s="1"/>
  <c r="H57" i="3"/>
  <c r="Q54" i="3"/>
  <c r="Q89" i="3" s="1"/>
  <c r="H56" i="3"/>
  <c r="Q55" i="3"/>
  <c r="Q90" i="3" s="1"/>
  <c r="Z55" i="3"/>
  <c r="Z90" i="3" s="1"/>
  <c r="I19" i="3"/>
  <c r="N19" i="3" s="1"/>
  <c r="I20" i="3"/>
  <c r="N20" i="3" s="1"/>
  <c r="I63" i="1"/>
  <c r="H69" i="1"/>
  <c r="H70" i="1"/>
  <c r="H68" i="1"/>
  <c r="H67" i="1"/>
  <c r="H66" i="1"/>
  <c r="H65" i="1"/>
  <c r="H64" i="1"/>
  <c r="H59" i="1" s="1"/>
  <c r="AC20" i="3"/>
  <c r="AC18" i="3"/>
  <c r="B8" i="4"/>
  <c r="B7" i="4"/>
  <c r="B6" i="4"/>
  <c r="A4" i="4"/>
  <c r="B5" i="4"/>
  <c r="B3" i="4"/>
  <c r="A20" i="4" s="1"/>
  <c r="B2" i="4"/>
  <c r="G20" i="4"/>
  <c r="Q20" i="4"/>
  <c r="R20" i="4"/>
  <c r="T20" i="4"/>
  <c r="AJ20" i="4"/>
  <c r="G21" i="4"/>
  <c r="Q21" i="4"/>
  <c r="R21" i="4"/>
  <c r="T21" i="4"/>
  <c r="AJ21" i="4"/>
  <c r="G22" i="4"/>
  <c r="Q22" i="4"/>
  <c r="R22" i="4"/>
  <c r="T22" i="4"/>
  <c r="AJ22" i="4"/>
  <c r="G23" i="4"/>
  <c r="Q23" i="4"/>
  <c r="R23" i="4"/>
  <c r="T23" i="4"/>
  <c r="AJ23" i="4"/>
  <c r="BZ29" i="3" l="1"/>
  <c r="CH29" i="3" s="1"/>
  <c r="CH28" i="3"/>
  <c r="BQ28" i="3"/>
  <c r="BV28" i="3" s="1"/>
  <c r="BN29" i="3"/>
  <c r="BQ29" i="3" s="1"/>
  <c r="BV29" i="3" s="1"/>
  <c r="BB28" i="3"/>
  <c r="BG28" i="3" s="1"/>
  <c r="AY29" i="3"/>
  <c r="BB29" i="3" s="1"/>
  <c r="BG29" i="3" s="1"/>
  <c r="X29" i="3"/>
  <c r="AC29" i="3" s="1"/>
  <c r="BC54" i="3"/>
  <c r="BA124" i="3" s="1"/>
  <c r="BA89" i="3"/>
  <c r="AT56" i="3"/>
  <c r="AR126" i="3" s="1"/>
  <c r="AR91" i="3"/>
  <c r="BC56" i="3"/>
  <c r="BA126" i="3" s="1"/>
  <c r="BA91" i="3"/>
  <c r="BC58" i="3"/>
  <c r="BA128" i="3" s="1"/>
  <c r="BA93" i="3"/>
  <c r="BC55" i="3"/>
  <c r="BA125" i="3" s="1"/>
  <c r="BA90" i="3"/>
  <c r="BC57" i="3"/>
  <c r="BA127" i="3" s="1"/>
  <c r="BA92" i="3"/>
  <c r="AT54" i="3"/>
  <c r="AR124" i="3" s="1"/>
  <c r="AR89" i="3"/>
  <c r="AT55" i="3"/>
  <c r="AR125" i="3" s="1"/>
  <c r="AR90" i="3"/>
  <c r="AT57" i="3"/>
  <c r="AR127" i="3" s="1"/>
  <c r="AR92" i="3"/>
  <c r="AT58" i="3"/>
  <c r="AR128" i="3" s="1"/>
  <c r="AR93" i="3"/>
  <c r="AP22" i="3"/>
  <c r="AT22" i="3" s="1"/>
  <c r="BT22" i="3"/>
  <c r="BX22" i="3" s="1"/>
  <c r="BE22" i="3"/>
  <c r="AA22" i="3"/>
  <c r="AE22" i="3" s="1"/>
  <c r="L22" i="3"/>
  <c r="P22" i="3" s="1"/>
  <c r="BU28" i="3"/>
  <c r="BM29" i="3"/>
  <c r="BW28" i="3"/>
  <c r="BS28" i="3"/>
  <c r="C28" i="18"/>
  <c r="H30" i="18"/>
  <c r="E30" i="18"/>
  <c r="C29" i="18"/>
  <c r="F30" i="18"/>
  <c r="C26" i="18"/>
  <c r="C25" i="18"/>
  <c r="G30" i="18"/>
  <c r="C27" i="18"/>
  <c r="I71" i="1"/>
  <c r="I75" i="1"/>
  <c r="I72" i="1"/>
  <c r="I74" i="1"/>
  <c r="I73" i="1"/>
  <c r="B61" i="3"/>
  <c r="C60" i="3"/>
  <c r="C12" i="18" s="1"/>
  <c r="BX19" i="3"/>
  <c r="AD125" i="3"/>
  <c r="U125" i="3"/>
  <c r="U126" i="3"/>
  <c r="U128" i="3"/>
  <c r="U127" i="3"/>
  <c r="L126" i="3"/>
  <c r="L127" i="3"/>
  <c r="L125" i="3"/>
  <c r="L128" i="3"/>
  <c r="L124" i="3"/>
  <c r="AD126" i="3"/>
  <c r="AD124" i="3"/>
  <c r="U124" i="3"/>
  <c r="AD128" i="3"/>
  <c r="AD127" i="3"/>
  <c r="C131" i="3"/>
  <c r="C132" i="3"/>
  <c r="C125" i="3"/>
  <c r="C128" i="3"/>
  <c r="C124" i="3"/>
  <c r="C126" i="3"/>
  <c r="C127" i="3"/>
  <c r="AT21" i="3"/>
  <c r="AE92" i="3" s="1"/>
  <c r="AT18" i="3"/>
  <c r="AE89" i="3" s="1"/>
  <c r="AT19" i="3"/>
  <c r="AE90" i="3" s="1"/>
  <c r="AT20" i="3"/>
  <c r="AE91" i="3" s="1"/>
  <c r="BI18" i="3"/>
  <c r="BX20" i="3"/>
  <c r="BX21" i="3"/>
  <c r="BX18" i="3"/>
  <c r="BI19" i="3"/>
  <c r="BI20" i="3"/>
  <c r="BI21" i="3"/>
  <c r="AE19" i="3"/>
  <c r="V90" i="3" s="1"/>
  <c r="AE21" i="3"/>
  <c r="V92" i="3" s="1"/>
  <c r="AE18" i="3"/>
  <c r="AE20" i="3"/>
  <c r="P18" i="3"/>
  <c r="P19" i="3"/>
  <c r="M90" i="3" s="1"/>
  <c r="P21" i="3"/>
  <c r="P20" i="3"/>
  <c r="M91" i="3" s="1"/>
  <c r="BR23" i="3"/>
  <c r="AV94" i="3" s="1"/>
  <c r="AV129" i="3" s="1"/>
  <c r="BC23" i="3"/>
  <c r="AM94" i="3" s="1"/>
  <c r="AM129" i="3" s="1"/>
  <c r="AN23" i="3"/>
  <c r="AD94" i="3" s="1"/>
  <c r="Y23" i="3"/>
  <c r="U94" i="3" s="1"/>
  <c r="J23" i="3"/>
  <c r="L94" i="3" s="1"/>
  <c r="S58" i="3"/>
  <c r="AB58" i="3"/>
  <c r="Q68" i="1" s="1"/>
  <c r="CI22" i="3"/>
  <c r="CM22" i="3" s="1"/>
  <c r="AY93" i="3" s="1"/>
  <c r="AY128" i="3" s="1"/>
  <c r="H93" i="3"/>
  <c r="AR59" i="3"/>
  <c r="BA59" i="3"/>
  <c r="R121" i="1"/>
  <c r="AI59" i="3"/>
  <c r="X60" i="3"/>
  <c r="AH60" i="3"/>
  <c r="L60" i="3"/>
  <c r="E12" i="18" s="1"/>
  <c r="AQ60" i="3"/>
  <c r="AY60" i="3"/>
  <c r="O60" i="3"/>
  <c r="E60" i="3"/>
  <c r="D60" i="3"/>
  <c r="D12" i="18" s="1"/>
  <c r="AE60" i="3"/>
  <c r="J12" i="18" s="1"/>
  <c r="AO60" i="3"/>
  <c r="AM60" i="3"/>
  <c r="AG60" i="3"/>
  <c r="AF60" i="3"/>
  <c r="AN60" i="3"/>
  <c r="M60" i="3"/>
  <c r="F12" i="18" s="1"/>
  <c r="P60" i="3"/>
  <c r="AX60" i="3"/>
  <c r="AZ60" i="3"/>
  <c r="AV60" i="3"/>
  <c r="AD60" i="3"/>
  <c r="I12" i="18" s="1"/>
  <c r="V60" i="3"/>
  <c r="H12" i="18" s="1"/>
  <c r="N60" i="3"/>
  <c r="Y60" i="3"/>
  <c r="AW60" i="3"/>
  <c r="CG24" i="3" s="1"/>
  <c r="U60" i="3"/>
  <c r="G12" i="18" s="1"/>
  <c r="W60" i="3"/>
  <c r="G60" i="3"/>
  <c r="F60" i="3"/>
  <c r="AP60" i="3"/>
  <c r="H128" i="3"/>
  <c r="O68" i="1"/>
  <c r="B24" i="3"/>
  <c r="B25" i="3" s="1"/>
  <c r="CD23" i="3"/>
  <c r="H23" i="3"/>
  <c r="AL23" i="3"/>
  <c r="BA23" i="3"/>
  <c r="G23" i="3"/>
  <c r="AK23" i="3"/>
  <c r="AZ23" i="3"/>
  <c r="V23" i="3"/>
  <c r="BP23" i="3"/>
  <c r="W23" i="3"/>
  <c r="BO23" i="3"/>
  <c r="CE23" i="3"/>
  <c r="Z59" i="3"/>
  <c r="Q121" i="1"/>
  <c r="AI93" i="3"/>
  <c r="AK58" i="3"/>
  <c r="O121" i="1"/>
  <c r="H59" i="3"/>
  <c r="Q59" i="3"/>
  <c r="P121" i="1"/>
  <c r="AK56" i="3"/>
  <c r="AK55" i="3"/>
  <c r="AK54" i="3"/>
  <c r="AK57" i="3"/>
  <c r="AB57" i="3"/>
  <c r="AB56" i="3"/>
  <c r="S57" i="3"/>
  <c r="J57" i="3"/>
  <c r="H92" i="3"/>
  <c r="J56" i="3"/>
  <c r="H91" i="3"/>
  <c r="J54" i="3"/>
  <c r="AB54" i="3"/>
  <c r="S56" i="3"/>
  <c r="S55" i="3"/>
  <c r="S54" i="3"/>
  <c r="AB55" i="3"/>
  <c r="J63" i="1"/>
  <c r="I70" i="1"/>
  <c r="I68" i="1"/>
  <c r="I64" i="1"/>
  <c r="I59" i="1" s="1"/>
  <c r="I69" i="1"/>
  <c r="I66" i="1"/>
  <c r="I65" i="1"/>
  <c r="I67" i="1"/>
  <c r="C20" i="4"/>
  <c r="D20" i="4" s="1"/>
  <c r="A21" i="4"/>
  <c r="F21" i="4" s="1"/>
  <c r="O20" i="4"/>
  <c r="AW93" i="3" l="1"/>
  <c r="AP93" i="3"/>
  <c r="AP128" i="3" s="1"/>
  <c r="AG125" i="3"/>
  <c r="AN90" i="3"/>
  <c r="AW92" i="3"/>
  <c r="AP92" i="3"/>
  <c r="AP127" i="3" s="1"/>
  <c r="AG126" i="3"/>
  <c r="AN91" i="3"/>
  <c r="AW89" i="3"/>
  <c r="AP89" i="3"/>
  <c r="AP124" i="3" s="1"/>
  <c r="BC59" i="3"/>
  <c r="BA129" i="3" s="1"/>
  <c r="BA94" i="3"/>
  <c r="AW91" i="3"/>
  <c r="AP91" i="3"/>
  <c r="AP126" i="3" s="1"/>
  <c r="AG127" i="3"/>
  <c r="AN92" i="3"/>
  <c r="AW90" i="3"/>
  <c r="AP90" i="3"/>
  <c r="AP125" i="3" s="1"/>
  <c r="AT59" i="3"/>
  <c r="AR129" i="3" s="1"/>
  <c r="AR94" i="3"/>
  <c r="AG124" i="3"/>
  <c r="AN89" i="3"/>
  <c r="BT23" i="3"/>
  <c r="BX23" i="3" s="1"/>
  <c r="AA23" i="3"/>
  <c r="AE23" i="3" s="1"/>
  <c r="BE23" i="3"/>
  <c r="AP23" i="3"/>
  <c r="AT23" i="3" s="1"/>
  <c r="L23" i="3"/>
  <c r="P23" i="3" s="1"/>
  <c r="BW29" i="3"/>
  <c r="BU29" i="3"/>
  <c r="BS29" i="3"/>
  <c r="G31" i="18"/>
  <c r="C30" i="18"/>
  <c r="E31" i="18"/>
  <c r="H31" i="18"/>
  <c r="F31" i="18"/>
  <c r="X93" i="3"/>
  <c r="X128" i="3" s="1"/>
  <c r="AE93" i="3"/>
  <c r="O91" i="3"/>
  <c r="R91" i="3" s="1"/>
  <c r="V91" i="3"/>
  <c r="O89" i="3"/>
  <c r="V89" i="3"/>
  <c r="O93" i="3"/>
  <c r="O128" i="3" s="1"/>
  <c r="V93" i="3"/>
  <c r="X89" i="3"/>
  <c r="X124" i="3" s="1"/>
  <c r="X92" i="3"/>
  <c r="X127" i="3" s="1"/>
  <c r="F66" i="1"/>
  <c r="X91" i="3"/>
  <c r="X126" i="3" s="1"/>
  <c r="F65" i="1"/>
  <c r="X90" i="3"/>
  <c r="X125" i="3" s="1"/>
  <c r="F92" i="3"/>
  <c r="I92" i="3" s="1"/>
  <c r="M92" i="3"/>
  <c r="F89" i="3"/>
  <c r="I89" i="3" s="1"/>
  <c r="M89" i="3"/>
  <c r="E67" i="1"/>
  <c r="O92" i="3"/>
  <c r="O127" i="3" s="1"/>
  <c r="O90" i="3"/>
  <c r="O125" i="3" s="1"/>
  <c r="F93" i="3"/>
  <c r="I93" i="3" s="1"/>
  <c r="M93" i="3"/>
  <c r="F90" i="3"/>
  <c r="I90" i="3" s="1"/>
  <c r="F91" i="3"/>
  <c r="I91" i="3" s="1"/>
  <c r="J71" i="1"/>
  <c r="J73" i="1"/>
  <c r="J75" i="1"/>
  <c r="J72" i="1"/>
  <c r="J74" i="1"/>
  <c r="BO25" i="3"/>
  <c r="B26" i="3"/>
  <c r="AZ25" i="3"/>
  <c r="BP25" i="3"/>
  <c r="AL25" i="3"/>
  <c r="CD25" i="3"/>
  <c r="V25" i="3"/>
  <c r="AK25" i="3"/>
  <c r="G25" i="3"/>
  <c r="W25" i="3"/>
  <c r="H25" i="3"/>
  <c r="CE25" i="3"/>
  <c r="BA25" i="3"/>
  <c r="E61" i="3"/>
  <c r="B62" i="3"/>
  <c r="P61" i="3"/>
  <c r="AZ61" i="3"/>
  <c r="AO61" i="3"/>
  <c r="Y61" i="3"/>
  <c r="AQ61" i="3"/>
  <c r="L61" i="3"/>
  <c r="E13" i="18" s="1"/>
  <c r="AG61" i="3"/>
  <c r="AW61" i="3"/>
  <c r="CG25" i="3" s="1"/>
  <c r="G61" i="3"/>
  <c r="O61" i="3"/>
  <c r="AD61" i="3"/>
  <c r="I13" i="18" s="1"/>
  <c r="D61" i="3"/>
  <c r="D13" i="18" s="1"/>
  <c r="AY61" i="3"/>
  <c r="F61" i="3"/>
  <c r="W61" i="3"/>
  <c r="AF61" i="3"/>
  <c r="X61" i="3"/>
  <c r="M61" i="3"/>
  <c r="F13" i="18" s="1"/>
  <c r="AX61" i="3"/>
  <c r="V61" i="3"/>
  <c r="H13" i="18" s="1"/>
  <c r="AM61" i="3"/>
  <c r="AP61" i="3"/>
  <c r="AE61" i="3"/>
  <c r="J13" i="18" s="1"/>
  <c r="U61" i="3"/>
  <c r="AN61" i="3"/>
  <c r="C61" i="3"/>
  <c r="AV61" i="3"/>
  <c r="AH61" i="3"/>
  <c r="N61" i="3"/>
  <c r="U129" i="3"/>
  <c r="L129" i="3"/>
  <c r="AD129" i="3"/>
  <c r="AJ92" i="3"/>
  <c r="C133" i="3"/>
  <c r="C135" i="3"/>
  <c r="P68" i="1"/>
  <c r="F64" i="1"/>
  <c r="F67" i="1"/>
  <c r="AJ90" i="3"/>
  <c r="AJ91" i="3"/>
  <c r="E65" i="1"/>
  <c r="BI22" i="3"/>
  <c r="E68" i="1"/>
  <c r="D67" i="1"/>
  <c r="AN24" i="3"/>
  <c r="AD95" i="3" s="1"/>
  <c r="BC24" i="3"/>
  <c r="AM95" i="3" s="1"/>
  <c r="AM130" i="3" s="1"/>
  <c r="BR24" i="3"/>
  <c r="AV95" i="3" s="1"/>
  <c r="AV130" i="3" s="1"/>
  <c r="J24" i="3"/>
  <c r="L95" i="3" s="1"/>
  <c r="Y24" i="3"/>
  <c r="U95" i="3" s="1"/>
  <c r="D44" i="3"/>
  <c r="H43" i="3" s="1"/>
  <c r="D64" i="1"/>
  <c r="Q122" i="1"/>
  <c r="P122" i="1"/>
  <c r="O122" i="1"/>
  <c r="R122" i="1"/>
  <c r="Q128" i="3"/>
  <c r="Z128" i="3"/>
  <c r="H60" i="3"/>
  <c r="C129" i="3"/>
  <c r="H94" i="3"/>
  <c r="J59" i="3"/>
  <c r="Z94" i="3"/>
  <c r="AB59" i="3"/>
  <c r="AL24" i="3"/>
  <c r="BP24" i="3"/>
  <c r="CD24" i="3"/>
  <c r="BO24" i="3"/>
  <c r="G24" i="3"/>
  <c r="W24" i="3"/>
  <c r="V24" i="3"/>
  <c r="BA24" i="3"/>
  <c r="CE24" i="3"/>
  <c r="AK24" i="3"/>
  <c r="AZ24" i="3"/>
  <c r="H24" i="3"/>
  <c r="Q60" i="3"/>
  <c r="F68" i="1"/>
  <c r="Q94" i="3"/>
  <c r="S59" i="3"/>
  <c r="CI23" i="3"/>
  <c r="CM23" i="3" s="1"/>
  <c r="AY94" i="3" s="1"/>
  <c r="AY129" i="3" s="1"/>
  <c r="BA60" i="3"/>
  <c r="AR60" i="3"/>
  <c r="AI128" i="3"/>
  <c r="R68" i="1"/>
  <c r="AI94" i="3"/>
  <c r="AK59" i="3"/>
  <c r="Z60" i="3"/>
  <c r="AI60" i="3"/>
  <c r="M126" i="3"/>
  <c r="M125" i="3"/>
  <c r="AV20" i="4"/>
  <c r="R64" i="1"/>
  <c r="AI124" i="3"/>
  <c r="R67" i="1"/>
  <c r="AI127" i="3"/>
  <c r="R66" i="1"/>
  <c r="AI126" i="3"/>
  <c r="R65" i="1"/>
  <c r="AI125" i="3"/>
  <c r="AE127" i="3"/>
  <c r="Q66" i="1"/>
  <c r="Z126" i="3"/>
  <c r="Q65" i="1"/>
  <c r="Z125" i="3"/>
  <c r="Q64" i="1"/>
  <c r="Z124" i="3"/>
  <c r="Q67" i="1"/>
  <c r="Z127" i="3"/>
  <c r="P64" i="1"/>
  <c r="Q124" i="3"/>
  <c r="P67" i="1"/>
  <c r="Q127" i="3"/>
  <c r="P66" i="1"/>
  <c r="Q126" i="3"/>
  <c r="P65" i="1"/>
  <c r="Q125" i="3"/>
  <c r="O66" i="1"/>
  <c r="H126" i="3"/>
  <c r="O67" i="1"/>
  <c r="H127" i="3"/>
  <c r="O64" i="1"/>
  <c r="H124" i="3"/>
  <c r="E66" i="1"/>
  <c r="E64" i="1"/>
  <c r="J55" i="3"/>
  <c r="H125" i="3" s="1"/>
  <c r="D66" i="1"/>
  <c r="D65" i="1"/>
  <c r="J64" i="1"/>
  <c r="J59" i="1" s="1"/>
  <c r="J66" i="1"/>
  <c r="J69" i="1"/>
  <c r="J70" i="1"/>
  <c r="J68" i="1"/>
  <c r="J65" i="1"/>
  <c r="J67" i="1"/>
  <c r="BI20" i="4"/>
  <c r="BJ20" i="4"/>
  <c r="C21" i="4"/>
  <c r="D21" i="4" s="1"/>
  <c r="A22" i="4"/>
  <c r="E21" i="4"/>
  <c r="AW20" i="4"/>
  <c r="AT20" i="4"/>
  <c r="O21" i="4"/>
  <c r="BB89" i="3" l="1"/>
  <c r="AW124" i="3"/>
  <c r="BC124" i="3" s="1"/>
  <c r="BB90" i="3"/>
  <c r="AW125" i="3"/>
  <c r="BC125" i="3" s="1"/>
  <c r="BB92" i="3"/>
  <c r="AW127" i="3"/>
  <c r="BC127" i="3" s="1"/>
  <c r="AS92" i="3"/>
  <c r="AN127" i="3"/>
  <c r="AT127" i="3" s="1"/>
  <c r="AS91" i="3"/>
  <c r="AN126" i="3"/>
  <c r="AT126" i="3" s="1"/>
  <c r="AS89" i="3"/>
  <c r="AN124" i="3"/>
  <c r="AT124" i="3" s="1"/>
  <c r="AS90" i="3"/>
  <c r="AN125" i="3"/>
  <c r="AT125" i="3" s="1"/>
  <c r="AT60" i="3"/>
  <c r="AR130" i="3" s="1"/>
  <c r="AR95" i="3"/>
  <c r="BC60" i="3"/>
  <c r="BA130" i="3" s="1"/>
  <c r="BA95" i="3"/>
  <c r="BB91" i="3"/>
  <c r="AW126" i="3"/>
  <c r="BC126" i="3" s="1"/>
  <c r="BB93" i="3"/>
  <c r="AW128" i="3"/>
  <c r="BC128" i="3" s="1"/>
  <c r="AG128" i="3"/>
  <c r="AN93" i="3"/>
  <c r="AW94" i="3"/>
  <c r="AP94" i="3"/>
  <c r="AP129" i="3" s="1"/>
  <c r="BE24" i="3"/>
  <c r="L24" i="3"/>
  <c r="P24" i="3" s="1"/>
  <c r="BT24" i="3"/>
  <c r="BX24" i="3" s="1"/>
  <c r="BE25" i="3"/>
  <c r="AP24" i="3"/>
  <c r="AT24" i="3" s="1"/>
  <c r="BT25" i="3"/>
  <c r="AP25" i="3"/>
  <c r="L25" i="3"/>
  <c r="AA24" i="3"/>
  <c r="AE24" i="3" s="1"/>
  <c r="AA25" i="3"/>
  <c r="G32" i="18"/>
  <c r="G13" i="18"/>
  <c r="E32" i="18"/>
  <c r="C13" i="18"/>
  <c r="F32" i="18"/>
  <c r="H32" i="18"/>
  <c r="C31" i="18"/>
  <c r="F124" i="3"/>
  <c r="J124" i="3" s="1"/>
  <c r="O96" i="1" s="1"/>
  <c r="AA89" i="3"/>
  <c r="F127" i="3"/>
  <c r="J127" i="3" s="1"/>
  <c r="O99" i="1" s="1"/>
  <c r="X94" i="3"/>
  <c r="X129" i="3" s="1"/>
  <c r="AE94" i="3"/>
  <c r="R90" i="3"/>
  <c r="O94" i="3"/>
  <c r="O129" i="3" s="1"/>
  <c r="V94" i="3"/>
  <c r="F94" i="3"/>
  <c r="I94" i="3" s="1"/>
  <c r="M94" i="3"/>
  <c r="BR25" i="3"/>
  <c r="AV96" i="3" s="1"/>
  <c r="AV131" i="3" s="1"/>
  <c r="Q123" i="1"/>
  <c r="O123" i="1"/>
  <c r="P123" i="1"/>
  <c r="Y25" i="3"/>
  <c r="U96" i="3" s="1"/>
  <c r="U131" i="3" s="1"/>
  <c r="H61" i="3"/>
  <c r="H96" i="3" s="1"/>
  <c r="CI25" i="3"/>
  <c r="CM25" i="3" s="1"/>
  <c r="AY96" i="3" s="1"/>
  <c r="AY131" i="3" s="1"/>
  <c r="B63" i="3"/>
  <c r="AY62" i="3"/>
  <c r="AQ62" i="3"/>
  <c r="AF62" i="3"/>
  <c r="AP62" i="3"/>
  <c r="AG62" i="3"/>
  <c r="AH62" i="3"/>
  <c r="P62" i="3"/>
  <c r="AV62" i="3"/>
  <c r="C62" i="3"/>
  <c r="C14" i="18" s="1"/>
  <c r="AE62" i="3"/>
  <c r="J14" i="18" s="1"/>
  <c r="X62" i="3"/>
  <c r="AM62" i="3"/>
  <c r="O62" i="3"/>
  <c r="Y62" i="3"/>
  <c r="AX62" i="3"/>
  <c r="V62" i="3"/>
  <c r="H14" i="18" s="1"/>
  <c r="N62" i="3"/>
  <c r="E62" i="3"/>
  <c r="F62" i="3"/>
  <c r="D62" i="3"/>
  <c r="D14" i="18" s="1"/>
  <c r="AN62" i="3"/>
  <c r="G62" i="3"/>
  <c r="M62" i="3"/>
  <c r="F14" i="18" s="1"/>
  <c r="AZ62" i="3"/>
  <c r="U62" i="3"/>
  <c r="G14" i="18" s="1"/>
  <c r="L62" i="3"/>
  <c r="E14" i="18" s="1"/>
  <c r="AW62" i="3"/>
  <c r="CG26" i="3" s="1"/>
  <c r="AD62" i="3"/>
  <c r="AO62" i="3"/>
  <c r="W62" i="3"/>
  <c r="BC25" i="3"/>
  <c r="AM96" i="3" s="1"/>
  <c r="AM131" i="3" s="1"/>
  <c r="AR61" i="3"/>
  <c r="AN25" i="3"/>
  <c r="AD96" i="3" s="1"/>
  <c r="AD131" i="3" s="1"/>
  <c r="J25" i="3"/>
  <c r="L96" i="3" s="1"/>
  <c r="L131" i="3" s="1"/>
  <c r="Z61" i="3"/>
  <c r="BA61" i="3"/>
  <c r="R123" i="1"/>
  <c r="AI61" i="3"/>
  <c r="B27" i="3"/>
  <c r="BA26" i="3"/>
  <c r="H26" i="3"/>
  <c r="BP26" i="3"/>
  <c r="AZ26" i="3"/>
  <c r="AL26" i="3"/>
  <c r="AK26" i="3"/>
  <c r="CE26" i="3"/>
  <c r="V26" i="3"/>
  <c r="BO26" i="3"/>
  <c r="W26" i="3"/>
  <c r="G26" i="3"/>
  <c r="CD26" i="3"/>
  <c r="Q61" i="3"/>
  <c r="L130" i="3"/>
  <c r="AD130" i="3"/>
  <c r="U130" i="3"/>
  <c r="AK127" i="3"/>
  <c r="R99" i="1" s="1"/>
  <c r="S125" i="3"/>
  <c r="P97" i="1" s="1"/>
  <c r="AJ93" i="3"/>
  <c r="AE124" i="3"/>
  <c r="AJ89" i="3"/>
  <c r="AK89" i="3" s="1"/>
  <c r="AA91" i="3"/>
  <c r="C134" i="3"/>
  <c r="R92" i="3"/>
  <c r="AA90" i="3"/>
  <c r="R89" i="3"/>
  <c r="AA93" i="3"/>
  <c r="AA92" i="3"/>
  <c r="M68" i="1" a="1"/>
  <c r="M68" i="1" s="1"/>
  <c r="AE125" i="3"/>
  <c r="AE126" i="3"/>
  <c r="M124" i="3"/>
  <c r="M127" i="3"/>
  <c r="F128" i="3"/>
  <c r="V125" i="3"/>
  <c r="V127" i="3"/>
  <c r="BI23" i="3"/>
  <c r="D68" i="1"/>
  <c r="R93" i="3"/>
  <c r="D69" i="1"/>
  <c r="V128" i="3"/>
  <c r="F69" i="1"/>
  <c r="Q95" i="3"/>
  <c r="S60" i="3"/>
  <c r="H129" i="3"/>
  <c r="O69" i="1"/>
  <c r="Z129" i="3"/>
  <c r="Q69" i="1"/>
  <c r="H95" i="3"/>
  <c r="J60" i="3"/>
  <c r="O70" i="1" s="1"/>
  <c r="C130" i="3"/>
  <c r="Z95" i="3"/>
  <c r="AB60" i="3"/>
  <c r="Q70" i="1" s="1"/>
  <c r="AE128" i="3"/>
  <c r="CI24" i="3"/>
  <c r="CM24" i="3" s="1"/>
  <c r="AY95" i="3" s="1"/>
  <c r="AY130" i="3" s="1"/>
  <c r="AI129" i="3"/>
  <c r="R69" i="1"/>
  <c r="Q129" i="3"/>
  <c r="P69" i="1"/>
  <c r="AI95" i="3"/>
  <c r="AK60" i="3"/>
  <c r="R70" i="1" s="1"/>
  <c r="E69" i="1"/>
  <c r="V124" i="3"/>
  <c r="AB124" i="3" s="1"/>
  <c r="V126" i="3"/>
  <c r="AB126" i="3" s="1"/>
  <c r="M66" i="1" a="1"/>
  <c r="M66" i="1" s="1"/>
  <c r="M67" i="1" a="1"/>
  <c r="M67" i="1" s="1"/>
  <c r="M64" i="1" a="1"/>
  <c r="M64" i="1" s="1"/>
  <c r="O126" i="3"/>
  <c r="S126" i="3" s="1"/>
  <c r="O124" i="3"/>
  <c r="F126" i="3"/>
  <c r="J126" i="3" s="1"/>
  <c r="J90" i="3"/>
  <c r="F125" i="3"/>
  <c r="J125" i="3" s="1"/>
  <c r="J89" i="3"/>
  <c r="O65" i="1"/>
  <c r="M65" i="1" s="1" a="1"/>
  <c r="M65" i="1" s="1"/>
  <c r="C22" i="4"/>
  <c r="D22" i="4" s="1"/>
  <c r="A23" i="4"/>
  <c r="C23" i="4" s="1"/>
  <c r="D23" i="4" s="1"/>
  <c r="F22" i="4"/>
  <c r="O22" i="4" s="1"/>
  <c r="E22" i="4"/>
  <c r="BI21" i="4"/>
  <c r="BJ21" i="4"/>
  <c r="AT21" i="4"/>
  <c r="AV21" i="4"/>
  <c r="AW21" i="4"/>
  <c r="AG129" i="3" l="1"/>
  <c r="AN94" i="3"/>
  <c r="BC61" i="3"/>
  <c r="BA131" i="3" s="1"/>
  <c r="BA96" i="3"/>
  <c r="AT100" i="3"/>
  <c r="AT99" i="3"/>
  <c r="AT98" i="3"/>
  <c r="AT97" i="3"/>
  <c r="AT96" i="3"/>
  <c r="AT95" i="3"/>
  <c r="AT94" i="3"/>
  <c r="AT93" i="3"/>
  <c r="AT92" i="3"/>
  <c r="AT91" i="3"/>
  <c r="AT90" i="3"/>
  <c r="AT89" i="3"/>
  <c r="AT61" i="3"/>
  <c r="AR131" i="3" s="1"/>
  <c r="AR96" i="3"/>
  <c r="AW95" i="3"/>
  <c r="AP95" i="3"/>
  <c r="AP130" i="3" s="1"/>
  <c r="BB94" i="3"/>
  <c r="AW129" i="3"/>
  <c r="BC129" i="3" s="1"/>
  <c r="AS93" i="3"/>
  <c r="AN128" i="3"/>
  <c r="AT128" i="3" s="1"/>
  <c r="BC100" i="3"/>
  <c r="BC99" i="3"/>
  <c r="BC98" i="3"/>
  <c r="BC97" i="3"/>
  <c r="BC96" i="3"/>
  <c r="BC95" i="3"/>
  <c r="BC94" i="3"/>
  <c r="BC93" i="3"/>
  <c r="BC92" i="3"/>
  <c r="BC91" i="3"/>
  <c r="BC90" i="3"/>
  <c r="BC89" i="3"/>
  <c r="BT26" i="3"/>
  <c r="L26" i="3"/>
  <c r="AP26" i="3"/>
  <c r="BE26" i="3"/>
  <c r="AA26" i="3"/>
  <c r="C32" i="18"/>
  <c r="H33" i="18"/>
  <c r="I14" i="18"/>
  <c r="F33" i="18"/>
  <c r="G33" i="18"/>
  <c r="E33" i="18"/>
  <c r="X95" i="3"/>
  <c r="X130" i="3" s="1"/>
  <c r="AE95" i="3"/>
  <c r="O95" i="3"/>
  <c r="O130" i="3" s="1"/>
  <c r="V95" i="3"/>
  <c r="F95" i="3"/>
  <c r="I95" i="3" s="1"/>
  <c r="M95" i="3"/>
  <c r="BX25" i="3"/>
  <c r="AT25" i="3"/>
  <c r="AE96" i="3" s="1"/>
  <c r="AE25" i="3"/>
  <c r="V96" i="3" s="1"/>
  <c r="J61" i="3"/>
  <c r="H131" i="3" s="1"/>
  <c r="P25" i="3"/>
  <c r="M96" i="3" s="1"/>
  <c r="Y26" i="3"/>
  <c r="U97" i="3" s="1"/>
  <c r="U132" i="3" s="1"/>
  <c r="BR26" i="3"/>
  <c r="AV97" i="3" s="1"/>
  <c r="AV132" i="3" s="1"/>
  <c r="BC26" i="3"/>
  <c r="AM97" i="3" s="1"/>
  <c r="AM132" i="3" s="1"/>
  <c r="CI26" i="3"/>
  <c r="CM26" i="3" s="1"/>
  <c r="AY97" i="3" s="1"/>
  <c r="AY132" i="3" s="1"/>
  <c r="S61" i="3"/>
  <c r="Q96" i="3"/>
  <c r="P124" i="1"/>
  <c r="Q62" i="3"/>
  <c r="BI25" i="3"/>
  <c r="AB61" i="3"/>
  <c r="Z96" i="3"/>
  <c r="AI62" i="3"/>
  <c r="R124" i="1"/>
  <c r="J26" i="3"/>
  <c r="L97" i="3" s="1"/>
  <c r="L132" i="3" s="1"/>
  <c r="AR62" i="3"/>
  <c r="CE27" i="3"/>
  <c r="B28" i="3"/>
  <c r="BO27" i="3"/>
  <c r="AZ27" i="3"/>
  <c r="CD27" i="3"/>
  <c r="AL27" i="3"/>
  <c r="V27" i="3"/>
  <c r="G27" i="3"/>
  <c r="H27" i="3"/>
  <c r="W27" i="3"/>
  <c r="AK27" i="3"/>
  <c r="BA27" i="3"/>
  <c r="BP27" i="3"/>
  <c r="AK61" i="3"/>
  <c r="AI96" i="3"/>
  <c r="Q124" i="1"/>
  <c r="Z62" i="3"/>
  <c r="H62" i="3"/>
  <c r="O124" i="1"/>
  <c r="AN26" i="3"/>
  <c r="AD97" i="3" s="1"/>
  <c r="AD132" i="3" s="1"/>
  <c r="BA62" i="3"/>
  <c r="B64" i="3"/>
  <c r="AH63" i="3"/>
  <c r="Y63" i="3"/>
  <c r="AW63" i="3"/>
  <c r="CG27" i="3" s="1"/>
  <c r="AQ63" i="3"/>
  <c r="X63" i="3"/>
  <c r="E63" i="3"/>
  <c r="V63" i="3"/>
  <c r="H15" i="18" s="1"/>
  <c r="AD63" i="3"/>
  <c r="AM63" i="3"/>
  <c r="F63" i="3"/>
  <c r="C63" i="3"/>
  <c r="C15" i="18" s="1"/>
  <c r="D63" i="3"/>
  <c r="D15" i="18" s="1"/>
  <c r="P63" i="3"/>
  <c r="N63" i="3"/>
  <c r="L63" i="3"/>
  <c r="W63" i="3"/>
  <c r="O63" i="3"/>
  <c r="AG63" i="3"/>
  <c r="G63" i="3"/>
  <c r="AN63" i="3"/>
  <c r="AP63" i="3"/>
  <c r="U63" i="3"/>
  <c r="G15" i="18" s="1"/>
  <c r="AX63" i="3"/>
  <c r="AV63" i="3"/>
  <c r="AY63" i="3"/>
  <c r="AF63" i="3"/>
  <c r="AZ63" i="3"/>
  <c r="M63" i="3"/>
  <c r="F15" i="18" s="1"/>
  <c r="AO63" i="3"/>
  <c r="AE63" i="3"/>
  <c r="J15" i="18" s="1"/>
  <c r="S124" i="3"/>
  <c r="P96" i="1" s="1"/>
  <c r="AK124" i="3"/>
  <c r="R96" i="1" s="1"/>
  <c r="AK126" i="3"/>
  <c r="R98" i="1" s="1"/>
  <c r="AK125" i="3"/>
  <c r="R97" i="1" s="1"/>
  <c r="AK128" i="3"/>
  <c r="R100" i="1" s="1"/>
  <c r="AB128" i="3"/>
  <c r="Q100" i="1" s="1"/>
  <c r="AB127" i="3"/>
  <c r="Q99" i="1" s="1"/>
  <c r="AB125" i="3"/>
  <c r="Q97" i="1" s="1"/>
  <c r="S127" i="3"/>
  <c r="P99" i="1" s="1"/>
  <c r="AA94" i="3"/>
  <c r="J128" i="3"/>
  <c r="O100" i="1" s="1"/>
  <c r="AE129" i="3"/>
  <c r="AJ94" i="3"/>
  <c r="AK94" i="3" s="1"/>
  <c r="G101" i="1" s="1"/>
  <c r="G121" i="1" s="1"/>
  <c r="R94" i="3"/>
  <c r="P70" i="1"/>
  <c r="M70" i="1" s="1" a="1"/>
  <c r="M70" i="1" s="1"/>
  <c r="AK90" i="3"/>
  <c r="G97" i="1" s="1"/>
  <c r="G117" i="1" s="1"/>
  <c r="AK91" i="3"/>
  <c r="G98" i="1" s="1"/>
  <c r="G118" i="1" s="1"/>
  <c r="AK92" i="3"/>
  <c r="G99" i="1" s="1"/>
  <c r="G119" i="1" s="1"/>
  <c r="M129" i="3"/>
  <c r="M128" i="3"/>
  <c r="S93" i="3"/>
  <c r="J12" i="10" s="1" a="1"/>
  <c r="J12" i="10" s="1"/>
  <c r="F129" i="3"/>
  <c r="BI24" i="3"/>
  <c r="H130" i="3"/>
  <c r="Q130" i="3"/>
  <c r="E70" i="1"/>
  <c r="AI130" i="3"/>
  <c r="Z130" i="3"/>
  <c r="M69" i="1" a="1"/>
  <c r="M69" i="1" s="1"/>
  <c r="AK93" i="3"/>
  <c r="G100" i="1" s="1"/>
  <c r="G120" i="1" s="1"/>
  <c r="D70" i="1"/>
  <c r="F70" i="1"/>
  <c r="V129" i="3"/>
  <c r="J93" i="3"/>
  <c r="J11" i="10" s="1" a="1"/>
  <c r="J11" i="10" s="1"/>
  <c r="M11" i="10" s="1"/>
  <c r="AB89" i="3"/>
  <c r="F96" i="1" s="1"/>
  <c r="F116" i="1" s="1"/>
  <c r="AB93" i="3"/>
  <c r="S90" i="3"/>
  <c r="E97" i="1" s="1"/>
  <c r="AL31" i="17" s="1"/>
  <c r="Q98" i="1"/>
  <c r="Q96" i="1"/>
  <c r="P98" i="1"/>
  <c r="O98" i="1"/>
  <c r="O97" i="1"/>
  <c r="D97" i="1"/>
  <c r="AL15" i="17" s="1"/>
  <c r="D96" i="1"/>
  <c r="AL14" i="17" s="1"/>
  <c r="AB92" i="3"/>
  <c r="AB90" i="3"/>
  <c r="AB91" i="3"/>
  <c r="S89" i="3"/>
  <c r="S91" i="3"/>
  <c r="S92" i="3"/>
  <c r="G96" i="1"/>
  <c r="G116" i="1" s="1"/>
  <c r="J92" i="3"/>
  <c r="J91" i="3"/>
  <c r="F23" i="4"/>
  <c r="O23" i="4" s="1"/>
  <c r="AT22" i="4"/>
  <c r="AW22" i="4"/>
  <c r="BI22" i="4"/>
  <c r="E23" i="4"/>
  <c r="AV22" i="4"/>
  <c r="BJ22" i="4"/>
  <c r="M12" i="10" l="1"/>
  <c r="N12" i="10" s="1"/>
  <c r="O12" i="10" s="1"/>
  <c r="G19" i="10" s="1"/>
  <c r="N11" i="10"/>
  <c r="AG131" i="3"/>
  <c r="AN96" i="3"/>
  <c r="AT62" i="3"/>
  <c r="AR132" i="3" s="1"/>
  <c r="AR97" i="3"/>
  <c r="BB95" i="3"/>
  <c r="AW130" i="3"/>
  <c r="BC130" i="3" s="1"/>
  <c r="BC62" i="3"/>
  <c r="BA132" i="3" s="1"/>
  <c r="BA97" i="3"/>
  <c r="AW96" i="3"/>
  <c r="AP96" i="3"/>
  <c r="AP131" i="3" s="1"/>
  <c r="AG130" i="3"/>
  <c r="AN95" i="3"/>
  <c r="AS94" i="3"/>
  <c r="AN129" i="3"/>
  <c r="AT129" i="3" s="1"/>
  <c r="AP27" i="3"/>
  <c r="BE27" i="3"/>
  <c r="BT27" i="3"/>
  <c r="L27" i="3"/>
  <c r="AA27" i="3"/>
  <c r="AM14" i="17"/>
  <c r="AN14" i="17"/>
  <c r="AM31" i="17"/>
  <c r="AN31" i="17"/>
  <c r="AN15" i="17"/>
  <c r="AM15" i="17"/>
  <c r="C33" i="18"/>
  <c r="F34" i="18"/>
  <c r="E15" i="18"/>
  <c r="H34" i="18"/>
  <c r="I15" i="18"/>
  <c r="E34" i="18"/>
  <c r="G34" i="18"/>
  <c r="E117" i="1"/>
  <c r="D117" i="1"/>
  <c r="D116" i="1"/>
  <c r="X96" i="3"/>
  <c r="X131" i="3" s="1"/>
  <c r="O96" i="3"/>
  <c r="O131" i="3" s="1"/>
  <c r="D71" i="1"/>
  <c r="F96" i="3"/>
  <c r="I96" i="3" s="1"/>
  <c r="AE131" i="3"/>
  <c r="F71" i="1"/>
  <c r="O71" i="1"/>
  <c r="E71" i="1"/>
  <c r="BI26" i="3"/>
  <c r="AE26" i="3"/>
  <c r="V97" i="3" s="1"/>
  <c r="Y27" i="3"/>
  <c r="U98" i="3" s="1"/>
  <c r="U133" i="3" s="1"/>
  <c r="BR27" i="3"/>
  <c r="AV98" i="3" s="1"/>
  <c r="AV133" i="3" s="1"/>
  <c r="BX26" i="3"/>
  <c r="CI27" i="3"/>
  <c r="CM27" i="3" s="1"/>
  <c r="AY98" i="3" s="1"/>
  <c r="AY133" i="3" s="1"/>
  <c r="BC27" i="3"/>
  <c r="AM98" i="3" s="1"/>
  <c r="AM133" i="3" s="1"/>
  <c r="P26" i="3"/>
  <c r="Q125" i="1"/>
  <c r="Z63" i="3"/>
  <c r="S62" i="3"/>
  <c r="Q97" i="3"/>
  <c r="O125" i="1"/>
  <c r="H63" i="3"/>
  <c r="Z97" i="3"/>
  <c r="AB62" i="3"/>
  <c r="B29" i="3"/>
  <c r="H28" i="3"/>
  <c r="AZ28" i="3"/>
  <c r="V28" i="3"/>
  <c r="AL28" i="3"/>
  <c r="AK28" i="3"/>
  <c r="BA28" i="3"/>
  <c r="W28" i="3"/>
  <c r="BO28" i="3"/>
  <c r="BP28" i="3"/>
  <c r="CD28" i="3"/>
  <c r="CE28" i="3"/>
  <c r="G28" i="3"/>
  <c r="AK62" i="3"/>
  <c r="AI97" i="3"/>
  <c r="AR63" i="3"/>
  <c r="Q131" i="3"/>
  <c r="P71" i="1"/>
  <c r="V131" i="3"/>
  <c r="BA63" i="3"/>
  <c r="R125" i="1"/>
  <c r="AI63" i="3"/>
  <c r="B65" i="3"/>
  <c r="AE64" i="3"/>
  <c r="J16" i="18" s="1"/>
  <c r="P64" i="3"/>
  <c r="AM64" i="3"/>
  <c r="AD64" i="3"/>
  <c r="I16" i="18" s="1"/>
  <c r="AZ64" i="3"/>
  <c r="C64" i="3"/>
  <c r="G64" i="3"/>
  <c r="Y64" i="3"/>
  <c r="L64" i="3"/>
  <c r="AF64" i="3"/>
  <c r="U64" i="3"/>
  <c r="AX64" i="3"/>
  <c r="AY64" i="3"/>
  <c r="V64" i="3"/>
  <c r="H16" i="18" s="1"/>
  <c r="F64" i="3"/>
  <c r="O64" i="3"/>
  <c r="D64" i="3"/>
  <c r="X64" i="3"/>
  <c r="M64" i="3"/>
  <c r="AV64" i="3"/>
  <c r="AN64" i="3"/>
  <c r="AG64" i="3"/>
  <c r="AP64" i="3"/>
  <c r="AO64" i="3"/>
  <c r="AW64" i="3"/>
  <c r="CG28" i="3" s="1"/>
  <c r="W64" i="3"/>
  <c r="E64" i="3"/>
  <c r="AQ64" i="3"/>
  <c r="N64" i="3"/>
  <c r="AH64" i="3"/>
  <c r="R71" i="1"/>
  <c r="AI131" i="3"/>
  <c r="J27" i="3"/>
  <c r="L98" i="3" s="1"/>
  <c r="L133" i="3" s="1"/>
  <c r="J62" i="3"/>
  <c r="H97" i="3"/>
  <c r="P125" i="1"/>
  <c r="Q63" i="3"/>
  <c r="AN27" i="3"/>
  <c r="AD98" i="3" s="1"/>
  <c r="AD133" i="3" s="1"/>
  <c r="AT26" i="3"/>
  <c r="Q71" i="1"/>
  <c r="Z131" i="3"/>
  <c r="AK129" i="3"/>
  <c r="R101" i="1" s="1"/>
  <c r="M99" i="1" a="1"/>
  <c r="M99" i="1" s="1"/>
  <c r="AB129" i="3"/>
  <c r="Q101" i="1" s="1"/>
  <c r="M97" i="1" a="1"/>
  <c r="M97" i="1" s="1"/>
  <c r="S128" i="3"/>
  <c r="P100" i="1" s="1"/>
  <c r="M100" i="1" s="1" a="1"/>
  <c r="M100" i="1" s="1"/>
  <c r="S129" i="3"/>
  <c r="P101" i="1" s="1"/>
  <c r="J129" i="3"/>
  <c r="O101" i="1" s="1"/>
  <c r="AJ95" i="3"/>
  <c r="R95" i="3"/>
  <c r="AA95" i="3"/>
  <c r="AB95" i="3" s="1"/>
  <c r="AB94" i="3"/>
  <c r="F101" i="1" s="1"/>
  <c r="F121" i="1" s="1"/>
  <c r="S94" i="3"/>
  <c r="E101" i="1" s="1"/>
  <c r="AL35" i="17" s="1"/>
  <c r="J94" i="3"/>
  <c r="D101" i="1" s="1"/>
  <c r="AL19" i="17" s="1"/>
  <c r="V130" i="3"/>
  <c r="M130" i="3"/>
  <c r="AE130" i="3"/>
  <c r="F130" i="3"/>
  <c r="J95" i="3"/>
  <c r="M96" i="1" a="1"/>
  <c r="M96" i="1" s="1"/>
  <c r="M98" i="1" a="1"/>
  <c r="M98" i="1" s="1"/>
  <c r="D100" i="1"/>
  <c r="AL18" i="17" s="1"/>
  <c r="E96" i="1"/>
  <c r="AL30" i="17" s="1"/>
  <c r="D99" i="1"/>
  <c r="AL17" i="17" s="1"/>
  <c r="E98" i="1"/>
  <c r="AL32" i="17" s="1"/>
  <c r="D98" i="1"/>
  <c r="AL16" i="17" s="1"/>
  <c r="F99" i="1"/>
  <c r="F119" i="1" s="1"/>
  <c r="F100" i="1"/>
  <c r="F120" i="1" s="1"/>
  <c r="F97" i="1"/>
  <c r="F117" i="1" s="1"/>
  <c r="F98" i="1"/>
  <c r="F118" i="1" s="1"/>
  <c r="E100" i="1"/>
  <c r="AL34" i="17" s="1"/>
  <c r="E99" i="1"/>
  <c r="AL33" i="17" s="1"/>
  <c r="AM33" i="17" s="1"/>
  <c r="AT23" i="4"/>
  <c r="BJ23" i="4"/>
  <c r="BI23" i="4"/>
  <c r="AW23" i="4"/>
  <c r="AV23" i="4"/>
  <c r="H19" i="10" l="1"/>
  <c r="P19" i="10" s="1"/>
  <c r="S19" i="10"/>
  <c r="G34" i="10"/>
  <c r="T19" i="10"/>
  <c r="O11" i="10"/>
  <c r="G18" i="10" s="1"/>
  <c r="AT63" i="3"/>
  <c r="AR133" i="3" s="1"/>
  <c r="AR98" i="3"/>
  <c r="AS95" i="3"/>
  <c r="AN130" i="3"/>
  <c r="AT130" i="3" s="1"/>
  <c r="AG132" i="3"/>
  <c r="AN97" i="3"/>
  <c r="AW97" i="3"/>
  <c r="AP97" i="3"/>
  <c r="AP132" i="3" s="1"/>
  <c r="BB96" i="3"/>
  <c r="AW131" i="3"/>
  <c r="BC131" i="3" s="1"/>
  <c r="AS96" i="3"/>
  <c r="AN131" i="3"/>
  <c r="AT131" i="3" s="1"/>
  <c r="BC63" i="3"/>
  <c r="BA133" i="3" s="1"/>
  <c r="BA98" i="3"/>
  <c r="F16" i="18"/>
  <c r="D16" i="18"/>
  <c r="E16" i="18"/>
  <c r="C16" i="18"/>
  <c r="BE28" i="3"/>
  <c r="AP28" i="3"/>
  <c r="BT28" i="3"/>
  <c r="AA28" i="3"/>
  <c r="L28" i="3"/>
  <c r="AN16" i="17"/>
  <c r="AM16" i="17"/>
  <c r="AM17" i="17"/>
  <c r="AN17" i="17"/>
  <c r="AM34" i="17"/>
  <c r="AN34" i="17"/>
  <c r="AN30" i="17"/>
  <c r="AM30" i="17"/>
  <c r="AN32" i="17"/>
  <c r="AM32" i="17"/>
  <c r="AN33" i="17"/>
  <c r="AM18" i="17"/>
  <c r="AN18" i="17"/>
  <c r="AM19" i="17"/>
  <c r="AN19" i="17"/>
  <c r="AM35" i="17"/>
  <c r="AN35" i="17"/>
  <c r="C34" i="18"/>
  <c r="AP15" i="17"/>
  <c r="AP14" i="17"/>
  <c r="AP31" i="17"/>
  <c r="G35" i="18"/>
  <c r="G16" i="18"/>
  <c r="F35" i="18"/>
  <c r="H35" i="18"/>
  <c r="E35" i="18"/>
  <c r="E121" i="1"/>
  <c r="E118" i="1"/>
  <c r="E119" i="1"/>
  <c r="E120" i="1"/>
  <c r="E116" i="1"/>
  <c r="D119" i="1"/>
  <c r="D120" i="1"/>
  <c r="D121" i="1"/>
  <c r="D118" i="1"/>
  <c r="AA96" i="3"/>
  <c r="X97" i="3"/>
  <c r="X132" i="3" s="1"/>
  <c r="AE97" i="3"/>
  <c r="F97" i="3"/>
  <c r="F132" i="3" s="1"/>
  <c r="M97" i="3"/>
  <c r="O97" i="3"/>
  <c r="O132" i="3" s="1"/>
  <c r="R96" i="3"/>
  <c r="AJ96" i="3"/>
  <c r="V132" i="3"/>
  <c r="E72" i="1"/>
  <c r="BI27" i="3"/>
  <c r="AE27" i="3"/>
  <c r="V98" i="3" s="1"/>
  <c r="M131" i="3"/>
  <c r="S131" i="3" s="1"/>
  <c r="P103" i="1" s="1"/>
  <c r="BX27" i="3"/>
  <c r="F131" i="3"/>
  <c r="J131" i="3" s="1"/>
  <c r="O103" i="1" s="1"/>
  <c r="D72" i="1"/>
  <c r="AK131" i="3"/>
  <c r="R103" i="1" s="1"/>
  <c r="CI28" i="3"/>
  <c r="CM28" i="3" s="1"/>
  <c r="AY99" i="3" s="1"/>
  <c r="AY134" i="3" s="1"/>
  <c r="Y28" i="3"/>
  <c r="U99" i="3" s="1"/>
  <c r="U134" i="3" s="1"/>
  <c r="M71" i="1" a="1"/>
  <c r="M71" i="1" s="1"/>
  <c r="AR64" i="3"/>
  <c r="H132" i="3"/>
  <c r="O72" i="1"/>
  <c r="BR28" i="3"/>
  <c r="AV99" i="3" s="1"/>
  <c r="AV134" i="3" s="1"/>
  <c r="BA64" i="3"/>
  <c r="S63" i="3"/>
  <c r="Q98" i="3"/>
  <c r="P27" i="3"/>
  <c r="AZ29" i="3"/>
  <c r="H29" i="3"/>
  <c r="BP29" i="3"/>
  <c r="AK29" i="3"/>
  <c r="BA29" i="3"/>
  <c r="AL29" i="3"/>
  <c r="CD29" i="3"/>
  <c r="CE29" i="3"/>
  <c r="G29" i="3"/>
  <c r="BO29" i="3"/>
  <c r="W29" i="3"/>
  <c r="V29" i="3"/>
  <c r="Z64" i="3"/>
  <c r="Q126" i="1"/>
  <c r="J28" i="3"/>
  <c r="L99" i="3" s="1"/>
  <c r="L134" i="3" s="1"/>
  <c r="Q64" i="3"/>
  <c r="P126" i="1"/>
  <c r="BC28" i="3"/>
  <c r="AM99" i="3" s="1"/>
  <c r="AM134" i="3" s="1"/>
  <c r="Z132" i="3"/>
  <c r="Q72" i="1"/>
  <c r="AT27" i="3"/>
  <c r="N65" i="3"/>
  <c r="AO65" i="3"/>
  <c r="Y65" i="3"/>
  <c r="O65" i="3"/>
  <c r="AX65" i="3"/>
  <c r="F65" i="3"/>
  <c r="AN65" i="3"/>
  <c r="AQ65" i="3"/>
  <c r="AP65" i="3"/>
  <c r="AE65" i="3"/>
  <c r="J17" i="18" s="1"/>
  <c r="AH65" i="3"/>
  <c r="AM65" i="3"/>
  <c r="V65" i="3"/>
  <c r="H17" i="18" s="1"/>
  <c r="AZ65" i="3"/>
  <c r="X65" i="3"/>
  <c r="AW65" i="3"/>
  <c r="CG29" i="3" s="1"/>
  <c r="AG65" i="3"/>
  <c r="AV65" i="3"/>
  <c r="M65" i="3"/>
  <c r="F17" i="18" s="1"/>
  <c r="G65" i="3"/>
  <c r="AD65" i="3"/>
  <c r="I17" i="18" s="1"/>
  <c r="E65" i="3"/>
  <c r="AF65" i="3"/>
  <c r="L65" i="3"/>
  <c r="E17" i="18" s="1"/>
  <c r="C65" i="3"/>
  <c r="C17" i="18" s="1"/>
  <c r="D65" i="3"/>
  <c r="D17" i="18" s="1"/>
  <c r="U65" i="3"/>
  <c r="P65" i="3"/>
  <c r="W65" i="3"/>
  <c r="AY65" i="3"/>
  <c r="AB131" i="3"/>
  <c r="Q103" i="1" s="1"/>
  <c r="F72" i="1"/>
  <c r="Q132" i="3"/>
  <c r="P72" i="1"/>
  <c r="AK63" i="3"/>
  <c r="AI98" i="3"/>
  <c r="AI132" i="3"/>
  <c r="R72" i="1"/>
  <c r="J63" i="3"/>
  <c r="H98" i="3"/>
  <c r="Z98" i="3"/>
  <c r="AB63" i="3"/>
  <c r="R126" i="1"/>
  <c r="AI64" i="3"/>
  <c r="AN28" i="3"/>
  <c r="AD99" i="3" s="1"/>
  <c r="AD134" i="3" s="1"/>
  <c r="O126" i="1"/>
  <c r="H64" i="3"/>
  <c r="AK130" i="3"/>
  <c r="R102" i="1" s="1"/>
  <c r="AB130" i="3"/>
  <c r="Q102" i="1" s="1"/>
  <c r="M101" i="1" a="1"/>
  <c r="M101" i="1" s="1"/>
  <c r="L101" i="1" s="1"/>
  <c r="O29" i="1" s="1"/>
  <c r="S130" i="3"/>
  <c r="P102" i="1" s="1"/>
  <c r="J130" i="3"/>
  <c r="O102" i="1" s="1"/>
  <c r="F102" i="1"/>
  <c r="F122" i="1" s="1"/>
  <c r="D102" i="1"/>
  <c r="AL20" i="17" s="1"/>
  <c r="S95" i="3"/>
  <c r="J96" i="3"/>
  <c r="D103" i="1" s="1"/>
  <c r="AL21" i="17" s="1"/>
  <c r="AK95" i="3"/>
  <c r="L100" i="1"/>
  <c r="O28" i="1" s="1"/>
  <c r="L96" i="1"/>
  <c r="O24" i="1" s="1"/>
  <c r="L98" i="1"/>
  <c r="O26" i="1" s="1"/>
  <c r="L99" i="1"/>
  <c r="O27" i="1" s="1"/>
  <c r="L97" i="1"/>
  <c r="O25" i="1" s="1"/>
  <c r="B4" i="4"/>
  <c r="N19" i="10" l="1"/>
  <c r="V19" i="10" s="1"/>
  <c r="H34" i="10"/>
  <c r="I34" i="10" s="1"/>
  <c r="N34" i="10" s="1"/>
  <c r="R19" i="10"/>
  <c r="K19" i="10"/>
  <c r="L19" i="10"/>
  <c r="O19" i="10"/>
  <c r="M19" i="10"/>
  <c r="U19" i="10" s="1"/>
  <c r="N27" i="10" s="1"/>
  <c r="Q19" i="10"/>
  <c r="H18" i="10"/>
  <c r="P18" i="10" s="1"/>
  <c r="S18" i="10"/>
  <c r="T18" i="10"/>
  <c r="G33" i="10"/>
  <c r="BC64" i="3"/>
  <c r="BA134" i="3" s="1"/>
  <c r="BA99" i="3"/>
  <c r="AG133" i="3"/>
  <c r="AN98" i="3"/>
  <c r="AW98" i="3"/>
  <c r="AP98" i="3"/>
  <c r="AP133" i="3" s="1"/>
  <c r="AS97" i="3"/>
  <c r="AN132" i="3"/>
  <c r="AT132" i="3" s="1"/>
  <c r="AT64" i="3"/>
  <c r="AR134" i="3" s="1"/>
  <c r="AR99" i="3"/>
  <c r="BB97" i="3"/>
  <c r="AW132" i="3"/>
  <c r="BC132" i="3" s="1"/>
  <c r="H26" i="10"/>
  <c r="H27" i="10"/>
  <c r="I26" i="10"/>
  <c r="I27" i="10"/>
  <c r="L29" i="3"/>
  <c r="BT29" i="3"/>
  <c r="BE29" i="3"/>
  <c r="AP29" i="3"/>
  <c r="AA29" i="3"/>
  <c r="AM20" i="17"/>
  <c r="AN20" i="17"/>
  <c r="AN21" i="17"/>
  <c r="AM21" i="17"/>
  <c r="C35" i="18"/>
  <c r="AP19" i="17"/>
  <c r="AP17" i="17"/>
  <c r="AP18" i="17"/>
  <c r="AP16" i="17"/>
  <c r="AP34" i="17"/>
  <c r="AP30" i="17"/>
  <c r="AP33" i="17"/>
  <c r="AP35" i="17"/>
  <c r="AP32" i="17"/>
  <c r="G36" i="18"/>
  <c r="G17" i="18"/>
  <c r="E36" i="18"/>
  <c r="F36" i="18"/>
  <c r="H36" i="18"/>
  <c r="D123" i="1"/>
  <c r="I97" i="3"/>
  <c r="R97" i="3"/>
  <c r="S97" i="3" s="1"/>
  <c r="E104" i="1" s="1"/>
  <c r="AL38" i="17" s="1"/>
  <c r="AB96" i="3"/>
  <c r="F103" i="1" s="1"/>
  <c r="F123" i="1" s="1"/>
  <c r="X98" i="3"/>
  <c r="X133" i="3" s="1"/>
  <c r="AE98" i="3"/>
  <c r="F98" i="3"/>
  <c r="M98" i="3"/>
  <c r="E73" i="1"/>
  <c r="O98" i="3"/>
  <c r="O133" i="3" s="1"/>
  <c r="S96" i="3"/>
  <c r="E103" i="1" s="1"/>
  <c r="AL37" i="17" s="1"/>
  <c r="AK96" i="3"/>
  <c r="G103" i="1" s="1"/>
  <c r="G123" i="1" s="1"/>
  <c r="V133" i="3"/>
  <c r="M132" i="3"/>
  <c r="S132" i="3" s="1"/>
  <c r="P104" i="1" s="1"/>
  <c r="J132" i="3"/>
  <c r="O104" i="1" s="1"/>
  <c r="M103" i="1" a="1"/>
  <c r="M103" i="1" s="1"/>
  <c r="L103" i="1" s="1"/>
  <c r="O31" i="1" s="1"/>
  <c r="AE28" i="3"/>
  <c r="V99" i="3" s="1"/>
  <c r="BR29" i="3"/>
  <c r="AV100" i="3" s="1"/>
  <c r="AV135" i="3" s="1"/>
  <c r="BX28" i="3"/>
  <c r="Y29" i="3"/>
  <c r="U100" i="3" s="1"/>
  <c r="U135" i="3" s="1"/>
  <c r="BI28" i="3"/>
  <c r="AN29" i="3"/>
  <c r="AD100" i="3" s="1"/>
  <c r="AD135" i="3" s="1"/>
  <c r="AT28" i="3"/>
  <c r="AE99" i="3" s="1"/>
  <c r="AA97" i="3"/>
  <c r="AB97" i="3" s="1"/>
  <c r="F104" i="1" s="1"/>
  <c r="F124" i="1" s="1"/>
  <c r="O127" i="1"/>
  <c r="H65" i="3"/>
  <c r="P127" i="1"/>
  <c r="Q65" i="3"/>
  <c r="F73" i="1"/>
  <c r="S64" i="3"/>
  <c r="Q99" i="3"/>
  <c r="AE132" i="3"/>
  <c r="AK132" i="3" s="1"/>
  <c r="R104" i="1" s="1"/>
  <c r="AJ97" i="3"/>
  <c r="Q133" i="3"/>
  <c r="P73" i="1"/>
  <c r="Z133" i="3"/>
  <c r="Q73" i="1"/>
  <c r="P28" i="3"/>
  <c r="AI65" i="3"/>
  <c r="R127" i="1"/>
  <c r="AI99" i="3"/>
  <c r="AK64" i="3"/>
  <c r="AI133" i="3"/>
  <c r="R73" i="1"/>
  <c r="J64" i="3"/>
  <c r="H99" i="3"/>
  <c r="H133" i="3"/>
  <c r="O73" i="1"/>
  <c r="AB132" i="3"/>
  <c r="Q104" i="1" s="1"/>
  <c r="AR65" i="3"/>
  <c r="Q127" i="1"/>
  <c r="Z65" i="3"/>
  <c r="M72" i="1" a="1"/>
  <c r="M72" i="1" s="1"/>
  <c r="J29" i="3"/>
  <c r="L100" i="3" s="1"/>
  <c r="L135" i="3" s="1"/>
  <c r="BA65" i="3"/>
  <c r="BC29" i="3"/>
  <c r="AM100" i="3" s="1"/>
  <c r="AM135" i="3" s="1"/>
  <c r="AB64" i="3"/>
  <c r="Z99" i="3"/>
  <c r="CI29" i="3"/>
  <c r="CM29" i="3" s="1"/>
  <c r="AY100" i="3" s="1"/>
  <c r="AY135" i="3" s="1"/>
  <c r="D73" i="1"/>
  <c r="M102" i="1" a="1"/>
  <c r="M102" i="1" s="1"/>
  <c r="L102" i="1" s="1"/>
  <c r="O30" i="1" s="1"/>
  <c r="D122" i="1"/>
  <c r="E102" i="1"/>
  <c r="AL36" i="17" s="1"/>
  <c r="G102" i="1"/>
  <c r="G122" i="1" s="1"/>
  <c r="H20" i="4"/>
  <c r="H21" i="4"/>
  <c r="H22" i="4"/>
  <c r="H23" i="4"/>
  <c r="AC28" i="4"/>
  <c r="L18" i="10" l="1"/>
  <c r="R18" i="10"/>
  <c r="H33" i="10"/>
  <c r="I33" i="10" s="1"/>
  <c r="N33" i="10" s="1"/>
  <c r="M18" i="10"/>
  <c r="U18" i="10" s="1"/>
  <c r="N26" i="10" s="1"/>
  <c r="O18" i="10"/>
  <c r="N18" i="10"/>
  <c r="V18" i="10" s="1"/>
  <c r="K18" i="10"/>
  <c r="Q18" i="10"/>
  <c r="AG134" i="3"/>
  <c r="AN99" i="3"/>
  <c r="AW99" i="3"/>
  <c r="AP99" i="3"/>
  <c r="AP134" i="3" s="1"/>
  <c r="AT65" i="3"/>
  <c r="AR135" i="3" s="1"/>
  <c r="AR100" i="3"/>
  <c r="BB98" i="3"/>
  <c r="AW133" i="3"/>
  <c r="BC133" i="3" s="1"/>
  <c r="AS98" i="3"/>
  <c r="AN133" i="3"/>
  <c r="AT133" i="3" s="1"/>
  <c r="BC65" i="3"/>
  <c r="BA135" i="3" s="1"/>
  <c r="BA100" i="3"/>
  <c r="K27" i="10"/>
  <c r="K26" i="10"/>
  <c r="AM37" i="17"/>
  <c r="AN37" i="17"/>
  <c r="AN38" i="17"/>
  <c r="AM38" i="17"/>
  <c r="AM36" i="17"/>
  <c r="AN36" i="17"/>
  <c r="AK97" i="3"/>
  <c r="G104" i="1" s="1"/>
  <c r="G124" i="1" s="1"/>
  <c r="J97" i="3"/>
  <c r="D104" i="1" s="1"/>
  <c r="C36" i="18"/>
  <c r="AP20" i="17"/>
  <c r="AP21" i="17"/>
  <c r="E124" i="1"/>
  <c r="E123" i="1"/>
  <c r="F74" i="1"/>
  <c r="X99" i="3"/>
  <c r="X134" i="3" s="1"/>
  <c r="E74" i="1"/>
  <c r="O99" i="3"/>
  <c r="O134" i="3" s="1"/>
  <c r="F99" i="3"/>
  <c r="M99" i="3"/>
  <c r="V134" i="3"/>
  <c r="AE134" i="3"/>
  <c r="BX29" i="3"/>
  <c r="AA98" i="3"/>
  <c r="AE29" i="3"/>
  <c r="V100" i="3" s="1"/>
  <c r="AB133" i="3"/>
  <c r="Q105" i="1" s="1"/>
  <c r="AT29" i="3"/>
  <c r="AE100" i="3" s="1"/>
  <c r="BI29" i="3"/>
  <c r="M104" i="1" a="1"/>
  <c r="M104" i="1" s="1"/>
  <c r="L104" i="1" s="1"/>
  <c r="O32" i="1" s="1"/>
  <c r="M73" i="1" a="1"/>
  <c r="M73" i="1" s="1"/>
  <c r="D74" i="1"/>
  <c r="Z134" i="3"/>
  <c r="Q74" i="1"/>
  <c r="AE133" i="3"/>
  <c r="AK133" i="3" s="1"/>
  <c r="R105" i="1" s="1"/>
  <c r="AJ98" i="3"/>
  <c r="AB65" i="3"/>
  <c r="Z100" i="3"/>
  <c r="AK65" i="3"/>
  <c r="AI100" i="3"/>
  <c r="P74" i="1"/>
  <c r="Q134" i="3"/>
  <c r="H134" i="3"/>
  <c r="O74" i="1"/>
  <c r="Q100" i="3"/>
  <c r="S65" i="3"/>
  <c r="F133" i="3"/>
  <c r="J133" i="3" s="1"/>
  <c r="O105" i="1" s="1"/>
  <c r="I98" i="3"/>
  <c r="J98" i="3" s="1"/>
  <c r="D105" i="1" s="1"/>
  <c r="P29" i="3"/>
  <c r="J65" i="3"/>
  <c r="H100" i="3"/>
  <c r="M133" i="3"/>
  <c r="S133" i="3" s="1"/>
  <c r="P105" i="1" s="1"/>
  <c r="R98" i="3"/>
  <c r="AI134" i="3"/>
  <c r="R74" i="1"/>
  <c r="E122" i="1"/>
  <c r="C26" i="10"/>
  <c r="I22" i="4"/>
  <c r="AR22" i="4" s="1"/>
  <c r="AS22" i="4" s="1"/>
  <c r="AN22" i="4"/>
  <c r="AO22" i="4" s="1"/>
  <c r="J22" i="4"/>
  <c r="AH22" i="4"/>
  <c r="AN21" i="4"/>
  <c r="AO21" i="4" s="1"/>
  <c r="AH21" i="4"/>
  <c r="I21" i="4"/>
  <c r="J21" i="4"/>
  <c r="I23" i="4"/>
  <c r="AR23" i="4" s="1"/>
  <c r="AS23" i="4" s="1"/>
  <c r="AH23" i="4"/>
  <c r="AN23" i="4"/>
  <c r="AO23" i="4" s="1"/>
  <c r="J23" i="4"/>
  <c r="AN20" i="4"/>
  <c r="AO20" i="4" s="1"/>
  <c r="AH20" i="4"/>
  <c r="I20" i="4"/>
  <c r="J20" i="4"/>
  <c r="W29" i="4"/>
  <c r="W28" i="4"/>
  <c r="V25" i="4"/>
  <c r="AG135" i="3" l="1"/>
  <c r="AN100" i="3"/>
  <c r="BB99" i="3"/>
  <c r="AW134" i="3"/>
  <c r="BC134" i="3" s="1"/>
  <c r="AW100" i="3"/>
  <c r="AP100" i="3"/>
  <c r="AP135" i="3" s="1"/>
  <c r="AS99" i="3"/>
  <c r="AN134" i="3"/>
  <c r="AT134" i="3" s="1"/>
  <c r="S98" i="3"/>
  <c r="E105" i="1" s="1"/>
  <c r="AB98" i="3"/>
  <c r="F105" i="1" s="1"/>
  <c r="F125" i="1" s="1"/>
  <c r="AL23" i="17"/>
  <c r="D125" i="1"/>
  <c r="AL22" i="17"/>
  <c r="D124" i="1"/>
  <c r="AK98" i="3"/>
  <c r="G105" i="1" s="1"/>
  <c r="G125" i="1" s="1"/>
  <c r="AP36" i="17"/>
  <c r="AP38" i="17"/>
  <c r="AP37" i="17"/>
  <c r="F75" i="1"/>
  <c r="F59" i="1" s="1"/>
  <c r="X100" i="3"/>
  <c r="X135" i="3" s="1"/>
  <c r="O100" i="3"/>
  <c r="O135" i="3" s="1"/>
  <c r="F100" i="3"/>
  <c r="M100" i="3"/>
  <c r="AJ99" i="3"/>
  <c r="AK99" i="3" s="1"/>
  <c r="G106" i="1" s="1"/>
  <c r="G126" i="1" s="1"/>
  <c r="AA99" i="3"/>
  <c r="AB99" i="3" s="1"/>
  <c r="F106" i="1" s="1"/>
  <c r="F126" i="1" s="1"/>
  <c r="AE135" i="3"/>
  <c r="V135" i="3"/>
  <c r="E75" i="1"/>
  <c r="E59" i="1" s="1"/>
  <c r="AB134" i="3"/>
  <c r="Q106" i="1" s="1"/>
  <c r="AK134" i="3"/>
  <c r="R106" i="1" s="1"/>
  <c r="H135" i="3"/>
  <c r="O75" i="1"/>
  <c r="D75" i="1"/>
  <c r="D59" i="1" s="1"/>
  <c r="Q135" i="3"/>
  <c r="P75" i="1"/>
  <c r="R99" i="3"/>
  <c r="S99" i="3" s="1"/>
  <c r="E106" i="1" s="1"/>
  <c r="M134" i="3"/>
  <c r="S134" i="3" s="1"/>
  <c r="P106" i="1" s="1"/>
  <c r="M105" i="1" a="1"/>
  <c r="M105" i="1" s="1"/>
  <c r="L105" i="1" s="1"/>
  <c r="O33" i="1" s="1"/>
  <c r="R75" i="1"/>
  <c r="AI135" i="3"/>
  <c r="F134" i="3"/>
  <c r="J134" i="3" s="1"/>
  <c r="O106" i="1" s="1"/>
  <c r="I99" i="3"/>
  <c r="J99" i="3" s="1"/>
  <c r="D106" i="1" s="1"/>
  <c r="Z135" i="3"/>
  <c r="Q75" i="1"/>
  <c r="M74" i="1" a="1"/>
  <c r="M74" i="1" s="1"/>
  <c r="J26" i="10"/>
  <c r="C27" i="10"/>
  <c r="J27" i="10" s="1"/>
  <c r="AR21" i="4"/>
  <c r="AS21" i="4" s="1"/>
  <c r="AR20" i="4"/>
  <c r="AS20" i="4" s="1"/>
  <c r="AE20" i="4"/>
  <c r="AF20" i="4"/>
  <c r="X20" i="4"/>
  <c r="AF21" i="4"/>
  <c r="AE21" i="4"/>
  <c r="X21" i="4"/>
  <c r="AE23" i="4"/>
  <c r="X23" i="4"/>
  <c r="AF23" i="4"/>
  <c r="AF22" i="4"/>
  <c r="X22" i="4"/>
  <c r="AE22" i="4"/>
  <c r="Z33" i="4"/>
  <c r="Z32" i="4"/>
  <c r="Z31" i="4"/>
  <c r="Y31" i="4"/>
  <c r="E26" i="10"/>
  <c r="F26" i="10" s="1"/>
  <c r="BB100" i="3" l="1"/>
  <c r="AW135" i="3"/>
  <c r="BC135" i="3" s="1"/>
  <c r="AS100" i="3"/>
  <c r="AN135" i="3"/>
  <c r="AT135" i="3" s="1"/>
  <c r="AN23" i="17"/>
  <c r="AM23" i="17"/>
  <c r="AN22" i="17"/>
  <c r="AM22" i="17"/>
  <c r="AL40" i="17"/>
  <c r="E126" i="1"/>
  <c r="AL39" i="17"/>
  <c r="E125" i="1"/>
  <c r="AL24" i="17"/>
  <c r="D126" i="1"/>
  <c r="AB135" i="3"/>
  <c r="Q107" i="1" s="1"/>
  <c r="AA100" i="3"/>
  <c r="AB100" i="3" s="1"/>
  <c r="F107" i="1" s="1"/>
  <c r="F127" i="1" s="1"/>
  <c r="AJ100" i="3"/>
  <c r="AK100" i="3" s="1"/>
  <c r="G107" i="1" s="1"/>
  <c r="G127" i="1" s="1"/>
  <c r="AK135" i="3"/>
  <c r="R107" i="1" s="1"/>
  <c r="F135" i="3"/>
  <c r="J135" i="3" s="1"/>
  <c r="O107" i="1" s="1"/>
  <c r="I100" i="3"/>
  <c r="J100" i="3" s="1"/>
  <c r="D107" i="1" s="1"/>
  <c r="M75" i="1" a="1"/>
  <c r="M75" i="1" s="1"/>
  <c r="R100" i="3"/>
  <c r="S100" i="3" s="1"/>
  <c r="E107" i="1" s="1"/>
  <c r="M135" i="3"/>
  <c r="S135" i="3" s="1"/>
  <c r="P107" i="1" s="1"/>
  <c r="M106" i="1" a="1"/>
  <c r="M106" i="1" s="1"/>
  <c r="L106" i="1" s="1"/>
  <c r="O34" i="1" s="1"/>
  <c r="O33" i="10"/>
  <c r="E27" i="10"/>
  <c r="F27" i="10" s="1"/>
  <c r="Z29" i="4"/>
  <c r="Y29" i="4"/>
  <c r="X29" i="4"/>
  <c r="AH28" i="4"/>
  <c r="M28" i="4"/>
  <c r="N27" i="4"/>
  <c r="B13" i="4"/>
  <c r="AN24" i="17" l="1"/>
  <c r="AM24" i="17"/>
  <c r="AN39" i="17"/>
  <c r="AM39" i="17"/>
  <c r="AN40" i="17"/>
  <c r="AM40" i="17"/>
  <c r="AP22" i="17"/>
  <c r="AL41" i="17"/>
  <c r="E127" i="1"/>
  <c r="G27" i="10" s="1"/>
  <c r="M27" i="10" s="1"/>
  <c r="O27" i="10" s="1"/>
  <c r="AL25" i="17"/>
  <c r="D127" i="1"/>
  <c r="G26" i="10" s="1"/>
  <c r="M26" i="10" s="1"/>
  <c r="O26" i="10" s="1"/>
  <c r="H37" i="10" s="1"/>
  <c r="AP23" i="17"/>
  <c r="M107" i="1" a="1"/>
  <c r="M107" i="1" s="1"/>
  <c r="L107" i="1" s="1"/>
  <c r="O35" i="1" s="1"/>
  <c r="Q88" i="1" a="1"/>
  <c r="Q88" i="1" s="1"/>
  <c r="T88" i="1" s="1"/>
  <c r="W86" i="1" s="1"/>
  <c r="W87" i="1" s="1"/>
  <c r="O34" i="10"/>
  <c r="B20" i="4"/>
  <c r="K20" i="4" s="1"/>
  <c r="L20" i="4" s="1"/>
  <c r="M20" i="4" s="1"/>
  <c r="N20" i="4" s="1"/>
  <c r="B21" i="4"/>
  <c r="K21" i="4" s="1"/>
  <c r="L21" i="4" s="1"/>
  <c r="M21" i="4" s="1"/>
  <c r="N21" i="4" s="1"/>
  <c r="B22" i="4"/>
  <c r="K22" i="4" s="1"/>
  <c r="L22" i="4" s="1"/>
  <c r="M22" i="4" s="1"/>
  <c r="N22" i="4" s="1"/>
  <c r="AC29" i="4"/>
  <c r="AD28" i="4" l="1"/>
  <c r="AN41" i="17"/>
  <c r="AM41" i="17"/>
  <c r="AM25" i="17"/>
  <c r="AN25" i="17"/>
  <c r="AP24" i="17"/>
  <c r="AP39" i="17"/>
  <c r="AP40" i="17"/>
  <c r="V5" i="13"/>
  <c r="H38" i="10"/>
  <c r="B10" i="4"/>
  <c r="AP41" i="17" l="1"/>
  <c r="AP25" i="17"/>
  <c r="AA22" i="4"/>
  <c r="AB22" i="4" s="1"/>
  <c r="AA21" i="4"/>
  <c r="AB21" i="4" s="1"/>
  <c r="AA20" i="4"/>
  <c r="AB20" i="4" s="1"/>
  <c r="AA23" i="4"/>
  <c r="AB23" i="4" s="1"/>
  <c r="Y11" i="4"/>
  <c r="Y14" i="4"/>
  <c r="Y13" i="4"/>
  <c r="Y12" i="4"/>
  <c r="P13" i="4"/>
  <c r="P20" i="4" l="1"/>
  <c r="P22" i="4"/>
  <c r="P21" i="4"/>
  <c r="P23" i="4"/>
  <c r="B12" i="4"/>
  <c r="B23" i="4" s="1"/>
  <c r="K23" i="4" s="1"/>
  <c r="L23" i="4" s="1"/>
  <c r="M23" i="4" s="1"/>
  <c r="N23" i="4" s="1"/>
  <c r="N21" i="1" l="1"/>
  <c r="P25" i="1"/>
  <c r="AP22" i="4"/>
  <c r="U22" i="4"/>
  <c r="U20" i="4"/>
  <c r="AP20" i="4"/>
  <c r="AP23" i="4"/>
  <c r="U23" i="4"/>
  <c r="AP21" i="4"/>
  <c r="U21" i="4"/>
  <c r="BG16" i="4"/>
  <c r="AE25" i="4"/>
  <c r="M25" i="4"/>
  <c r="M17" i="4"/>
  <c r="AF25" i="4"/>
  <c r="X25" i="4"/>
  <c r="P26" i="1" l="1"/>
  <c r="Y22" i="4"/>
  <c r="Z22" i="4" s="1"/>
  <c r="V22" i="4"/>
  <c r="AX22" i="4"/>
  <c r="AU22" i="4"/>
  <c r="Y21" i="4"/>
  <c r="Z21" i="4" s="1"/>
  <c r="V21" i="4"/>
  <c r="AU21" i="4"/>
  <c r="AX21" i="4"/>
  <c r="V23" i="4"/>
  <c r="Y23" i="4"/>
  <c r="Z23" i="4" s="1"/>
  <c r="AU23" i="4"/>
  <c r="AX23" i="4"/>
  <c r="AX20" i="4"/>
  <c r="AU20" i="4"/>
  <c r="V20" i="4"/>
  <c r="Y20" i="4"/>
  <c r="Z20" i="4" s="1"/>
  <c r="AC11" i="4"/>
  <c r="AE11" i="4"/>
  <c r="AA11" i="4"/>
  <c r="AG11" i="4"/>
  <c r="AR11" i="4"/>
  <c r="AC25" i="4"/>
  <c r="P27" i="1" l="1"/>
  <c r="AC23" i="4"/>
  <c r="AM28" i="4"/>
  <c r="AC22" i="4"/>
  <c r="AM27" i="4"/>
  <c r="AC21" i="4"/>
  <c r="AM26" i="4"/>
  <c r="AC20" i="4"/>
  <c r="AM25" i="4"/>
  <c r="AY22" i="4"/>
  <c r="BA22" i="4" s="1"/>
  <c r="AK22" i="4"/>
  <c r="AL22" i="4" s="1"/>
  <c r="W22" i="4"/>
  <c r="AG22" i="4"/>
  <c r="AI22" i="4" s="1"/>
  <c r="W23" i="4"/>
  <c r="AG23" i="4"/>
  <c r="AI23" i="4" s="1"/>
  <c r="AK23" i="4"/>
  <c r="AL23" i="4" s="1"/>
  <c r="AK20" i="4"/>
  <c r="AL20" i="4" s="1"/>
  <c r="AG20" i="4"/>
  <c r="AI20" i="4" s="1"/>
  <c r="W20" i="4"/>
  <c r="AY21" i="4"/>
  <c r="AG21" i="4"/>
  <c r="AI21" i="4" s="1"/>
  <c r="AK21" i="4"/>
  <c r="AL21" i="4" s="1"/>
  <c r="W21" i="4"/>
  <c r="AY20" i="4"/>
  <c r="AY23" i="4"/>
  <c r="AG12" i="4"/>
  <c r="AC12" i="4"/>
  <c r="AE12" i="4"/>
  <c r="AA12" i="4"/>
  <c r="A24" i="4"/>
  <c r="P28" i="1" l="1"/>
  <c r="AD22" i="4"/>
  <c r="AM22" i="4"/>
  <c r="AD23" i="4"/>
  <c r="AM23" i="4"/>
  <c r="AD20" i="4"/>
  <c r="AM20" i="4"/>
  <c r="AD21" i="4"/>
  <c r="AM21" i="4"/>
  <c r="BB22" i="4"/>
  <c r="BC22" i="4" s="1"/>
  <c r="BF22" i="4"/>
  <c r="BE22" i="4"/>
  <c r="BB21" i="4"/>
  <c r="BF21" i="4"/>
  <c r="BE21" i="4"/>
  <c r="BA21" i="4"/>
  <c r="BA20" i="4"/>
  <c r="BE20" i="4"/>
  <c r="BF20" i="4"/>
  <c r="BB20" i="4"/>
  <c r="BA23" i="4"/>
  <c r="BF23" i="4"/>
  <c r="BB23" i="4"/>
  <c r="BE23" i="4"/>
  <c r="S29" i="4"/>
  <c r="AY14" i="4"/>
  <c r="AE13" i="4"/>
  <c r="AC13" i="4"/>
  <c r="AG13" i="4"/>
  <c r="AA13" i="4"/>
  <c r="J10" i="4"/>
  <c r="F24" i="4"/>
  <c r="O24" i="4" s="1"/>
  <c r="H24" i="4"/>
  <c r="I24" i="4" s="1"/>
  <c r="E24" i="4"/>
  <c r="A25" i="4"/>
  <c r="B24" i="4"/>
  <c r="P29" i="1" l="1"/>
  <c r="BC21" i="4"/>
  <c r="BG21" i="4" s="1"/>
  <c r="BG22" i="4"/>
  <c r="BC20" i="4"/>
  <c r="BC23" i="4"/>
  <c r="BG23" i="4" s="1"/>
  <c r="K24" i="4"/>
  <c r="J24" i="4"/>
  <c r="AG14" i="4"/>
  <c r="AG15" i="4" s="1"/>
  <c r="AE14" i="4"/>
  <c r="AE15" i="4" s="1"/>
  <c r="AC14" i="4"/>
  <c r="AA14" i="4"/>
  <c r="A26" i="4"/>
  <c r="B25" i="4"/>
  <c r="E25" i="4"/>
  <c r="F25" i="4"/>
  <c r="H25" i="4"/>
  <c r="P30" i="1" l="1"/>
  <c r="K25" i="4"/>
  <c r="BG20" i="4"/>
  <c r="BL20" i="4"/>
  <c r="BM20" i="4"/>
  <c r="BL21" i="4"/>
  <c r="J25" i="4"/>
  <c r="I25" i="4"/>
  <c r="L24" i="4"/>
  <c r="B26" i="4"/>
  <c r="E26" i="4"/>
  <c r="F26" i="4"/>
  <c r="O26" i="4" s="1"/>
  <c r="H26" i="4"/>
  <c r="I26" i="4" s="1"/>
  <c r="A27" i="4"/>
  <c r="P31" i="1" l="1"/>
  <c r="J26" i="4"/>
  <c r="K26" i="4"/>
  <c r="X11" i="4"/>
  <c r="X12" i="4"/>
  <c r="X13" i="4"/>
  <c r="X14" i="4"/>
  <c r="F27" i="4"/>
  <c r="O27" i="4" s="1"/>
  <c r="A28" i="4"/>
  <c r="H27" i="4"/>
  <c r="I27" i="4" s="1"/>
  <c r="B27" i="4"/>
  <c r="E27" i="4"/>
  <c r="P32" i="1" l="1"/>
  <c r="L26" i="4"/>
  <c r="M26" i="4" s="1"/>
  <c r="J27" i="4"/>
  <c r="K27" i="4"/>
  <c r="W14" i="4"/>
  <c r="U14" i="4" s="1"/>
  <c r="V14" i="4"/>
  <c r="W13" i="4"/>
  <c r="U13" i="4" s="1"/>
  <c r="V13" i="4"/>
  <c r="W12" i="4"/>
  <c r="U12" i="4" s="1"/>
  <c r="V12" i="4"/>
  <c r="W11" i="4"/>
  <c r="U11" i="4" s="1"/>
  <c r="V11" i="4"/>
  <c r="B28" i="4"/>
  <c r="E28" i="4"/>
  <c r="A29" i="4"/>
  <c r="F28" i="4"/>
  <c r="H28" i="4"/>
  <c r="I28" i="4" s="1"/>
  <c r="P33" i="1" l="1"/>
  <c r="K28" i="4"/>
  <c r="J28" i="4"/>
  <c r="O28" i="4"/>
  <c r="L27" i="4"/>
  <c r="W15" i="4"/>
  <c r="F29" i="4"/>
  <c r="O29" i="4" s="1"/>
  <c r="E29" i="4"/>
  <c r="A30" i="4"/>
  <c r="B29" i="4"/>
  <c r="H29" i="4"/>
  <c r="P34" i="1" l="1"/>
  <c r="J29" i="4"/>
  <c r="L28" i="4"/>
  <c r="I29" i="4"/>
  <c r="H30" i="4"/>
  <c r="I30" i="4" s="1"/>
  <c r="E30" i="4"/>
  <c r="A31" i="4"/>
  <c r="F30" i="4"/>
  <c r="O30" i="4" s="1"/>
  <c r="B30" i="4"/>
  <c r="K30" i="4" l="1"/>
  <c r="P35" i="1"/>
  <c r="Q34" i="1" s="1"/>
  <c r="J30" i="4"/>
  <c r="B31" i="4"/>
  <c r="H31" i="4"/>
  <c r="I31" i="4" s="1"/>
  <c r="E31" i="4"/>
  <c r="A32" i="4"/>
  <c r="F31" i="4"/>
  <c r="O31" i="4" s="1"/>
  <c r="L30" i="4" l="1"/>
  <c r="M30" i="4" s="1"/>
  <c r="U34" i="1"/>
  <c r="C53" i="18"/>
  <c r="Q30" i="1"/>
  <c r="Q29" i="1"/>
  <c r="Q26" i="1"/>
  <c r="Q24" i="1"/>
  <c r="Q32" i="1"/>
  <c r="Q25" i="1"/>
  <c r="Q27" i="1"/>
  <c r="Q28" i="1"/>
  <c r="Q35" i="1"/>
  <c r="Q31" i="1"/>
  <c r="Q33" i="1"/>
  <c r="K31" i="4"/>
  <c r="J31" i="4"/>
  <c r="A33" i="4"/>
  <c r="B32" i="4"/>
  <c r="K32" i="4" s="1"/>
  <c r="E32" i="4"/>
  <c r="F32" i="4"/>
  <c r="H32" i="4"/>
  <c r="J32" i="4" s="1"/>
  <c r="AC66" i="1" l="1"/>
  <c r="AC65" i="1"/>
  <c r="AC64" i="1"/>
  <c r="AC67" i="1"/>
  <c r="C44" i="18"/>
  <c r="U25" i="1"/>
  <c r="C48" i="18"/>
  <c r="U29" i="1"/>
  <c r="C43" i="18"/>
  <c r="D43" i="18" s="1"/>
  <c r="F43" i="18" s="1"/>
  <c r="U24" i="1"/>
  <c r="C47" i="18"/>
  <c r="U28" i="1"/>
  <c r="C45" i="18"/>
  <c r="U26" i="1"/>
  <c r="C49" i="18"/>
  <c r="U30" i="1"/>
  <c r="C46" i="18"/>
  <c r="U27" i="1"/>
  <c r="U33" i="1"/>
  <c r="C52" i="18"/>
  <c r="U31" i="1"/>
  <c r="C50" i="18"/>
  <c r="U32" i="1"/>
  <c r="C51" i="18"/>
  <c r="U35" i="1"/>
  <c r="C54" i="18"/>
  <c r="L31" i="4"/>
  <c r="M31" i="4" s="1"/>
  <c r="L32" i="4"/>
  <c r="I32" i="4"/>
  <c r="B33" i="4"/>
  <c r="E33" i="4"/>
  <c r="F33" i="4"/>
  <c r="A34" i="4"/>
  <c r="H33" i="4"/>
  <c r="AC44" i="1" l="1"/>
  <c r="AC46" i="1"/>
  <c r="AC47" i="1"/>
  <c r="AC45" i="1"/>
  <c r="AC41" i="1"/>
  <c r="AC40" i="1"/>
  <c r="AC43" i="1"/>
  <c r="AC42" i="1"/>
  <c r="AC62" i="1"/>
  <c r="AC60" i="1"/>
  <c r="AC63" i="1"/>
  <c r="AC61" i="1"/>
  <c r="AC48" i="1"/>
  <c r="AC50" i="1"/>
  <c r="AC51" i="1"/>
  <c r="AC49" i="1"/>
  <c r="AC29" i="1"/>
  <c r="AC28" i="1"/>
  <c r="AC30" i="1"/>
  <c r="AC31" i="1"/>
  <c r="AC37" i="1"/>
  <c r="AC36" i="1"/>
  <c r="AC38" i="1"/>
  <c r="AC39" i="1"/>
  <c r="AC25" i="1"/>
  <c r="AC24" i="1"/>
  <c r="AC26" i="1"/>
  <c r="AC27" i="1"/>
  <c r="AC58" i="1"/>
  <c r="AC56" i="1"/>
  <c r="AC57" i="1"/>
  <c r="AC59" i="1"/>
  <c r="AC33" i="1"/>
  <c r="AC35" i="1"/>
  <c r="AC32" i="1"/>
  <c r="AC34" i="1"/>
  <c r="AC54" i="1"/>
  <c r="AC52" i="1"/>
  <c r="AC53" i="1"/>
  <c r="AC55" i="1"/>
  <c r="AC68" i="1"/>
  <c r="AC70" i="1"/>
  <c r="AC69" i="1"/>
  <c r="AC71" i="1"/>
  <c r="D44" i="18"/>
  <c r="D45" i="18" s="1"/>
  <c r="D46" i="18" s="1"/>
  <c r="D47" i="18" s="1"/>
  <c r="D48" i="18" s="1"/>
  <c r="D49" i="18" s="1"/>
  <c r="D50" i="18" s="1"/>
  <c r="D51" i="18" s="1"/>
  <c r="D52" i="18" s="1"/>
  <c r="D53" i="18" s="1"/>
  <c r="D54" i="18" s="1"/>
  <c r="F54" i="18" s="1"/>
  <c r="I54" i="18" s="1"/>
  <c r="J43" i="18"/>
  <c r="H43" i="18"/>
  <c r="AO30" i="17" s="1"/>
  <c r="G43" i="18"/>
  <c r="AO14" i="17" s="1"/>
  <c r="I43" i="18"/>
  <c r="J33" i="4"/>
  <c r="I33" i="4"/>
  <c r="K33" i="4"/>
  <c r="B34" i="4"/>
  <c r="A35" i="4"/>
  <c r="F34" i="4"/>
  <c r="E34" i="4"/>
  <c r="H34" i="4"/>
  <c r="I34" i="4" s="1"/>
  <c r="F45" i="18" l="1"/>
  <c r="G45" i="18" s="1"/>
  <c r="AO16" i="17" s="1"/>
  <c r="AT16" i="17" s="1"/>
  <c r="F49" i="18"/>
  <c r="I49" i="18" s="1"/>
  <c r="F46" i="18"/>
  <c r="I46" i="18" s="1"/>
  <c r="F44" i="18"/>
  <c r="G44" i="18" s="1"/>
  <c r="AO15" i="17" s="1"/>
  <c r="AR15" i="17" s="1"/>
  <c r="F48" i="18"/>
  <c r="G48" i="18" s="1"/>
  <c r="AO19" i="17" s="1"/>
  <c r="AT19" i="17" s="1"/>
  <c r="F47" i="18"/>
  <c r="J47" i="18" s="1"/>
  <c r="AS14" i="17"/>
  <c r="AQ14" i="17"/>
  <c r="AT14" i="17"/>
  <c r="AR14" i="17"/>
  <c r="AQ30" i="17"/>
  <c r="AS30" i="17"/>
  <c r="AR30" i="17"/>
  <c r="AT30" i="17"/>
  <c r="F53" i="18"/>
  <c r="G53" i="18" s="1"/>
  <c r="AO24" i="17" s="1"/>
  <c r="F50" i="18"/>
  <c r="H50" i="18" s="1"/>
  <c r="AO37" i="17" s="1"/>
  <c r="F51" i="18"/>
  <c r="G51" i="18" s="1"/>
  <c r="AO22" i="17" s="1"/>
  <c r="F52" i="18"/>
  <c r="J52" i="18" s="1"/>
  <c r="G54" i="18"/>
  <c r="AO25" i="17" s="1"/>
  <c r="H54" i="18"/>
  <c r="AO41" i="17" s="1"/>
  <c r="J54" i="18"/>
  <c r="K34" i="4"/>
  <c r="J34" i="4"/>
  <c r="L34" i="4" s="1"/>
  <c r="M34" i="4" s="1"/>
  <c r="L33" i="4"/>
  <c r="M33" i="4" s="1"/>
  <c r="B35" i="4"/>
  <c r="F35" i="4"/>
  <c r="E35" i="4"/>
  <c r="A36" i="4"/>
  <c r="H35" i="4"/>
  <c r="I35" i="4" s="1"/>
  <c r="H49" i="18" l="1"/>
  <c r="AO36" i="17" s="1"/>
  <c r="AQ36" i="17" s="1"/>
  <c r="H46" i="18"/>
  <c r="AO33" i="17" s="1"/>
  <c r="AQ33" i="17" s="1"/>
  <c r="G49" i="18"/>
  <c r="AO20" i="17" s="1"/>
  <c r="AQ20" i="17" s="1"/>
  <c r="J49" i="18"/>
  <c r="H48" i="18"/>
  <c r="AO35" i="17" s="1"/>
  <c r="AR35" i="17" s="1"/>
  <c r="AS16" i="17"/>
  <c r="H44" i="18"/>
  <c r="AO31" i="17" s="1"/>
  <c r="AT31" i="17" s="1"/>
  <c r="I45" i="18"/>
  <c r="I48" i="18"/>
  <c r="I44" i="18"/>
  <c r="AS19" i="17"/>
  <c r="AR16" i="17"/>
  <c r="AQ16" i="17"/>
  <c r="H45" i="18"/>
  <c r="AO32" i="17" s="1"/>
  <c r="AQ32" i="17" s="1"/>
  <c r="AQ19" i="17"/>
  <c r="J45" i="18"/>
  <c r="AQ15" i="17"/>
  <c r="AT15" i="17"/>
  <c r="AS15" i="17"/>
  <c r="J44" i="18"/>
  <c r="G47" i="18"/>
  <c r="AO18" i="17" s="1"/>
  <c r="AS18" i="17" s="1"/>
  <c r="J46" i="18"/>
  <c r="H47" i="18"/>
  <c r="AO34" i="17" s="1"/>
  <c r="AQ34" i="17" s="1"/>
  <c r="G46" i="18"/>
  <c r="AO17" i="17" s="1"/>
  <c r="AT17" i="17" s="1"/>
  <c r="I47" i="18"/>
  <c r="AR19" i="17"/>
  <c r="J48" i="18"/>
  <c r="AU14" i="17"/>
  <c r="AW14" i="17"/>
  <c r="AQ22" i="17"/>
  <c r="AT22" i="17"/>
  <c r="AR22" i="17"/>
  <c r="AS22" i="17"/>
  <c r="AR24" i="17"/>
  <c r="AS24" i="17"/>
  <c r="AT24" i="17"/>
  <c r="AQ24" i="17"/>
  <c r="AQ25" i="17"/>
  <c r="AS25" i="17"/>
  <c r="AT25" i="17"/>
  <c r="AR25" i="17"/>
  <c r="AT37" i="17"/>
  <c r="AR37" i="17"/>
  <c r="AS37" i="17"/>
  <c r="AQ37" i="17"/>
  <c r="AR41" i="17"/>
  <c r="AT41" i="17"/>
  <c r="AQ41" i="17"/>
  <c r="AS41" i="17"/>
  <c r="AU30" i="17"/>
  <c r="AW30" i="17"/>
  <c r="I53" i="18"/>
  <c r="J51" i="18"/>
  <c r="G50" i="18"/>
  <c r="AO21" i="17" s="1"/>
  <c r="I50" i="18"/>
  <c r="H53" i="18"/>
  <c r="AO40" i="17" s="1"/>
  <c r="H51" i="18"/>
  <c r="AO38" i="17" s="1"/>
  <c r="I51" i="18"/>
  <c r="J50" i="18"/>
  <c r="H52" i="18"/>
  <c r="AO39" i="17" s="1"/>
  <c r="G52" i="18"/>
  <c r="AO23" i="17" s="1"/>
  <c r="J53" i="18"/>
  <c r="I52" i="18"/>
  <c r="K35" i="4"/>
  <c r="J35" i="4"/>
  <c r="L35" i="4" s="1"/>
  <c r="M35" i="4" s="1"/>
  <c r="F36" i="4"/>
  <c r="O36" i="4" s="1"/>
  <c r="E36" i="4"/>
  <c r="A37" i="4"/>
  <c r="B36" i="4"/>
  <c r="H36" i="4"/>
  <c r="AT36" i="17" l="1"/>
  <c r="AR36" i="17"/>
  <c r="AS36" i="17"/>
  <c r="AT20" i="17"/>
  <c r="AS33" i="17"/>
  <c r="AT33" i="17"/>
  <c r="AR20" i="17"/>
  <c r="AR33" i="17"/>
  <c r="AS20" i="17"/>
  <c r="AT35" i="17"/>
  <c r="AQ35" i="17"/>
  <c r="AS35" i="17"/>
  <c r="AR18" i="17"/>
  <c r="AS32" i="17"/>
  <c r="AR32" i="17"/>
  <c r="AT32" i="17"/>
  <c r="AQ31" i="17"/>
  <c r="AS31" i="17"/>
  <c r="AU19" i="17"/>
  <c r="AR31" i="17"/>
  <c r="AU16" i="17"/>
  <c r="AT18" i="17"/>
  <c r="AU15" i="17"/>
  <c r="AW19" i="17"/>
  <c r="AW16" i="17"/>
  <c r="AT34" i="17"/>
  <c r="AQ18" i="17"/>
  <c r="AW15" i="17"/>
  <c r="AR34" i="17"/>
  <c r="AR17" i="17"/>
  <c r="AS34" i="17"/>
  <c r="AQ17" i="17"/>
  <c r="AS17" i="17"/>
  <c r="AU22" i="17"/>
  <c r="AW22" i="17"/>
  <c r="AR21" i="17"/>
  <c r="AT21" i="17"/>
  <c r="AS21" i="17"/>
  <c r="AQ21" i="17"/>
  <c r="AU25" i="17"/>
  <c r="AW25" i="17"/>
  <c r="AT23" i="17"/>
  <c r="AR23" i="17"/>
  <c r="AS23" i="17"/>
  <c r="AQ23" i="17"/>
  <c r="AU24" i="17"/>
  <c r="AW24" i="17"/>
  <c r="AS38" i="17"/>
  <c r="AT38" i="17"/>
  <c r="AQ38" i="17"/>
  <c r="AR38" i="17"/>
  <c r="AU37" i="17"/>
  <c r="AW37" i="17"/>
  <c r="AQ39" i="17"/>
  <c r="AT39" i="17"/>
  <c r="AS39" i="17"/>
  <c r="AR39" i="17"/>
  <c r="AR40" i="17"/>
  <c r="AT40" i="17"/>
  <c r="AQ40" i="17"/>
  <c r="AS40" i="17"/>
  <c r="AU41" i="17"/>
  <c r="AW41" i="17"/>
  <c r="J36" i="4"/>
  <c r="K36" i="4"/>
  <c r="I36" i="4"/>
  <c r="H37" i="4"/>
  <c r="I37" i="4" s="1"/>
  <c r="F37" i="4"/>
  <c r="O37" i="4" s="1"/>
  <c r="E37" i="4"/>
  <c r="A38" i="4"/>
  <c r="B37" i="4"/>
  <c r="K37" i="4" s="1"/>
  <c r="AU36" i="17" l="1"/>
  <c r="AW36" i="17"/>
  <c r="AW20" i="17"/>
  <c r="AU33" i="17"/>
  <c r="AW35" i="17"/>
  <c r="AU35" i="17"/>
  <c r="AW33" i="17"/>
  <c r="AU20" i="17"/>
  <c r="AU32" i="17"/>
  <c r="AU31" i="17"/>
  <c r="AW32" i="17"/>
  <c r="AW31" i="17"/>
  <c r="AW18" i="17"/>
  <c r="AU18" i="17"/>
  <c r="AU17" i="17"/>
  <c r="BA15" i="17"/>
  <c r="BD15" i="17" s="1"/>
  <c r="L15" i="17" s="1"/>
  <c r="AW34" i="17"/>
  <c r="AU34" i="17"/>
  <c r="AW17" i="17"/>
  <c r="AU23" i="17"/>
  <c r="AW23" i="17"/>
  <c r="AU21" i="17"/>
  <c r="AW21" i="17"/>
  <c r="AU39" i="17"/>
  <c r="AW39" i="17"/>
  <c r="AU40" i="17"/>
  <c r="AW40" i="17"/>
  <c r="AU38" i="17"/>
  <c r="AW38" i="17"/>
  <c r="L36" i="4"/>
  <c r="M36" i="4" s="1"/>
  <c r="J37" i="4"/>
  <c r="L37" i="4"/>
  <c r="M37" i="4" s="1"/>
  <c r="H38" i="4"/>
  <c r="E38" i="4"/>
  <c r="I38" i="4"/>
  <c r="F38" i="4"/>
  <c r="O38" i="4" s="1"/>
  <c r="B38" i="4"/>
  <c r="K38" i="4" s="1"/>
  <c r="A39" i="4"/>
  <c r="BA25" i="17" l="1"/>
  <c r="BD25" i="17" s="1"/>
  <c r="L25" i="17" s="1"/>
  <c r="G16" i="7"/>
  <c r="AH16" i="7" s="1"/>
  <c r="BA37" i="17"/>
  <c r="BD37" i="17" s="1"/>
  <c r="BA31" i="17"/>
  <c r="BD31" i="17" s="1"/>
  <c r="L31" i="17" s="1"/>
  <c r="BA19" i="17"/>
  <c r="BD19" i="17" s="1"/>
  <c r="BA16" i="17"/>
  <c r="BD16" i="17" s="1"/>
  <c r="L16" i="17" s="1"/>
  <c r="BA17" i="17"/>
  <c r="BD17" i="17" s="1"/>
  <c r="BA24" i="17"/>
  <c r="BD24" i="17" s="1"/>
  <c r="BA22" i="17"/>
  <c r="BD22" i="17" s="1"/>
  <c r="BA41" i="17"/>
  <c r="BD41" i="17" s="1"/>
  <c r="L41" i="17" s="1"/>
  <c r="J38" i="4"/>
  <c r="L38" i="4"/>
  <c r="M38" i="4" s="1"/>
  <c r="H39" i="4"/>
  <c r="I39" i="4" s="1"/>
  <c r="E39" i="4"/>
  <c r="J39" i="4" s="1"/>
  <c r="F39" i="4"/>
  <c r="O39" i="4" s="1"/>
  <c r="A40" i="4"/>
  <c r="B39" i="4"/>
  <c r="BA39" i="17" l="1"/>
  <c r="BD39" i="17" s="1"/>
  <c r="L37" i="17"/>
  <c r="L22" i="17"/>
  <c r="L24" i="17"/>
  <c r="L17" i="17"/>
  <c r="G34" i="7" s="1"/>
  <c r="AH34" i="7" s="1"/>
  <c r="BA40" i="17"/>
  <c r="BD40" i="17" s="1"/>
  <c r="L19" i="17"/>
  <c r="BA38" i="17"/>
  <c r="BD38" i="17" s="1"/>
  <c r="BA20" i="17"/>
  <c r="BD20" i="17" s="1"/>
  <c r="BA21" i="17"/>
  <c r="BD21" i="17" s="1"/>
  <c r="BA23" i="17"/>
  <c r="BD23" i="17" s="1"/>
  <c r="G25" i="7"/>
  <c r="AH25" i="7" s="1"/>
  <c r="P16" i="7"/>
  <c r="Y16" i="7" s="1"/>
  <c r="BA32" i="17"/>
  <c r="BD32" i="17" s="1"/>
  <c r="L32" i="17" s="1"/>
  <c r="BA34" i="17"/>
  <c r="BD34" i="17" s="1"/>
  <c r="BA33" i="17"/>
  <c r="BD33" i="17" s="1"/>
  <c r="BA35" i="17"/>
  <c r="BD35" i="17" s="1"/>
  <c r="BA36" i="17"/>
  <c r="BD36" i="17" s="1"/>
  <c r="BA18" i="17"/>
  <c r="BD18" i="17" s="1"/>
  <c r="K39" i="4"/>
  <c r="L39" i="4"/>
  <c r="M39" i="4" s="1"/>
  <c r="E40" i="4"/>
  <c r="A41" i="4"/>
  <c r="H40" i="4"/>
  <c r="I40" i="4" s="1"/>
  <c r="F40" i="4"/>
  <c r="O40" i="4" s="1"/>
  <c r="B40" i="4"/>
  <c r="L36" i="17" l="1"/>
  <c r="L40" i="17"/>
  <c r="L35" i="17"/>
  <c r="L33" i="17"/>
  <c r="L38" i="17"/>
  <c r="L34" i="17"/>
  <c r="P43" i="7" s="1"/>
  <c r="Y43" i="7" s="1"/>
  <c r="L39" i="17"/>
  <c r="L18" i="17"/>
  <c r="G43" i="7" s="1"/>
  <c r="AH43" i="7" s="1"/>
  <c r="L23" i="17"/>
  <c r="L20" i="17"/>
  <c r="L21" i="17"/>
  <c r="P25" i="7"/>
  <c r="Y25" i="7" s="1"/>
  <c r="K40" i="4"/>
  <c r="J40" i="4"/>
  <c r="L40" i="4" s="1"/>
  <c r="M40" i="4" s="1"/>
  <c r="B41" i="4"/>
  <c r="K41" i="4" s="1"/>
  <c r="E41" i="4"/>
  <c r="H41" i="4"/>
  <c r="F41" i="4"/>
  <c r="O41" i="4" s="1"/>
  <c r="A42" i="4"/>
  <c r="L28" i="17" l="1"/>
  <c r="P34" i="7"/>
  <c r="Y34" i="7" s="1"/>
  <c r="L12" i="17"/>
  <c r="J41" i="4"/>
  <c r="L41" i="4" s="1"/>
  <c r="I41" i="4"/>
  <c r="B42" i="4"/>
  <c r="F42" i="4"/>
  <c r="O42" i="4" s="1"/>
  <c r="E42" i="4"/>
  <c r="A43" i="4"/>
  <c r="H42" i="4"/>
  <c r="I42" i="4" s="1"/>
  <c r="U8" i="17" l="1"/>
  <c r="V8" i="17" s="1"/>
  <c r="M41" i="4"/>
  <c r="K42" i="4"/>
  <c r="J42" i="4"/>
  <c r="M42" i="4" s="1"/>
  <c r="B43" i="4"/>
  <c r="K43" i="4" s="1"/>
  <c r="F43" i="4"/>
  <c r="E43" i="4"/>
  <c r="H43" i="4"/>
  <c r="I43" i="4" s="1"/>
  <c r="A44" i="4"/>
  <c r="J43" i="4" l="1"/>
  <c r="B44" i="4"/>
  <c r="K44" i="4" s="1"/>
  <c r="H44" i="4"/>
  <c r="I44" i="4"/>
  <c r="E44" i="4"/>
  <c r="F44" i="4"/>
  <c r="A45" i="4"/>
  <c r="J44" i="4" l="1"/>
  <c r="B45" i="4"/>
  <c r="H45" i="4"/>
  <c r="I45" i="4" s="1"/>
  <c r="F45" i="4"/>
  <c r="E45" i="4"/>
  <c r="A46" i="4"/>
  <c r="J45" i="4" l="1"/>
  <c r="K45" i="4"/>
  <c r="A47" i="4"/>
  <c r="H46" i="4"/>
  <c r="I46" i="4" s="1"/>
  <c r="F46" i="4"/>
  <c r="B46" i="4"/>
  <c r="K46" i="4" s="1"/>
  <c r="E46" i="4"/>
  <c r="J46" i="4" l="1"/>
  <c r="H47" i="4"/>
  <c r="J47" i="4" s="1"/>
  <c r="I47" i="4"/>
  <c r="B47" i="4"/>
  <c r="E47" i="4"/>
  <c r="A48" i="4"/>
  <c r="F47" i="4"/>
  <c r="K47" i="4" l="1"/>
  <c r="F48" i="4"/>
  <c r="A49" i="4"/>
  <c r="E48" i="4"/>
  <c r="B48" i="4"/>
  <c r="K48" i="4" s="1"/>
  <c r="H48" i="4"/>
  <c r="I48" i="4" s="1"/>
  <c r="J48" i="4" l="1"/>
  <c r="B49" i="4"/>
  <c r="H49" i="4"/>
  <c r="I49" i="4" s="1"/>
  <c r="E49" i="4"/>
  <c r="K49" i="4" s="1"/>
  <c r="F49" i="4"/>
  <c r="A50" i="4"/>
  <c r="J49" i="4" l="1"/>
  <c r="H50" i="4"/>
  <c r="I50" i="4" s="1"/>
  <c r="E50" i="4"/>
  <c r="B50" i="4"/>
  <c r="K50" i="4" s="1"/>
  <c r="F50" i="4"/>
  <c r="A51" i="4"/>
  <c r="J50" i="4" l="1"/>
  <c r="F51" i="4"/>
  <c r="E51" i="4"/>
  <c r="B51" i="4"/>
  <c r="K51" i="4" s="1"/>
  <c r="H51" i="4"/>
  <c r="A52" i="4"/>
  <c r="J51" i="4" l="1"/>
  <c r="I51" i="4"/>
  <c r="H52" i="4"/>
  <c r="J52" i="4" s="1"/>
  <c r="B52" i="4"/>
  <c r="K52" i="4" s="1"/>
  <c r="E52" i="4"/>
  <c r="A53" i="4"/>
  <c r="F52" i="4"/>
  <c r="I52" i="4" l="1"/>
  <c r="B53" i="4"/>
  <c r="K53" i="4" s="1"/>
  <c r="E53" i="4"/>
  <c r="H53" i="4"/>
  <c r="I53" i="4" s="1"/>
  <c r="A54" i="4"/>
  <c r="F53" i="4"/>
  <c r="J53" i="4" l="1"/>
  <c r="H54" i="4"/>
  <c r="I54" i="4" s="1"/>
  <c r="A55" i="4"/>
  <c r="F54" i="4"/>
  <c r="E54" i="4"/>
  <c r="J54" i="4" s="1"/>
  <c r="B54" i="4"/>
  <c r="K54" i="4" s="1"/>
  <c r="H55" i="4" l="1"/>
  <c r="J55" i="4" s="1"/>
  <c r="A56" i="4"/>
  <c r="E55" i="4"/>
  <c r="F55" i="4"/>
  <c r="B55" i="4"/>
  <c r="K55" i="4" l="1"/>
  <c r="I55" i="4"/>
  <c r="A57" i="4"/>
  <c r="B56" i="4"/>
  <c r="F56" i="4"/>
  <c r="E56" i="4"/>
  <c r="H56" i="4"/>
  <c r="I56" i="4" s="1"/>
  <c r="K56" i="4" l="1"/>
  <c r="J56" i="4"/>
  <c r="B57" i="4"/>
  <c r="A58" i="4"/>
  <c r="F57" i="4"/>
  <c r="E57" i="4"/>
  <c r="H57" i="4"/>
  <c r="I57" i="4" s="1"/>
  <c r="K57" i="4" l="1"/>
  <c r="J57" i="4"/>
  <c r="B58" i="4"/>
  <c r="A59" i="4"/>
  <c r="E58" i="4"/>
  <c r="F58" i="4"/>
  <c r="H58" i="4"/>
  <c r="K58" i="4" l="1"/>
  <c r="J58" i="4"/>
  <c r="I58" i="4"/>
  <c r="B59" i="4"/>
  <c r="A60" i="4"/>
  <c r="E59" i="4"/>
  <c r="F59" i="4"/>
  <c r="H59" i="4"/>
  <c r="I59" i="4" s="1"/>
  <c r="K59" i="4" l="1"/>
  <c r="J59" i="4"/>
  <c r="H60" i="4"/>
  <c r="A61" i="4"/>
  <c r="I60" i="4"/>
  <c r="K60" i="4"/>
  <c r="E60" i="4"/>
  <c r="F60" i="4"/>
  <c r="B60" i="4"/>
  <c r="J60" i="4"/>
  <c r="H61" i="4" l="1"/>
  <c r="A62" i="4"/>
  <c r="I61" i="4"/>
  <c r="E61" i="4"/>
  <c r="F61" i="4"/>
  <c r="K61" i="4"/>
  <c r="J61" i="4"/>
  <c r="B61" i="4"/>
  <c r="H62" i="4" l="1"/>
  <c r="J62" i="4"/>
  <c r="A63" i="4"/>
  <c r="I62" i="4"/>
  <c r="F62" i="4"/>
  <c r="E62" i="4"/>
  <c r="K62" i="4"/>
  <c r="B62" i="4"/>
  <c r="J63" i="4" l="1"/>
  <c r="H63" i="4"/>
  <c r="A64" i="4"/>
  <c r="F63" i="4"/>
  <c r="I63" i="4"/>
  <c r="E63" i="4"/>
  <c r="B63" i="4"/>
  <c r="K63" i="4"/>
  <c r="B64" i="4" l="1"/>
  <c r="K64" i="4"/>
  <c r="A65" i="4"/>
  <c r="F64" i="4"/>
  <c r="I64" i="4"/>
  <c r="E64" i="4"/>
  <c r="J64" i="4"/>
  <c r="H64" i="4"/>
  <c r="B65" i="4" l="1"/>
  <c r="K65" i="4"/>
  <c r="A66" i="4"/>
  <c r="F65" i="4"/>
  <c r="E65" i="4"/>
  <c r="J65" i="4"/>
  <c r="I65" i="4"/>
  <c r="H65" i="4"/>
  <c r="B66" i="4" l="1"/>
  <c r="K66" i="4"/>
  <c r="A67" i="4"/>
  <c r="E66" i="4"/>
  <c r="I66" i="4"/>
  <c r="F66" i="4"/>
  <c r="H66" i="4"/>
  <c r="J66" i="4"/>
  <c r="K67" i="4" l="1"/>
  <c r="B67" i="4"/>
  <c r="A68" i="4"/>
  <c r="I67" i="4"/>
  <c r="E67" i="4"/>
  <c r="F67" i="4"/>
  <c r="H67" i="4"/>
  <c r="J67" i="4"/>
  <c r="J68" i="4" l="1"/>
  <c r="A69" i="4"/>
  <c r="E68" i="4"/>
  <c r="I68" i="4"/>
  <c r="F68" i="4"/>
  <c r="K68" i="4"/>
  <c r="B68" i="4"/>
  <c r="H68" i="4"/>
  <c r="J69" i="4" l="1"/>
  <c r="H69" i="4"/>
  <c r="A70" i="4"/>
  <c r="I69" i="4"/>
  <c r="E69" i="4"/>
  <c r="F69" i="4"/>
  <c r="K69" i="4"/>
  <c r="B69" i="4"/>
  <c r="H70" i="4" l="1"/>
  <c r="J70" i="4"/>
  <c r="A71" i="4"/>
  <c r="I70" i="4"/>
  <c r="F70" i="4"/>
  <c r="E70" i="4"/>
  <c r="K70" i="4"/>
  <c r="B70" i="4"/>
  <c r="J71" i="4" l="1"/>
  <c r="H71" i="4"/>
  <c r="A72" i="4"/>
  <c r="F71" i="4"/>
  <c r="I71" i="4"/>
  <c r="E71" i="4"/>
  <c r="K71" i="4"/>
  <c r="B71" i="4"/>
  <c r="K72" i="4" l="1"/>
  <c r="A73" i="4"/>
  <c r="F72" i="4"/>
  <c r="I72" i="4"/>
  <c r="E72" i="4"/>
  <c r="B72" i="4"/>
  <c r="J72" i="4"/>
  <c r="H72" i="4"/>
  <c r="K73" i="4" l="1"/>
  <c r="B73" i="4"/>
  <c r="A74" i="4"/>
  <c r="F73" i="4"/>
  <c r="H73" i="4"/>
  <c r="I73" i="4"/>
  <c r="E73" i="4"/>
  <c r="J73" i="4"/>
  <c r="B74" i="4" l="1"/>
  <c r="K74" i="4"/>
  <c r="A75" i="4"/>
  <c r="I74" i="4"/>
  <c r="E74" i="4"/>
  <c r="F74" i="4"/>
  <c r="J74" i="4"/>
  <c r="H74" i="4"/>
  <c r="K75" i="4" l="1"/>
  <c r="B75" i="4"/>
  <c r="A76" i="4"/>
  <c r="E75" i="4"/>
  <c r="I75" i="4"/>
  <c r="F75" i="4"/>
  <c r="J75" i="4"/>
  <c r="H75" i="4"/>
  <c r="J76" i="4" l="1"/>
  <c r="A77" i="4"/>
  <c r="E76" i="4"/>
  <c r="I76" i="4"/>
  <c r="F76" i="4"/>
  <c r="B76" i="4"/>
  <c r="H76" i="4"/>
  <c r="K76" i="4"/>
  <c r="H77" i="4" l="1"/>
  <c r="A78" i="4"/>
  <c r="I77" i="4"/>
  <c r="E77" i="4"/>
  <c r="F77" i="4"/>
  <c r="K77" i="4"/>
  <c r="B77" i="4"/>
  <c r="J77" i="4"/>
  <c r="H78" i="4" l="1"/>
  <c r="J78" i="4"/>
  <c r="A79" i="4"/>
  <c r="I78" i="4"/>
  <c r="F78" i="4"/>
  <c r="E78" i="4"/>
  <c r="K78" i="4"/>
  <c r="B78" i="4"/>
  <c r="J79" i="4" l="1"/>
  <c r="H79" i="4"/>
  <c r="F79" i="4"/>
  <c r="E79" i="4"/>
  <c r="I79" i="4"/>
  <c r="K79" i="4"/>
  <c r="B79" i="4"/>
  <c r="D38" i="13" l="1"/>
  <c r="D39" i="13" s="1"/>
  <c r="C10" i="1"/>
  <c r="D10" i="1" s="1"/>
  <c r="E34" i="13" l="1"/>
  <c r="F34" i="13" s="1"/>
  <c r="C1" i="14"/>
  <c r="B16" i="13"/>
  <c r="E8" i="17"/>
  <c r="F8" i="17" s="1"/>
  <c r="E35" i="13"/>
  <c r="F35" i="13" s="1"/>
</calcChain>
</file>

<file path=xl/comments1.xml><?xml version="1.0" encoding="utf-8"?>
<comments xmlns="http://schemas.openxmlformats.org/spreadsheetml/2006/main">
  <authors>
    <author>Prakash Singh</author>
  </authors>
  <commentList>
    <comment ref="AP49" authorId="0" shapeId="0">
      <text>
        <r>
          <rPr>
            <sz val="14"/>
            <color indexed="81"/>
            <rFont val="Times New Roman"/>
            <family val="1"/>
          </rPr>
          <t>Sagging moment would not be generally required at the supports, but due to ductile detailing, at least half of the top reinforcement is provided at the bottom even at the supports. Hence, +VE Moment capcity of the beams at the support is approximated by half of the -VE Moment capacity.</t>
        </r>
      </text>
    </comment>
    <comment ref="S57" authorId="0" shapeId="0">
      <text>
        <r>
          <rPr>
            <b/>
            <sz val="9"/>
            <color indexed="81"/>
            <rFont val="Tahoma"/>
            <family val="2"/>
          </rPr>
          <t xml:space="preserve">Prakash Singh:
</t>
        </r>
        <r>
          <rPr>
            <b/>
            <sz val="11"/>
            <color indexed="81"/>
            <rFont val="Tahoma"/>
            <family val="2"/>
          </rPr>
          <t>To maintain minimum spacing, r/f provided in two layers.</t>
        </r>
      </text>
    </comment>
  </commentList>
</comments>
</file>

<file path=xl/comments2.xml><?xml version="1.0" encoding="utf-8"?>
<comments xmlns="http://schemas.openxmlformats.org/spreadsheetml/2006/main">
  <authors>
    <author>Prakash Singh</author>
  </authors>
  <commentList>
    <comment ref="H87" authorId="0" shapeId="0">
      <text>
        <r>
          <rPr>
            <b/>
            <sz val="9"/>
            <color indexed="81"/>
            <rFont val="Tahoma"/>
            <family val="2"/>
          </rPr>
          <t>Prakash Singh:</t>
        </r>
        <r>
          <rPr>
            <sz val="9"/>
            <color indexed="81"/>
            <rFont val="Tahoma"/>
            <family val="2"/>
          </rPr>
          <t xml:space="preserve">
Gravity frame loads are not a part of it.</t>
        </r>
      </text>
    </comment>
    <comment ref="H122" authorId="0" shapeId="0">
      <text>
        <r>
          <rPr>
            <b/>
            <sz val="9"/>
            <color indexed="81"/>
            <rFont val="Tahoma"/>
            <family val="2"/>
          </rPr>
          <t>Prakash Singh:</t>
        </r>
        <r>
          <rPr>
            <sz val="9"/>
            <color indexed="81"/>
            <rFont val="Tahoma"/>
            <family val="2"/>
          </rPr>
          <t xml:space="preserve">
Gravity frame loads are a part of it.</t>
        </r>
      </text>
    </comment>
  </commentList>
</comments>
</file>

<file path=xl/comments3.xml><?xml version="1.0" encoding="utf-8"?>
<comments xmlns="http://schemas.openxmlformats.org/spreadsheetml/2006/main">
  <authors>
    <author>Prakash Singh</author>
  </authors>
  <commentList>
    <comment ref="N20" authorId="0" shapeId="0">
      <text>
        <r>
          <rPr>
            <b/>
            <sz val="9"/>
            <color indexed="81"/>
            <rFont val="Tahoma"/>
            <family val="2"/>
          </rPr>
          <t>Prakash Singh:</t>
        </r>
        <r>
          <rPr>
            <sz val="9"/>
            <color indexed="81"/>
            <rFont val="Tahoma"/>
            <family val="2"/>
          </rPr>
          <t xml:space="preserve">
Equate to time period calculated below for calculations on code-based empirical time period</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<sst xmlns="http://schemas.openxmlformats.org/spreadsheetml/2006/main" count="3249" uniqueCount="1079">
  <si>
    <t>This is a short summary of the sheets in this file and their working:</t>
  </si>
  <si>
    <t xml:space="preserve">Flow </t>
  </si>
  <si>
    <t>SheetName</t>
  </si>
  <si>
    <t>Description</t>
  </si>
  <si>
    <t>Major input sheet</t>
  </si>
  <si>
    <t>Input cell</t>
  </si>
  <si>
    <t>RxnCheck</t>
  </si>
  <si>
    <t>1. After finalizing the column, beam sizes and r/f  in ETABS, this is the first sheet to start with.</t>
  </si>
  <si>
    <t>Major output sheet</t>
  </si>
  <si>
    <t>Contains formula</t>
  </si>
  <si>
    <t>Vb</t>
  </si>
  <si>
    <t>2. Nothing to be done with this sheet. It takes all the inputs from RxnCheck and writes them back to the same sheet. Used to cross check base shear.</t>
  </si>
  <si>
    <t>Major change from last version</t>
  </si>
  <si>
    <t>Input from other sheet</t>
  </si>
  <si>
    <t>Detailing(OMRF&amp;SMRF)</t>
  </si>
  <si>
    <r>
      <t xml:space="preserve">3. Reinforcement requirement, detailing etc. is to be done using this file. In the region below the print area, a primitive code for helping decide the bar sizes is also appended. </t>
    </r>
    <r>
      <rPr>
        <b/>
        <u/>
        <sz val="11"/>
        <color theme="1"/>
        <rFont val="Calibri"/>
        <family val="2"/>
        <scheme val="minor"/>
      </rPr>
      <t>It is strongly recommended not to insert lines or change the cell locations in this sheet. This sheet is created for 12 or less stories in mind. Simply hide the rows that are below the required number of floors.</t>
    </r>
    <r>
      <rPr>
        <sz val="11"/>
        <color theme="1"/>
        <rFont val="Calibri"/>
        <family val="2"/>
        <scheme val="minor"/>
      </rPr>
      <t xml:space="preserve">
Precedents- RxhCheck sheet, it takes the section sizes, floor ht. 
Dependents- DesignFile now heavily depends on this sheet.
</t>
    </r>
    <r>
      <rPr>
        <sz val="12"/>
        <color rgb="FFFF0000"/>
        <rFont val="Calibri"/>
        <family val="2"/>
        <scheme val="minor"/>
      </rPr>
      <t xml:space="preserve">
</t>
    </r>
    <r>
      <rPr>
        <b/>
        <strike/>
        <u/>
        <sz val="12"/>
        <color rgb="FFFF0000"/>
        <rFont val="Calibri"/>
        <family val="2"/>
        <scheme val="minor"/>
      </rPr>
      <t xml:space="preserve">Important note: This sheet changes based on the detailing requirements, therfore two separate excel sheets shall be used for Ductile detailing and for ordinary detailing.
</t>
    </r>
    <r>
      <rPr>
        <b/>
        <strike/>
        <u/>
        <sz val="12"/>
        <color rgb="FF00B050"/>
        <rFont val="Calibri"/>
        <family val="2"/>
        <scheme val="minor"/>
      </rPr>
      <t xml:space="preserve">Now we have two sheets- one for ordinary detailing and other for ductile detailing. Tochange the ductile detailing sheet in the use, simply find 'BldgDetailing(Ductile)' in DesignFile and "Replace all" by 'BldgDetailing(Ordinary)' or </t>
    </r>
    <r>
      <rPr>
        <b/>
        <i/>
        <strike/>
        <u/>
        <sz val="12"/>
        <color rgb="FF00B050"/>
        <rFont val="Calibri"/>
        <family val="2"/>
        <scheme val="minor"/>
      </rPr>
      <t>vice versa.</t>
    </r>
    <r>
      <rPr>
        <b/>
        <i/>
        <strike/>
        <sz val="12"/>
        <color rgb="FF00B050"/>
        <rFont val="Calibri"/>
        <family val="2"/>
        <scheme val="minor"/>
      </rPr>
      <t xml:space="preserve"> (Now we are using separate standard files for SMRF (v17) and OMRF (v19) buildings).</t>
    </r>
    <r>
      <rPr>
        <b/>
        <i/>
        <sz val="12"/>
        <color rgb="FF00B050"/>
        <rFont val="Calibri"/>
        <family val="2"/>
        <scheme val="minor"/>
      </rPr>
      <t xml:space="preserve">
</t>
    </r>
    <r>
      <rPr>
        <b/>
        <sz val="14"/>
        <color rgb="FF0000FF"/>
        <rFont val="Calibri"/>
        <family val="2"/>
        <scheme val="minor"/>
      </rPr>
      <t xml:space="preserve">Note: (1) This version, v20, has both options for detailing- as OMRF and as SMRF.
            (2) The Detailing (OMRF&amp;SMRF) sheet picks up the values from GeneralInput Sheet.
</t>
    </r>
  </si>
  <si>
    <t>AxialForceEQCase</t>
  </si>
  <si>
    <r>
      <t xml:space="preserve">Approximates axial force in the columns due to the earthquake loads which is later on, used for the moment carrying capacity of the columns in sheet </t>
    </r>
    <r>
      <rPr>
        <b/>
        <sz val="11"/>
        <color theme="1"/>
        <rFont val="Calibri"/>
        <family val="2"/>
        <scheme val="minor"/>
      </rPr>
      <t>"BldgDetailing(Ordinary)"</t>
    </r>
  </si>
  <si>
    <t>DesignFile</t>
  </si>
  <si>
    <r>
      <t xml:space="preserve">Precedents- BldgID22xx(….)
Dependents- ModelFile
</t>
    </r>
    <r>
      <rPr>
        <b/>
        <u/>
        <sz val="11"/>
        <color rgb="FF0000FF"/>
        <rFont val="Calibri"/>
        <family val="2"/>
        <scheme val="minor"/>
      </rPr>
      <t>Important note:  Despite all sorts of automation, one important input that has to be done manually in this sheet is the longitudinal reinforcement distribution i.e. the calculation of rho = rho'</t>
    </r>
  </si>
  <si>
    <t>LOAD_DATA</t>
  </si>
  <si>
    <t>Precedents- DesignFile, and other manual inputs
Dependents- GeneralInputs sheet
Note 1. Nothing in this sheet relates directly to the VBA code.
Note 2. Results (e.g.- UDL, col axial load, leaning frame loads) from here gets copied to GeneralInput sheet in a compact form and then VBA calls them from there.
Note 3. UDL calculation for the beam considers the effect of the finite sized-modeling of the joint. However, if joint is modeled as a zero length element,UDL shall be modified.</t>
  </si>
  <si>
    <t>GeneralInput</t>
  </si>
  <si>
    <r>
      <t xml:space="preserve">Reinforcement requirement, detailing etc. is to be done using this file. In the region below the print area, a primitive code for helping decide the bar sizes is also appended. It is strongly recommended not to insert lines or change the cell locations in this sheet.
Precedents- summary of results from LOAD_DATA is printed to GeneralInputs sheet.
Dependents- PushoverLoading is extracted from this sheet. besides, first and third mode time period are to be given as input to the file psb_defineVariablesAtMeansValues.tcl
</t>
    </r>
    <r>
      <rPr>
        <b/>
        <strike/>
        <u/>
        <sz val="11"/>
        <color theme="1"/>
        <rFont val="Calibri"/>
        <family val="2"/>
        <scheme val="minor"/>
      </rPr>
      <t>Important note: This sheet changes based on the detailing requirements, therfore two separate excel sheets shall be used for Ductile detailing and for ordinary detailing.</t>
    </r>
    <r>
      <rPr>
        <b/>
        <u/>
        <sz val="11"/>
        <color theme="1"/>
        <rFont val="Calibri"/>
        <family val="2"/>
        <scheme val="minor"/>
      </rPr>
      <t xml:space="preserve">
</t>
    </r>
    <r>
      <rPr>
        <b/>
        <sz val="14"/>
        <color rgb="FF0000FF"/>
        <rFont val="Calibri"/>
        <family val="2"/>
        <scheme val="minor"/>
      </rPr>
      <t>Inputs regarding the seismic design code, detailing code, SCWB factor, and reinforcement material shall be given in this sheet. The Detailing (OMRF&amp;SMRF) sheet would pick up the values from here.</t>
    </r>
  </si>
  <si>
    <t>FDN_STIFFNESS</t>
  </si>
  <si>
    <t>Dependents- ModelFile. Footing stiffness has to be manually equated in the ModelFile</t>
  </si>
  <si>
    <t>ModelFile</t>
  </si>
  <si>
    <t>Note: This version, v20, has both options for assessment model- Elwood's and Haselton's. Select the option in GeneralInput File.</t>
  </si>
  <si>
    <t>buildingInfo</t>
  </si>
  <si>
    <r>
      <t xml:space="preserve">To be edited pretty much manually all the way. Outputs from this file shall be pasted in the psb_DefineInfoForBuildings in </t>
    </r>
    <r>
      <rPr>
        <b/>
        <sz val="11"/>
        <color theme="1"/>
        <rFont val="Calibri"/>
        <family val="2"/>
        <scheme val="minor"/>
      </rPr>
      <t>psb_MatlabProcessors -&gt; MovieAndVisualProcessors</t>
    </r>
    <r>
      <rPr>
        <sz val="11"/>
        <color theme="1"/>
        <rFont val="Calibri"/>
        <family val="2"/>
        <scheme val="minor"/>
      </rPr>
      <t xml:space="preserve"> folder. This is used to draw the collapse mechanism and deformed shape of the buildings.</t>
    </r>
  </si>
  <si>
    <t>PropManualCals</t>
  </si>
  <si>
    <t>temp sheet. Not of any direct use</t>
  </si>
  <si>
    <t>Seismic force as per</t>
  </si>
  <si>
    <t>Total Reaction (Unfactored)</t>
  </si>
  <si>
    <t>2D Frame Reaction (Unfac)</t>
  </si>
  <si>
    <t>3D Frame Seismic wt. (IS 1893)</t>
  </si>
  <si>
    <t>2D Frame Expected weight (Ellingwood et al., 1980)</t>
  </si>
  <si>
    <t>Detailing</t>
  </si>
  <si>
    <t>Special 13920 (2016)</t>
  </si>
  <si>
    <t>Dead Load</t>
  </si>
  <si>
    <t>kN</t>
  </si>
  <si>
    <t>Seismic wt.</t>
  </si>
  <si>
    <t>Expected wt.</t>
  </si>
  <si>
    <t>Design SCWB factor</t>
  </si>
  <si>
    <t>Live Load</t>
  </si>
  <si>
    <t>Model Type:</t>
  </si>
  <si>
    <t>Haselton</t>
  </si>
  <si>
    <t>diff w/ opensees model</t>
  </si>
  <si>
    <t>Specify SCWB Factor</t>
  </si>
  <si>
    <t xml:space="preserve">For non-codal SCWB factors, specify the design value here </t>
  </si>
  <si>
    <t>ρcc (%)</t>
  </si>
  <si>
    <t>BayNum</t>
  </si>
  <si>
    <t>ETABS does not reduce the selfwt. for overlapping regions of beam-columns-slabs, resulting in overestimation of dead loads as comapred to manual calculation.</t>
  </si>
  <si>
    <t>numCol</t>
  </si>
  <si>
    <t>BayW</t>
  </si>
  <si>
    <t>All dimensions in mm.</t>
  </si>
  <si>
    <t>Level name</t>
  </si>
  <si>
    <t>Level num</t>
  </si>
  <si>
    <t>floor ht</t>
  </si>
  <si>
    <t>Corner Col size</t>
  </si>
  <si>
    <t xml:space="preserve"> Center Col size</t>
  </si>
  <si>
    <t>Long. beam size</t>
  </si>
  <si>
    <t>Trans. beam size</t>
  </si>
  <si>
    <t>slab</t>
  </si>
  <si>
    <t>long beam</t>
  </si>
  <si>
    <t>trans beam</t>
  </si>
  <si>
    <t>col</t>
  </si>
  <si>
    <t>SIDL</t>
  </si>
  <si>
    <t>LL</t>
  </si>
  <si>
    <t>DL</t>
  </si>
  <si>
    <t>Ht</t>
  </si>
  <si>
    <t>Story force</t>
  </si>
  <si>
    <t>Model name</t>
  </si>
  <si>
    <t>(kN)</t>
  </si>
  <si>
    <t>bldgID</t>
  </si>
  <si>
    <t>#bays</t>
  </si>
  <si>
    <t>#floors</t>
  </si>
  <si>
    <t>Zone</t>
  </si>
  <si>
    <t>Importance factor, I</t>
  </si>
  <si>
    <t>Building type</t>
  </si>
  <si>
    <t>RCC bare frame</t>
  </si>
  <si>
    <t>Soil Strata</t>
  </si>
  <si>
    <t>Rocky or Hard Soil</t>
  </si>
  <si>
    <t>kPa</t>
  </si>
  <si>
    <t>partition + MEP + FF</t>
  </si>
  <si>
    <t>Slab thk</t>
  </si>
  <si>
    <t>mm</t>
  </si>
  <si>
    <t>Conc density</t>
  </si>
  <si>
    <t>kN/cum</t>
  </si>
  <si>
    <t>Trib width (trans bayW)</t>
  </si>
  <si>
    <t>#TransverseBays</t>
  </si>
  <si>
    <t>Complete 3D building loads</t>
  </si>
  <si>
    <t>Slab self weight</t>
  </si>
  <si>
    <t>Beam self weight</t>
  </si>
  <si>
    <t>Col self weight</t>
  </si>
  <si>
    <t>Extra in ETABS</t>
  </si>
  <si>
    <t>Slabs /floor</t>
  </si>
  <si>
    <t>Long beam all floors /bay</t>
  </si>
  <si>
    <t>Col /bay</t>
  </si>
  <si>
    <t>beam</t>
  </si>
  <si>
    <t>Height of the building</t>
  </si>
  <si>
    <t>m</t>
  </si>
  <si>
    <t>Slab total</t>
  </si>
  <si>
    <t>Long beam total</t>
  </si>
  <si>
    <t>Col total</t>
  </si>
  <si>
    <t>Period, TX (sec)</t>
  </si>
  <si>
    <t>ETABS DL</t>
  </si>
  <si>
    <t>(if not corrected by reducing density)</t>
  </si>
  <si>
    <t>Period, TY (sec)</t>
  </si>
  <si>
    <t>Other loads on slab</t>
  </si>
  <si>
    <t>Trans beam all floors /bay</t>
  </si>
  <si>
    <t>Trans beam total</t>
  </si>
  <si>
    <t>Beam revised ρ</t>
  </si>
  <si>
    <t>kN/m^3</t>
  </si>
  <si>
    <t>ETABS Results:</t>
  </si>
  <si>
    <t>Δ</t>
  </si>
  <si>
    <t>Live load</t>
  </si>
  <si>
    <t>Col revised ρ</t>
  </si>
  <si>
    <t>Dead Load (kN)</t>
  </si>
  <si>
    <t>OR</t>
  </si>
  <si>
    <t>Live Load (kN)</t>
  </si>
  <si>
    <t>2D Frame Reactions</t>
  </si>
  <si>
    <r>
      <t xml:space="preserve">Common revised </t>
    </r>
    <r>
      <rPr>
        <b/>
        <sz val="12"/>
        <color theme="1"/>
        <rFont val="Calibri"/>
        <family val="2"/>
      </rPr>
      <t>ρ</t>
    </r>
  </si>
  <si>
    <t>EQX (kN)</t>
  </si>
  <si>
    <t>EQY  (kN)</t>
  </si>
  <si>
    <t>Col</t>
  </si>
  <si>
    <t>Manual Base Shear:</t>
  </si>
  <si>
    <t>Drift check (SERVICEABILITY):</t>
  </si>
  <si>
    <t>Max story drift (from ETABS)</t>
  </si>
  <si>
    <t>Without scaling it to match Vb</t>
  </si>
  <si>
    <t>DL on slab, per unit area</t>
  </si>
  <si>
    <t>LL on slab, per unit area</t>
  </si>
  <si>
    <t>Total unit load</t>
  </si>
  <si>
    <t>Total area</t>
  </si>
  <si>
    <t>sqm.</t>
  </si>
  <si>
    <t>approx DL (i/c 25% for beamCol)</t>
  </si>
  <si>
    <t>approx LL</t>
  </si>
  <si>
    <t>b1 (col-to-col)</t>
  </si>
  <si>
    <t>(used for period calculations of frames with infill wall as per IS 1893-2016)</t>
  </si>
  <si>
    <t>b2 (col-to-col)</t>
  </si>
  <si>
    <t>IS 1893 (part-1) (2002, 2016)</t>
  </si>
  <si>
    <t>IS 1893 (1984)</t>
  </si>
  <si>
    <t>Floors</t>
  </si>
  <si>
    <t>Total DL + SIDL</t>
  </si>
  <si>
    <t>Live Load (&lt;= 3)</t>
  </si>
  <si>
    <t>Live Load (&gt; 3)</t>
  </si>
  <si>
    <t>Seismic Weight</t>
  </si>
  <si>
    <t>V</t>
  </si>
  <si>
    <r>
      <rPr>
        <sz val="11"/>
        <color theme="1"/>
        <rFont val="Calibri"/>
        <family val="2"/>
        <scheme val="minor"/>
      </rPr>
      <t xml:space="preserve">Importance factor, I </t>
    </r>
    <r>
      <rPr>
        <b/>
        <sz val="11"/>
        <color theme="1"/>
        <rFont val="Calibri"/>
        <family val="2"/>
        <scheme val="minor"/>
      </rPr>
      <t>(Table 4)</t>
    </r>
  </si>
  <si>
    <t>Response Reduction, R</t>
  </si>
  <si>
    <r>
      <rPr>
        <sz val="11"/>
        <color theme="1"/>
        <rFont val="Calibri"/>
        <family val="2"/>
        <scheme val="minor"/>
      </rPr>
      <t xml:space="preserve">Performance factor, K </t>
    </r>
    <r>
      <rPr>
        <b/>
        <sz val="11"/>
        <color theme="1"/>
        <rFont val="Calibri"/>
        <family val="2"/>
        <scheme val="minor"/>
      </rPr>
      <t>(Table 5)</t>
    </r>
  </si>
  <si>
    <t>(even moden OMRF satisfies this criterion)</t>
  </si>
  <si>
    <t>Height, H</t>
  </si>
  <si>
    <t>b1_outer (used for accidental ecc)</t>
  </si>
  <si>
    <t>b1_outer (used for acc ecc)</t>
  </si>
  <si>
    <t>b2_outer (used for accidental ecc)</t>
  </si>
  <si>
    <t>b2_outer (used for acc ecc)</t>
  </si>
  <si>
    <t>Z</t>
  </si>
  <si>
    <r>
      <rPr>
        <sz val="11"/>
        <color theme="1"/>
        <rFont val="Calibri"/>
        <family val="2"/>
      </rPr>
      <t>α</t>
    </r>
    <r>
      <rPr>
        <vertAlign val="subscript"/>
        <sz val="11"/>
        <color theme="1"/>
        <rFont val="Calibri"/>
        <family val="2"/>
      </rPr>
      <t>0</t>
    </r>
    <r>
      <rPr>
        <sz val="11"/>
        <color theme="1"/>
        <rFont val="Calibri"/>
        <family val="2"/>
      </rPr>
      <t xml:space="preserve"> </t>
    </r>
    <r>
      <rPr>
        <b/>
        <sz val="11"/>
        <color theme="1"/>
        <rFont val="Calibri"/>
        <family val="2"/>
      </rPr>
      <t>(Table 2)</t>
    </r>
  </si>
  <si>
    <t>Time period, TX</t>
  </si>
  <si>
    <t>sec</t>
  </si>
  <si>
    <t>Time period, TY</t>
  </si>
  <si>
    <t>Avrg response accn coeff, (Sa/g)_x</t>
  </si>
  <si>
    <r>
      <t xml:space="preserve">Flexibility coeff, C_x </t>
    </r>
    <r>
      <rPr>
        <b/>
        <sz val="11"/>
        <color theme="1"/>
        <rFont val="Calibri"/>
        <family val="2"/>
        <scheme val="minor"/>
      </rPr>
      <t>(Figure 3)</t>
    </r>
  </si>
  <si>
    <t>Obtained using curve fitting tool. These expressions have very high R^2 value (&gt;0.99).</t>
  </si>
  <si>
    <t>Avrg response accn coeff, (Sa/g)_y</t>
  </si>
  <si>
    <r>
      <t xml:space="preserve">Flexibility coeff, C_y </t>
    </r>
    <r>
      <rPr>
        <b/>
        <sz val="11"/>
        <color theme="1"/>
        <rFont val="Calibri"/>
        <family val="2"/>
        <scheme val="minor"/>
      </rPr>
      <t>(Figure 3)</t>
    </r>
  </si>
  <si>
    <r>
      <rPr>
        <sz val="11"/>
        <color theme="1"/>
        <rFont val="Calibri"/>
        <family val="2"/>
        <scheme val="minor"/>
      </rPr>
      <t xml:space="preserve">Soil-foundation factor, </t>
    </r>
    <r>
      <rPr>
        <sz val="11"/>
        <color theme="1"/>
        <rFont val="Calibri"/>
        <family val="2"/>
      </rPr>
      <t xml:space="preserve">β </t>
    </r>
    <r>
      <rPr>
        <b/>
        <sz val="11"/>
        <color theme="1"/>
        <rFont val="Calibri"/>
        <family val="2"/>
      </rPr>
      <t>(Table 3)</t>
    </r>
  </si>
  <si>
    <t>Design Seism coeff, (Ah)_x</t>
  </si>
  <si>
    <t>(Vb/W)_x</t>
  </si>
  <si>
    <t>Design Seism coeff, (Ah)_y</t>
  </si>
  <si>
    <t>(Vb/W)_y</t>
  </si>
  <si>
    <t>Base Shear, Vb_x</t>
  </si>
  <si>
    <t>Base Shear, Vb_y</t>
  </si>
  <si>
    <t>IS 1893 (part-1 &amp; 5) (2025)</t>
  </si>
  <si>
    <t>If Shear wall/Masonary infill wall is provided - use the values on the right side</t>
  </si>
  <si>
    <t>Ncsw</t>
  </si>
  <si>
    <t>If Shear wall/Masonary infill wall is NOT provided - (make 0)</t>
  </si>
  <si>
    <t>Lcswi</t>
  </si>
  <si>
    <r>
      <rPr>
        <sz val="11"/>
        <color theme="1"/>
        <rFont val="Calibri"/>
        <family val="2"/>
      </rPr>
      <t>ρ</t>
    </r>
    <r>
      <rPr>
        <sz val="9.35"/>
        <color theme="1"/>
        <rFont val="Calibri"/>
        <family val="2"/>
      </rPr>
      <t>mw</t>
    </r>
  </si>
  <si>
    <r>
      <rPr>
        <sz val="11"/>
        <color theme="1"/>
        <rFont val="Calibri"/>
        <family val="2"/>
      </rPr>
      <t>ρ</t>
    </r>
    <r>
      <rPr>
        <sz val="9.35"/>
        <color theme="1"/>
        <rFont val="Calibri"/>
        <family val="2"/>
      </rPr>
      <t>cswi</t>
    </r>
  </si>
  <si>
    <t>(For Normal Building with return period 475 years)</t>
  </si>
  <si>
    <t>Avrg response accn coeff, Anh(Th)_x</t>
  </si>
  <si>
    <t>Avrg response accn coeff, Anh(Th)_y</t>
  </si>
  <si>
    <t>Design Seism coeff, (Ahd)_x</t>
  </si>
  <si>
    <t>Design Seism coeff, (Ahd)_y</t>
  </si>
  <si>
    <t>fsc</t>
  </si>
  <si>
    <t>fy  d'/d</t>
  </si>
  <si>
    <t>Model ID:</t>
  </si>
  <si>
    <t>Design SCWB</t>
  </si>
  <si>
    <t>Design code</t>
  </si>
  <si>
    <t>Long fy (MPa)</t>
  </si>
  <si>
    <t>max clear spacing (mm) (26.3.3)</t>
  </si>
  <si>
    <t>clear cover beam (mm)</t>
  </si>
  <si>
    <t>clear cover in Column (mm)</t>
  </si>
  <si>
    <t>Achieved SCWB factor</t>
  </si>
  <si>
    <t>DL Ratio</t>
  </si>
  <si>
    <t>COLUMN DETAILING</t>
  </si>
  <si>
    <t>LL Ratio</t>
  </si>
  <si>
    <t>Exterior column</t>
  </si>
  <si>
    <t>matlabfcn("PMInteractionCurve_v05_ForExcel", $C14, $D14, $E14, $L$8, $O14:$T14, 0, AU14*1000, $S$8, $AD14)/1000000</t>
  </si>
  <si>
    <t>Floor ht</t>
  </si>
  <si>
    <t>Detail</t>
  </si>
  <si>
    <t>Column Size</t>
  </si>
  <si>
    <t>fck</t>
  </si>
  <si>
    <t>fyt</t>
  </si>
  <si>
    <t>Dia of Ties</t>
  </si>
  <si>
    <t>S</t>
  </si>
  <si>
    <t>H</t>
  </si>
  <si>
    <t>Area of Column</t>
  </si>
  <si>
    <t>Area of Core</t>
  </si>
  <si>
    <t>SCWB Ratio</t>
  </si>
  <si>
    <t>Reqd trans Area</t>
  </si>
  <si>
    <t>Reqd long Area</t>
  </si>
  <si>
    <t>Reinforcement Details</t>
  </si>
  <si>
    <t># Bars along dir 1</t>
  </si>
  <si>
    <t># Bars along dir 2</t>
  </si>
  <si>
    <t>Provided Area</t>
  </si>
  <si>
    <t>long bar check (extra)</t>
  </si>
  <si>
    <t>Spacing along dir 1</t>
  </si>
  <si>
    <t>Spacing along dir 2</t>
  </si>
  <si>
    <t>Bar spacing</t>
  </si>
  <si>
    <t># Bar check</t>
  </si>
  <si>
    <t>R/f reqd</t>
  </si>
  <si>
    <t>R/f provd</t>
  </si>
  <si>
    <t>Shear Reinforcement Details</t>
  </si>
  <si>
    <t>Shear r/f spacing check</t>
  </si>
  <si>
    <t>ρ'' = A_st / S b</t>
  </si>
  <si>
    <t>Axial Load in Primary cases</t>
  </si>
  <si>
    <t>Scaling Factor</t>
  </si>
  <si>
    <t>Pu</t>
  </si>
  <si>
    <t>Pu_max</t>
  </si>
  <si>
    <t>Mcap1</t>
  </si>
  <si>
    <t>Pu_min</t>
  </si>
  <si>
    <t>Mcap2</t>
  </si>
  <si>
    <t>Mcap</t>
  </si>
  <si>
    <r>
      <rPr>
        <sz val="12"/>
        <rFont val="Calibri"/>
        <family val="2"/>
      </rPr>
      <t>ΣM</t>
    </r>
    <r>
      <rPr>
        <vertAlign val="subscript"/>
        <sz val="12"/>
        <rFont val="Arial"/>
        <family val="2"/>
      </rPr>
      <t>col</t>
    </r>
  </si>
  <si>
    <r>
      <rPr>
        <sz val="12"/>
        <rFont val="Calibri"/>
        <family val="2"/>
      </rPr>
      <t>ΣM</t>
    </r>
    <r>
      <rPr>
        <vertAlign val="subscript"/>
        <sz val="12"/>
        <rFont val="Arial"/>
        <family val="2"/>
      </rPr>
      <t>beam</t>
    </r>
  </si>
  <si>
    <t>SCWB factor</t>
  </si>
  <si>
    <t>Dir 1</t>
  </si>
  <si>
    <t>Dir 2</t>
  </si>
  <si>
    <t>MPa</t>
  </si>
  <si>
    <t>mm^2</t>
  </si>
  <si>
    <t>mm^2/m</t>
  </si>
  <si>
    <t>26.5.3.2(c)</t>
  </si>
  <si>
    <t>1.5(DL+LL)</t>
  </si>
  <si>
    <t>1.5(DL+EQL)</t>
  </si>
  <si>
    <t>1.5(DL-EQL)</t>
  </si>
  <si>
    <t>1.2(DL+LL+EQL)</t>
  </si>
  <si>
    <t>1.2(DL+LL-EQL)</t>
  </si>
  <si>
    <t>(kN-m)</t>
  </si>
  <si>
    <t>EQL</t>
  </si>
  <si>
    <t>Interior column</t>
  </si>
  <si>
    <t>Left sway</t>
  </si>
  <si>
    <t>Right sway</t>
  </si>
  <si>
    <t>BEAM DETAILING</t>
  </si>
  <si>
    <t>Beam Size</t>
  </si>
  <si>
    <t>fy</t>
  </si>
  <si>
    <t>No of layers</t>
  </si>
  <si>
    <t>clear space @ top</t>
  </si>
  <si>
    <t>clear space @ bot</t>
  </si>
  <si>
    <t>Top long Area</t>
  </si>
  <si>
    <t>Bot long Area</t>
  </si>
  <si>
    <t>Top Reinforcement Details</t>
  </si>
  <si>
    <t>Top r/f spacing check</t>
  </si>
  <si>
    <t>Bot Reinforcement Details</t>
  </si>
  <si>
    <t>Bot r/f spacing check</t>
  </si>
  <si>
    <t>trns bar check (extra)</t>
  </si>
  <si>
    <t>Mom Capacity, +</t>
  </si>
  <si>
    <t>Mom Capacity, -</t>
  </si>
  <si>
    <t>d</t>
  </si>
  <si>
    <t>rho_t</t>
  </si>
  <si>
    <t>rho_c</t>
  </si>
  <si>
    <t>rho_sing</t>
  </si>
  <si>
    <t>d'/d</t>
  </si>
  <si>
    <t>xu,lim/d</t>
  </si>
  <si>
    <t>rho_lim</t>
  </si>
  <si>
    <t>Mu/bd^2</t>
  </si>
  <si>
    <t>width</t>
  </si>
  <si>
    <t>depth</t>
  </si>
  <si>
    <t>26.3.2(a) &amp; Table 15</t>
  </si>
  <si>
    <t xml:space="preserve"> (kN-m)</t>
  </si>
  <si>
    <t>(mm)</t>
  </si>
  <si>
    <t>(MPa)</t>
  </si>
  <si>
    <t>Exterior Bay</t>
  </si>
  <si>
    <t>NOT USED IN THE CALCULATION. Read comments in +ve Moment capacity cell.</t>
  </si>
  <si>
    <t>=IF(F49=415, INTERPLINEAR(AV49,$E$2:$J$2,$E$4:$J$4,1),IF(F49=250,217.5)))</t>
  </si>
  <si>
    <t>Interior  Bay</t>
  </si>
  <si>
    <t>Interior Bay</t>
  </si>
  <si>
    <t>Layer 1</t>
  </si>
  <si>
    <t>Layer 2</t>
  </si>
  <si>
    <t>1. TOP R/F EXTERIOR BAY (Hint: split EXCEL window)</t>
  </si>
  <si>
    <t>Index</t>
  </si>
  <si>
    <t>no</t>
  </si>
  <si>
    <t>dia</t>
  </si>
  <si>
    <t>area</t>
  </si>
  <si>
    <t>2. BOT R/F EXTERIOR BAY (Hint: split EXCEL window)</t>
  </si>
  <si>
    <t>3. TOP R/F INTERIOR BAY (Hint: split EXCEL window)</t>
  </si>
  <si>
    <t>4. BOT R/F INTERIOR BAY (Hint: split EXCEL window)</t>
  </si>
  <si>
    <t>OSF for fy</t>
  </si>
  <si>
    <t>OSF for fck</t>
  </si>
  <si>
    <t>beams on 4 faces</t>
  </si>
  <si>
    <t>beams on 3 faces</t>
  </si>
  <si>
    <t>JointType:</t>
  </si>
  <si>
    <t>Internal</t>
  </si>
  <si>
    <t>Storey No</t>
  </si>
  <si>
    <t>Joint Location</t>
  </si>
  <si>
    <t xml:space="preserve">Trans Direction </t>
  </si>
  <si>
    <r>
      <t>V</t>
    </r>
    <r>
      <rPr>
        <b/>
        <sz val="9"/>
        <color theme="1"/>
        <rFont val="Calibri"/>
        <family val="2"/>
        <scheme val="minor"/>
      </rPr>
      <t xml:space="preserve">col </t>
    </r>
    <r>
      <rPr>
        <b/>
        <sz val="11"/>
        <color theme="1"/>
        <rFont val="Calibri"/>
        <family val="2"/>
        <scheme val="minor"/>
      </rPr>
      <t>(kN) from Analysis</t>
    </r>
  </si>
  <si>
    <t>Ast_L  (mm2)</t>
  </si>
  <si>
    <t>Ast-R(mm2)</t>
  </si>
  <si>
    <t>T1-L (kN)</t>
  </si>
  <si>
    <t>C2-R(kN)</t>
  </si>
  <si>
    <t>bc (mm)</t>
  </si>
  <si>
    <t>hc (mm)</t>
  </si>
  <si>
    <t>bb (mm)</t>
  </si>
  <si>
    <t>bj (mm)</t>
  </si>
  <si>
    <t>Aej (mm2)</t>
  </si>
  <si>
    <r>
      <t>V</t>
    </r>
    <r>
      <rPr>
        <b/>
        <sz val="9"/>
        <color theme="1"/>
        <rFont val="Calibri"/>
        <family val="2"/>
        <scheme val="minor"/>
      </rPr>
      <t>joint</t>
    </r>
    <r>
      <rPr>
        <b/>
        <sz val="11"/>
        <color theme="1"/>
        <rFont val="Calibri"/>
        <family val="2"/>
        <scheme val="minor"/>
      </rPr>
      <t xml:space="preserve"> (kN)</t>
    </r>
  </si>
  <si>
    <r>
      <t xml:space="preserve">ShearStress </t>
    </r>
    <r>
      <rPr>
        <b/>
        <sz val="14"/>
        <rFont val="Calibri"/>
        <family val="2"/>
        <scheme val="minor"/>
      </rPr>
      <t>τ</t>
    </r>
    <r>
      <rPr>
        <b/>
        <sz val="9"/>
        <rFont val="Calibri"/>
        <family val="2"/>
        <scheme val="minor"/>
      </rPr>
      <t>jdx</t>
    </r>
    <r>
      <rPr>
        <b/>
        <sz val="11"/>
        <rFont val="Calibri"/>
        <family val="2"/>
        <scheme val="minor"/>
      </rPr>
      <t xml:space="preserve"> (N/mm2)</t>
    </r>
  </si>
  <si>
    <t>ShearCap τjc (N/mm2)</t>
  </si>
  <si>
    <t>Status</t>
  </si>
  <si>
    <t>bj=bb+hc</t>
  </si>
  <si>
    <t>x=(bc-bb)/2</t>
  </si>
  <si>
    <t>bj =bb+2x</t>
  </si>
  <si>
    <t>bj =MIN(bj=bb+hc  OR bj =bb+2x)</t>
  </si>
  <si>
    <t>9B</t>
  </si>
  <si>
    <t>SwayRight (+EQX)</t>
  </si>
  <si>
    <t>External</t>
  </si>
  <si>
    <r>
      <t>V</t>
    </r>
    <r>
      <rPr>
        <b/>
        <sz val="9"/>
        <color theme="1"/>
        <rFont val="Calibri"/>
        <family val="2"/>
        <scheme val="minor"/>
      </rPr>
      <t xml:space="preserve">col </t>
    </r>
    <r>
      <rPr>
        <b/>
        <sz val="11"/>
        <color theme="1"/>
        <rFont val="Calibri"/>
        <family val="2"/>
        <scheme val="minor"/>
      </rPr>
      <t>(kN)</t>
    </r>
  </si>
  <si>
    <t>9A</t>
  </si>
  <si>
    <t>-</t>
  </si>
  <si>
    <t>Grid</t>
  </si>
  <si>
    <t>Floor</t>
  </si>
  <si>
    <t>SiF</t>
  </si>
  <si>
    <t>FiF</t>
  </si>
  <si>
    <t>FoF</t>
  </si>
  <si>
    <t>TF</t>
  </si>
  <si>
    <t>SF</t>
  </si>
  <si>
    <t>FF</t>
  </si>
  <si>
    <t>GF</t>
  </si>
  <si>
    <t>Column Details</t>
  </si>
  <si>
    <t>BldgWidth</t>
  </si>
  <si>
    <t>BayWidth</t>
  </si>
  <si>
    <t>X-Coord</t>
  </si>
  <si>
    <r>
      <rPr>
        <sz val="11"/>
        <rFont val="Calibri"/>
        <family val="2"/>
      </rPr>
      <t>Σ</t>
    </r>
    <r>
      <rPr>
        <sz val="11"/>
        <rFont val="Arial"/>
        <family val="2"/>
      </rPr>
      <t>A</t>
    </r>
    <r>
      <rPr>
        <vertAlign val="subscript"/>
        <sz val="11"/>
        <rFont val="Arial"/>
        <family val="2"/>
      </rPr>
      <t>j</t>
    </r>
    <r>
      <rPr>
        <sz val="11"/>
        <rFont val="Arial"/>
        <family val="2"/>
      </rPr>
      <t xml:space="preserve"> x</t>
    </r>
    <r>
      <rPr>
        <vertAlign val="subscript"/>
        <sz val="11"/>
        <rFont val="Arial"/>
        <family val="2"/>
      </rPr>
      <t>j</t>
    </r>
    <r>
      <rPr>
        <vertAlign val="superscript"/>
        <sz val="11"/>
        <rFont val="Arial"/>
        <family val="2"/>
      </rPr>
      <t>2</t>
    </r>
  </si>
  <si>
    <t>Grid No</t>
  </si>
  <si>
    <t>Approximating the axial force in columns due to earthquake forces</t>
  </si>
  <si>
    <t>numTransBays</t>
  </si>
  <si>
    <t>NumCol</t>
  </si>
  <si>
    <t>story shear</t>
  </si>
  <si>
    <t>cum Force</t>
  </si>
  <si>
    <t>StoryHt</t>
  </si>
  <si>
    <t>Moment@midHt (kN-m)</t>
  </si>
  <si>
    <t>Axial Force</t>
  </si>
  <si>
    <t>density</t>
  </si>
  <si>
    <r>
      <t>ρ and ρ' are r/f ratios based on total cross section area. In the code it is converted to be based on effective depth in the Sub yieldMomentFardis. Transverse area ration, ρ</t>
    </r>
    <r>
      <rPr>
        <b/>
        <i/>
        <vertAlign val="subscript"/>
        <sz val="11"/>
        <color theme="1"/>
        <rFont val="Calibri"/>
        <family val="2"/>
      </rPr>
      <t>sh</t>
    </r>
    <r>
      <rPr>
        <b/>
        <i/>
        <sz val="11"/>
        <color theme="1"/>
        <rFont val="Calibri"/>
        <family val="2"/>
      </rPr>
      <t xml:space="preserve"> = A</t>
    </r>
    <r>
      <rPr>
        <b/>
        <i/>
        <vertAlign val="subscript"/>
        <sz val="11"/>
        <color theme="1"/>
        <rFont val="Calibri"/>
        <family val="2"/>
      </rPr>
      <t>sh</t>
    </r>
    <r>
      <rPr>
        <b/>
        <i/>
        <sz val="11"/>
        <color theme="1"/>
        <rFont val="Calibri"/>
        <family val="2"/>
      </rPr>
      <t>/ sb</t>
    </r>
  </si>
  <si>
    <t>row spacing</t>
  </si>
  <si>
    <t>col spacing</t>
  </si>
  <si>
    <t>Bays</t>
  </si>
  <si>
    <t>Bldg ID-</t>
  </si>
  <si>
    <t>Seismic code</t>
  </si>
  <si>
    <t xml:space="preserve"> = width (mm)</t>
  </si>
  <si>
    <t xml:space="preserve"> = depth (mm)</t>
  </si>
  <si>
    <r>
      <t xml:space="preserve"> = ρ</t>
    </r>
    <r>
      <rPr>
        <vertAlign val="subscript"/>
        <sz val="11"/>
        <color theme="1"/>
        <rFont val="Calibri"/>
        <family val="2"/>
        <scheme val="minor"/>
      </rPr>
      <t>top</t>
    </r>
  </si>
  <si>
    <r>
      <t xml:space="preserve"> = ρ</t>
    </r>
    <r>
      <rPr>
        <vertAlign val="subscript"/>
        <sz val="11"/>
        <color theme="1"/>
        <rFont val="Calibri"/>
        <family val="2"/>
        <scheme val="minor"/>
      </rPr>
      <t>bot</t>
    </r>
  </si>
  <si>
    <r>
      <t>= ρ</t>
    </r>
    <r>
      <rPr>
        <vertAlign val="subscript"/>
        <sz val="11"/>
        <color theme="1"/>
        <rFont val="Calibri"/>
        <family val="2"/>
        <scheme val="minor"/>
      </rPr>
      <t>sh</t>
    </r>
  </si>
  <si>
    <t>= s (mm)</t>
  </si>
  <si>
    <t>= Bay Width (mm)</t>
  </si>
  <si>
    <t>Grid 1</t>
  </si>
  <si>
    <t>Grid 2</t>
  </si>
  <si>
    <t>Grid 3</t>
  </si>
  <si>
    <t>Grid 4</t>
  </si>
  <si>
    <t>T</t>
  </si>
  <si>
    <t>B (mm) =</t>
  </si>
  <si>
    <t>B</t>
  </si>
  <si>
    <t>D (mm) =</t>
  </si>
  <si>
    <t>Stirrups</t>
  </si>
  <si>
    <r>
      <t>ρ</t>
    </r>
    <r>
      <rPr>
        <vertAlign val="subscript"/>
        <sz val="11"/>
        <color theme="1"/>
        <rFont val="Calibri"/>
        <family val="2"/>
      </rPr>
      <t>s,tot</t>
    </r>
    <r>
      <rPr>
        <sz val="11"/>
        <color theme="1"/>
        <rFont val="Calibri"/>
        <family val="2"/>
      </rPr>
      <t xml:space="preserve"> =</t>
    </r>
  </si>
  <si>
    <t>ρ = ρ' =</t>
  </si>
  <si>
    <r>
      <t>ρ</t>
    </r>
    <r>
      <rPr>
        <vertAlign val="subscript"/>
        <sz val="11"/>
        <color theme="1"/>
        <rFont val="Calibri"/>
        <family val="2"/>
      </rPr>
      <t>sh</t>
    </r>
    <r>
      <rPr>
        <sz val="11"/>
        <color theme="1"/>
        <rFont val="Calibri"/>
        <family val="2"/>
      </rPr>
      <t xml:space="preserve"> =</t>
    </r>
  </si>
  <si>
    <t>s (mm) =</t>
  </si>
  <si>
    <t>floor ht (mm) =</t>
  </si>
  <si>
    <t>Grade beam depth (mm)</t>
  </si>
  <si>
    <t>Note 1. Nothing in this sheet relates directly to the VBA code.</t>
  </si>
  <si>
    <t>Note 2. Results from here gets copied to GeneralInput sheet in a compact form and then VBA calls them from there.</t>
  </si>
  <si>
    <t>grav accn, g</t>
  </si>
  <si>
    <t>mm/sec^2</t>
  </si>
  <si>
    <t>Note 3. UDL calculation for the beam considers the effect of the finite sized-modeling of the joint. However, if joint is modeled as a zero length element,UDL shall be modified.</t>
  </si>
  <si>
    <t>Bay</t>
  </si>
  <si>
    <t>Wall material density</t>
  </si>
  <si>
    <t>kN/sqm</t>
  </si>
  <si>
    <t>Factor on beam self-weight due to transverse beam self-weight</t>
  </si>
  <si>
    <t>Ratio of exp to actual DL</t>
  </si>
  <si>
    <t>(Ellingwood, 1980)</t>
  </si>
  <si>
    <t>Ratio of exp to actual LL</t>
  </si>
  <si>
    <t>CHECK THE DOCUMENT FOR LIVE LOAD MORE THAN 3KPa.</t>
  </si>
  <si>
    <t>col offset for jt width</t>
  </si>
  <si>
    <t>1. Gravity Loads transferred to Beams  (transverse for beams)</t>
  </si>
  <si>
    <t>col offset</t>
  </si>
  <si>
    <t>row offset</t>
  </si>
  <si>
    <t>Note:- Loads coming on slabs of floor 2 needs to be applied by pasting formulae corresponding to FloorNum = 2, if framing allows for such load transfer. Generally this slab is plinth and hence loads on floor would not be transferred to the frame.</t>
  </si>
  <si>
    <r>
      <t xml:space="preserve">Bay No </t>
    </r>
    <r>
      <rPr>
        <b/>
        <sz val="14"/>
        <color rgb="FFFF0000"/>
        <rFont val="Calibri"/>
        <family val="2"/>
      </rPr>
      <t>→</t>
    </r>
  </si>
  <si>
    <t>Contribution to UDL</t>
  </si>
  <si>
    <t>FloorNum</t>
  </si>
  <si>
    <t>Slb Thk</t>
  </si>
  <si>
    <t>Tributary slab width</t>
  </si>
  <si>
    <t>Wall thickness</t>
  </si>
  <si>
    <t>Beam width</t>
  </si>
  <si>
    <t>Beam depth</t>
  </si>
  <si>
    <t>Wall height</t>
  </si>
  <si>
    <t>Avrg joint width for beam of this bay</t>
  </si>
  <si>
    <t>Slab SW</t>
  </si>
  <si>
    <t>Beam SW excl slab (including transverse beam)</t>
  </si>
  <si>
    <t>partition + MEP</t>
  </si>
  <si>
    <t>Masonry Wall</t>
  </si>
  <si>
    <t>Total UDL (w/ factor on UDL due to size of joint)</t>
  </si>
  <si>
    <t>Beam widtH</t>
  </si>
  <si>
    <t>(kN/sqm)</t>
  </si>
  <si>
    <t>(kN/m)</t>
  </si>
  <si>
    <t>Point load from gravity frame</t>
  </si>
  <si>
    <t>Sample calculation</t>
  </si>
  <si>
    <t>bayNum</t>
  </si>
  <si>
    <t>Equivalent area ratio</t>
  </si>
  <si>
    <t>(lateral/gravity)</t>
  </si>
  <si>
    <t>Point Load/floor</t>
  </si>
  <si>
    <t>bayWidth</t>
  </si>
  <si>
    <t>Beam udl</t>
  </si>
  <si>
    <t>kN/m</t>
  </si>
  <si>
    <t>Beam c/c span</t>
  </si>
  <si>
    <t>Column depth</t>
  </si>
  <si>
    <t>2. Gravity Loads transferred to Columns (axial loads for Columns). Either applied to columns themselves or to Leaning Frame.</t>
  </si>
  <si>
    <r>
      <t xml:space="preserve">Grid no </t>
    </r>
    <r>
      <rPr>
        <b/>
        <sz val="14"/>
        <color rgb="FFFF0000"/>
        <rFont val="Calibri"/>
        <family val="2"/>
      </rPr>
      <t>→</t>
    </r>
  </si>
  <si>
    <t>Col width</t>
  </si>
  <si>
    <t>Col depth</t>
  </si>
  <si>
    <t>Col Span</t>
  </si>
  <si>
    <t>beam depth left</t>
  </si>
  <si>
    <t>beam depth right</t>
  </si>
  <si>
    <t>SelfWeight</t>
  </si>
  <si>
    <t>Leaning point load</t>
  </si>
  <si>
    <t>3. Axial Load transferred to Columns</t>
  </si>
  <si>
    <t>Column offset for udl</t>
  </si>
  <si>
    <t>Lateral Load Resisting sys</t>
  </si>
  <si>
    <t>Space</t>
  </si>
  <si>
    <t>Gravity frame axial load is not part of the axial load on columns</t>
  </si>
  <si>
    <t>Avrg joint width for beam of bay to the left</t>
  </si>
  <si>
    <t>udl on beam- LEFT</t>
  </si>
  <si>
    <t>BayWidth- LEFT</t>
  </si>
  <si>
    <t>udl on beam- RIGHT</t>
  </si>
  <si>
    <t>BayWidth- RIGHT</t>
  </si>
  <si>
    <t>SelfWeight of col</t>
  </si>
  <si>
    <t>Axial Force on each floor</t>
  </si>
  <si>
    <t>Axial force in col</t>
  </si>
  <si>
    <t xml:space="preserve"> </t>
  </si>
  <si>
    <t>4. Mass at each JOINT</t>
  </si>
  <si>
    <t>Gravity frame loads are a part of the mass at each joint. [Expected mass considered]</t>
  </si>
  <si>
    <t>Mass at each joint</t>
  </si>
  <si>
    <t>(kN-s^2/mm)</t>
  </si>
  <si>
    <t>#</t>
  </si>
  <si>
    <t>Author-</t>
  </si>
  <si>
    <t>Prakash Singh</t>
  </si>
  <si>
    <t>from</t>
  </si>
  <si>
    <t>to</t>
  </si>
  <si>
    <t>Units-</t>
  </si>
  <si>
    <t>kN, mm, sec</t>
  </si>
  <si>
    <t>Mat</t>
  </si>
  <si>
    <t>Joint Shear Panel Material</t>
  </si>
  <si>
    <t>Description-</t>
  </si>
  <si>
    <t>5 Storey office building</t>
  </si>
  <si>
    <t>Ibarra material in Column</t>
  </si>
  <si>
    <t>Date-</t>
  </si>
  <si>
    <t>Ibarra material in Beam</t>
  </si>
  <si>
    <t xml:space="preserve">Note the diff in Myp &amp; Myn </t>
  </si>
  <si>
    <t>1. General Inputs</t>
  </si>
  <si>
    <t>Footing rotational stiffness material</t>
  </si>
  <si>
    <t>based on last digit</t>
  </si>
  <si>
    <t>Building Id:</t>
  </si>
  <si>
    <t>LimitCurve Shear</t>
  </si>
  <si>
    <t>No of stories:</t>
  </si>
  <si>
    <t>LimitState Shear Column Material Tag</t>
  </si>
  <si>
    <t>No of Bays:</t>
  </si>
  <si>
    <t>Nodes</t>
  </si>
  <si>
    <t>Nodes at base</t>
  </si>
  <si>
    <t>Nodes around joints in primary dframe</t>
  </si>
  <si>
    <t>v1</t>
  </si>
  <si>
    <t>Seismic force as per:</t>
  </si>
  <si>
    <t>For stiffness of the members,</t>
  </si>
  <si>
    <t>Nodes of gravity column</t>
  </si>
  <si>
    <t>e'vals</t>
  </si>
  <si>
    <t>Detailing as per:</t>
  </si>
  <si>
    <t>Use</t>
  </si>
  <si>
    <t>etc.</t>
  </si>
  <si>
    <t>Series of nodes added for shear hinge</t>
  </si>
  <si>
    <t>TimePer</t>
  </si>
  <si>
    <t>Design SCWB factor:</t>
  </si>
  <si>
    <t>Stiffness</t>
  </si>
  <si>
    <t>EI_stf40</t>
  </si>
  <si>
    <t>Ele</t>
  </si>
  <si>
    <t>Column elements elasticbeamcolumn</t>
  </si>
  <si>
    <t>Dampin defined</t>
  </si>
  <si>
    <t>Eqn Type</t>
  </si>
  <si>
    <t>Full</t>
  </si>
  <si>
    <t>Beam elements elasticbeamcolumn</t>
  </si>
  <si>
    <t>v2</t>
  </si>
  <si>
    <t>Column base rotational spring</t>
  </si>
  <si>
    <r>
      <t>Col conc grade, f</t>
    </r>
    <r>
      <rPr>
        <vertAlign val="subscript"/>
        <sz val="11"/>
        <color theme="1"/>
        <rFont val="Calibri"/>
        <family val="2"/>
        <scheme val="minor"/>
      </rPr>
      <t>ck</t>
    </r>
  </si>
  <si>
    <t>BeamColumn joint</t>
  </si>
  <si>
    <t>v3</t>
  </si>
  <si>
    <t>Col conc Expected:</t>
  </si>
  <si>
    <t>(Use IS 456, mu + 1.645*sig)</t>
  </si>
  <si>
    <t>Leaning Column</t>
  </si>
  <si>
    <r>
      <t>Beam conc grade, f</t>
    </r>
    <r>
      <rPr>
        <vertAlign val="subscript"/>
        <sz val="11"/>
        <color theme="1"/>
        <rFont val="Calibri"/>
        <family val="2"/>
        <scheme val="minor"/>
      </rPr>
      <t>ck</t>
    </r>
  </si>
  <si>
    <t>Horizontal Rigid link for leaning col</t>
  </si>
  <si>
    <t>Beam conc Expected:</t>
  </si>
  <si>
    <r>
      <t>(per section 3.4.2 of PEER/ATC 72-1, f</t>
    </r>
    <r>
      <rPr>
        <i/>
        <vertAlign val="subscript"/>
        <sz val="11"/>
        <color theme="1"/>
        <rFont val="Calibri"/>
        <family val="2"/>
        <scheme val="minor"/>
      </rPr>
      <t>cp,exp</t>
    </r>
    <r>
      <rPr>
        <i/>
        <sz val="11"/>
        <color theme="1"/>
        <rFont val="Calibri"/>
        <family val="2"/>
        <scheme val="minor"/>
      </rPr>
      <t xml:space="preserve"> = 1.25 f</t>
    </r>
    <r>
      <rPr>
        <i/>
        <vertAlign val="subscript"/>
        <sz val="11"/>
        <color theme="1"/>
        <rFont val="Calibri"/>
        <family val="2"/>
        <scheme val="minor"/>
      </rPr>
      <t>cp</t>
    </r>
    <r>
      <rPr>
        <i/>
        <sz val="11"/>
        <color theme="1"/>
        <rFont val="Calibri"/>
        <family val="2"/>
        <scheme val="minor"/>
      </rPr>
      <t>)</t>
    </r>
  </si>
  <si>
    <t>Shear Hinge at top of the col</t>
  </si>
  <si>
    <t>V3rev</t>
  </si>
  <si>
    <r>
      <t>ACI has 4700 for f</t>
    </r>
    <r>
      <rPr>
        <b/>
        <vertAlign val="subscript"/>
        <sz val="11"/>
        <color rgb="FFFF0000"/>
        <rFont val="Calibri"/>
        <family val="2"/>
        <scheme val="minor"/>
      </rPr>
      <t>c</t>
    </r>
    <r>
      <rPr>
        <b/>
        <sz val="11"/>
        <color rgb="FFFF0000"/>
        <rFont val="Calibri"/>
        <family val="2"/>
        <scheme val="minor"/>
      </rPr>
      <t>'. Converting to f</t>
    </r>
    <r>
      <rPr>
        <b/>
        <vertAlign val="subscript"/>
        <sz val="11"/>
        <color rgb="FFFF0000"/>
        <rFont val="Calibri"/>
        <family val="2"/>
        <scheme val="minor"/>
      </rPr>
      <t>ck</t>
    </r>
    <r>
      <rPr>
        <b/>
        <sz val="11"/>
        <color rgb="FFFF0000"/>
        <rFont val="Calibri"/>
        <family val="2"/>
        <scheme val="minor"/>
      </rPr>
      <t xml:space="preserve"> gives 4200. </t>
    </r>
  </si>
  <si>
    <t>3. Sample Pushover lateral force distributions</t>
  </si>
  <si>
    <r>
      <t>E_conc</t>
    </r>
    <r>
      <rPr>
        <sz val="11"/>
        <color theme="1"/>
        <rFont val="Calibri"/>
        <family val="2"/>
        <scheme val="minor"/>
      </rPr>
      <t xml:space="preserve"> (MPa):</t>
    </r>
  </si>
  <si>
    <r>
      <t>√f</t>
    </r>
    <r>
      <rPr>
        <vertAlign val="subscript"/>
        <sz val="11"/>
        <color theme="1"/>
        <rFont val="Calibri"/>
        <family val="2"/>
        <scheme val="minor"/>
      </rPr>
      <t>ck</t>
    </r>
  </si>
  <si>
    <t>(Being consistent, for assessment, expected strength is used here as well)</t>
  </si>
  <si>
    <t>T =</t>
  </si>
  <si>
    <r>
      <t>ε</t>
    </r>
    <r>
      <rPr>
        <vertAlign val="subscript"/>
        <sz val="10"/>
        <rFont val="Courier"/>
        <family val="3"/>
      </rPr>
      <t>cu</t>
    </r>
  </si>
  <si>
    <t>concUltStrain</t>
  </si>
  <si>
    <t>(May change to 0.0035 or smth else based on IS)</t>
  </si>
  <si>
    <t>k =</t>
  </si>
  <si>
    <t>IS 1893-2002</t>
  </si>
  <si>
    <t>numStory</t>
  </si>
  <si>
    <t>numBay</t>
  </si>
  <si>
    <t>RowOffset</t>
  </si>
  <si>
    <t>(Using 4200, coz Fardis Panagiotakos uses it)</t>
  </si>
  <si>
    <t>Conc MRF</t>
  </si>
  <si>
    <t>(empirical) [Not to be used]</t>
  </si>
  <si>
    <t>Col_Stiffness</t>
  </si>
  <si>
    <t>Grid-</t>
  </si>
  <si>
    <t>Long steel grade:</t>
  </si>
  <si>
    <t>floor</t>
  </si>
  <si>
    <t>ht (mm)</t>
  </si>
  <si>
    <t>relative mass</t>
  </si>
  <si>
    <t>cum ht</t>
  </si>
  <si>
    <t>force ratio</t>
  </si>
  <si>
    <t>Only the force ratio is input for SPO</t>
  </si>
  <si>
    <t>Level = story+1</t>
  </si>
  <si>
    <t>K_story</t>
  </si>
  <si>
    <t>Story-</t>
  </si>
  <si>
    <t>Long steel expected str:</t>
  </si>
  <si>
    <t>(section 3.4.2 of PEER/ATC 72-1)</t>
  </si>
  <si>
    <t>load</t>
  </si>
  <si>
    <t>Transverse steel grade:</t>
  </si>
  <si>
    <t>Trans steel expected str:</t>
  </si>
  <si>
    <t>Es:</t>
  </si>
  <si>
    <r>
      <t>a</t>
    </r>
    <r>
      <rPr>
        <vertAlign val="subscript"/>
        <sz val="11"/>
        <color theme="1"/>
        <rFont val="Calibri"/>
        <family val="2"/>
        <scheme val="minor"/>
      </rPr>
      <t>sl</t>
    </r>
    <r>
      <rPr>
        <sz val="11"/>
        <color theme="1"/>
        <rFont val="Calibri"/>
        <family val="2"/>
        <scheme val="minor"/>
      </rPr>
      <t xml:space="preserve"> in Column</t>
    </r>
  </si>
  <si>
    <t>Bond-slip indictor variable, 1- slip is possible. 0- slip is not possible</t>
  </si>
  <si>
    <r>
      <t>a</t>
    </r>
    <r>
      <rPr>
        <vertAlign val="subscript"/>
        <sz val="11"/>
        <color theme="1"/>
        <rFont val="Calibri"/>
        <family val="2"/>
        <scheme val="minor"/>
      </rPr>
      <t>sl</t>
    </r>
    <r>
      <rPr>
        <sz val="11"/>
        <color theme="1"/>
        <rFont val="Calibri"/>
        <family val="2"/>
        <scheme val="minor"/>
      </rPr>
      <t xml:space="preserve"> in Beam</t>
    </r>
  </si>
  <si>
    <t>clearCover in Col</t>
  </si>
  <si>
    <t xml:space="preserve">clearCover in Beam </t>
  </si>
  <si>
    <t>matTagForUnconnectedHinge</t>
  </si>
  <si>
    <t>49999 implies an elastic bond-slip test material. 0 implies rigid connection.</t>
  </si>
  <si>
    <t>crackShearStrain</t>
  </si>
  <si>
    <t>modelLeaningFrame</t>
  </si>
  <si>
    <t>1- yes, model it. 0- No, don't model it.</t>
  </si>
  <si>
    <t>Grade Beam depth</t>
  </si>
  <si>
    <t>Basement Column Height</t>
  </si>
  <si>
    <t>ratioOfShearStrengthAtCracking</t>
  </si>
  <si>
    <t>residualShearStrengthRatio</t>
  </si>
  <si>
    <t>mu_disp</t>
  </si>
  <si>
    <r>
      <t xml:space="preserve">(Displacement Ductility See Fig 2.4 of Elwood Moehle (2003) PEER report) </t>
    </r>
    <r>
      <rPr>
        <b/>
        <u/>
        <sz val="11"/>
        <color theme="1"/>
        <rFont val="Calibri"/>
        <family val="2"/>
        <scheme val="minor"/>
      </rPr>
      <t>For now keeping this same as RRF value i.e. 3 for OMRF and 5 for SMRF</t>
    </r>
  </si>
  <si>
    <t>nu</t>
  </si>
  <si>
    <t>Poisson ratio of concrete</t>
  </si>
  <si>
    <t>pinchingInShearForce</t>
  </si>
  <si>
    <t>pinchingInShearDefo</t>
  </si>
  <si>
    <t>2.1 Gravity Loads transferred to Beams</t>
  </si>
  <si>
    <t>2.2 Gravity Loads transferred to Columns. Either applied to columns themselves or to Leaning Frame.</t>
  </si>
  <si>
    <t>(transverse for beams). (beam, slab selfweight and all loads applied on tributary slab width).</t>
  </si>
  <si>
    <t xml:space="preserve"> (axial loads for Columns). (Column selfWeight &amp; Gravity frame loads (for perimeter frames, if any))</t>
  </si>
  <si>
    <t>Tot Beam Load (kN)</t>
  </si>
  <si>
    <t>BayWidth (mm)</t>
  </si>
  <si>
    <t>UDL on Beams (kN/mm)</t>
  </si>
  <si>
    <t>Point load on Columns (kN)</t>
  </si>
  <si>
    <t>LeanPointLoad</t>
  </si>
  <si>
    <r>
      <t xml:space="preserve">Floor </t>
    </r>
    <r>
      <rPr>
        <b/>
        <sz val="11"/>
        <color theme="1"/>
        <rFont val="Calibri"/>
        <family val="2"/>
      </rPr>
      <t>↓</t>
    </r>
  </si>
  <si>
    <t>\alpha_h</t>
  </si>
  <si>
    <t>seismic wt</t>
  </si>
  <si>
    <t>manual EQX</t>
  </si>
  <si>
    <t>TOTAL MASS</t>
  </si>
  <si>
    <t>kN/(mm/sec^2)</t>
  </si>
  <si>
    <t>ETABS EQY</t>
  </si>
  <si>
    <t>2.3 Axial Loads in columns</t>
  </si>
  <si>
    <t>2.4 Mass at joints</t>
  </si>
  <si>
    <t>Per Frame</t>
  </si>
  <si>
    <t>SPO V_max</t>
  </si>
  <si>
    <t>Static overstrength</t>
  </si>
  <si>
    <t>Axial load in Colums (kN)</t>
  </si>
  <si>
    <t>Mass at joints (kN-sec^2/mm)</t>
  </si>
  <si>
    <t>2.3.1 Axial Load Ratios in columns</t>
  </si>
  <si>
    <t>Axial load ratio in Colums (P / Ag fck)</t>
  </si>
  <si>
    <t>Colum size (mm)</t>
  </si>
  <si>
    <t>Tabel 4-7, FEMA 356</t>
  </si>
  <si>
    <r>
      <t>Effective shear modulus ratio (G/G</t>
    </r>
    <r>
      <rPr>
        <b/>
        <vertAlign val="subscript"/>
        <sz val="11"/>
        <color theme="1"/>
        <rFont val="Calibri"/>
        <family val="2"/>
        <scheme val="minor"/>
      </rPr>
      <t>o</t>
    </r>
    <r>
      <rPr>
        <b/>
        <sz val="11"/>
        <color theme="1"/>
        <rFont val="Calibri"/>
        <family val="2"/>
        <scheme val="minor"/>
      </rPr>
      <t xml:space="preserve">) </t>
    </r>
  </si>
  <si>
    <t>Tabel 20.3-1, ASCE 7-10</t>
  </si>
  <si>
    <t>NEHRP soil classification</t>
  </si>
  <si>
    <r>
      <t xml:space="preserve">  Effective Peak Ground Acceleration, S</t>
    </r>
    <r>
      <rPr>
        <b/>
        <vertAlign val="subscript"/>
        <sz val="11"/>
        <color theme="1"/>
        <rFont val="Calibri"/>
        <family val="2"/>
        <scheme val="minor"/>
      </rPr>
      <t>XS</t>
    </r>
    <r>
      <rPr>
        <b/>
        <sz val="11"/>
        <color theme="1"/>
        <rFont val="Calibri"/>
        <family val="2"/>
        <scheme val="minor"/>
      </rPr>
      <t>/2.5</t>
    </r>
  </si>
  <si>
    <t>Site class</t>
  </si>
  <si>
    <r>
      <t>V</t>
    </r>
    <r>
      <rPr>
        <b/>
        <vertAlign val="subscript"/>
        <sz val="11"/>
        <color theme="1"/>
        <rFont val="Calibri"/>
        <family val="2"/>
        <scheme val="minor"/>
      </rPr>
      <t>s</t>
    </r>
    <r>
      <rPr>
        <b/>
        <sz val="11"/>
        <color theme="1"/>
        <rFont val="Calibri"/>
        <family val="2"/>
        <scheme val="minor"/>
      </rPr>
      <t xml:space="preserve"> (m/sec)</t>
    </r>
  </si>
  <si>
    <t>A</t>
  </si>
  <si>
    <t>Hard Rock</t>
  </si>
  <si>
    <t>Rock</t>
  </si>
  <si>
    <t>C</t>
  </si>
  <si>
    <t>Very dense soil and soft rock</t>
  </si>
  <si>
    <t>D</t>
  </si>
  <si>
    <t>stiff soil</t>
  </si>
  <si>
    <t>E</t>
  </si>
  <si>
    <t>soft clay soil</t>
  </si>
  <si>
    <t>&lt; 180</t>
  </si>
  <si>
    <t>Foundation size approximation</t>
  </si>
  <si>
    <t>Assumed SBC</t>
  </si>
  <si>
    <t>kN/m2</t>
  </si>
  <si>
    <t>LL-factor</t>
  </si>
  <si>
    <r>
      <t>S</t>
    </r>
    <r>
      <rPr>
        <b/>
        <vertAlign val="subscript"/>
        <sz val="11"/>
        <color theme="1"/>
        <rFont val="Calibri"/>
        <family val="2"/>
        <scheme val="minor"/>
      </rPr>
      <t>XS</t>
    </r>
    <r>
      <rPr>
        <b/>
        <sz val="11"/>
        <color theme="1"/>
        <rFont val="Calibri"/>
        <family val="2"/>
        <scheme val="minor"/>
      </rPr>
      <t>/2.5 (g)</t>
    </r>
  </si>
  <si>
    <t>Soil class</t>
  </si>
  <si>
    <t>w_LL (kPa)</t>
  </si>
  <si>
    <t>LL contr. (kN)</t>
  </si>
  <si>
    <t>w_DL (kPa)</t>
  </si>
  <si>
    <t>1DL + 1LL (kN)</t>
  </si>
  <si>
    <t>Approx size (mm)</t>
  </si>
  <si>
    <t>Max axial load (EXT.)</t>
  </si>
  <si>
    <t>Max axial load (INT.)</t>
  </si>
  <si>
    <t>1. SOIL AND FOUNDATION STIFFNESS</t>
  </si>
  <si>
    <r>
      <t xml:space="preserve">(sec 3.3.3, Haselton et al, PEER (2007) </t>
    </r>
    <r>
      <rPr>
        <i/>
        <sz val="11"/>
        <color theme="1"/>
        <rFont val="Calibri"/>
        <family val="2"/>
        <scheme val="minor"/>
      </rPr>
      <t>An Assessment to Benchmark…</t>
    </r>
    <r>
      <rPr>
        <sz val="11"/>
        <color theme="1"/>
        <rFont val="Calibri"/>
        <family val="2"/>
        <scheme val="minor"/>
      </rPr>
      <t>)</t>
    </r>
  </si>
  <si>
    <t>Rotation</t>
  </si>
  <si>
    <t>Translation</t>
  </si>
  <si>
    <r>
      <t>Sand and silt (</t>
    </r>
    <r>
      <rPr>
        <b/>
        <sz val="11"/>
        <color theme="1"/>
        <rFont val="Calibri"/>
        <family val="2"/>
      </rPr>
      <t xml:space="preserve">ρ </t>
    </r>
    <r>
      <rPr>
        <b/>
        <sz val="11"/>
        <color theme="1"/>
        <rFont val="Calibri"/>
        <family val="2"/>
        <scheme val="minor"/>
      </rPr>
      <t>assumed)</t>
    </r>
  </si>
  <si>
    <t>Shear wave velocity</t>
  </si>
  <si>
    <t>Initial shear modulus</t>
  </si>
  <si>
    <t>L &gt; B</t>
  </si>
  <si>
    <t>FEMA 356 &amp; ASCE 41</t>
  </si>
  <si>
    <t>ATC-40</t>
  </si>
  <si>
    <t>r</t>
  </si>
  <si>
    <t>Vs</t>
  </si>
  <si>
    <r>
      <t>G</t>
    </r>
    <r>
      <rPr>
        <b/>
        <vertAlign val="subscript"/>
        <sz val="11"/>
        <color theme="1"/>
        <rFont val="Calibri"/>
        <family val="2"/>
        <scheme val="minor"/>
      </rPr>
      <t>o</t>
    </r>
  </si>
  <si>
    <r>
      <t>G / G</t>
    </r>
    <r>
      <rPr>
        <b/>
        <vertAlign val="subscript"/>
        <sz val="11"/>
        <color theme="1"/>
        <rFont val="Calibri"/>
        <family val="2"/>
        <scheme val="minor"/>
      </rPr>
      <t>o</t>
    </r>
  </si>
  <si>
    <t>G</t>
  </si>
  <si>
    <t>n</t>
  </si>
  <si>
    <t>L</t>
  </si>
  <si>
    <t>Kxx</t>
  </si>
  <si>
    <t>Kyy</t>
  </si>
  <si>
    <t>Kx</t>
  </si>
  <si>
    <t>Ky</t>
  </si>
  <si>
    <t>embedment factor</t>
  </si>
  <si>
    <t xml:space="preserve">Kyy With embedment </t>
  </si>
  <si>
    <t>(Mg/m^3)</t>
  </si>
  <si>
    <t>(m/sec)</t>
  </si>
  <si>
    <t>(kPa)</t>
  </si>
  <si>
    <t>(kN-mm)</t>
  </si>
  <si>
    <t>(kN/mm)</t>
  </si>
  <si>
    <t>2. GRADE BEAM AND BASEMENT COLUMN STIFFNESS</t>
  </si>
  <si>
    <t>3a. SOIL STIFFNESS</t>
  </si>
  <si>
    <t>Grade Beam</t>
  </si>
  <si>
    <t>Basement Col</t>
  </si>
  <si>
    <t>Soil</t>
  </si>
  <si>
    <t>Total</t>
  </si>
  <si>
    <t>b (mm)</t>
  </si>
  <si>
    <t>H (mm)</t>
  </si>
  <si>
    <t>E (MPa)</t>
  </si>
  <si>
    <t>I (mm^4)</t>
  </si>
  <si>
    <t>L (mm)</t>
  </si>
  <si>
    <t>K (kN-mm)</t>
  </si>
  <si>
    <t>axial load rat</t>
  </si>
  <si>
    <t>3b. ALTERNATURE PROCEDURE FOR SOIL STIFFNESS</t>
  </si>
  <si>
    <t>normalized Value</t>
  </si>
  <si>
    <t>Coeff of subgrade reaction</t>
  </si>
  <si>
    <t>footing on soil</t>
  </si>
  <si>
    <t>B (mm)</t>
  </si>
  <si>
    <t>I_f (mm^4)</t>
  </si>
  <si>
    <t>SBC (kPa)</t>
  </si>
  <si>
    <t>SBC (psf)</t>
  </si>
  <si>
    <t>ks (kN/m^3)</t>
  </si>
  <si>
    <t>Kf (kN-mm)</t>
  </si>
  <si>
    <t>Fitted using cftool of MATLAB ®</t>
  </si>
  <si>
    <t>p1 =</t>
  </si>
  <si>
    <t>p2 =</t>
  </si>
  <si>
    <t>p3 =</t>
  </si>
  <si>
    <t xml:space="preserve"> p4 =       </t>
  </si>
  <si>
    <t>p5 =</t>
  </si>
  <si>
    <t>p6 =</t>
  </si>
  <si>
    <t>p7 =</t>
  </si>
  <si>
    <t>mean_x =</t>
  </si>
  <si>
    <t>stdev_x =</t>
  </si>
  <si>
    <t>(in)</t>
  </si>
  <si>
    <t>(kips-in)</t>
  </si>
  <si>
    <t>(kips/in)</t>
  </si>
  <si>
    <t>(psi)</t>
  </si>
  <si>
    <t>(ft)</t>
  </si>
  <si>
    <t>b (in)</t>
  </si>
  <si>
    <t>H (in)</t>
  </si>
  <si>
    <t>E (ksi)</t>
  </si>
  <si>
    <t>I (in^4)</t>
  </si>
  <si>
    <t>L (in)</t>
  </si>
  <si>
    <t>K (kips-in)</t>
  </si>
  <si>
    <t>TO RUN VBA CODE LIGHTNING FAST, CHANGE THE FORMULA -&gt; CALCULATION OPTIONS -&gt; MANUAL</t>
  </si>
  <si>
    <t>Checks-</t>
  </si>
  <si>
    <r>
      <t xml:space="preserve">1. Verify all general inputs in sheet </t>
    </r>
    <r>
      <rPr>
        <b/>
        <i/>
        <sz val="11"/>
        <color theme="1"/>
        <rFont val="Calibri"/>
        <family val="2"/>
        <scheme val="minor"/>
      </rPr>
      <t>GeneralInput</t>
    </r>
    <r>
      <rPr>
        <sz val="11"/>
        <color theme="1"/>
        <rFont val="Calibri"/>
        <family val="2"/>
        <scheme val="minor"/>
      </rPr>
      <t>.</t>
    </r>
  </si>
  <si>
    <r>
      <t xml:space="preserve">2. Verify load data in sheet </t>
    </r>
    <r>
      <rPr>
        <b/>
        <i/>
        <sz val="11"/>
        <color theme="1"/>
        <rFont val="Calibri"/>
        <family val="2"/>
        <scheme val="minor"/>
      </rPr>
      <t>LOAD_DATA</t>
    </r>
    <r>
      <rPr>
        <sz val="11"/>
        <color theme="1"/>
        <rFont val="Calibri"/>
        <family val="2"/>
        <scheme val="minor"/>
      </rPr>
      <t>.</t>
    </r>
  </si>
  <si>
    <r>
      <t xml:space="preserve">3. Input  in section #3, the foundation stiffness from reference in sheet </t>
    </r>
    <r>
      <rPr>
        <b/>
        <i/>
        <sz val="11"/>
        <color theme="1"/>
        <rFont val="Calibri"/>
        <family val="2"/>
        <scheme val="minor"/>
      </rPr>
      <t>FDN_STIFFNESS.</t>
    </r>
  </si>
  <si>
    <t>Factor on joint strength</t>
  </si>
  <si>
    <t>FileNameToSave (NOT IN USE):</t>
  </si>
  <si>
    <t>E:\MyOPENSEES\THESIS\MyCode\modelCode.tcl</t>
  </si>
  <si>
    <t>Strain at yield</t>
  </si>
  <si>
    <t>strain at cap</t>
  </si>
  <si>
    <t># The model code below is for Haselton model (Only flexural springs)</t>
  </si>
  <si>
    <t xml:space="preserve"># 1. Shear Panel Material </t>
  </si>
  <si>
    <t># Define Joint Shear Panel Materials</t>
  </si>
  <si>
    <t>Elastic</t>
  </si>
  <si>
    <t>matTag</t>
  </si>
  <si>
    <t>Force-Defo_Slope</t>
  </si>
  <si>
    <t>uniaxialMaterial</t>
  </si>
  <si>
    <t>################################################################</t>
  </si>
  <si>
    <t># 2a. Ibarra-Medina-Krawinkler Material for Column Joints</t>
  </si>
  <si>
    <t># Define the Column Plastic Hinge Materials</t>
  </si>
  <si>
    <t>EIeff</t>
  </si>
  <si>
    <t>mYPos</t>
  </si>
  <si>
    <t>mYNeg</t>
  </si>
  <si>
    <t>mcOverMy</t>
  </si>
  <si>
    <t>thetaCapPos</t>
  </si>
  <si>
    <t>thetaCapNeg</t>
  </si>
  <si>
    <t>thetaPC</t>
  </si>
  <si>
    <t>lambda</t>
  </si>
  <si>
    <t>c</t>
  </si>
  <si>
    <t>resStrRatio</t>
  </si>
  <si>
    <t>stiffFactor1</t>
  </si>
  <si>
    <t>stiffFactor2</t>
  </si>
  <si>
    <t>eleLength</t>
  </si>
  <si>
    <t>CreateIbarraMaterial</t>
  </si>
  <si>
    <t>$c</t>
  </si>
  <si>
    <t>$resStrRatio</t>
  </si>
  <si>
    <t>$stiffFactor1</t>
  </si>
  <si>
    <t>$stiffFactor2</t>
  </si>
  <si>
    <t># 2b. Ibarra-Medina-Krawinkler Material for Beam Joints</t>
  </si>
  <si>
    <t># Define the Beam Plastic Hinge Materials</t>
  </si>
  <si>
    <t># 3. Footing rotational stiffness</t>
  </si>
  <si>
    <t># Define the Elastic Footing Rotational Stiffness Materials (this is supposed to include link beam and footing-soil stiffness)</t>
  </si>
  <si>
    <t># 4. Define Nodes</t>
  </si>
  <si>
    <t># Define the Footing nodes</t>
  </si>
  <si>
    <t>nodeTag</t>
  </si>
  <si>
    <t>X</t>
  </si>
  <si>
    <t>Y</t>
  </si>
  <si>
    <t>node</t>
  </si>
  <si>
    <t># Define Joint nodes</t>
  </si>
  <si>
    <t># Define the leaning column nodes</t>
  </si>
  <si>
    <t># 5. Define the node fixities</t>
  </si>
  <si>
    <t>DX</t>
  </si>
  <si>
    <t>DY</t>
  </si>
  <si>
    <t>RZ</t>
  </si>
  <si>
    <t>fix</t>
  </si>
  <si>
    <t># Define the leaning column node fixity</t>
  </si>
  <si>
    <t># 6. DEFINE ELEMENTS</t>
  </si>
  <si>
    <t># 6a. Elastic Column elements</t>
  </si>
  <si>
    <t>$eleTag</t>
  </si>
  <si>
    <t>$iNode</t>
  </si>
  <si>
    <t>$jNode</t>
  </si>
  <si>
    <t>$A</t>
  </si>
  <si>
    <t>$E</t>
  </si>
  <si>
    <t>$Iz</t>
  </si>
  <si>
    <t>$transfTag</t>
  </si>
  <si>
    <t>element</t>
  </si>
  <si>
    <t>elasticBeamColumn</t>
  </si>
  <si>
    <t>$primaryGeomTransT</t>
  </si>
  <si>
    <t># 6b. Elastic Beam elements</t>
  </si>
  <si>
    <t># 6c. Define the column base rotational spring</t>
  </si>
  <si>
    <t>eleID</t>
  </si>
  <si>
    <t>nodeLeft</t>
  </si>
  <si>
    <t>nodeRight</t>
  </si>
  <si>
    <t>matID</t>
  </si>
  <si>
    <t>rotSpring2D</t>
  </si>
  <si>
    <t># 6d. Define the Joint elements</t>
  </si>
  <si>
    <t>$Nd1</t>
  </si>
  <si>
    <t>$Nd2</t>
  </si>
  <si>
    <t>$Nd3</t>
  </si>
  <si>
    <t>$Nd4</t>
  </si>
  <si>
    <t>$NdC</t>
  </si>
  <si>
    <t>$Mat1</t>
  </si>
  <si>
    <t>$Mat2</t>
  </si>
  <si>
    <t>$Mat3</t>
  </si>
  <si>
    <t>$Mat4</t>
  </si>
  <si>
    <t>$MatC</t>
  </si>
  <si>
    <t>$LrgDspTag</t>
  </si>
  <si>
    <t>Joint2D</t>
  </si>
  <si>
    <t>$lrgDsp</t>
  </si>
  <si>
    <t># 6e. Define the leaning frame elements</t>
  </si>
  <si>
    <t>$A_strut</t>
  </si>
  <si>
    <t>$E_strut</t>
  </si>
  <si>
    <t>$IOfZero</t>
  </si>
  <si>
    <t>$I_strut</t>
  </si>
  <si>
    <t>## consider changing nodes for connecting leaning columns from 208043 etc. to 208048 etc. This may improve the convergence.</t>
  </si>
  <si>
    <t>truss</t>
  </si>
  <si>
    <t>$strutMatT</t>
  </si>
  <si>
    <t xml:space="preserve"># 7. Define Gravity Loads </t>
  </si>
  <si>
    <t>pattern Plain 1 Linear {</t>
  </si>
  <si>
    <t># 7a. udl on the beams</t>
  </si>
  <si>
    <t>eleLoad -ele</t>
  </si>
  <si>
    <t>-type -beamUniform</t>
  </si>
  <si>
    <t xml:space="preserve"># 7b. Leaning Column Point Loads </t>
  </si>
  <si>
    <t>M</t>
  </si>
  <si>
    <t>}</t>
  </si>
  <si>
    <t># 8. Define Masses (kN-sec^2 / mm)</t>
  </si>
  <si>
    <t># 8a. Define small masses at all nodes as column-foundation connection</t>
  </si>
  <si>
    <t>mass</t>
  </si>
  <si>
    <t>[expr $smallMass1]</t>
  </si>
  <si>
    <t>[expr $smallMass2]</t>
  </si>
  <si>
    <t>[expr $smallMass3]</t>
  </si>
  <si>
    <t># 8b. Define the Building mass</t>
  </si>
  <si>
    <t># 9. Define Damping</t>
  </si>
  <si>
    <t># Conventional Rayleight damping (as of now, 3-4-16, PSB)</t>
  </si>
  <si>
    <t># Define damping for all beams and all columns (i.e. elastic elements), but not on the joints b/c they have the nonlinearity in them.  This is the approach proposed by Medina.  Compute the damping paramters based on Chopra text page 457.</t>
  </si>
  <si>
    <t># Compute the circular frequencies for the fundamental period and the extended second period (which will be the two periods used for Rayleigh damping)</t>
  </si>
  <si>
    <t>#    set omegaI [expr (2.0 * $pi) / $periodForRayleighDamping_1];</t>
  </si>
  <si>
    <t>#    set omegaJ [expr (2.0 * $pi) / ($periodForRayleighDamping_2)];</t>
  </si>
  <si>
    <t># Compute the "a" coeffients for the matrices.  Notice that by Chopra's notation: (aZero = dampRat*alpha1Coeff)</t>
  </si>
  <si>
    <t># and (aOne = dampRat*alpha2Coeff)</t>
  </si>
  <si>
    <t># Summary: C = alpha1Coeff * dampRat * M + alpha2Coeff * dampRat * K</t>
  </si>
  <si>
    <t>#    set alpha1Coeff [expr (2.0 * $omegaI * $omegaJ) / ($omegaI + $omegaJ)];</t>
  </si>
  <si>
    <t>#    set alpha2Coeff [expr (2.0) / ($omegaI + $omegaJ)];</t>
  </si>
  <si>
    <t># Checks:</t>
  </si>
  <si>
    <t>#    puts "alpha1Coeff is $alpha1Coeff"</t>
  </si>
  <si>
    <t>#    puts "alpha2Coeff is $alpha2Coeff"</t>
  </si>
  <si>
    <t># Compute the damping coefficients from the input dampingRatio values</t>
  </si>
  <si>
    <t>#   set alpha1  [expr $alpha1Coeff * $dampRat * $dampRatF]</t>
  </si>
  <si>
    <t>#   set alpha2  [expr $alpha2Coeff * $dampRat * $dampRatF]</t>
  </si>
  <si>
    <t>set omegaI [expr (2.0 * $pi) / $periodForRayleighDamping_1]</t>
  </si>
  <si>
    <t>set omegaJ [expr (2.0 * $pi) / ($periodForRayleighDamping_2)]</t>
  </si>
  <si>
    <t>set alpha1Coeff [expr (2.0 * $omegaI * $omegaJ) / ($omegaI + $omegaJ)]</t>
  </si>
  <si>
    <t>set alpha2Coeff [expr (2.0) / ($omegaI + $omegaJ)]</t>
  </si>
  <si>
    <t>set alpha1  [expr $alpha1Coeff * $dampRat * $dampRatF]</t>
  </si>
  <si>
    <t>set alpha2  [expr $alpha2Coeff * $dampRat * $dampRatF]</t>
  </si>
  <si>
    <t>set alpha2ToUse [expr 1.1 * $alpha2];   # 1.1 factor is becuase we apply to only LE elements</t>
  </si>
  <si>
    <t>region 1 -eleRange  20201 30504 -rayleigh $alpha1 0 $alpha2ToUse 0;    # Initial stiffness</t>
  </si>
  <si>
    <t># 10. Define Stuffs to records etc. and few analysis options</t>
  </si>
  <si>
    <t># Define control nodes for monotonic and cyclic pushover - at top of leaning column</t>
  </si>
  <si>
    <t>set poControlNodeNum 306</t>
  </si>
  <si>
    <t>set poControlNodeNumCyclic 306</t>
  </si>
  <si>
    <t># Define a list of element numbers to record - record the columns or primary frame and leaning column - these are used for computing base shear and story shear</t>
  </si>
  <si>
    <t xml:space="preserve">set elementNumToRecordLIST { </t>
  </si>
  <si>
    <t># Define a list of joint numbers to record - all joints of primary frame</t>
  </si>
  <si>
    <t xml:space="preserve">set jointNumToRecordLIST { </t>
  </si>
  <si>
    <t># Define a list of node numbers to record - top/bottom node of joint in left column of each floor, leaning column nodes, base spring nodes</t>
  </si>
  <si>
    <t xml:space="preserve">set nodeNumToRecordLIST { </t>
  </si>
  <si>
    <t># Define a list of hinge elements to record - these are the springs at the base of the columns (elastic foundation + column PH)</t>
  </si>
  <si>
    <t xml:space="preserve">set hingeElementsToRecordLIST  { </t>
  </si>
  <si>
    <t># Define a list of column numbers at the base of the frame (including the leaning column); this is for base shear calculations</t>
  </si>
  <si>
    <t xml:space="preserve">set columnNumsAtBaseLIST { </t>
  </si>
  <si>
    <t># Define a list of column numbers at each story (including the leaning column); this is for story shear calculations</t>
  </si>
  <si>
    <t xml:space="preserve"> set columnNumsAtEachStoryLIST {</t>
  </si>
  <si>
    <t>{</t>
  </si>
  <si>
    <t># Define a list of heights of each floor (for computing story drifts)</t>
  </si>
  <si>
    <t>set floorHeightsLIST {</t>
  </si>
  <si>
    <t># Define a list of the node numbers at each floor (always use node 3 of the joint because it is at the slab level and we measure all height to there)</t>
  </si>
  <si>
    <t>set nodeNumsAtEachFloorLIST {</t>
  </si>
  <si>
    <t>#####################################################################################</t>
  </si>
  <si>
    <t>###### END OF THE CODE WRITTEN BY VBA USING THE DEISGN DATA #########################</t>
  </si>
  <si>
    <t>%%%%%%%%%%%%%%%%%%%%%%%%%%%%%%%%%%%%%%%%%%%%%%%%%%%%%%%%%%%%%%%%%%%%%%%%%%%%%%%%%%%%</t>
  </si>
  <si>
    <t>% Define General Geometry Information</t>
  </si>
  <si>
    <t xml:space="preserve">      buildingInfo{bldgID}.storyHeight_firstStory = 4500;</t>
  </si>
  <si>
    <t xml:space="preserve">      buildingInfo{bldgID}.collapseDriftThreshold = 0.12;</t>
  </si>
  <si>
    <t xml:space="preserve">      buildingInfo{bldgID}.lowestFloorWithBeam = 2; % fdn is floor no 1</t>
  </si>
  <si>
    <t>% Define the plastic rotation capacities of the column materials</t>
  </si>
  <si>
    <t>% Define the plastic rotation capacities of the beam materials - make all materials be positive (end in 1)</t>
  </si>
  <si>
    <t>% Define the plastic rotation capacities of shear panel material (40000) and the dummy material (49999) used in locations where no element connects to the joint</t>
  </si>
  <si>
    <t xml:space="preserve">     plasticRotCapOfMaterialNum(40000) = 99;</t>
  </si>
  <si>
    <t xml:space="preserve">     plasticRotCapOfMaterialNum(49999) = 999;</t>
  </si>
  <si>
    <t>% Define the column base rotational spring PHR capacities</t>
  </si>
  <si>
    <t xml:space="preserve">     buildingInfo{bldgID}.plastHingeRotCapAtJoint(1, 1).node(1) = plasticRotCapOfMaterialNum(301011);</t>
  </si>
  <si>
    <t xml:space="preserve">     buildingInfo{bldgID}.plastHingeRotCapAtJoint(1, 2).node(1) = plasticRotCapOfMaterialNum(301021);</t>
  </si>
  <si>
    <t xml:space="preserve">     buildingInfo{bldgID}.plastHingeRotCapAtJoint(1, 3).node(1) = plasticRotCapOfMaterialNum(301031);</t>
  </si>
  <si>
    <t xml:space="preserve">     buildingInfo{bldgID}.plastHingeRotCapAtJoint(1, 4).node(1) = plasticRotCapOfMaterialNum(301041);</t>
  </si>
  <si>
    <t>% Define the PHR capacities at all 5 material locations of each joint (4 PHs and 1 shear panel).  When there is not an elements connected to a specific portion of a joint, I use the dummy material #49999.  Make all beam materials be positive (end in 1).</t>
  </si>
  <si>
    <t xml:space="preserve">     buildingInfo{bldgID}.plastHingeRotCapAtJoint(6, 1).node(1) = plasticRotCapOfMaterialNum(305011);</t>
  </si>
  <si>
    <t xml:space="preserve">     buildingInfo{bldgID}.plastHingeRotCapAtJoint(6, 1).node(2) = plasticRotCapOfMaterialNum(206011);</t>
  </si>
  <si>
    <t xml:space="preserve">     buildingInfo{bldgID}.plastHingeRotCapAtJoint(6, 1).node(3) = plasticRotCapOfMaterialNum(49999);</t>
  </si>
  <si>
    <t xml:space="preserve">     buildingInfo{bldgID}.plastHingeRotCapAtJoint(6, 1).node(4) = plasticRotCapOfMaterialNum(49999);</t>
  </si>
  <si>
    <t xml:space="preserve">     buildingInfo{bldgID}.plastHingeRotCapAtJoint(6, 1).node(5) = plasticRotCapOfMaterialNum(40000);</t>
  </si>
  <si>
    <t xml:space="preserve">     buildingInfo{bldgID}.plastHingeRotCapAtJoint(6, 2).node(1) = plasticRotCapOfMaterialNum(305021);</t>
  </si>
  <si>
    <t xml:space="preserve">     buildingInfo{bldgID}.plastHingeRotCapAtJoint(6, 2).node(2) = plasticRotCapOfMaterialNum(206021);</t>
  </si>
  <si>
    <t xml:space="preserve">     buildingInfo{bldgID}.plastHingeRotCapAtJoint(6, 2).node(3) = plasticRotCapOfMaterialNum(49999);</t>
  </si>
  <si>
    <t xml:space="preserve">     buildingInfo{bldgID}.plastHingeRotCapAtJoint(6, 2).node(4) = plasticRotCapOfMaterialNum(206011);</t>
  </si>
  <si>
    <t xml:space="preserve">     buildingInfo{bldgID}.plastHingeRotCapAtJoint(6, 2).node(5) = plasticRotCapOfMaterialNum(40000);</t>
  </si>
  <si>
    <t xml:space="preserve">     buildingInfo{bldgID}.plastHingeRotCapAtJoint(6, 3).node(1) = plasticRotCapOfMaterialNum(305031);</t>
  </si>
  <si>
    <t xml:space="preserve">     buildingInfo{bldgID}.plastHingeRotCapAtJoint(6, 3).node(2) = plasticRotCapOfMaterialNum(206031);</t>
  </si>
  <si>
    <t xml:space="preserve">     buildingInfo{bldgID}.plastHingeRotCapAtJoint(6, 3).node(3) = plasticRotCapOfMaterialNum(49999);</t>
  </si>
  <si>
    <t xml:space="preserve">     buildingInfo{bldgID}.plastHingeRotCapAtJoint(6, 3).node(4) = plasticRotCapOfMaterialNum(206021);</t>
  </si>
  <si>
    <t xml:space="preserve">     buildingInfo{bldgID}.plastHingeRotCapAtJoint(6, 3).node(5) = plasticRotCapOfMaterialNum(40000);</t>
  </si>
  <si>
    <t xml:space="preserve">     buildingInfo{bldgID}.plastHingeRotCapAtJoint(6, 4).node(1) = plasticRotCapOfMaterialNum(305041);</t>
  </si>
  <si>
    <t xml:space="preserve">     buildingInfo{bldgID}.plastHingeRotCapAtJoint(6, 4).node(2) = plasticRotCapOfMaterialNum(49999);</t>
  </si>
  <si>
    <t xml:space="preserve">     buildingInfo{bldgID}.plastHingeRotCapAtJoint(6, 4).node(3) = plasticRotCapOfMaterialNum(49999);</t>
  </si>
  <si>
    <t xml:space="preserve">     buildingInfo{bldgID}.plastHingeRotCapAtJoint(6, 4).node(4) = plasticRotCapOfMaterialNum(206031);</t>
  </si>
  <si>
    <t xml:space="preserve">     buildingInfo{bldgID}.plastHingeRotCapAtJoint(6, 4).node(5) = plasticRotCapOfMaterialNum(40000);</t>
  </si>
  <si>
    <t xml:space="preserve">     buildingInfo{bldgID}.plastHingeRotCapAtJoint(5, 1).node(1) = plasticRotCapOfMaterialNum(304011);</t>
  </si>
  <si>
    <t xml:space="preserve">     buildingInfo{bldgID}.plastHingeRotCapAtJoint(5, 1).node(2) = plasticRotCapOfMaterialNum(205011);</t>
  </si>
  <si>
    <t xml:space="preserve">     buildingInfo{bldgID}.plastHingeRotCapAtJoint(5, 1).node(3) = plasticRotCapOfMaterialNum(305011);</t>
  </si>
  <si>
    <t xml:space="preserve">     buildingInfo{bldgID}.plastHingeRotCapAtJoint(5, 1).node(4) = plasticRotCapOfMaterialNum(49999);</t>
  </si>
  <si>
    <t xml:space="preserve">     buildingInfo{bldgID}.plastHingeRotCapAtJoint(5, 1).node(5) = plasticRotCapOfMaterialNum(40000);</t>
  </si>
  <si>
    <t xml:space="preserve">     buildingInfo{bldgID}.plastHingeRotCapAtJoint(5, 2).node(1) = plasticRotCapOfMaterialNum(304021);</t>
  </si>
  <si>
    <t xml:space="preserve">     buildingInfo{bldgID}.plastHingeRotCapAtJoint(5, 2).node(2) = plasticRotCapOfMaterialNum(205021);</t>
  </si>
  <si>
    <t xml:space="preserve">     buildingInfo{bldgID}.plastHingeRotCapAtJoint(5, 2).node(3) = plasticRotCapOfMaterialNum(305021);</t>
  </si>
  <si>
    <t xml:space="preserve">     buildingInfo{bldgID}.plastHingeRotCapAtJoint(5, 2).node(4) = plasticRotCapOfMaterialNum(205011);</t>
  </si>
  <si>
    <t xml:space="preserve">     buildingInfo{bldgID}.plastHingeRotCapAtJoint(5, 2).node(5) = plasticRotCapOfMaterialNum(40000);</t>
  </si>
  <si>
    <t xml:space="preserve">     buildingInfo{bldgID}.plastHingeRotCapAtJoint(5, 3).node(1) = plasticRotCapOfMaterialNum(304031);</t>
  </si>
  <si>
    <t xml:space="preserve">     buildingInfo{bldgID}.plastHingeRotCapAtJoint(5, 3).node(2) = plasticRotCapOfMaterialNum(205031);</t>
  </si>
  <si>
    <t xml:space="preserve">     buildingInfo{bldgID}.plastHingeRotCapAtJoint(5, 3).node(3) = plasticRotCapOfMaterialNum(305031);</t>
  </si>
  <si>
    <t xml:space="preserve">     buildingInfo{bldgID}.plastHingeRotCapAtJoint(5, 3).node(4) = plasticRotCapOfMaterialNum(205021);</t>
  </si>
  <si>
    <t xml:space="preserve">     buildingInfo{bldgID}.plastHingeRotCapAtJoint(5, 3).node(5) = plasticRotCapOfMaterialNum(40000);</t>
  </si>
  <si>
    <t xml:space="preserve">     buildingInfo{bldgID}.plastHingeRotCapAtJoint(5, 4).node(1) = plasticRotCapOfMaterialNum(304041);</t>
  </si>
  <si>
    <t xml:space="preserve">     buildingInfo{bldgID}.plastHingeRotCapAtJoint(5, 4).node(2) = plasticRotCapOfMaterialNum(49999);</t>
  </si>
  <si>
    <t xml:space="preserve">     buildingInfo{bldgID}.plastHingeRotCapAtJoint(5, 4).node(3) = plasticRotCapOfMaterialNum(305041);</t>
  </si>
  <si>
    <t xml:space="preserve">     buildingInfo{bldgID}.plastHingeRotCapAtJoint(5, 4).node(4) = plasticRotCapOfMaterialNum(205031);</t>
  </si>
  <si>
    <t xml:space="preserve">     buildingInfo{bldgID}.plastHingeRotCapAtJoint(5, 4).node(5) = plasticRotCapOfMaterialNum(40000);</t>
  </si>
  <si>
    <t xml:space="preserve">     buildingInfo{bldgID}.plastHingeRotCapAtJoint(4, 1).node(1) = plasticRotCapOfMaterialNum(303011);</t>
  </si>
  <si>
    <t xml:space="preserve">     buildingInfo{bldgID}.plastHingeRotCapAtJoint(4, 1).node(2) = plasticRotCapOfMaterialNum(204011);</t>
  </si>
  <si>
    <t xml:space="preserve">     buildingInfo{bldgID}.plastHingeRotCapAtJoint(4, 1).node(3) = plasticRotCapOfMaterialNum(304011);</t>
  </si>
  <si>
    <t xml:space="preserve">     buildingInfo{bldgID}.plastHingeRotCapAtJoint(4, 1).node(4) = plasticRotCapOfMaterialNum(49999);</t>
  </si>
  <si>
    <t xml:space="preserve">     buildingInfo{bldgID}.plastHingeRotCapAtJoint(4, 1).node(5) = plasticRotCapOfMaterialNum(40000);</t>
  </si>
  <si>
    <t xml:space="preserve">     buildingInfo{bldgID}.plastHingeRotCapAtJoint(4, 2).node(1) = plasticRotCapOfMaterialNum(303021);</t>
  </si>
  <si>
    <t xml:space="preserve">     buildingInfo{bldgID}.plastHingeRotCapAtJoint(4, 2).node(2) = plasticRotCapOfMaterialNum(204021);</t>
  </si>
  <si>
    <t xml:space="preserve">     buildingInfo{bldgID}.plastHingeRotCapAtJoint(4, 2).node(3) = plasticRotCapOfMaterialNum(304021);</t>
  </si>
  <si>
    <t xml:space="preserve">     buildingInfo{bldgID}.plastHingeRotCapAtJoint(4, 2).node(4) = plasticRotCapOfMaterialNum(204011);</t>
  </si>
  <si>
    <t xml:space="preserve">     buildingInfo{bldgID}.plastHingeRotCapAtJoint(4, 2).node(5) = plasticRotCapOfMaterialNum(40000);</t>
  </si>
  <si>
    <t xml:space="preserve">     buildingInfo{bldgID}.plastHingeRotCapAtJoint(4, 3).node(1) = plasticRotCapOfMaterialNum(303031);</t>
  </si>
  <si>
    <t xml:space="preserve">     buildingInfo{bldgID}.plastHingeRotCapAtJoint(4, 3).node(2) = plasticRotCapOfMaterialNum(204031);</t>
  </si>
  <si>
    <t xml:space="preserve">     buildingInfo{bldgID}.plastHingeRotCapAtJoint(4, 3).node(3) = plasticRotCapOfMaterialNum(304031);</t>
  </si>
  <si>
    <t xml:space="preserve">     buildingInfo{bldgID}.plastHingeRotCapAtJoint(4, 3).node(4) = plasticRotCapOfMaterialNum(204021);</t>
  </si>
  <si>
    <t xml:space="preserve">     buildingInfo{bldgID}.plastHingeRotCapAtJoint(4, 3).node(5) = plasticRotCapOfMaterialNum(40000);</t>
  </si>
  <si>
    <t xml:space="preserve">     buildingInfo{bldgID}.plastHingeRotCapAtJoint(4, 4).node(1) = plasticRotCapOfMaterialNum(303041);</t>
  </si>
  <si>
    <t xml:space="preserve">     buildingInfo{bldgID}.plastHingeRotCapAtJoint(4, 4).node(2) = plasticRotCapOfMaterialNum(49999);</t>
  </si>
  <si>
    <t xml:space="preserve">     buildingInfo{bldgID}.plastHingeRotCapAtJoint(4, 4).node(3) = plasticRotCapOfMaterialNum(304041);</t>
  </si>
  <si>
    <t xml:space="preserve">     buildingInfo{bldgID}.plastHingeRotCapAtJoint(4, 4).node(4) = plasticRotCapOfMaterialNum(204031);</t>
  </si>
  <si>
    <t xml:space="preserve">     buildingInfo{bldgID}.plastHingeRotCapAtJoint(4, 4).node(5) = plasticRotCapOfMaterialNum(40000);</t>
  </si>
  <si>
    <t xml:space="preserve">     buildingInfo{bldgID}.plastHingeRotCapAtJoint(3, 1).node(1) = plasticRotCapOfMaterialNum(302011);</t>
  </si>
  <si>
    <t xml:space="preserve">     buildingInfo{bldgID}.plastHingeRotCapAtJoint(3, 1).node(2) = plasticRotCapOfMaterialNum(203011);</t>
  </si>
  <si>
    <t xml:space="preserve">     buildingInfo{bldgID}.plastHingeRotCapAtJoint(3, 1).node(3) = plasticRotCapOfMaterialNum(303011);</t>
  </si>
  <si>
    <t xml:space="preserve">     buildingInfo{bldgID}.plastHingeRotCapAtJoint(3, 1).node(4) = plasticRotCapOfMaterialNum(49999);</t>
  </si>
  <si>
    <t xml:space="preserve">     buildingInfo{bldgID}.plastHingeRotCapAtJoint(3, 1).node(5) = plasticRotCapOfMaterialNum(40000);</t>
  </si>
  <si>
    <t xml:space="preserve">     buildingInfo{bldgID}.plastHingeRotCapAtJoint(3, 2).node(1) = plasticRotCapOfMaterialNum(302021);</t>
  </si>
  <si>
    <t xml:space="preserve">     buildingInfo{bldgID}.plastHingeRotCapAtJoint(3, 2).node(2) = plasticRotCapOfMaterialNum(203021);</t>
  </si>
  <si>
    <t xml:space="preserve">     buildingInfo{bldgID}.plastHingeRotCapAtJoint(3, 2).node(3) = plasticRotCapOfMaterialNum(303021);</t>
  </si>
  <si>
    <t xml:space="preserve">     buildingInfo{bldgID}.plastHingeRotCapAtJoint(3, 2).node(4) = plasticRotCapOfMaterialNum(203011);</t>
  </si>
  <si>
    <t xml:space="preserve">     buildingInfo{bldgID}.plastHingeRotCapAtJoint(3, 2).node(5) = plasticRotCapOfMaterialNum(40000);</t>
  </si>
  <si>
    <t xml:space="preserve">     buildingInfo{bldgID}.plastHingeRotCapAtJoint(3, 3).node(1) = plasticRotCapOfMaterialNum(302031);</t>
  </si>
  <si>
    <t xml:space="preserve">     buildingInfo{bldgID}.plastHingeRotCapAtJoint(3, 3).node(2) = plasticRotCapOfMaterialNum(203031);</t>
  </si>
  <si>
    <t xml:space="preserve">     buildingInfo{bldgID}.plastHingeRotCapAtJoint(3, 3).node(3) = plasticRotCapOfMaterialNum(303031);</t>
  </si>
  <si>
    <t xml:space="preserve">     buildingInfo{bldgID}.plastHingeRotCapAtJoint(3, 3).node(4) = plasticRotCapOfMaterialNum(203021);</t>
  </si>
  <si>
    <t xml:space="preserve">     buildingInfo{bldgID}.plastHingeRotCapAtJoint(3, 3).node(5) = plasticRotCapOfMaterialNum(40000);</t>
  </si>
  <si>
    <t xml:space="preserve">     buildingInfo{bldgID}.plastHingeRotCapAtJoint(3, 4).node(1) = plasticRotCapOfMaterialNum(302041);</t>
  </si>
  <si>
    <t xml:space="preserve">     buildingInfo{bldgID}.plastHingeRotCapAtJoint(3, 4).node(2) = plasticRotCapOfMaterialNum(49999);</t>
  </si>
  <si>
    <t xml:space="preserve">     buildingInfo{bldgID}.plastHingeRotCapAtJoint(3, 4).node(3) = plasticRotCapOfMaterialNum(303041);</t>
  </si>
  <si>
    <t xml:space="preserve">     buildingInfo{bldgID}.plastHingeRotCapAtJoint(3, 4).node(4) = plasticRotCapOfMaterialNum(203031);</t>
  </si>
  <si>
    <t xml:space="preserve">     buildingInfo{bldgID}.plastHingeRotCapAtJoint(3, 4).node(5) = plasticRotCapOfMaterialNum(40000);</t>
  </si>
  <si>
    <t xml:space="preserve">     buildingInfo{bldgID}.plastHingeRotCapAtJoint(2, 1).node(1) = plasticRotCapOfMaterialNum(301011);</t>
  </si>
  <si>
    <t xml:space="preserve">     buildingInfo{bldgID}.plastHingeRotCapAtJoint(2, 1).node(2) = plasticRotCapOfMaterialNum(202011);</t>
  </si>
  <si>
    <t xml:space="preserve">     buildingInfo{bldgID}.plastHingeRotCapAtJoint(2, 1).node(3) = plasticRotCapOfMaterialNum(302011);</t>
  </si>
  <si>
    <t xml:space="preserve">     buildingInfo{bldgID}.plastHingeRotCapAtJoint(2, 1).node(4) = plasticRotCapOfMaterialNum(49999);</t>
  </si>
  <si>
    <t xml:space="preserve">     buildingInfo{bldgID}.plastHingeRotCapAtJoint(2, 1).node(5) = plasticRotCapOfMaterialNum(40000);</t>
  </si>
  <si>
    <t xml:space="preserve">     buildingInfo{bldgID}.plastHingeRotCapAtJoint(2, 2).node(1) = plasticRotCapOfMaterialNum(301021);</t>
  </si>
  <si>
    <t xml:space="preserve">     buildingInfo{bldgID}.plastHingeRotCapAtJoint(2, 2).node(2) = plasticRotCapOfMaterialNum(202021);</t>
  </si>
  <si>
    <t xml:space="preserve">     buildingInfo{bldgID}.plastHingeRotCapAtJoint(2, 2).node(3) = plasticRotCapOfMaterialNum(302021);</t>
  </si>
  <si>
    <t xml:space="preserve">     buildingInfo{bldgID}.plastHingeRotCapAtJoint(2, 2).node(4) = plasticRotCapOfMaterialNum(202011);</t>
  </si>
  <si>
    <t xml:space="preserve">     buildingInfo{bldgID}.plastHingeRotCapAtJoint(2, 2).node(5) = plasticRotCapOfMaterialNum(40000);</t>
  </si>
  <si>
    <t xml:space="preserve">     buildingInfo{bldgID}.plastHingeRotCapAtJoint(2, 3).node(1) = plasticRotCapOfMaterialNum(301031);</t>
  </si>
  <si>
    <t xml:space="preserve">     buildingInfo{bldgID}.plastHingeRotCapAtJoint(2, 3).node(2) = plasticRotCapOfMaterialNum(202031);</t>
  </si>
  <si>
    <t xml:space="preserve">     buildingInfo{bldgID}.plastHingeRotCapAtJoint(2, 3).node(3) = plasticRotCapOfMaterialNum(302031);</t>
  </si>
  <si>
    <t xml:space="preserve">     buildingInfo{bldgID}.plastHingeRotCapAtJoint(2, 3).node(4) = plasticRotCapOfMaterialNum(202021);</t>
  </si>
  <si>
    <t xml:space="preserve">     buildingInfo{bldgID}.plastHingeRotCapAtJoint(2, 3).node(5) = plasticRotCapOfMaterialNum(40000);</t>
  </si>
  <si>
    <t xml:space="preserve">     buildingInfo{bldgID}.plastHingeRotCapAtJoint(2, 4).node(1) = plasticRotCapOfMaterialNum(301041);</t>
  </si>
  <si>
    <t xml:space="preserve">     buildingInfo{bldgID}.plastHingeRotCapAtJoint(2, 4).node(2) = plasticRotCapOfMaterialNum(49999);</t>
  </si>
  <si>
    <t xml:space="preserve">     buildingInfo{bldgID}.plastHingeRotCapAtJoint(2, 4).node(3) = plasticRotCapOfMaterialNum(302041);</t>
  </si>
  <si>
    <t xml:space="preserve">     buildingInfo{bldgID}.plastHingeRotCapAtJoint(2, 4).node(4) = plasticRotCapOfMaterialNum(202031);</t>
  </si>
  <si>
    <t xml:space="preserve">     buildingInfo{bldgID}.plastHingeRotCapAtJoint(2, 4).node(5) = plasticRotCapOfMaterialNum(40000);</t>
  </si>
  <si>
    <t xml:space="preserve">     % Define the joint numbers at each location in the frame</t>
  </si>
  <si>
    <t xml:space="preserve">                 buildingInfo{bldgID}.jointNumber(floorNum, colLineNum) = 40000 + (100.0 * floorNum) + colLineNum;</t>
  </si>
  <si>
    <t xml:space="preserve">             end</t>
  </si>
  <si>
    <t xml:space="preserve">         end</t>
  </si>
  <si>
    <t xml:space="preserve">      % Define the hinge element numbers that are used at the base columns</t>
  </si>
  <si>
    <t xml:space="preserve">             buildingInfo{bldgID}.hingeElementNumAtColBase(colLineNum) = 6000 + colLineNum * 10 + 2; % The PH Spring at the column base</t>
  </si>
  <si>
    <r>
      <t>EI</t>
    </r>
    <r>
      <rPr>
        <vertAlign val="subscript"/>
        <sz val="10"/>
        <rFont val="Arial"/>
        <family val="2"/>
      </rPr>
      <t>stf40</t>
    </r>
    <r>
      <rPr>
        <sz val="10"/>
        <rFont val="Arial"/>
        <family val="2"/>
      </rPr>
      <t>/EI</t>
    </r>
    <r>
      <rPr>
        <vertAlign val="subscript"/>
        <sz val="10"/>
        <rFont val="Arial"/>
        <family val="2"/>
      </rPr>
      <t>g</t>
    </r>
  </si>
  <si>
    <t>effective initial stiffness: Secant to 40% of yield load</t>
  </si>
  <si>
    <t>No of stories :</t>
  </si>
  <si>
    <t>exp fy:</t>
  </si>
  <si>
    <t>εcu:</t>
  </si>
  <si>
    <t>concrete ultimate strain</t>
  </si>
  <si>
    <t>asl:</t>
  </si>
  <si>
    <r>
      <t>a</t>
    </r>
    <r>
      <rPr>
        <vertAlign val="subscript"/>
        <sz val="10"/>
        <rFont val="Arial"/>
        <family val="2"/>
      </rPr>
      <t>sl</t>
    </r>
    <r>
      <rPr>
        <sz val="11"/>
        <color theme="1"/>
        <rFont val="Calibri"/>
        <family val="2"/>
        <scheme val="minor"/>
      </rPr>
      <t xml:space="preserve"> - Slip term - this is 1 if bond-slip is possible at the end of element (typical case) and 0 if bond-slip is not possible.  Note that bond-slip is important and accounts for 35% of the plastic rotation capacity.</t>
    </r>
  </si>
  <si>
    <t>db</t>
  </si>
  <si>
    <t>theta_cap_tot exp</t>
  </si>
  <si>
    <t>theta_cap_tot</t>
  </si>
  <si>
    <t>theta_y</t>
  </si>
  <si>
    <t>sn</t>
  </si>
  <si>
    <t>theta_cap_pl</t>
  </si>
  <si>
    <t>Ht (m)</t>
  </si>
  <si>
    <t>full</t>
  </si>
  <si>
    <t>simple</t>
  </si>
  <si>
    <t>rest</t>
  </si>
  <si>
    <t>esy</t>
  </si>
  <si>
    <t>For cross-chcking only. Delete later on</t>
  </si>
  <si>
    <t>Ls</t>
  </si>
  <si>
    <t>Bay no</t>
  </si>
  <si>
    <t>4733*SQRT(fc')</t>
  </si>
  <si>
    <t>In code</t>
  </si>
  <si>
    <t>Element TagID</t>
  </si>
  <si>
    <t>Hinge MatID</t>
  </si>
  <si>
    <t>b</t>
  </si>
  <si>
    <t>h</t>
  </si>
  <si>
    <t>P</t>
  </si>
  <si>
    <t>fc'</t>
  </si>
  <si>
    <t>Ec</t>
  </si>
  <si>
    <t>Ls/H</t>
  </si>
  <si>
    <t>EIstf</t>
  </si>
  <si>
    <t>eff depth, d</t>
  </si>
  <si>
    <t>Bal section depth, Cb</t>
  </si>
  <si>
    <t>Atot- Total long steel</t>
  </si>
  <si>
    <t>As - tension steel - w/o web  bars</t>
  </si>
  <si>
    <r>
      <rPr>
        <sz val="11"/>
        <color theme="1"/>
        <rFont val="Calibri"/>
        <family val="2"/>
      </rPr>
      <t>ρ</t>
    </r>
    <r>
      <rPr>
        <sz val="11"/>
        <color theme="1"/>
        <rFont val="Calibri"/>
        <family val="2"/>
        <scheme val="minor"/>
      </rPr>
      <t>sh - lateral confinement steel ratio</t>
    </r>
  </si>
  <si>
    <t>s</t>
  </si>
  <si>
    <t>ky - Fardis - compression zone depth (norm. by d) at yield</t>
  </si>
  <si>
    <t>MyPos</t>
  </si>
  <si>
    <t>MyNeg</t>
  </si>
  <si>
    <t>φy - yield curvature to use</t>
  </si>
  <si>
    <t>Rebar buckling coefficient, sn</t>
  </si>
  <si>
    <t>Vp</t>
  </si>
  <si>
    <t>Vn</t>
  </si>
  <si>
    <t xml:space="preserve">β1 - normal definition </t>
  </si>
  <si>
    <t>c (mm)</t>
  </si>
  <si>
    <t>isTensControlled - indicator if the section is tension reinf. (if c &lt; cb)</t>
  </si>
  <si>
    <t>n = Es/Ec</t>
  </si>
  <si>
    <t>AcomprCntrl - from Fardis - see paper</t>
  </si>
  <si>
    <t>AtensCntrl - from Fardis - see paper</t>
  </si>
  <si>
    <t>AtoUse - from Fardis - see paper</t>
  </si>
  <si>
    <t>BcomprCntrl - from Fardis - see paper</t>
  </si>
  <si>
    <t>BtensCntrl - from Fardis - see paper</t>
  </si>
  <si>
    <t>BtoUse - from Fardis - see paper</t>
  </si>
  <si>
    <t>φy1 - yield curvature for tension steel yielding (rad/mm)</t>
  </si>
  <si>
    <t>φy2 - yield curvature for compr. controlled (rad/mm)</t>
  </si>
  <si>
    <t>φy - yield curvature to use (rad/mm)</t>
  </si>
  <si>
    <t>Term1 of My (N/mm^2)</t>
  </si>
  <si>
    <t>Term2 of My (N/mm^2)</t>
  </si>
  <si>
    <t>My,Fardis (kN-m)</t>
  </si>
  <si>
    <t>theta_Panagiotakos</t>
  </si>
  <si>
    <t>theta_Park</t>
  </si>
  <si>
    <t>(m)</t>
  </si>
  <si>
    <t>(kN-mm2)</t>
  </si>
  <si>
    <t>kip-in2</t>
  </si>
  <si>
    <t>(mm^2)</t>
  </si>
  <si>
    <t>(rad/mm)</t>
  </si>
  <si>
    <t>eleLen</t>
  </si>
  <si>
    <t>thetay</t>
  </si>
  <si>
    <r>
      <t>r</t>
    </r>
    <r>
      <rPr>
        <sz val="11"/>
        <color theme="1"/>
        <rFont val="Calibri Light"/>
        <family val="2"/>
        <scheme val="major"/>
      </rPr>
      <t>v</t>
    </r>
  </si>
  <si>
    <t>My</t>
  </si>
  <si>
    <t xml:space="preserve">Eieff </t>
  </si>
  <si>
    <t>Mypos</t>
  </si>
  <si>
    <t>rho</t>
  </si>
  <si>
    <t>rho'</t>
  </si>
  <si>
    <t>(kips-in^2)</t>
  </si>
  <si>
    <t>phi_y</t>
  </si>
  <si>
    <t>1/mm</t>
  </si>
  <si>
    <t>ID2209.v01</t>
  </si>
  <si>
    <t>Floor 13 (47.4 m)</t>
  </si>
  <si>
    <t>Floor 12 (43.5 m)</t>
  </si>
  <si>
    <t>Floor 11 (39.6 m)</t>
  </si>
  <si>
    <t>Floor 10 (35.7 m)</t>
  </si>
  <si>
    <t>Floor 9 (31.8 m)</t>
  </si>
  <si>
    <t>Floor 8 (27.9 m)</t>
  </si>
  <si>
    <t>Floor 7 (24 m)</t>
  </si>
  <si>
    <t>Floor 6 (20.1 m)</t>
  </si>
  <si>
    <t>Floor 5 (16.2 m)</t>
  </si>
  <si>
    <t>Floor 4 (12.3 m)</t>
  </si>
  <si>
    <t>Floor 3 (8.4 m)</t>
  </si>
  <si>
    <t>Floor 2 (4.5 m)</t>
  </si>
  <si>
    <t>IS 1893-1 (2016)</t>
  </si>
  <si>
    <t>Use the formula referring to FDNSTIFFNESS sheet</t>
  </si>
  <si>
    <t>##################### total mass is 1.14980377166157 (kN-s^2 /mm) ##############</t>
  </si>
  <si>
    <t>5story_35053v02_R5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</si>
</sst>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164" formatCode="_-* #,##0.00_-;\-* #,##0.00_-;_-* &quot;-&quot;??_-;_-@_-"/>
    <numFmt numFmtId="165" formatCode="[$-409]d\-mmm\-yyyy;@"/>
    <numFmt numFmtId="166" formatCode="0.000"/>
    <numFmt numFmtId="167" formatCode="0.0000000"/>
    <numFmt numFmtId="168" formatCode="0.0"/>
    <numFmt numFmtId="169" formatCode="_-* #,##0_-;\-* #,##0_-;_-* &quot;-&quot;??_-;_-@_-"/>
    <numFmt numFmtId="170" formatCode="0.0000"/>
    <numFmt numFmtId="171" formatCode="0.000E+00"/>
    <numFmt numFmtId="172" formatCode="0.0000000000000000"/>
    <numFmt numFmtId="173" formatCode="0.00000"/>
    <numFmt numFmtId="174" formatCode="0.000000"/>
    <numFmt numFmtId="175" formatCode="&quot;Y &quot;#"/>
    <numFmt numFmtId="176" formatCode="#\-\L"/>
    <numFmt numFmtId="177" formatCode="0.000000000"/>
    <numFmt numFmtId="178" formatCode="#\ \&lt;"/>
    <numFmt numFmtId="179" formatCode="\&gt;\ #\ "/>
    <numFmt numFmtId="180" formatCode="\&lt;\ #\ "/>
    <numFmt numFmtId="181" formatCode="0.0000000000"/>
    <numFmt numFmtId="182" formatCode="0.0E+00"/>
    <numFmt numFmtId="183" formatCode="\φ\-#\ &quot;+&quot;"/>
    <numFmt numFmtId="184" formatCode="\φ\-#\ "/>
    <numFmt numFmtId="185" formatCode="0.0%"/>
    <numFmt numFmtId="186" formatCode="#\ \L\-"/>
    <numFmt numFmtId="187" formatCode="&quot;@ &quot;#&quot; c/c&quot;"/>
    <numFmt numFmtId="188" formatCode="#,##0\ \×"/>
    <numFmt numFmtId="189" formatCode="_-* #,##0.0_-;\-* #,##0.0_-;_-* &quot;-&quot;??_-;_-@_-"/>
    <numFmt numFmtId="190" formatCode="&quot;SCWB = &quot;0.00"/>
    <numFmt numFmtId="191" formatCode="#.##########"/>
    <numFmt numFmtId="192" formatCode="0.00000000"/>
  </numFmts>
  <fonts count="140" x14ac:knownFonts="1">
    <font>
      <sz val="11"/>
      <color theme="1"/>
      <name val="Calibri"/>
      <family val="2"/>
      <scheme val="minor"/>
    </font>
    <font>
      <b/>
      <i/>
      <u/>
      <sz val="11"/>
      <color theme="1"/>
      <name val="Calibri"/>
      <family val="2"/>
      <scheme val="minor"/>
    </font>
    <font>
      <sz val="11"/>
      <color rgb="FF3F3F76"/>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sz val="10"/>
      <name val="Arial"/>
      <family val="2"/>
    </font>
    <font>
      <vertAlign val="subscript"/>
      <sz val="10"/>
      <name val="Arial"/>
      <family val="2"/>
    </font>
    <font>
      <b/>
      <u/>
      <sz val="11"/>
      <color theme="1"/>
      <name val="Calibri"/>
      <family val="2"/>
      <scheme val="minor"/>
    </font>
    <font>
      <b/>
      <u/>
      <sz val="12"/>
      <color theme="1"/>
      <name val="Calibri"/>
      <family val="2"/>
      <scheme val="minor"/>
    </font>
    <font>
      <vertAlign val="subscript"/>
      <sz val="10"/>
      <name val="Courier"/>
      <family val="3"/>
    </font>
    <font>
      <b/>
      <sz val="10"/>
      <name val="Courier"/>
      <family val="3"/>
    </font>
    <font>
      <sz val="11"/>
      <color theme="1"/>
      <name val="Symbol"/>
      <family val="1"/>
      <charset val="2"/>
    </font>
    <font>
      <sz val="11"/>
      <color theme="1"/>
      <name val="Calibri Light"/>
      <family val="2"/>
      <scheme val="major"/>
    </font>
    <font>
      <sz val="11"/>
      <color theme="1"/>
      <name val="Calibri"/>
      <family val="2"/>
    </font>
    <font>
      <vertAlign val="subscript"/>
      <sz val="11"/>
      <color theme="1"/>
      <name val="Calibri"/>
      <family val="2"/>
    </font>
    <font>
      <vertAlign val="subscript"/>
      <sz val="11"/>
      <color theme="1"/>
      <name val="Calibri"/>
      <family val="2"/>
      <scheme val="minor"/>
    </font>
    <font>
      <b/>
      <sz val="14"/>
      <color rgb="FFFF0000"/>
      <name val="Calibri"/>
      <family val="2"/>
      <scheme val="minor"/>
    </font>
    <font>
      <b/>
      <sz val="11"/>
      <color rgb="FFFF0000"/>
      <name val="Calibri"/>
      <family val="2"/>
      <scheme val="minor"/>
    </font>
    <font>
      <b/>
      <u/>
      <sz val="14"/>
      <color theme="1"/>
      <name val="Calibri"/>
      <family val="2"/>
      <scheme val="minor"/>
    </font>
    <font>
      <b/>
      <sz val="11"/>
      <color theme="1"/>
      <name val="Calibri"/>
      <family val="2"/>
    </font>
    <font>
      <u/>
      <sz val="12"/>
      <color theme="1"/>
      <name val="Calibri"/>
      <family val="2"/>
      <scheme val="minor"/>
    </font>
    <font>
      <b/>
      <sz val="14"/>
      <color rgb="FFFF0000"/>
      <name val="Calibri"/>
      <family val="2"/>
    </font>
    <font>
      <b/>
      <i/>
      <u/>
      <sz val="11"/>
      <color rgb="FFFF0000"/>
      <name val="Calibri"/>
      <family val="2"/>
      <scheme val="minor"/>
    </font>
    <font>
      <b/>
      <i/>
      <u/>
      <sz val="14"/>
      <color theme="1"/>
      <name val="Calibri"/>
      <family val="2"/>
      <scheme val="minor"/>
    </font>
    <font>
      <b/>
      <i/>
      <u/>
      <sz val="11"/>
      <name val="Calibri"/>
      <family val="2"/>
      <scheme val="minor"/>
    </font>
    <font>
      <b/>
      <i/>
      <sz val="11"/>
      <color theme="1"/>
      <name val="Calibri"/>
      <family val="2"/>
      <scheme val="minor"/>
    </font>
    <font>
      <b/>
      <sz val="14"/>
      <color theme="1"/>
      <name val="Calibri"/>
      <family val="2"/>
      <scheme val="minor"/>
    </font>
    <font>
      <sz val="11"/>
      <color rgb="FF006100"/>
      <name val="Calibri"/>
      <family val="2"/>
      <scheme val="minor"/>
    </font>
    <font>
      <sz val="11"/>
      <color rgb="FFFF0000"/>
      <name val="Calibri"/>
      <family val="2"/>
      <scheme val="minor"/>
    </font>
    <font>
      <i/>
      <u/>
      <sz val="11"/>
      <color theme="1"/>
      <name val="Calibri"/>
      <family val="2"/>
      <scheme val="minor"/>
    </font>
    <font>
      <b/>
      <vertAlign val="subscript"/>
      <sz val="11"/>
      <color theme="1"/>
      <name val="Calibri"/>
      <family val="2"/>
      <scheme val="minor"/>
    </font>
    <font>
      <b/>
      <sz val="11"/>
      <color theme="1"/>
      <name val="Symbol"/>
      <family val="1"/>
      <charset val="2"/>
    </font>
    <font>
      <sz val="11"/>
      <name val="Calibri"/>
      <family val="2"/>
      <scheme val="minor"/>
    </font>
    <font>
      <i/>
      <sz val="11"/>
      <color rgb="FF3F3F76"/>
      <name val="Calibri"/>
      <family val="2"/>
      <scheme val="minor"/>
    </font>
    <font>
      <b/>
      <i/>
      <sz val="14"/>
      <color rgb="FFFF0000"/>
      <name val="Calibri"/>
      <family val="2"/>
      <scheme val="minor"/>
    </font>
    <font>
      <sz val="9"/>
      <color indexed="81"/>
      <name val="Tahoma"/>
      <family val="2"/>
    </font>
    <font>
      <b/>
      <sz val="9"/>
      <color indexed="81"/>
      <name val="Tahoma"/>
      <family val="2"/>
    </font>
    <font>
      <b/>
      <vertAlign val="subscript"/>
      <sz val="11"/>
      <color rgb="FFFF0000"/>
      <name val="Calibri"/>
      <family val="2"/>
      <scheme val="minor"/>
    </font>
    <font>
      <i/>
      <sz val="14"/>
      <color theme="1"/>
      <name val="Calibri"/>
      <family val="2"/>
      <scheme val="minor"/>
    </font>
    <font>
      <b/>
      <u/>
      <sz val="14"/>
      <color rgb="FFFF0000"/>
      <name val="Calibri"/>
      <family val="2"/>
      <scheme val="minor"/>
    </font>
    <font>
      <b/>
      <i/>
      <sz val="11"/>
      <color theme="1"/>
      <name val="Calibri"/>
      <family val="2"/>
    </font>
    <font>
      <b/>
      <i/>
      <sz val="12"/>
      <color rgb="FFFF0000"/>
      <name val="Calibri"/>
      <family val="2"/>
      <scheme val="minor"/>
    </font>
    <font>
      <b/>
      <i/>
      <vertAlign val="subscript"/>
      <sz val="11"/>
      <color theme="1"/>
      <name val="Calibri"/>
      <family val="2"/>
    </font>
    <font>
      <b/>
      <sz val="18"/>
      <color theme="1"/>
      <name val="Calibri"/>
      <family val="2"/>
      <scheme val="minor"/>
    </font>
    <font>
      <sz val="14"/>
      <color rgb="FFFF0000"/>
      <name val="Calibri"/>
      <family val="2"/>
      <scheme val="minor"/>
    </font>
    <font>
      <sz val="11"/>
      <color rgb="FF0A0101"/>
      <name val="Arial"/>
      <family val="2"/>
    </font>
    <font>
      <b/>
      <sz val="11"/>
      <color rgb="FF0000FF"/>
      <name val="Calibri"/>
      <family val="2"/>
      <scheme val="minor"/>
    </font>
    <font>
      <sz val="11"/>
      <color rgb="FF0000FF"/>
      <name val="Calibri"/>
      <family val="2"/>
      <scheme val="minor"/>
    </font>
    <font>
      <b/>
      <u/>
      <sz val="12"/>
      <color rgb="FFFF0000"/>
      <name val="Arial"/>
      <family val="2"/>
    </font>
    <font>
      <b/>
      <u/>
      <sz val="14"/>
      <name val="Arial"/>
      <family val="2"/>
    </font>
    <font>
      <b/>
      <sz val="11"/>
      <name val="Arial"/>
      <family val="2"/>
    </font>
    <font>
      <b/>
      <u/>
      <sz val="11"/>
      <name val="Arial"/>
      <family val="2"/>
    </font>
    <font>
      <sz val="11"/>
      <name val="Arial"/>
      <family val="2"/>
    </font>
    <font>
      <b/>
      <u/>
      <sz val="11"/>
      <color rgb="FFFF0000"/>
      <name val="Arial"/>
      <family val="2"/>
    </font>
    <font>
      <i/>
      <sz val="11"/>
      <name val="Arial"/>
      <family val="2"/>
    </font>
    <font>
      <b/>
      <sz val="11"/>
      <color rgb="FFFF0000"/>
      <name val="Arial"/>
      <family val="2"/>
    </font>
    <font>
      <b/>
      <sz val="11"/>
      <color rgb="FF00B0F0"/>
      <name val="Arial"/>
      <family val="2"/>
    </font>
    <font>
      <sz val="10"/>
      <color rgb="FFFFFF00"/>
      <name val="Arial"/>
      <family val="2"/>
    </font>
    <font>
      <b/>
      <sz val="10"/>
      <name val="Arial"/>
      <family val="2"/>
    </font>
    <font>
      <b/>
      <u/>
      <sz val="10"/>
      <name val="Arial"/>
      <family val="2"/>
    </font>
    <font>
      <b/>
      <u/>
      <sz val="12"/>
      <name val="Arial"/>
      <family val="2"/>
    </font>
    <font>
      <i/>
      <sz val="10"/>
      <name val="Arial"/>
      <family val="2"/>
    </font>
    <font>
      <sz val="11"/>
      <color theme="1"/>
      <name val="Times New Roman"/>
      <family val="1"/>
    </font>
    <font>
      <b/>
      <sz val="14"/>
      <color rgb="FF0000FF"/>
      <name val="Times New Roman"/>
      <family val="1"/>
    </font>
    <font>
      <sz val="14"/>
      <color theme="1"/>
      <name val="Times New Roman"/>
      <family val="1"/>
    </font>
    <font>
      <b/>
      <sz val="12"/>
      <color rgb="FF0000FF"/>
      <name val="Times New Roman"/>
      <family val="1"/>
    </font>
    <font>
      <b/>
      <sz val="12"/>
      <color theme="1"/>
      <name val="Times New Roman"/>
      <family val="1"/>
    </font>
    <font>
      <sz val="12"/>
      <color theme="1"/>
      <name val="Times New Roman"/>
      <family val="1"/>
    </font>
    <font>
      <sz val="12"/>
      <color rgb="FF3F3F76"/>
      <name val="Calibri"/>
      <family val="2"/>
      <scheme val="minor"/>
    </font>
    <font>
      <b/>
      <i/>
      <sz val="14"/>
      <color theme="1"/>
      <name val="Times New Roman"/>
      <family val="1"/>
    </font>
    <font>
      <i/>
      <sz val="12"/>
      <color theme="1"/>
      <name val="Times New Roman"/>
      <family val="1"/>
    </font>
    <font>
      <b/>
      <sz val="11"/>
      <color theme="1"/>
      <name val="Times New Roman"/>
      <family val="1"/>
    </font>
    <font>
      <sz val="12"/>
      <color rgb="FF3F3F76"/>
      <name val="Times New Roman"/>
      <family val="1"/>
    </font>
    <font>
      <b/>
      <u/>
      <sz val="12"/>
      <color rgb="FF00B050"/>
      <name val="Times New Roman"/>
      <family val="1"/>
    </font>
    <font>
      <b/>
      <u/>
      <sz val="12"/>
      <color theme="1"/>
      <name val="Times New Roman"/>
      <family val="1"/>
    </font>
    <font>
      <sz val="12"/>
      <name val="Times New Roman"/>
      <family val="1"/>
    </font>
    <font>
      <sz val="12"/>
      <color rgb="FFFF0000"/>
      <name val="Times New Roman"/>
      <family val="1"/>
    </font>
    <font>
      <b/>
      <sz val="12"/>
      <color rgb="FFFF0000"/>
      <name val="Times New Roman"/>
      <family val="1"/>
    </font>
    <font>
      <b/>
      <sz val="12"/>
      <color rgb="FFFF0000"/>
      <name val="Calibri"/>
      <family val="2"/>
    </font>
    <font>
      <b/>
      <sz val="14"/>
      <color rgb="FFFF0000"/>
      <name val="Times New Roman"/>
      <family val="1"/>
    </font>
    <font>
      <b/>
      <sz val="14"/>
      <color rgb="FF0000FF"/>
      <name val="Calibri"/>
      <family val="2"/>
      <scheme val="minor"/>
    </font>
    <font>
      <b/>
      <sz val="16"/>
      <color rgb="FF0000FF"/>
      <name val="Times New Roman"/>
      <family val="1"/>
    </font>
    <font>
      <sz val="11"/>
      <color rgb="FF00B050"/>
      <name val="Calibri"/>
      <family val="2"/>
      <scheme val="minor"/>
    </font>
    <font>
      <b/>
      <sz val="11"/>
      <name val="Calibri"/>
      <family val="2"/>
      <scheme val="minor"/>
    </font>
    <font>
      <sz val="11"/>
      <color rgb="FF00B050"/>
      <name val="Calibri"/>
      <family val="2"/>
    </font>
    <font>
      <sz val="12"/>
      <color rgb="FFFF0000"/>
      <name val="Calibri"/>
      <family val="2"/>
      <scheme val="minor"/>
    </font>
    <font>
      <b/>
      <sz val="14"/>
      <name val="Calibri"/>
      <family val="2"/>
      <scheme val="minor"/>
    </font>
    <font>
      <b/>
      <sz val="16"/>
      <color theme="1"/>
      <name val="Calibri"/>
      <family val="2"/>
      <scheme val="minor"/>
    </font>
    <font>
      <b/>
      <sz val="18"/>
      <color rgb="FFFF0000"/>
      <name val="Times New Roman"/>
      <family val="1"/>
    </font>
    <font>
      <sz val="14"/>
      <color rgb="FF3F3F76"/>
      <name val="Calibri"/>
      <family val="2"/>
      <scheme val="minor"/>
    </font>
    <font>
      <b/>
      <sz val="20"/>
      <color rgb="FFFF0000"/>
      <name val="Arial"/>
      <family val="2"/>
    </font>
    <font>
      <u/>
      <sz val="10"/>
      <name val="Arial"/>
      <family val="2"/>
    </font>
    <font>
      <b/>
      <sz val="14"/>
      <color theme="1"/>
      <name val="Times New Roman"/>
      <family val="1"/>
    </font>
    <font>
      <b/>
      <sz val="12"/>
      <color theme="1"/>
      <name val="Calibri"/>
      <family val="2"/>
    </font>
    <font>
      <b/>
      <u/>
      <sz val="14"/>
      <color theme="1"/>
      <name val="Times New Roman"/>
      <family val="1"/>
    </font>
    <font>
      <b/>
      <u/>
      <sz val="11"/>
      <color rgb="FF0000FF"/>
      <name val="Calibri"/>
      <family val="2"/>
      <scheme val="minor"/>
    </font>
    <font>
      <b/>
      <sz val="12"/>
      <color rgb="FF0000FF"/>
      <name val="Calibri"/>
      <family val="2"/>
      <scheme val="minor"/>
    </font>
    <font>
      <b/>
      <sz val="10"/>
      <color rgb="FF0000FF"/>
      <name val="Arial"/>
      <family val="2"/>
    </font>
    <font>
      <b/>
      <i/>
      <sz val="12"/>
      <color rgb="FFFF0000"/>
      <name val="Times New Roman"/>
      <family val="1"/>
    </font>
    <font>
      <b/>
      <i/>
      <sz val="12"/>
      <color theme="1"/>
      <name val="Times New Roman"/>
      <family val="1"/>
    </font>
    <font>
      <b/>
      <strike/>
      <u/>
      <sz val="12"/>
      <color rgb="FFFF0000"/>
      <name val="Calibri"/>
      <family val="2"/>
      <scheme val="minor"/>
    </font>
    <font>
      <b/>
      <strike/>
      <u/>
      <sz val="12"/>
      <color rgb="FF00B050"/>
      <name val="Calibri"/>
      <family val="2"/>
      <scheme val="minor"/>
    </font>
    <font>
      <b/>
      <i/>
      <strike/>
      <u/>
      <sz val="12"/>
      <color rgb="FF00B050"/>
      <name val="Calibri"/>
      <family val="2"/>
      <scheme val="minor"/>
    </font>
    <font>
      <b/>
      <i/>
      <sz val="12"/>
      <color rgb="FF00B050"/>
      <name val="Calibri"/>
      <family val="2"/>
      <scheme val="minor"/>
    </font>
    <font>
      <b/>
      <sz val="12"/>
      <color rgb="FF3F3F3F"/>
      <name val="Times New Roman"/>
      <family val="2"/>
    </font>
    <font>
      <b/>
      <sz val="12"/>
      <color rgb="FF3F3F76"/>
      <name val="Calibri"/>
      <family val="2"/>
      <scheme val="minor"/>
    </font>
    <font>
      <sz val="11"/>
      <name val="Calibri"/>
      <family val="2"/>
    </font>
    <font>
      <vertAlign val="superscript"/>
      <sz val="11"/>
      <name val="Arial"/>
      <family val="2"/>
    </font>
    <font>
      <vertAlign val="subscript"/>
      <sz val="11"/>
      <name val="Arial"/>
      <family val="2"/>
    </font>
    <font>
      <b/>
      <i/>
      <sz val="10"/>
      <name val="Arial"/>
      <family val="2"/>
    </font>
    <font>
      <b/>
      <sz val="12"/>
      <color rgb="FF0000FF"/>
      <name val="Times New Roman"/>
      <family val="2"/>
    </font>
    <font>
      <sz val="12"/>
      <name val="Arial"/>
      <family val="2"/>
    </font>
    <font>
      <b/>
      <sz val="12"/>
      <name val="Arial"/>
      <family val="2"/>
    </font>
    <font>
      <sz val="12"/>
      <color rgb="FF0000FF"/>
      <name val="Arial"/>
      <family val="2"/>
    </font>
    <font>
      <b/>
      <sz val="12"/>
      <color rgb="FF0000FF"/>
      <name val="Arial"/>
      <family val="2"/>
    </font>
    <font>
      <sz val="12"/>
      <name val="Calibri"/>
      <family val="2"/>
    </font>
    <font>
      <vertAlign val="subscript"/>
      <sz val="12"/>
      <name val="Arial"/>
      <family val="2"/>
    </font>
    <font>
      <i/>
      <vertAlign val="subscript"/>
      <sz val="11"/>
      <color theme="1"/>
      <name val="Calibri"/>
      <family val="2"/>
      <scheme val="minor"/>
    </font>
    <font>
      <b/>
      <i/>
      <strike/>
      <sz val="12"/>
      <color rgb="FF00B050"/>
      <name val="Calibri"/>
      <family val="2"/>
      <scheme val="minor"/>
    </font>
    <font>
      <sz val="10"/>
      <color theme="1"/>
      <name val="Calibri"/>
      <family val="2"/>
      <scheme val="minor"/>
    </font>
    <font>
      <sz val="9"/>
      <name val="Arial"/>
      <family val="2"/>
    </font>
    <font>
      <b/>
      <strike/>
      <u/>
      <sz val="11"/>
      <color theme="1"/>
      <name val="Calibri"/>
      <family val="2"/>
      <scheme val="minor"/>
    </font>
    <font>
      <sz val="18"/>
      <color theme="1"/>
      <name val="Calibri"/>
      <family val="2"/>
      <scheme val="minor"/>
    </font>
    <font>
      <b/>
      <sz val="16"/>
      <color rgb="FF0000FF"/>
      <name val="Calibri"/>
      <family val="2"/>
      <scheme val="minor"/>
    </font>
    <font>
      <b/>
      <sz val="20"/>
      <color rgb="FF0000FF"/>
      <name val="Calibri"/>
      <family val="2"/>
      <scheme val="minor"/>
    </font>
    <font>
      <sz val="18"/>
      <color theme="1"/>
      <name val="Times New Roman"/>
      <family val="1"/>
    </font>
    <font>
      <sz val="12"/>
      <color theme="1"/>
      <name val="Calibri"/>
      <family val="2"/>
      <scheme val="minor"/>
    </font>
    <font>
      <b/>
      <sz val="10"/>
      <color theme="1"/>
      <name val="Calibri"/>
      <family val="2"/>
      <scheme val="minor"/>
    </font>
    <font>
      <sz val="14"/>
      <color indexed="81"/>
      <name val="Times New Roman"/>
      <family val="1"/>
    </font>
    <font>
      <b/>
      <sz val="11"/>
      <color indexed="81"/>
      <name val="Tahoma"/>
      <family val="2"/>
    </font>
    <font>
      <u/>
      <sz val="11"/>
      <color rgb="FF3F3F76"/>
      <name val="Calibri"/>
      <family val="2"/>
      <scheme val="minor"/>
    </font>
    <font>
      <sz val="9.35"/>
      <color theme="1"/>
      <name val="Calibri"/>
      <family val="2"/>
    </font>
    <font>
      <b/>
      <sz val="11"/>
      <color rgb="FFFA7D00"/>
      <name val="Calibri"/>
      <family val="2"/>
      <scheme val="minor"/>
    </font>
    <font>
      <b/>
      <sz val="9"/>
      <color theme="1"/>
      <name val="Calibri"/>
      <family val="2"/>
      <scheme val="minor"/>
    </font>
    <font>
      <b/>
      <sz val="9"/>
      <name val="Calibri"/>
      <family val="2"/>
      <scheme val="minor"/>
    </font>
    <font>
      <b/>
      <sz val="11"/>
      <color rgb="FFFF00FF"/>
      <name val="Calibri"/>
      <family val="2"/>
      <scheme val="minor"/>
    </font>
    <font>
      <b/>
      <sz val="20"/>
      <color rgb="FFFF0000"/>
      <name val="Calibri"/>
      <family val="2"/>
    </font>
    <font>
      <b/>
      <sz val="14"/>
      <color rgb="FF000000"/>
      <name val="Calibri"/>
      <family val="2"/>
    </font>
    <font>
      <sz val="11"/>
      <color rgb="FF000000"/>
      <name val="Calibri"/>
      <family val="2"/>
    </font>
  </fonts>
  <fills count="20">
    <fill>
      <patternFill patternType="none"/>
    </fill>
    <fill>
      <patternFill patternType="gray125"/>
    </fill>
    <fill>
      <patternFill patternType="solid">
        <fgColor rgb="FFFFCC99"/>
      </patternFill>
    </fill>
    <fill>
      <patternFill patternType="solid">
        <fgColor indexed="47"/>
        <bgColor indexed="64"/>
      </patternFill>
    </fill>
    <fill>
      <patternFill patternType="solid">
        <fgColor rgb="FFFFFF00"/>
        <bgColor indexed="64"/>
      </patternFill>
    </fill>
    <fill>
      <patternFill patternType="solid">
        <fgColor rgb="FFFFC000"/>
        <bgColor indexed="64"/>
      </patternFill>
    </fill>
    <fill>
      <patternFill patternType="solid">
        <fgColor rgb="FFC6EFCE"/>
      </patternFill>
    </fill>
    <fill>
      <patternFill patternType="solid">
        <fgColor theme="0"/>
        <bgColor indexed="64"/>
      </patternFill>
    </fill>
    <fill>
      <patternFill patternType="solid">
        <fgColor rgb="FFFFFFCC"/>
      </patternFill>
    </fill>
    <fill>
      <patternFill patternType="solid">
        <fgColor rgb="FFFFFFFF"/>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2F2F2"/>
      </patternFill>
    </fill>
    <fill>
      <patternFill patternType="solid">
        <fgColor theme="0" tint="-0.14999847407452621"/>
        <bgColor indexed="64"/>
      </patternFill>
    </fill>
    <fill>
      <patternFill patternType="solid">
        <fgColor rgb="FFD4D4D4"/>
        <bgColor indexed="64"/>
      </patternFill>
    </fill>
    <fill>
      <patternFill patternType="solid">
        <fgColor rgb="FF7CEB99"/>
        <bgColor indexed="64"/>
      </patternFill>
    </fill>
    <fill>
      <patternFill patternType="solid">
        <fgColor theme="2"/>
        <bgColor indexed="64"/>
      </patternFill>
    </fill>
    <fill>
      <patternFill patternType="solid">
        <fgColor theme="9"/>
        <bgColor indexed="64"/>
      </patternFill>
    </fill>
  </fills>
  <borders count="126">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style="thin">
        <color rgb="FF7F7F7F"/>
      </left>
      <right style="thin">
        <color rgb="FF7F7F7F"/>
      </right>
      <top style="medium">
        <color indexed="64"/>
      </top>
      <bottom style="thin">
        <color rgb="FF7F7F7F"/>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rgb="FF7F7F7F"/>
      </left>
      <right style="thin">
        <color rgb="FF7F7F7F"/>
      </right>
      <top style="thin">
        <color rgb="FF7F7F7F"/>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top/>
      <bottom style="thick">
        <color indexed="64"/>
      </bottom>
      <diagonal/>
    </border>
    <border>
      <left/>
      <right/>
      <top/>
      <bottom style="dashed">
        <color indexed="64"/>
      </bottom>
      <diagonal/>
    </border>
    <border>
      <left/>
      <right style="thin">
        <color indexed="64"/>
      </right>
      <top/>
      <bottom/>
      <diagonal/>
    </border>
    <border>
      <left/>
      <right style="thin">
        <color indexed="64"/>
      </right>
      <top/>
      <bottom style="thick">
        <color indexed="64"/>
      </bottom>
      <diagonal/>
    </border>
    <border>
      <left style="thin">
        <color indexed="64"/>
      </left>
      <right/>
      <top/>
      <bottom style="thin">
        <color indexed="64"/>
      </bottom>
      <diagonal/>
    </border>
    <border>
      <left style="dashed">
        <color indexed="64"/>
      </left>
      <right/>
      <top style="thick">
        <color indexed="64"/>
      </top>
      <bottom/>
      <diagonal/>
    </border>
    <border>
      <left/>
      <right style="dashed">
        <color indexed="64"/>
      </right>
      <top style="thick">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style="dashed">
        <color indexed="64"/>
      </right>
      <top/>
      <bottom style="dashed">
        <color indexed="64"/>
      </bottom>
      <diagonal/>
    </border>
    <border>
      <left style="thick">
        <color indexed="64"/>
      </left>
      <right style="dashed">
        <color indexed="64"/>
      </right>
      <top style="dashed">
        <color indexed="64"/>
      </top>
      <bottom/>
      <diagonal/>
    </border>
    <border>
      <left style="thick">
        <color indexed="64"/>
      </left>
      <right style="dashed">
        <color indexed="64"/>
      </right>
      <top/>
      <bottom style="dashed">
        <color indexed="64"/>
      </bottom>
      <diagonal/>
    </border>
    <border>
      <left/>
      <right/>
      <top style="dashed">
        <color indexed="64"/>
      </top>
      <bottom/>
      <diagonal/>
    </border>
    <border>
      <left/>
      <right style="dashed">
        <color indexed="64"/>
      </right>
      <top style="dashed">
        <color indexed="64"/>
      </top>
      <bottom/>
      <diagonal/>
    </border>
    <border>
      <left style="thick">
        <color indexed="64"/>
      </left>
      <right style="thin">
        <color rgb="FF7F7F7F"/>
      </right>
      <top style="thin">
        <color rgb="FF7F7F7F"/>
      </top>
      <bottom style="thin">
        <color rgb="FF7F7F7F"/>
      </bottom>
      <diagonal/>
    </border>
    <border>
      <left style="thick">
        <color indexed="64"/>
      </left>
      <right style="dashed">
        <color indexed="64"/>
      </right>
      <top/>
      <bottom/>
      <diagonal/>
    </border>
    <border>
      <left style="thick">
        <color indexed="64"/>
      </left>
      <right/>
      <top style="dashed">
        <color indexed="64"/>
      </top>
      <bottom style="thick">
        <color indexed="64"/>
      </bottom>
      <diagonal/>
    </border>
    <border>
      <left style="thick">
        <color indexed="64"/>
      </left>
      <right/>
      <top style="dashed">
        <color indexed="64"/>
      </top>
      <bottom style="thin">
        <color indexed="64"/>
      </bottom>
      <diagonal/>
    </border>
    <border>
      <left/>
      <right/>
      <top style="medium">
        <color indexed="64"/>
      </top>
      <bottom style="medium">
        <color indexed="64"/>
      </bottom>
      <diagonal/>
    </border>
    <border>
      <left style="thin">
        <color rgb="FF7F7F7F"/>
      </left>
      <right style="thin">
        <color rgb="FF7F7F7F"/>
      </right>
      <top/>
      <bottom style="thin">
        <color rgb="FF7F7F7F"/>
      </bottom>
      <diagonal/>
    </border>
    <border>
      <left style="medium">
        <color indexed="64"/>
      </left>
      <right style="medium">
        <color indexed="64"/>
      </right>
      <top style="medium">
        <color indexed="64"/>
      </top>
      <bottom/>
      <diagonal/>
    </border>
    <border>
      <left style="medium">
        <color indexed="64"/>
      </left>
      <right style="thin">
        <color rgb="FF7F7F7F"/>
      </right>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medium">
        <color indexed="64"/>
      </bottom>
      <diagonal/>
    </border>
    <border>
      <left/>
      <right/>
      <top style="double">
        <color rgb="FFFF0000"/>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medium">
        <color indexed="64"/>
      </right>
      <top style="medium">
        <color indexed="64"/>
      </top>
      <bottom/>
      <diagonal style="thin">
        <color indexed="64"/>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medium">
        <color indexed="64"/>
      </right>
      <top/>
      <bottom style="medium">
        <color indexed="64"/>
      </bottom>
      <diagonal style="thin">
        <color indexed="64"/>
      </diagonal>
    </border>
    <border diagonalDown="1">
      <left/>
      <right/>
      <top/>
      <bottom/>
      <diagonal style="thin">
        <color indexed="64"/>
      </diagonal>
    </border>
    <border diagonalDown="1">
      <left style="medium">
        <color indexed="64"/>
      </left>
      <right/>
      <top/>
      <bottom style="double">
        <color rgb="FFFF0000"/>
      </bottom>
      <diagonal style="thin">
        <color indexed="64"/>
      </diagonal>
    </border>
    <border diagonalDown="1">
      <left/>
      <right/>
      <top/>
      <bottom style="double">
        <color rgb="FFFF0000"/>
      </bottom>
      <diagonal style="thin">
        <color indexed="64"/>
      </diagonal>
    </border>
    <border diagonalDown="1">
      <left/>
      <right style="medium">
        <color indexed="64"/>
      </right>
      <top/>
      <bottom style="double">
        <color rgb="FFFF0000"/>
      </bottom>
      <diagonal style="thin">
        <color indexed="64"/>
      </diagonal>
    </border>
    <border diagonalDown="1">
      <left/>
      <right style="medium">
        <color indexed="64"/>
      </right>
      <top/>
      <bottom/>
      <diagonal style="thin">
        <color indexed="64"/>
      </diagonal>
    </border>
    <border diagonalDown="1">
      <left style="medium">
        <color indexed="64"/>
      </left>
      <right/>
      <top/>
      <bottom/>
      <diagonal style="thin">
        <color indexed="64"/>
      </diagonal>
    </border>
    <border diagonalDown="1">
      <left style="thin">
        <color rgb="FF7F7F7F"/>
      </left>
      <right style="thin">
        <color rgb="FF7F7F7F"/>
      </right>
      <top style="thin">
        <color theme="1"/>
      </top>
      <bottom style="thin">
        <color rgb="FF7F7F7F"/>
      </bottom>
      <diagonal style="thin">
        <color indexed="64"/>
      </diagonal>
    </border>
    <border diagonalDown="1">
      <left/>
      <right/>
      <top style="thin">
        <color theme="1"/>
      </top>
      <bottom/>
      <diagonal style="thin">
        <color indexed="64"/>
      </diagonal>
    </border>
    <border diagonalDown="1">
      <left style="medium">
        <color indexed="64"/>
      </left>
      <right/>
      <top style="thin">
        <color theme="1"/>
      </top>
      <bottom/>
      <diagonal style="thin">
        <color indexed="64"/>
      </diagonal>
    </border>
    <border diagonalDown="1">
      <left/>
      <right style="medium">
        <color indexed="64"/>
      </right>
      <top style="thin">
        <color theme="1"/>
      </top>
      <bottom/>
      <diagonal style="thin">
        <color indexed="64"/>
      </diagonal>
    </border>
    <border diagonalDown="1">
      <left style="medium">
        <color indexed="64"/>
      </left>
      <right/>
      <top style="thin">
        <color theme="1"/>
      </top>
      <bottom style="medium">
        <color indexed="64"/>
      </bottom>
      <diagonal style="thin">
        <color indexed="64"/>
      </diagonal>
    </border>
    <border diagonalDown="1">
      <left/>
      <right/>
      <top style="thin">
        <color theme="1"/>
      </top>
      <bottom style="medium">
        <color indexed="64"/>
      </bottom>
      <diagonal style="thin">
        <color indexed="64"/>
      </diagonal>
    </border>
    <border diagonalDown="1">
      <left/>
      <right style="medium">
        <color indexed="64"/>
      </right>
      <top style="thin">
        <color theme="1"/>
      </top>
      <bottom style="medium">
        <color indexed="64"/>
      </bottom>
      <diagonal style="thin">
        <color indexed="64"/>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style="thin">
        <color rgb="FF7F7F7F"/>
      </right>
      <top style="medium">
        <color indexed="64"/>
      </top>
      <bottom style="medium">
        <color indexed="64"/>
      </bottom>
      <diagonal/>
    </border>
    <border>
      <left style="thin">
        <color rgb="FF7F7F7F"/>
      </left>
      <right style="thin">
        <color rgb="FF7F7F7F"/>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medium">
        <color indexed="64"/>
      </top>
      <bottom style="thin">
        <color rgb="FFB2B2B2"/>
      </bottom>
      <diagonal/>
    </border>
    <border>
      <left/>
      <right style="thick">
        <color indexed="64"/>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rgb="FF7F7F7F"/>
      </left>
      <right style="medium">
        <color indexed="64"/>
      </right>
      <top style="medium">
        <color indexed="64"/>
      </top>
      <bottom style="thin">
        <color rgb="FF7F7F7F"/>
      </bottom>
      <diagonal/>
    </border>
    <border>
      <left style="thin">
        <color rgb="FF7F7F7F"/>
      </left>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top style="medium">
        <color indexed="64"/>
      </top>
      <bottom style="thin">
        <color rgb="FF7F7F7F"/>
      </bottom>
      <diagonal/>
    </border>
    <border>
      <left style="medium">
        <color indexed="64"/>
      </left>
      <right/>
      <top style="thin">
        <color rgb="FF7F7F7F"/>
      </top>
      <bottom style="thin">
        <color rgb="FF7F7F7F"/>
      </bottom>
      <diagonal/>
    </border>
    <border>
      <left style="thin">
        <color rgb="FF7F7F7F"/>
      </left>
      <right style="medium">
        <color indexed="64"/>
      </right>
      <top/>
      <bottom style="thin">
        <color rgb="FF7F7F7F"/>
      </bottom>
      <diagonal/>
    </border>
    <border>
      <left/>
      <right style="thin">
        <color rgb="FF7F7F7F"/>
      </right>
      <top style="thin">
        <color rgb="FF7F7F7F"/>
      </top>
      <bottom style="thin">
        <color rgb="FF7F7F7F"/>
      </bottom>
      <diagonal/>
    </border>
    <border>
      <left/>
      <right style="thick">
        <color indexed="64"/>
      </right>
      <top/>
      <bottom style="thick">
        <color indexed="64"/>
      </bottom>
      <diagonal/>
    </border>
    <border>
      <left style="thick">
        <color indexed="64"/>
      </left>
      <right/>
      <top/>
      <bottom style="thick">
        <color indexed="64"/>
      </bottom>
      <diagonal/>
    </border>
    <border>
      <left style="thin">
        <color indexed="64"/>
      </left>
      <right/>
      <top/>
      <bottom style="thick">
        <color indexed="64"/>
      </bottom>
      <diagonal/>
    </border>
    <border>
      <left style="double">
        <color rgb="FFFF0000"/>
      </left>
      <right/>
      <top style="double">
        <color rgb="FFFF0000"/>
      </top>
      <bottom/>
      <diagonal/>
    </border>
    <border>
      <left/>
      <right style="double">
        <color rgb="FFFF0000"/>
      </right>
      <top style="double">
        <color rgb="FFFF0000"/>
      </top>
      <bottom/>
      <diagonal/>
    </border>
    <border>
      <left style="double">
        <color rgb="FFFF0000"/>
      </left>
      <right/>
      <top/>
      <bottom/>
      <diagonal/>
    </border>
    <border>
      <left/>
      <right style="double">
        <color rgb="FFFF0000"/>
      </right>
      <top/>
      <bottom/>
      <diagonal/>
    </border>
    <border>
      <left style="double">
        <color rgb="FFFF0000"/>
      </left>
      <right/>
      <top/>
      <bottom style="double">
        <color rgb="FFFF0000"/>
      </bottom>
      <diagonal/>
    </border>
    <border>
      <left/>
      <right/>
      <top/>
      <bottom style="double">
        <color rgb="FFFF0000"/>
      </bottom>
      <diagonal/>
    </border>
    <border>
      <left/>
      <right style="double">
        <color rgb="FFFF0000"/>
      </right>
      <top/>
      <bottom style="double">
        <color rgb="FFFF0000"/>
      </bottom>
      <diagonal/>
    </border>
    <border>
      <left style="thin">
        <color rgb="FF3F3F3F"/>
      </left>
      <right style="thin">
        <color rgb="FF3F3F3F"/>
      </right>
      <top style="thin">
        <color rgb="FF3F3F3F"/>
      </top>
      <bottom style="thin">
        <color rgb="FF3F3F3F"/>
      </bottom>
      <diagonal/>
    </border>
    <border>
      <left style="thin">
        <color indexed="64"/>
      </left>
      <right/>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double">
        <color rgb="FF00B050"/>
      </left>
      <right/>
      <top style="double">
        <color rgb="FF00B050"/>
      </top>
      <bottom/>
      <diagonal/>
    </border>
    <border>
      <left/>
      <right/>
      <top style="double">
        <color rgb="FF00B050"/>
      </top>
      <bottom/>
      <diagonal/>
    </border>
    <border>
      <left/>
      <right style="double">
        <color rgb="FF00B050"/>
      </right>
      <top style="double">
        <color rgb="FF00B050"/>
      </top>
      <bottom/>
      <diagonal/>
    </border>
    <border>
      <left style="double">
        <color rgb="FF00B050"/>
      </left>
      <right/>
      <top/>
      <bottom/>
      <diagonal/>
    </border>
    <border>
      <left/>
      <right style="double">
        <color rgb="FF00B050"/>
      </right>
      <top/>
      <bottom/>
      <diagonal/>
    </border>
    <border>
      <left style="double">
        <color rgb="FF00B050"/>
      </left>
      <right/>
      <top/>
      <bottom style="double">
        <color rgb="FF00B050"/>
      </bottom>
      <diagonal/>
    </border>
    <border>
      <left/>
      <right/>
      <top/>
      <bottom style="double">
        <color rgb="FF00B050"/>
      </bottom>
      <diagonal/>
    </border>
    <border>
      <left/>
      <right style="double">
        <color rgb="FF00B050"/>
      </right>
      <top/>
      <bottom style="double">
        <color rgb="FF00B050"/>
      </bottom>
      <diagonal/>
    </border>
    <border>
      <left/>
      <right/>
      <top style="thin">
        <color rgb="FF7F7F7F"/>
      </top>
      <bottom style="thin">
        <color rgb="FF7F7F7F"/>
      </bottom>
      <diagonal/>
    </border>
    <border>
      <left style="thin">
        <color rgb="FF7F7F7F"/>
      </left>
      <right style="thin">
        <color rgb="FF7F7F7F"/>
      </right>
      <top style="thin">
        <color rgb="FF7F7F7F"/>
      </top>
      <bottom/>
      <diagonal/>
    </border>
    <border>
      <left style="thin">
        <color rgb="FF7F7F7F"/>
      </left>
      <right style="medium">
        <color indexed="64"/>
      </right>
      <top style="thin">
        <color rgb="FF7F7F7F"/>
      </top>
      <bottom/>
      <diagonal/>
    </border>
    <border>
      <left/>
      <right/>
      <top style="thin">
        <color rgb="FF7F7F7F"/>
      </top>
      <bottom/>
      <diagonal/>
    </border>
    <border>
      <left style="medium">
        <color indexed="64"/>
      </left>
      <right/>
      <top style="thin">
        <color rgb="FF7F7F7F"/>
      </top>
      <bottom style="medium">
        <color indexed="64"/>
      </bottom>
      <diagonal/>
    </border>
    <border>
      <left style="medium">
        <color indexed="64"/>
      </left>
      <right/>
      <top/>
      <bottom style="thin">
        <color rgb="FF7F7F7F"/>
      </bottom>
      <diagonal/>
    </border>
  </borders>
  <cellStyleXfs count="12">
    <xf numFmtId="0" fontId="0" fillId="0" borderId="0"/>
    <xf numFmtId="0" fontId="2" fillId="2" borderId="1" applyNumberFormat="0" applyAlignment="0" applyProtection="0"/>
    <xf numFmtId="164" fontId="5" fillId="0" borderId="0" applyFont="0" applyFill="0" applyBorder="0" applyAlignment="0" applyProtection="0"/>
    <xf numFmtId="0" fontId="28" fillId="6" borderId="0" applyNumberFormat="0" applyBorder="0" applyAlignment="0" applyProtection="0"/>
    <xf numFmtId="0" fontId="5" fillId="8" borderId="77" applyNumberFormat="0" applyFont="0" applyAlignment="0" applyProtection="0"/>
    <xf numFmtId="0" fontId="6" fillId="0" borderId="0"/>
    <xf numFmtId="9" fontId="6" fillId="0" borderId="0" applyFon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0" fontId="105" fillId="14" borderId="107" applyNumberFormat="0" applyAlignment="0" applyProtection="0"/>
    <xf numFmtId="0" fontId="133" fillId="14" borderId="1" applyNumberFormat="0" applyAlignment="0" applyProtection="0"/>
  </cellStyleXfs>
  <cellXfs count="1098">
    <xf numFmtId="0" fontId="0" fillId="0" borderId="0" xfId="0"/>
    <xf numFmtId="0" fontId="0" fillId="0" borderId="0" xfId="0" applyAlignment="1">
      <alignment horizontal="center"/>
    </xf>
    <xf numFmtId="165" fontId="0" fillId="0" borderId="0" xfId="0" applyNumberFormat="1" applyAlignment="1">
      <alignment horizontal="left"/>
    </xf>
    <xf numFmtId="0" fontId="1" fillId="0" borderId="0" xfId="0" applyFont="1"/>
    <xf numFmtId="0" fontId="0" fillId="0" borderId="0" xfId="0" applyAlignment="1">
      <alignment horizontal="right"/>
    </xf>
    <xf numFmtId="0" fontId="3" fillId="0" borderId="0" xfId="0" applyFont="1"/>
    <xf numFmtId="0" fontId="0" fillId="0" borderId="2" xfId="0"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7" xfId="0" applyBorder="1"/>
    <xf numFmtId="0" fontId="3" fillId="0" borderId="6" xfId="0" applyFont="1" applyBorder="1" applyAlignment="1">
      <alignment horizontal="center"/>
    </xf>
    <xf numFmtId="0" fontId="3" fillId="0" borderId="0" xfId="0" applyFont="1" applyAlignment="1">
      <alignment horizontal="center"/>
    </xf>
    <xf numFmtId="0" fontId="3" fillId="0" borderId="7" xfId="0" applyFont="1" applyBorder="1" applyAlignment="1">
      <alignment horizontal="center"/>
    </xf>
    <xf numFmtId="0" fontId="2" fillId="2" borderId="1" xfId="1" applyAlignment="1">
      <alignment horizontal="center"/>
    </xf>
    <xf numFmtId="0" fontId="0" fillId="0" borderId="8" xfId="0" applyBorder="1" applyAlignment="1">
      <alignment horizontal="center"/>
    </xf>
    <xf numFmtId="0" fontId="2" fillId="2" borderId="9" xfId="1" applyBorder="1" applyAlignment="1">
      <alignment horizontal="center"/>
    </xf>
    <xf numFmtId="0" fontId="0" fillId="0" borderId="10" xfId="0" applyBorder="1" applyAlignment="1">
      <alignment horizontal="center"/>
    </xf>
    <xf numFmtId="0" fontId="0" fillId="0" borderId="13" xfId="0" applyBorder="1"/>
    <xf numFmtId="11" fontId="0" fillId="0" borderId="0" xfId="0" applyNumberFormat="1"/>
    <xf numFmtId="0" fontId="6" fillId="3" borderId="0" xfId="0" applyFont="1" applyFill="1" applyAlignment="1">
      <alignment vertical="center"/>
    </xf>
    <xf numFmtId="0" fontId="3" fillId="0" borderId="16" xfId="0" applyFont="1" applyBorder="1"/>
    <xf numFmtId="0" fontId="0" fillId="0" borderId="0" xfId="0" applyAlignment="1">
      <alignment horizontal="left"/>
    </xf>
    <xf numFmtId="2" fontId="0" fillId="0" borderId="0" xfId="0" applyNumberFormat="1" applyAlignment="1">
      <alignment horizontal="center"/>
    </xf>
    <xf numFmtId="0" fontId="0" fillId="0" borderId="15" xfId="0" applyBorder="1" applyAlignment="1">
      <alignment horizontal="center"/>
    </xf>
    <xf numFmtId="0" fontId="0" fillId="0" borderId="18" xfId="0" applyBorder="1" applyAlignment="1">
      <alignment horizontal="center"/>
    </xf>
    <xf numFmtId="2" fontId="0" fillId="0" borderId="18" xfId="0" applyNumberFormat="1" applyBorder="1" applyAlignment="1">
      <alignment horizontal="center"/>
    </xf>
    <xf numFmtId="168" fontId="0" fillId="0" borderId="0" xfId="0" applyNumberFormat="1" applyAlignment="1">
      <alignment horizontal="center"/>
    </xf>
    <xf numFmtId="0" fontId="0" fillId="0" borderId="19" xfId="0" applyBorder="1" applyAlignment="1">
      <alignment horizontal="center"/>
    </xf>
    <xf numFmtId="1" fontId="2" fillId="2" borderId="1" xfId="1" applyNumberFormat="1" applyAlignment="1">
      <alignment horizontal="center"/>
    </xf>
    <xf numFmtId="1" fontId="0" fillId="0" borderId="0" xfId="0" applyNumberFormat="1" applyAlignment="1">
      <alignment horizontal="center"/>
    </xf>
    <xf numFmtId="169" fontId="0" fillId="0" borderId="0" xfId="2" applyNumberFormat="1" applyFont="1" applyAlignment="1">
      <alignment horizontal="right"/>
    </xf>
    <xf numFmtId="0" fontId="8" fillId="0" borderId="0" xfId="0" quotePrefix="1" applyFont="1"/>
    <xf numFmtId="0" fontId="0" fillId="4" borderId="0" xfId="0" applyFill="1"/>
    <xf numFmtId="0" fontId="3" fillId="0" borderId="0" xfId="0" applyFont="1" applyAlignment="1">
      <alignment horizontal="center" wrapText="1"/>
    </xf>
    <xf numFmtId="0" fontId="9" fillId="0" borderId="0" xfId="0" applyFont="1" applyAlignment="1">
      <alignment horizontal="center"/>
    </xf>
    <xf numFmtId="169" fontId="0" fillId="4" borderId="0" xfId="2" applyNumberFormat="1" applyFont="1" applyFill="1" applyAlignment="1">
      <alignment horizontal="center"/>
    </xf>
    <xf numFmtId="0" fontId="0" fillId="0" borderId="0" xfId="0" applyAlignment="1">
      <alignment horizontal="left" vertical="center"/>
    </xf>
    <xf numFmtId="168" fontId="0" fillId="0" borderId="0" xfId="0" applyNumberFormat="1" applyAlignment="1">
      <alignment horizontal="left"/>
    </xf>
    <xf numFmtId="170" fontId="0" fillId="0" borderId="0" xfId="0" applyNumberFormat="1" applyAlignment="1">
      <alignment horizontal="center"/>
    </xf>
    <xf numFmtId="170" fontId="0" fillId="0" borderId="0" xfId="0" applyNumberFormat="1"/>
    <xf numFmtId="168" fontId="0" fillId="0" borderId="0" xfId="0" applyNumberFormat="1"/>
    <xf numFmtId="0" fontId="0" fillId="3" borderId="20" xfId="0" applyFill="1" applyBorder="1" applyAlignment="1">
      <alignment horizontal="center" vertical="center" wrapText="1"/>
    </xf>
    <xf numFmtId="0" fontId="0" fillId="3" borderId="21" xfId="0" applyFill="1" applyBorder="1" applyAlignment="1">
      <alignment horizontal="center" vertical="center" wrapText="1"/>
    </xf>
    <xf numFmtId="0" fontId="0" fillId="0" borderId="0" xfId="0" applyAlignment="1">
      <alignment horizontal="center" vertical="center" wrapText="1"/>
    </xf>
    <xf numFmtId="0" fontId="0" fillId="3" borderId="22" xfId="0" applyFill="1" applyBorder="1" applyAlignment="1">
      <alignment horizontal="center" vertical="center" wrapText="1"/>
    </xf>
    <xf numFmtId="0" fontId="11" fillId="3" borderId="20" xfId="0" applyFont="1" applyFill="1" applyBorder="1" applyAlignment="1">
      <alignment horizontal="center" vertical="center" wrapText="1"/>
    </xf>
    <xf numFmtId="0" fontId="11" fillId="3" borderId="21" xfId="0" applyFont="1" applyFill="1" applyBorder="1" applyAlignment="1">
      <alignment horizontal="center" vertical="center" wrapText="1"/>
    </xf>
    <xf numFmtId="0" fontId="12" fillId="0" borderId="0" xfId="0" applyFont="1" applyAlignment="1">
      <alignment horizontal="center"/>
    </xf>
    <xf numFmtId="171" fontId="0" fillId="0" borderId="0" xfId="0" applyNumberFormat="1" applyAlignment="1">
      <alignment horizontal="center"/>
    </xf>
    <xf numFmtId="166" fontId="0" fillId="0" borderId="0" xfId="0" applyNumberFormat="1" applyAlignment="1">
      <alignment horizontal="center"/>
    </xf>
    <xf numFmtId="173" fontId="0" fillId="0" borderId="0" xfId="0" applyNumberFormat="1" applyAlignment="1">
      <alignment horizontal="center"/>
    </xf>
    <xf numFmtId="174" fontId="0" fillId="0" borderId="0" xfId="0" applyNumberFormat="1" applyAlignment="1">
      <alignment horizontal="center"/>
    </xf>
    <xf numFmtId="172" fontId="3" fillId="0" borderId="0" xfId="0" applyNumberFormat="1" applyFont="1" applyAlignment="1">
      <alignment horizontal="center"/>
    </xf>
    <xf numFmtId="2" fontId="2" fillId="2" borderId="1" xfId="1" applyNumberFormat="1" applyAlignment="1">
      <alignment horizontal="center"/>
    </xf>
    <xf numFmtId="170" fontId="2" fillId="2" borderId="1" xfId="1" applyNumberFormat="1" applyAlignment="1">
      <alignment horizontal="center"/>
    </xf>
    <xf numFmtId="0" fontId="0" fillId="0" borderId="0" xfId="0" applyAlignment="1">
      <alignment vertical="center"/>
    </xf>
    <xf numFmtId="173" fontId="0" fillId="0" borderId="11" xfId="0" applyNumberFormat="1" applyBorder="1" applyAlignment="1">
      <alignment horizontal="center"/>
    </xf>
    <xf numFmtId="0" fontId="3" fillId="0" borderId="2" xfId="0" applyFont="1" applyBorder="1" applyAlignment="1">
      <alignment horizontal="left"/>
    </xf>
    <xf numFmtId="0" fontId="3" fillId="0" borderId="0" xfId="0" applyFont="1" applyAlignment="1">
      <alignment horizontal="right"/>
    </xf>
    <xf numFmtId="173" fontId="0" fillId="0" borderId="0" xfId="0" applyNumberFormat="1"/>
    <xf numFmtId="173" fontId="3" fillId="0" borderId="0" xfId="0" applyNumberFormat="1" applyFont="1"/>
    <xf numFmtId="0" fontId="0" fillId="0" borderId="0" xfId="0" applyAlignment="1">
      <alignment wrapText="1"/>
    </xf>
    <xf numFmtId="171" fontId="0" fillId="0" borderId="0" xfId="0" applyNumberFormat="1"/>
    <xf numFmtId="0" fontId="0" fillId="0" borderId="0" xfId="0" applyAlignment="1">
      <alignment horizontal="center" wrapText="1"/>
    </xf>
    <xf numFmtId="0" fontId="6" fillId="0" borderId="0" xfId="0" applyFont="1" applyAlignment="1">
      <alignment horizontal="center"/>
    </xf>
    <xf numFmtId="0" fontId="0" fillId="4" borderId="0" xfId="0" applyFill="1" applyAlignment="1">
      <alignment horizontal="center"/>
    </xf>
    <xf numFmtId="0" fontId="14" fillId="0" borderId="0" xfId="0" applyFont="1" applyAlignment="1">
      <alignment horizontal="right"/>
    </xf>
    <xf numFmtId="0" fontId="0" fillId="0" borderId="25" xfId="0" applyBorder="1"/>
    <xf numFmtId="0" fontId="0" fillId="0" borderId="0" xfId="0" applyAlignment="1">
      <alignment textRotation="90"/>
    </xf>
    <xf numFmtId="0" fontId="0" fillId="0" borderId="24" xfId="0" applyBorder="1" applyAlignment="1">
      <alignment textRotation="90"/>
    </xf>
    <xf numFmtId="0" fontId="0" fillId="0" borderId="0" xfId="0" applyAlignment="1">
      <alignment horizontal="center" textRotation="90"/>
    </xf>
    <xf numFmtId="0" fontId="0" fillId="0" borderId="23" xfId="0" applyBorder="1" applyAlignment="1">
      <alignment horizontal="left"/>
    </xf>
    <xf numFmtId="0" fontId="0" fillId="0" borderId="26" xfId="0" applyBorder="1" applyAlignment="1">
      <alignment horizontal="left"/>
    </xf>
    <xf numFmtId="0" fontId="0" fillId="0" borderId="24" xfId="0" applyBorder="1"/>
    <xf numFmtId="175" fontId="0" fillId="0" borderId="24" xfId="0" applyNumberFormat="1" applyBorder="1"/>
    <xf numFmtId="175" fontId="0" fillId="0" borderId="0" xfId="0" applyNumberFormat="1"/>
    <xf numFmtId="0" fontId="0" fillId="0" borderId="24" xfId="0" applyBorder="1" applyAlignment="1">
      <alignment horizontal="center"/>
    </xf>
    <xf numFmtId="170" fontId="0" fillId="0" borderId="0" xfId="0" applyNumberFormat="1" applyAlignment="1">
      <alignment horizontal="center" textRotation="90"/>
    </xf>
    <xf numFmtId="0" fontId="0" fillId="0" borderId="0" xfId="0" quotePrefix="1" applyAlignment="1">
      <alignment textRotation="90"/>
    </xf>
    <xf numFmtId="0" fontId="0" fillId="0" borderId="27" xfId="0" applyBorder="1"/>
    <xf numFmtId="0" fontId="17" fillId="0" borderId="30" xfId="0" applyFont="1" applyBorder="1" applyAlignment="1">
      <alignment textRotation="90"/>
    </xf>
    <xf numFmtId="0" fontId="17" fillId="0" borderId="31" xfId="0" applyFont="1" applyBorder="1" applyAlignment="1">
      <alignment horizontal="left"/>
    </xf>
    <xf numFmtId="0" fontId="3" fillId="0" borderId="32" xfId="0" applyFont="1" applyBorder="1" applyAlignment="1">
      <alignment horizontal="center"/>
    </xf>
    <xf numFmtId="175" fontId="0" fillId="0" borderId="33" xfId="0" applyNumberFormat="1" applyBorder="1"/>
    <xf numFmtId="0" fontId="3" fillId="0" borderId="34" xfId="0" applyFont="1" applyBorder="1" applyAlignment="1">
      <alignment horizontal="center"/>
    </xf>
    <xf numFmtId="175" fontId="0" fillId="0" borderId="35" xfId="0" applyNumberFormat="1" applyBorder="1"/>
    <xf numFmtId="0" fontId="3" fillId="0" borderId="36" xfId="0" applyFont="1" applyBorder="1" applyAlignment="1">
      <alignment horizontal="left"/>
    </xf>
    <xf numFmtId="0" fontId="0" fillId="0" borderId="28" xfId="0" applyBorder="1"/>
    <xf numFmtId="176" fontId="0" fillId="0" borderId="28" xfId="0" applyNumberFormat="1" applyBorder="1"/>
    <xf numFmtId="175" fontId="0" fillId="0" borderId="28" xfId="0" applyNumberFormat="1" applyBorder="1"/>
    <xf numFmtId="0" fontId="0" fillId="0" borderId="37" xfId="0" applyBorder="1"/>
    <xf numFmtId="0" fontId="0" fillId="0" borderId="39" xfId="0" applyBorder="1" applyAlignment="1">
      <alignment horizontal="left"/>
    </xf>
    <xf numFmtId="0" fontId="0" fillId="0" borderId="40" xfId="0" applyBorder="1"/>
    <xf numFmtId="175" fontId="0" fillId="0" borderId="40" xfId="0" applyNumberFormat="1" applyBorder="1"/>
    <xf numFmtId="0" fontId="0" fillId="0" borderId="41" xfId="0" applyBorder="1" applyAlignment="1">
      <alignment horizontal="center" vertical="center" textRotation="90"/>
    </xf>
    <xf numFmtId="0" fontId="0" fillId="0" borderId="37" xfId="0" applyBorder="1" applyAlignment="1">
      <alignment textRotation="90"/>
    </xf>
    <xf numFmtId="170" fontId="14" fillId="0" borderId="38" xfId="0" applyNumberFormat="1" applyFont="1" applyBorder="1" applyAlignment="1">
      <alignment horizontal="left"/>
    </xf>
    <xf numFmtId="0" fontId="0" fillId="0" borderId="11" xfId="0" applyBorder="1"/>
    <xf numFmtId="177" fontId="0" fillId="0" borderId="0" xfId="0" applyNumberFormat="1" applyAlignment="1">
      <alignment horizontal="center"/>
    </xf>
    <xf numFmtId="177" fontId="0" fillId="0" borderId="0" xfId="0" applyNumberFormat="1"/>
    <xf numFmtId="1" fontId="3" fillId="0" borderId="0" xfId="0" applyNumberFormat="1" applyFont="1" applyAlignment="1">
      <alignment horizontal="center"/>
    </xf>
    <xf numFmtId="11" fontId="3" fillId="0" borderId="0" xfId="0" applyNumberFormat="1" applyFont="1" applyAlignment="1">
      <alignment horizontal="center"/>
    </xf>
    <xf numFmtId="170" fontId="3" fillId="0" borderId="0" xfId="0" applyNumberFormat="1" applyFont="1" applyAlignment="1">
      <alignment horizontal="center"/>
    </xf>
    <xf numFmtId="166" fontId="0" fillId="5" borderId="0" xfId="0" applyNumberFormat="1" applyFill="1" applyAlignment="1">
      <alignment horizontal="center"/>
    </xf>
    <xf numFmtId="174" fontId="0" fillId="5" borderId="0" xfId="0" applyNumberFormat="1" applyFill="1" applyAlignment="1">
      <alignment horizontal="center"/>
    </xf>
    <xf numFmtId="167" fontId="0" fillId="0" borderId="0" xfId="0" applyNumberFormat="1"/>
    <xf numFmtId="168" fontId="0" fillId="5" borderId="0" xfId="0" applyNumberFormat="1" applyFill="1" applyAlignment="1">
      <alignment horizontal="center"/>
    </xf>
    <xf numFmtId="1" fontId="3" fillId="0" borderId="0" xfId="0" applyNumberFormat="1" applyFont="1" applyAlignment="1">
      <alignment horizontal="left"/>
    </xf>
    <xf numFmtId="170" fontId="2" fillId="2" borderId="42" xfId="1" applyNumberFormat="1" applyBorder="1" applyAlignment="1">
      <alignment horizontal="left"/>
    </xf>
    <xf numFmtId="0" fontId="0" fillId="0" borderId="43" xfId="0" applyBorder="1" applyAlignment="1">
      <alignment horizontal="left"/>
    </xf>
    <xf numFmtId="0" fontId="0" fillId="0" borderId="44" xfId="0" applyBorder="1" applyAlignment="1">
      <alignment horizontal="left"/>
    </xf>
    <xf numFmtId="0" fontId="0" fillId="0" borderId="44" xfId="0" applyBorder="1"/>
    <xf numFmtId="0" fontId="17" fillId="0" borderId="45" xfId="0" applyFont="1" applyBorder="1" applyAlignment="1">
      <alignment horizontal="left"/>
    </xf>
    <xf numFmtId="0" fontId="3" fillId="0" borderId="0" xfId="0" applyFont="1" applyAlignment="1">
      <alignment horizontal="left"/>
    </xf>
    <xf numFmtId="176" fontId="0" fillId="0" borderId="0" xfId="0" applyNumberFormat="1"/>
    <xf numFmtId="170" fontId="0" fillId="5" borderId="0" xfId="0" applyNumberFormat="1" applyFill="1" applyAlignment="1">
      <alignment horizontal="center"/>
    </xf>
    <xf numFmtId="0" fontId="0" fillId="0" borderId="2"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2" xfId="0" applyBorder="1"/>
    <xf numFmtId="0" fontId="0" fillId="0" borderId="6" xfId="0" applyBorder="1"/>
    <xf numFmtId="0" fontId="0" fillId="0" borderId="8" xfId="0" applyBorder="1"/>
    <xf numFmtId="0" fontId="0" fillId="0" borderId="10" xfId="0" applyBorder="1"/>
    <xf numFmtId="0" fontId="2" fillId="2" borderId="1" xfId="1"/>
    <xf numFmtId="0" fontId="4" fillId="0" borderId="0" xfId="0" applyFont="1"/>
    <xf numFmtId="0" fontId="0" fillId="0" borderId="16" xfId="0" applyBorder="1"/>
    <xf numFmtId="0" fontId="0" fillId="0" borderId="46" xfId="0" applyBorder="1"/>
    <xf numFmtId="0" fontId="0" fillId="0" borderId="17" xfId="0" applyBorder="1"/>
    <xf numFmtId="0" fontId="0" fillId="0" borderId="0" xfId="0" applyAlignment="1">
      <alignment horizontal="left" wrapText="1"/>
    </xf>
    <xf numFmtId="0" fontId="2" fillId="2" borderId="47" xfId="1" applyBorder="1"/>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wrapText="1"/>
    </xf>
    <xf numFmtId="0" fontId="0" fillId="0" borderId="7" xfId="0" applyBorder="1" applyAlignment="1">
      <alignment horizontal="center" wrapText="1"/>
    </xf>
    <xf numFmtId="166" fontId="0" fillId="0" borderId="6" xfId="0" applyNumberFormat="1" applyBorder="1" applyAlignment="1">
      <alignment horizontal="center"/>
    </xf>
    <xf numFmtId="0" fontId="0" fillId="0" borderId="7" xfId="0" applyBorder="1" applyAlignment="1">
      <alignment horizontal="center"/>
    </xf>
    <xf numFmtId="166" fontId="0" fillId="0" borderId="8" xfId="0" applyNumberFormat="1" applyBorder="1" applyAlignment="1">
      <alignment horizontal="center"/>
    </xf>
    <xf numFmtId="166" fontId="0" fillId="0" borderId="10" xfId="0" applyNumberFormat="1" applyBorder="1" applyAlignment="1">
      <alignment horizontal="center"/>
    </xf>
    <xf numFmtId="0" fontId="0" fillId="0" borderId="48" xfId="0" applyBorder="1"/>
    <xf numFmtId="0" fontId="18" fillId="0" borderId="18" xfId="0" applyFont="1" applyBorder="1" applyAlignment="1">
      <alignment horizontal="center" wrapText="1"/>
    </xf>
    <xf numFmtId="170" fontId="0" fillId="0" borderId="18" xfId="0" applyNumberForma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15" xfId="0" applyFont="1" applyBorder="1"/>
    <xf numFmtId="0" fontId="2" fillId="0" borderId="1" xfId="1" applyFill="1"/>
    <xf numFmtId="0" fontId="19" fillId="0" borderId="0" xfId="0" applyFont="1"/>
    <xf numFmtId="0" fontId="2" fillId="2" borderId="47" xfId="1" applyBorder="1" applyAlignment="1">
      <alignment horizontal="center"/>
    </xf>
    <xf numFmtId="0" fontId="0" fillId="0" borderId="8"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18" fillId="0" borderId="19" xfId="0" applyFont="1" applyBorder="1" applyAlignment="1">
      <alignment horizontal="center" wrapText="1"/>
    </xf>
    <xf numFmtId="0" fontId="2" fillId="2" borderId="49" xfId="1" applyBorder="1" applyAlignment="1">
      <alignment horizontal="center"/>
    </xf>
    <xf numFmtId="0" fontId="2" fillId="2" borderId="50" xfId="1" applyBorder="1" applyAlignment="1">
      <alignment horizontal="center"/>
    </xf>
    <xf numFmtId="0" fontId="17" fillId="0" borderId="15" xfId="0" applyFont="1" applyBorder="1" applyAlignment="1">
      <alignment horizontal="left" wrapText="1"/>
    </xf>
    <xf numFmtId="0" fontId="2" fillId="2" borderId="51" xfId="1" applyBorder="1" applyAlignment="1">
      <alignment horizontal="center"/>
    </xf>
    <xf numFmtId="0" fontId="2" fillId="2" borderId="3" xfId="1" applyBorder="1" applyAlignment="1">
      <alignment horizontal="center"/>
    </xf>
    <xf numFmtId="0" fontId="0" fillId="0" borderId="4" xfId="0" applyBorder="1" applyAlignment="1">
      <alignment horizontal="center"/>
    </xf>
    <xf numFmtId="0" fontId="0" fillId="0" borderId="48" xfId="0" applyBorder="1" applyAlignment="1">
      <alignment horizontal="center"/>
    </xf>
    <xf numFmtId="0" fontId="0" fillId="0" borderId="18" xfId="0" applyBorder="1"/>
    <xf numFmtId="0" fontId="4" fillId="0" borderId="0" xfId="0" applyFont="1" applyAlignment="1">
      <alignment horizontal="left"/>
    </xf>
    <xf numFmtId="166" fontId="0" fillId="0" borderId="12" xfId="0" applyNumberFormat="1" applyBorder="1" applyAlignment="1">
      <alignment horizontal="center"/>
    </xf>
    <xf numFmtId="0" fontId="8" fillId="0" borderId="0" xfId="0" applyFont="1"/>
    <xf numFmtId="0" fontId="23" fillId="0" borderId="0" xfId="0" applyFont="1"/>
    <xf numFmtId="0" fontId="2" fillId="2" borderId="15" xfId="1" applyBorder="1" applyAlignment="1">
      <alignment horizontal="center"/>
    </xf>
    <xf numFmtId="0" fontId="24" fillId="0" borderId="0" xfId="0" applyFont="1"/>
    <xf numFmtId="0" fontId="25" fillId="0" borderId="0" xfId="0" applyFont="1"/>
    <xf numFmtId="0" fontId="0" fillId="0" borderId="4" xfId="0" applyBorder="1" applyAlignment="1">
      <alignment horizontal="center" wrapText="1"/>
    </xf>
    <xf numFmtId="0" fontId="0" fillId="0" borderId="5" xfId="0" applyBorder="1" applyAlignment="1">
      <alignment horizontal="center" wrapText="1"/>
    </xf>
    <xf numFmtId="0" fontId="0" fillId="0" borderId="2" xfId="0" applyBorder="1" applyAlignment="1">
      <alignment horizontal="center" wrapText="1"/>
    </xf>
    <xf numFmtId="0" fontId="18" fillId="0" borderId="5" xfId="0" applyFont="1" applyBorder="1" applyAlignment="1">
      <alignment horizontal="center" wrapText="1"/>
    </xf>
    <xf numFmtId="0" fontId="18" fillId="0" borderId="11" xfId="0" applyFont="1" applyBorder="1" applyAlignment="1">
      <alignment horizontal="center" wrapText="1"/>
    </xf>
    <xf numFmtId="168" fontId="0" fillId="0" borderId="4" xfId="0" applyNumberFormat="1" applyBorder="1" applyAlignment="1">
      <alignment horizontal="center"/>
    </xf>
    <xf numFmtId="170" fontId="0" fillId="0" borderId="48" xfId="0" applyNumberFormat="1" applyBorder="1" applyAlignment="1">
      <alignment horizontal="center"/>
    </xf>
    <xf numFmtId="2" fontId="0" fillId="0" borderId="0" xfId="0" applyNumberFormat="1"/>
    <xf numFmtId="2" fontId="2" fillId="2" borderId="1" xfId="1" applyNumberFormat="1"/>
    <xf numFmtId="0" fontId="26" fillId="0" borderId="0" xfId="0" applyFont="1"/>
    <xf numFmtId="0" fontId="27" fillId="0" borderId="46" xfId="0" applyFont="1" applyBorder="1" applyAlignment="1">
      <alignment horizontal="right"/>
    </xf>
    <xf numFmtId="0" fontId="27" fillId="0" borderId="46" xfId="0" applyFont="1" applyBorder="1" applyAlignment="1">
      <alignment horizontal="left"/>
    </xf>
    <xf numFmtId="0" fontId="3" fillId="0" borderId="2" xfId="0" applyFont="1" applyBorder="1"/>
    <xf numFmtId="0" fontId="3" fillId="0" borderId="4" xfId="0" applyFont="1" applyBorder="1"/>
    <xf numFmtId="169" fontId="0" fillId="0" borderId="5" xfId="2" applyNumberFormat="1" applyFont="1" applyBorder="1"/>
    <xf numFmtId="0" fontId="3" fillId="0" borderId="8" xfId="0" applyFont="1" applyBorder="1" applyAlignment="1">
      <alignment horizontal="center"/>
    </xf>
    <xf numFmtId="0" fontId="3" fillId="0" borderId="10" xfId="0" applyFont="1" applyBorder="1" applyAlignment="1">
      <alignment horizontal="center"/>
    </xf>
    <xf numFmtId="169" fontId="3" fillId="0" borderId="11" xfId="2" applyNumberFormat="1" applyFont="1" applyBorder="1" applyAlignment="1">
      <alignment horizontal="left"/>
    </xf>
    <xf numFmtId="0" fontId="30" fillId="0" borderId="0" xfId="0" applyFont="1"/>
    <xf numFmtId="0" fontId="3" fillId="0" borderId="2" xfId="0" quotePrefix="1" applyFont="1" applyBorder="1"/>
    <xf numFmtId="0" fontId="3" fillId="0" borderId="5" xfId="0" applyFont="1" applyBorder="1"/>
    <xf numFmtId="0" fontId="3" fillId="0" borderId="15" xfId="0" applyFont="1" applyBorder="1" applyAlignment="1">
      <alignment horizontal="center"/>
    </xf>
    <xf numFmtId="0" fontId="3" fillId="0" borderId="46" xfId="0" applyFont="1" applyBorder="1"/>
    <xf numFmtId="0" fontId="3" fillId="0" borderId="11" xfId="0" applyFont="1" applyBorder="1" applyAlignment="1">
      <alignment horizontal="center"/>
    </xf>
    <xf numFmtId="178" fontId="0" fillId="0" borderId="6" xfId="0" applyNumberFormat="1" applyBorder="1" applyAlignment="1">
      <alignment horizontal="center"/>
    </xf>
    <xf numFmtId="179" fontId="0" fillId="0" borderId="7" xfId="0" applyNumberFormat="1" applyBorder="1" applyAlignment="1">
      <alignment horizontal="center"/>
    </xf>
    <xf numFmtId="2" fontId="0" fillId="0" borderId="2" xfId="0" applyNumberFormat="1" applyBorder="1" applyAlignment="1">
      <alignment horizontal="center"/>
    </xf>
    <xf numFmtId="2" fontId="0" fillId="0" borderId="4" xfId="0" applyNumberFormat="1" applyBorder="1" applyAlignment="1">
      <alignment horizontal="center"/>
    </xf>
    <xf numFmtId="2" fontId="0" fillId="0" borderId="5" xfId="0" applyNumberFormat="1" applyBorder="1" applyAlignment="1">
      <alignment horizontal="center"/>
    </xf>
    <xf numFmtId="180" fontId="0" fillId="0" borderId="7" xfId="0" applyNumberFormat="1" applyBorder="1" applyAlignment="1">
      <alignment horizontal="center"/>
    </xf>
    <xf numFmtId="2" fontId="0" fillId="0" borderId="6" xfId="0" applyNumberFormat="1" applyBorder="1" applyAlignment="1">
      <alignment horizontal="center"/>
    </xf>
    <xf numFmtId="2" fontId="0" fillId="0" borderId="7" xfId="0" applyNumberFormat="1" applyBorder="1" applyAlignment="1">
      <alignment horizontal="center"/>
    </xf>
    <xf numFmtId="2" fontId="0" fillId="0" borderId="8" xfId="0" applyNumberFormat="1" applyBorder="1" applyAlignment="1">
      <alignment horizontal="center"/>
    </xf>
    <xf numFmtId="2" fontId="0" fillId="0" borderId="10" xfId="0" applyNumberFormat="1" applyBorder="1" applyAlignment="1">
      <alignment horizontal="center"/>
    </xf>
    <xf numFmtId="2" fontId="0" fillId="0" borderId="11" xfId="0" applyNumberFormat="1" applyBorder="1" applyAlignment="1">
      <alignment horizontal="center"/>
    </xf>
    <xf numFmtId="0" fontId="3" fillId="0" borderId="16" xfId="0" quotePrefix="1" applyFont="1" applyBorder="1"/>
    <xf numFmtId="0" fontId="2" fillId="2" borderId="52" xfId="1" applyBorder="1" applyAlignment="1">
      <alignment horizontal="center"/>
    </xf>
    <xf numFmtId="0" fontId="3" fillId="0" borderId="2" xfId="0" applyFont="1" applyBorder="1" applyAlignment="1">
      <alignment horizontal="center" wrapText="1"/>
    </xf>
    <xf numFmtId="0" fontId="8" fillId="0" borderId="0" xfId="0" applyFont="1" applyAlignment="1">
      <alignment horizontal="center"/>
    </xf>
    <xf numFmtId="0" fontId="3" fillId="0" borderId="6" xfId="0" applyFont="1" applyBorder="1" applyAlignment="1">
      <alignment horizontal="center" wrapText="1"/>
    </xf>
    <xf numFmtId="0" fontId="3" fillId="0" borderId="7" xfId="0" applyFont="1" applyBorder="1" applyAlignment="1">
      <alignment horizontal="center" wrapText="1"/>
    </xf>
    <xf numFmtId="0" fontId="32" fillId="0" borderId="0" xfId="0" applyFont="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69" fontId="3" fillId="0" borderId="10" xfId="2" applyNumberFormat="1" applyFont="1" applyBorder="1" applyAlignment="1">
      <alignment horizontal="left"/>
    </xf>
    <xf numFmtId="1" fontId="3" fillId="0" borderId="7" xfId="0" applyNumberFormat="1" applyFont="1" applyBorder="1" applyAlignment="1">
      <alignment horizontal="center"/>
    </xf>
    <xf numFmtId="169" fontId="3" fillId="0" borderId="6" xfId="2" applyNumberFormat="1" applyFont="1" applyBorder="1" applyAlignment="1">
      <alignment horizontal="center"/>
    </xf>
    <xf numFmtId="1" fontId="3" fillId="0" borderId="6" xfId="0" applyNumberFormat="1" applyFont="1" applyBorder="1" applyAlignment="1">
      <alignment horizontal="center"/>
    </xf>
    <xf numFmtId="168" fontId="0" fillId="0" borderId="10" xfId="0" applyNumberFormat="1" applyBorder="1" applyAlignment="1">
      <alignment horizontal="center"/>
    </xf>
    <xf numFmtId="1" fontId="0" fillId="0" borderId="10" xfId="0" applyNumberFormat="1" applyBorder="1" applyAlignment="1">
      <alignment horizontal="center"/>
    </xf>
    <xf numFmtId="0" fontId="3" fillId="0" borderId="8" xfId="0" applyFont="1" applyBorder="1" applyAlignment="1">
      <alignment horizontal="center" wrapText="1"/>
    </xf>
    <xf numFmtId="0" fontId="0" fillId="0" borderId="46" xfId="0" applyBorder="1" applyAlignment="1">
      <alignment horizontal="right"/>
    </xf>
    <xf numFmtId="0" fontId="4" fillId="0" borderId="16" xfId="0" applyFont="1" applyBorder="1"/>
    <xf numFmtId="0" fontId="4" fillId="0" borderId="46" xfId="0" applyFont="1" applyBorder="1" applyAlignment="1">
      <alignment horizontal="right"/>
    </xf>
    <xf numFmtId="1" fontId="0" fillId="0" borderId="4" xfId="0" applyNumberFormat="1" applyBorder="1" applyAlignment="1">
      <alignment horizontal="center"/>
    </xf>
    <xf numFmtId="0" fontId="34" fillId="2" borderId="52" xfId="1" applyFont="1" applyBorder="1"/>
    <xf numFmtId="0" fontId="4" fillId="0" borderId="16" xfId="0" applyFont="1" applyBorder="1" applyAlignment="1">
      <alignment horizontal="left" wrapText="1"/>
    </xf>
    <xf numFmtId="0" fontId="3" fillId="0" borderId="48" xfId="0" applyFont="1" applyBorder="1" applyAlignment="1">
      <alignment horizontal="center" wrapText="1"/>
    </xf>
    <xf numFmtId="1" fontId="3" fillId="0" borderId="18" xfId="0" applyNumberFormat="1" applyFont="1" applyBorder="1" applyAlignment="1">
      <alignment horizontal="center"/>
    </xf>
    <xf numFmtId="0" fontId="2" fillId="2" borderId="17" xfId="1" applyBorder="1" applyAlignment="1">
      <alignment horizontal="center"/>
    </xf>
    <xf numFmtId="0" fontId="3" fillId="0" borderId="48" xfId="0" applyFont="1" applyBorder="1" applyAlignment="1">
      <alignment horizontal="center"/>
    </xf>
    <xf numFmtId="0" fontId="0" fillId="0" borderId="19" xfId="0" applyBorder="1"/>
    <xf numFmtId="1" fontId="3" fillId="0" borderId="11" xfId="0" applyNumberFormat="1" applyFont="1" applyBorder="1" applyAlignment="1">
      <alignment horizontal="center"/>
    </xf>
    <xf numFmtId="1" fontId="3" fillId="0" borderId="48" xfId="0" applyNumberFormat="1" applyFont="1" applyBorder="1" applyAlignment="1">
      <alignment horizontal="center"/>
    </xf>
    <xf numFmtId="0" fontId="27" fillId="0" borderId="0" xfId="0" applyFont="1"/>
    <xf numFmtId="0" fontId="0" fillId="0" borderId="53" xfId="0" applyBorder="1"/>
    <xf numFmtId="168" fontId="0" fillId="0" borderId="53" xfId="0" applyNumberFormat="1" applyBorder="1"/>
    <xf numFmtId="0" fontId="3" fillId="0" borderId="54" xfId="0" applyFont="1" applyBorder="1"/>
    <xf numFmtId="0" fontId="3" fillId="0" borderId="55" xfId="0" applyFont="1" applyBorder="1"/>
    <xf numFmtId="169" fontId="0" fillId="0" borderId="56" xfId="2" applyNumberFormat="1" applyFont="1" applyBorder="1"/>
    <xf numFmtId="0" fontId="0" fillId="0" borderId="55" xfId="0" applyBorder="1"/>
    <xf numFmtId="0" fontId="3" fillId="0" borderId="56" xfId="0" applyFont="1" applyBorder="1"/>
    <xf numFmtId="0" fontId="3" fillId="0" borderId="57" xfId="0" applyFont="1" applyBorder="1" applyAlignment="1">
      <alignment horizontal="center"/>
    </xf>
    <xf numFmtId="0" fontId="3" fillId="0" borderId="58" xfId="0" applyFont="1" applyBorder="1" applyAlignment="1">
      <alignment horizontal="center"/>
    </xf>
    <xf numFmtId="169" fontId="3" fillId="0" borderId="59" xfId="2" applyNumberFormat="1" applyFont="1" applyBorder="1" applyAlignment="1">
      <alignment horizontal="left"/>
    </xf>
    <xf numFmtId="0" fontId="0" fillId="0" borderId="58" xfId="0" applyBorder="1"/>
    <xf numFmtId="169" fontId="3" fillId="0" borderId="58" xfId="2" applyNumberFormat="1" applyFont="1" applyBorder="1" applyAlignment="1">
      <alignment horizontal="left"/>
    </xf>
    <xf numFmtId="169" fontId="3" fillId="0" borderId="57" xfId="2" applyNumberFormat="1" applyFont="1" applyBorder="1" applyAlignment="1">
      <alignment horizontal="left"/>
    </xf>
    <xf numFmtId="0" fontId="28" fillId="6" borderId="57" xfId="3" applyBorder="1" applyAlignment="1">
      <alignment horizontal="center"/>
    </xf>
    <xf numFmtId="0" fontId="28" fillId="6" borderId="58" xfId="3" applyBorder="1" applyAlignment="1">
      <alignment horizontal="center"/>
    </xf>
    <xf numFmtId="169" fontId="28" fillId="6" borderId="59" xfId="3" applyNumberFormat="1" applyBorder="1" applyAlignment="1">
      <alignment horizontal="center"/>
    </xf>
    <xf numFmtId="0" fontId="28" fillId="6" borderId="60" xfId="3" applyBorder="1" applyAlignment="1">
      <alignment horizontal="center"/>
    </xf>
    <xf numFmtId="169" fontId="28" fillId="6" borderId="60" xfId="3" applyNumberFormat="1" applyBorder="1" applyAlignment="1">
      <alignment horizontal="center"/>
    </xf>
    <xf numFmtId="169" fontId="0" fillId="0" borderId="57" xfId="0" applyNumberFormat="1" applyBorder="1"/>
    <xf numFmtId="169" fontId="0" fillId="0" borderId="59" xfId="0" applyNumberFormat="1" applyBorder="1"/>
    <xf numFmtId="0" fontId="0" fillId="0" borderId="60" xfId="0" applyBorder="1"/>
    <xf numFmtId="0" fontId="28" fillId="6" borderId="61" xfId="3" applyBorder="1" applyAlignment="1">
      <alignment horizontal="center"/>
    </xf>
    <xf numFmtId="0" fontId="28" fillId="6" borderId="62" xfId="3" applyBorder="1" applyAlignment="1">
      <alignment horizontal="center"/>
    </xf>
    <xf numFmtId="169" fontId="28" fillId="6" borderId="63" xfId="3" applyNumberFormat="1" applyBorder="1" applyAlignment="1">
      <alignment horizontal="center"/>
    </xf>
    <xf numFmtId="11" fontId="28" fillId="6" borderId="62" xfId="3" applyNumberFormat="1" applyBorder="1" applyAlignment="1">
      <alignment horizontal="center"/>
    </xf>
    <xf numFmtId="169" fontId="28" fillId="6" borderId="62" xfId="3" applyNumberFormat="1" applyBorder="1" applyAlignment="1">
      <alignment horizontal="center"/>
    </xf>
    <xf numFmtId="169" fontId="0" fillId="0" borderId="61" xfId="0" applyNumberFormat="1" applyBorder="1"/>
    <xf numFmtId="169" fontId="0" fillId="0" borderId="63" xfId="0" applyNumberFormat="1" applyBorder="1"/>
    <xf numFmtId="0" fontId="0" fillId="0" borderId="60" xfId="0" applyBorder="1" applyAlignment="1">
      <alignment horizontal="center"/>
    </xf>
    <xf numFmtId="169" fontId="0" fillId="0" borderId="65" xfId="2" applyNumberFormat="1" applyFont="1" applyBorder="1" applyAlignment="1">
      <alignment horizontal="center"/>
    </xf>
    <xf numFmtId="169" fontId="0" fillId="0" borderId="60" xfId="2" applyNumberFormat="1" applyFont="1" applyBorder="1" applyAlignment="1">
      <alignment horizontal="center"/>
    </xf>
    <xf numFmtId="169" fontId="0" fillId="0" borderId="64" xfId="2" applyNumberFormat="1" applyFont="1" applyBorder="1"/>
    <xf numFmtId="166" fontId="0" fillId="0" borderId="57" xfId="0" applyNumberFormat="1" applyBorder="1" applyAlignment="1">
      <alignment horizontal="center"/>
    </xf>
    <xf numFmtId="166" fontId="0" fillId="0" borderId="58" xfId="0" applyNumberFormat="1" applyBorder="1" applyAlignment="1">
      <alignment horizontal="center"/>
    </xf>
    <xf numFmtId="0" fontId="3" fillId="0" borderId="60" xfId="0" applyFont="1" applyBorder="1" applyAlignment="1">
      <alignment horizontal="center"/>
    </xf>
    <xf numFmtId="0" fontId="0" fillId="0" borderId="65" xfId="0" applyBorder="1"/>
    <xf numFmtId="0" fontId="0" fillId="0" borderId="64" xfId="0" applyBorder="1" applyAlignment="1">
      <alignment horizontal="center"/>
    </xf>
    <xf numFmtId="0" fontId="0" fillId="0" borderId="64" xfId="0" applyBorder="1"/>
    <xf numFmtId="0" fontId="2" fillId="2" borderId="66" xfId="1" applyBorder="1" applyAlignment="1">
      <alignment horizontal="center"/>
    </xf>
    <xf numFmtId="0" fontId="0" fillId="0" borderId="67" xfId="0" applyBorder="1" applyAlignment="1">
      <alignment horizontal="center"/>
    </xf>
    <xf numFmtId="2" fontId="0" fillId="0" borderId="67" xfId="0" applyNumberFormat="1" applyBorder="1" applyAlignment="1">
      <alignment horizontal="center"/>
    </xf>
    <xf numFmtId="1" fontId="0" fillId="0" borderId="67" xfId="0" applyNumberFormat="1" applyBorder="1" applyAlignment="1">
      <alignment horizontal="center"/>
    </xf>
    <xf numFmtId="169" fontId="0" fillId="0" borderId="68" xfId="2" applyNumberFormat="1" applyFont="1" applyBorder="1" applyAlignment="1">
      <alignment horizontal="center"/>
    </xf>
    <xf numFmtId="169" fontId="0" fillId="0" borderId="67" xfId="2" applyNumberFormat="1" applyFont="1" applyBorder="1"/>
    <xf numFmtId="169" fontId="0" fillId="0" borderId="69" xfId="2" applyNumberFormat="1" applyFont="1" applyBorder="1"/>
    <xf numFmtId="169" fontId="0" fillId="0" borderId="67" xfId="2" applyNumberFormat="1" applyFont="1" applyBorder="1" applyAlignment="1">
      <alignment horizontal="center"/>
    </xf>
    <xf numFmtId="166" fontId="0" fillId="0" borderId="70" xfId="0" applyNumberFormat="1" applyBorder="1" applyAlignment="1">
      <alignment horizontal="center"/>
    </xf>
    <xf numFmtId="166" fontId="0" fillId="0" borderId="71" xfId="0" applyNumberFormat="1" applyBorder="1" applyAlignment="1">
      <alignment horizontal="center"/>
    </xf>
    <xf numFmtId="169" fontId="0" fillId="0" borderId="70" xfId="0" applyNumberFormat="1" applyBorder="1"/>
    <xf numFmtId="169" fontId="0" fillId="0" borderId="72" xfId="0" applyNumberFormat="1" applyBorder="1"/>
    <xf numFmtId="169" fontId="0" fillId="0" borderId="0" xfId="0" applyNumberFormat="1"/>
    <xf numFmtId="168" fontId="2" fillId="2" borderId="1" xfId="1" applyNumberFormat="1" applyAlignment="1">
      <alignment horizontal="center"/>
    </xf>
    <xf numFmtId="0" fontId="0" fillId="0" borderId="65" xfId="0" applyBorder="1" applyAlignment="1">
      <alignment horizontal="center"/>
    </xf>
    <xf numFmtId="0" fontId="3" fillId="0" borderId="0" xfId="0" quotePrefix="1" applyFont="1"/>
    <xf numFmtId="0" fontId="3" fillId="0" borderId="16" xfId="0" applyFont="1" applyBorder="1" applyAlignment="1">
      <alignment horizontal="center" wrapText="1"/>
    </xf>
    <xf numFmtId="0" fontId="3" fillId="0" borderId="46" xfId="0" applyFont="1" applyBorder="1" applyAlignment="1">
      <alignment horizontal="center" wrapText="1"/>
    </xf>
    <xf numFmtId="0" fontId="3" fillId="0" borderId="17" xfId="0" applyFont="1" applyBorder="1" applyAlignment="1">
      <alignment horizontal="center" wrapText="1"/>
    </xf>
    <xf numFmtId="0" fontId="3" fillId="0" borderId="5" xfId="0" applyFont="1" applyBorder="1" applyAlignment="1">
      <alignment horizontal="center" wrapText="1"/>
    </xf>
    <xf numFmtId="0" fontId="3" fillId="0" borderId="11" xfId="0" applyFont="1" applyBorder="1" applyAlignment="1">
      <alignment horizontal="center" wrapText="1"/>
    </xf>
    <xf numFmtId="166" fontId="0" fillId="0" borderId="11" xfId="0" applyNumberFormat="1" applyBorder="1" applyAlignment="1">
      <alignment horizontal="center"/>
    </xf>
    <xf numFmtId="169" fontId="3" fillId="0" borderId="8" xfId="2" applyNumberFormat="1" applyFont="1" applyBorder="1" applyAlignment="1">
      <alignment horizontal="center"/>
    </xf>
    <xf numFmtId="169" fontId="0" fillId="0" borderId="8" xfId="2" applyNumberFormat="1" applyFont="1" applyBorder="1" applyAlignment="1">
      <alignment horizontal="center"/>
    </xf>
    <xf numFmtId="169" fontId="0" fillId="0" borderId="10" xfId="2" applyNumberFormat="1" applyFont="1" applyBorder="1" applyAlignment="1">
      <alignment horizontal="center"/>
    </xf>
    <xf numFmtId="1" fontId="3" fillId="0" borderId="10" xfId="0" applyNumberFormat="1" applyFont="1" applyBorder="1" applyAlignment="1">
      <alignment horizontal="center"/>
    </xf>
    <xf numFmtId="0" fontId="32" fillId="0" borderId="6" xfId="0" applyFont="1" applyBorder="1" applyAlignment="1">
      <alignment horizontal="center"/>
    </xf>
    <xf numFmtId="0" fontId="8" fillId="0" borderId="46" xfId="0" applyFont="1" applyBorder="1" applyAlignment="1">
      <alignment horizontal="center"/>
    </xf>
    <xf numFmtId="0" fontId="3" fillId="0" borderId="4" xfId="0" quotePrefix="1" applyFont="1" applyBorder="1"/>
    <xf numFmtId="0" fontId="2" fillId="0" borderId="4" xfId="1" applyFill="1" applyBorder="1" applyAlignment="1">
      <alignment horizontal="center"/>
    </xf>
    <xf numFmtId="1" fontId="2" fillId="2" borderId="9" xfId="1" applyNumberFormat="1" applyBorder="1" applyAlignment="1">
      <alignment horizontal="center"/>
    </xf>
    <xf numFmtId="1" fontId="2" fillId="2" borderId="74" xfId="1" applyNumberFormat="1" applyBorder="1" applyAlignment="1">
      <alignment horizontal="center"/>
    </xf>
    <xf numFmtId="0" fontId="2" fillId="2" borderId="73" xfId="1" applyBorder="1" applyAlignment="1">
      <alignment horizontal="center"/>
    </xf>
    <xf numFmtId="169" fontId="0" fillId="0" borderId="11" xfId="2" applyNumberFormat="1" applyFont="1" applyBorder="1" applyAlignment="1">
      <alignment horizontal="center"/>
    </xf>
    <xf numFmtId="169" fontId="33" fillId="7" borderId="11" xfId="3" applyNumberFormat="1" applyFont="1" applyFill="1" applyBorder="1" applyAlignment="1">
      <alignment horizontal="center"/>
    </xf>
    <xf numFmtId="11" fontId="33" fillId="0" borderId="0" xfId="3" applyNumberFormat="1" applyFont="1" applyFill="1" applyAlignment="1">
      <alignment horizontal="center"/>
    </xf>
    <xf numFmtId="0" fontId="35" fillId="0" borderId="0" xfId="0" applyFont="1"/>
    <xf numFmtId="0" fontId="18" fillId="0" borderId="5" xfId="0" applyFont="1" applyBorder="1" applyAlignment="1">
      <alignment horizontal="center" vertical="center"/>
    </xf>
    <xf numFmtId="169" fontId="3" fillId="0" borderId="19" xfId="2" applyNumberFormat="1" applyFont="1" applyBorder="1" applyAlignment="1">
      <alignment horizontal="center" vertical="center"/>
    </xf>
    <xf numFmtId="169" fontId="18" fillId="0" borderId="11" xfId="2" applyNumberFormat="1" applyFont="1" applyBorder="1" applyAlignment="1">
      <alignment horizontal="center" vertical="center"/>
    </xf>
    <xf numFmtId="0" fontId="17" fillId="0" borderId="29" xfId="0" applyFont="1" applyBorder="1" applyAlignment="1">
      <alignment textRotation="90"/>
    </xf>
    <xf numFmtId="0" fontId="17" fillId="0" borderId="0" xfId="0" applyFont="1" applyAlignment="1">
      <alignment textRotation="90"/>
    </xf>
    <xf numFmtId="0" fontId="3" fillId="0" borderId="17" xfId="0" applyFont="1" applyBorder="1"/>
    <xf numFmtId="0" fontId="18" fillId="0" borderId="48" xfId="0" applyFont="1" applyBorder="1" applyAlignment="1">
      <alignment horizontal="center"/>
    </xf>
    <xf numFmtId="0" fontId="18" fillId="0" borderId="19" xfId="0" applyFont="1" applyBorder="1" applyAlignment="1">
      <alignment horizontal="center"/>
    </xf>
    <xf numFmtId="0" fontId="4" fillId="0" borderId="46" xfId="0" applyFont="1" applyBorder="1"/>
    <xf numFmtId="0" fontId="4" fillId="0" borderId="46" xfId="0" applyFont="1" applyBorder="1" applyAlignment="1">
      <alignment horizontal="left" wrapText="1"/>
    </xf>
    <xf numFmtId="0" fontId="2" fillId="0" borderId="46" xfId="1" applyFill="1" applyBorder="1" applyAlignment="1">
      <alignment horizontal="center"/>
    </xf>
    <xf numFmtId="0" fontId="2" fillId="2" borderId="75" xfId="1" applyBorder="1" applyAlignment="1">
      <alignment horizontal="center"/>
    </xf>
    <xf numFmtId="0" fontId="2" fillId="2" borderId="76" xfId="1" applyBorder="1" applyAlignment="1">
      <alignment horizontal="center"/>
    </xf>
    <xf numFmtId="169" fontId="0" fillId="0" borderId="0" xfId="2" applyNumberFormat="1" applyFont="1"/>
    <xf numFmtId="0" fontId="18" fillId="0" borderId="0" xfId="0" applyFont="1" applyAlignment="1">
      <alignment horizontal="right"/>
    </xf>
    <xf numFmtId="0" fontId="18" fillId="0" borderId="0" xfId="0" applyFont="1"/>
    <xf numFmtId="166" fontId="0" fillId="8" borderId="78" xfId="4" applyNumberFormat="1" applyFont="1" applyBorder="1" applyAlignment="1">
      <alignment horizontal="center"/>
    </xf>
    <xf numFmtId="0" fontId="0" fillId="0" borderId="0" xfId="0" quotePrefix="1"/>
    <xf numFmtId="166" fontId="2" fillId="2" borderId="0" xfId="1" applyNumberFormat="1" applyBorder="1" applyAlignment="1">
      <alignment horizontal="center"/>
    </xf>
    <xf numFmtId="0" fontId="2" fillId="2" borderId="4" xfId="1" applyBorder="1" applyAlignment="1">
      <alignment horizontal="center"/>
    </xf>
    <xf numFmtId="166" fontId="2" fillId="2" borderId="4" xfId="1" applyNumberFormat="1" applyBorder="1" applyAlignment="1">
      <alignment horizontal="center"/>
    </xf>
    <xf numFmtId="0" fontId="0" fillId="0" borderId="14" xfId="0" applyBorder="1" applyAlignment="1">
      <alignment horizontal="center"/>
    </xf>
    <xf numFmtId="181" fontId="3" fillId="0" borderId="5" xfId="0" applyNumberFormat="1" applyFont="1" applyBorder="1" applyAlignment="1">
      <alignment horizontal="center"/>
    </xf>
    <xf numFmtId="181" fontId="3" fillId="0" borderId="7" xfId="0" applyNumberFormat="1" applyFont="1" applyBorder="1" applyAlignment="1">
      <alignment horizontal="center"/>
    </xf>
    <xf numFmtId="181" fontId="0" fillId="0" borderId="4" xfId="0" applyNumberFormat="1" applyBorder="1"/>
    <xf numFmtId="168" fontId="0" fillId="0" borderId="4" xfId="0" applyNumberFormat="1" applyBorder="1"/>
    <xf numFmtId="168" fontId="0" fillId="0" borderId="5" xfId="0" applyNumberFormat="1" applyBorder="1"/>
    <xf numFmtId="181" fontId="0" fillId="0" borderId="0" xfId="0" applyNumberFormat="1"/>
    <xf numFmtId="168" fontId="0" fillId="0" borderId="7" xfId="0" applyNumberFormat="1" applyBorder="1"/>
    <xf numFmtId="181" fontId="0" fillId="0" borderId="10" xfId="0" applyNumberFormat="1" applyBorder="1"/>
    <xf numFmtId="168" fontId="0" fillId="0" borderId="10" xfId="0" applyNumberFormat="1" applyBorder="1"/>
    <xf numFmtId="168" fontId="0" fillId="0" borderId="11" xfId="0" applyNumberFormat="1" applyBorder="1"/>
    <xf numFmtId="164" fontId="0" fillId="0" borderId="0" xfId="0" applyNumberFormat="1"/>
    <xf numFmtId="0" fontId="3" fillId="0" borderId="17" xfId="0" quotePrefix="1" applyFont="1" applyBorder="1" applyAlignment="1">
      <alignment horizontal="center"/>
    </xf>
    <xf numFmtId="0" fontId="39" fillId="0" borderId="0" xfId="0" applyFont="1"/>
    <xf numFmtId="0" fontId="40" fillId="0" borderId="0" xfId="0" applyFont="1"/>
    <xf numFmtId="0" fontId="41" fillId="0" borderId="0" xfId="0" applyFont="1" applyAlignment="1">
      <alignment horizontal="left"/>
    </xf>
    <xf numFmtId="0" fontId="42" fillId="0" borderId="0" xfId="0" applyFont="1"/>
    <xf numFmtId="0" fontId="2" fillId="2" borderId="10" xfId="1" applyBorder="1" applyAlignment="1">
      <alignment horizontal="center"/>
    </xf>
    <xf numFmtId="170" fontId="0" fillId="0" borderId="26" xfId="0" applyNumberFormat="1" applyBorder="1" applyAlignment="1">
      <alignment horizontal="left"/>
    </xf>
    <xf numFmtId="0" fontId="0" fillId="0" borderId="79" xfId="0" applyBorder="1"/>
    <xf numFmtId="0" fontId="44" fillId="0" borderId="16" xfId="0" applyFont="1" applyBorder="1" applyAlignment="1">
      <alignment horizontal="right"/>
    </xf>
    <xf numFmtId="0" fontId="0" fillId="0" borderId="46" xfId="0" applyBorder="1" applyAlignment="1">
      <alignment textRotation="90"/>
    </xf>
    <xf numFmtId="0" fontId="17" fillId="0" borderId="46" xfId="0" applyFont="1" applyBorder="1" applyAlignment="1">
      <alignment horizontal="left"/>
    </xf>
    <xf numFmtId="0" fontId="0" fillId="0" borderId="17" xfId="0" applyBorder="1" applyAlignment="1">
      <alignment textRotation="90"/>
    </xf>
    <xf numFmtId="0" fontId="44" fillId="0" borderId="46" xfId="0" applyFont="1" applyBorder="1"/>
    <xf numFmtId="169" fontId="3" fillId="0" borderId="0" xfId="2" applyNumberFormat="1" applyFont="1" applyBorder="1" applyAlignment="1">
      <alignment horizontal="center" vertical="center"/>
    </xf>
    <xf numFmtId="169" fontId="18" fillId="0" borderId="7" xfId="2" applyNumberFormat="1" applyFont="1" applyBorder="1" applyAlignment="1">
      <alignment horizontal="center" vertical="center"/>
    </xf>
    <xf numFmtId="0" fontId="3" fillId="0" borderId="4" xfId="0" applyFont="1" applyBorder="1" applyAlignment="1">
      <alignment horizontal="center" wrapText="1"/>
    </xf>
    <xf numFmtId="0" fontId="18" fillId="0" borderId="7" xfId="0" applyFont="1" applyBorder="1" applyAlignment="1">
      <alignment horizontal="center" wrapText="1"/>
    </xf>
    <xf numFmtId="0" fontId="45" fillId="0" borderId="0" xfId="0" applyFont="1"/>
    <xf numFmtId="0" fontId="2" fillId="0" borderId="0" xfId="1" applyFill="1" applyBorder="1" applyAlignment="1">
      <alignment horizontal="center"/>
    </xf>
    <xf numFmtId="166" fontId="0" fillId="0" borderId="0" xfId="0" applyNumberFormat="1"/>
    <xf numFmtId="166" fontId="2" fillId="2" borderId="1" xfId="1" applyNumberFormat="1" applyAlignment="1">
      <alignment horizontal="center"/>
    </xf>
    <xf numFmtId="11" fontId="0" fillId="0" borderId="8" xfId="0" applyNumberFormat="1" applyBorder="1" applyAlignment="1">
      <alignment horizontal="center"/>
    </xf>
    <xf numFmtId="11" fontId="0" fillId="0" borderId="11" xfId="0" applyNumberFormat="1" applyBorder="1" applyAlignment="1">
      <alignment horizontal="center"/>
    </xf>
    <xf numFmtId="11" fontId="0" fillId="0" borderId="8" xfId="2" applyNumberFormat="1" applyFont="1" applyBorder="1" applyAlignment="1">
      <alignment horizontal="center"/>
    </xf>
    <xf numFmtId="11" fontId="0" fillId="0" borderId="10" xfId="2" applyNumberFormat="1" applyFont="1" applyBorder="1" applyAlignment="1">
      <alignment horizontal="center"/>
    </xf>
    <xf numFmtId="171" fontId="0" fillId="0" borderId="19" xfId="0" applyNumberFormat="1" applyBorder="1"/>
    <xf numFmtId="171" fontId="29" fillId="0" borderId="11" xfId="0" applyNumberFormat="1" applyFont="1" applyBorder="1" applyAlignment="1">
      <alignment vertical="center"/>
    </xf>
    <xf numFmtId="11" fontId="0" fillId="0" borderId="10" xfId="0" applyNumberFormat="1" applyBorder="1" applyAlignment="1">
      <alignment horizontal="center"/>
    </xf>
    <xf numFmtId="11" fontId="33" fillId="0" borderId="10" xfId="3" applyNumberFormat="1" applyFont="1" applyFill="1" applyBorder="1" applyAlignment="1">
      <alignment horizontal="center"/>
    </xf>
    <xf numFmtId="11" fontId="3" fillId="0" borderId="0" xfId="0" quotePrefix="1" applyNumberFormat="1" applyFont="1"/>
    <xf numFmtId="0" fontId="46" fillId="9" borderId="80" xfId="0" applyFont="1" applyFill="1" applyBorder="1" applyAlignment="1">
      <alignment horizontal="left"/>
    </xf>
    <xf numFmtId="0" fontId="46" fillId="0" borderId="0" xfId="0" applyFont="1"/>
    <xf numFmtId="11" fontId="3" fillId="0" borderId="0" xfId="0" applyNumberFormat="1" applyFont="1" applyAlignment="1">
      <alignment horizontal="center" vertical="center"/>
    </xf>
    <xf numFmtId="0" fontId="0" fillId="4" borderId="8" xfId="0" applyFill="1" applyBorder="1"/>
    <xf numFmtId="0" fontId="0" fillId="4" borderId="11" xfId="0" applyFill="1" applyBorder="1"/>
    <xf numFmtId="170" fontId="3" fillId="0" borderId="5" xfId="0" applyNumberFormat="1" applyFont="1" applyBorder="1" applyAlignment="1">
      <alignment horizontal="center"/>
    </xf>
    <xf numFmtId="170" fontId="3" fillId="0" borderId="7" xfId="0" applyNumberFormat="1" applyFont="1" applyBorder="1" applyAlignment="1">
      <alignment horizontal="center"/>
    </xf>
    <xf numFmtId="170" fontId="3" fillId="0" borderId="11" xfId="0" applyNumberFormat="1" applyFont="1" applyBorder="1" applyAlignment="1">
      <alignment horizontal="center"/>
    </xf>
    <xf numFmtId="1" fontId="0" fillId="0" borderId="5" xfId="0" applyNumberFormat="1" applyBorder="1" applyAlignment="1">
      <alignment horizontal="center"/>
    </xf>
    <xf numFmtId="1" fontId="0" fillId="0" borderId="11" xfId="0" applyNumberFormat="1" applyBorder="1" applyAlignment="1">
      <alignment horizontal="center"/>
    </xf>
    <xf numFmtId="0" fontId="17" fillId="0" borderId="27" xfId="0" applyFont="1" applyBorder="1" applyAlignment="1">
      <alignment textRotation="90"/>
    </xf>
    <xf numFmtId="0" fontId="3" fillId="0" borderId="48" xfId="0" applyFont="1" applyBorder="1"/>
    <xf numFmtId="168" fontId="3" fillId="0" borderId="18" xfId="0" applyNumberFormat="1" applyFont="1" applyBorder="1" applyAlignment="1">
      <alignment horizontal="center"/>
    </xf>
    <xf numFmtId="168" fontId="3" fillId="0" borderId="19" xfId="0" applyNumberFormat="1" applyFont="1" applyBorder="1" applyAlignment="1">
      <alignment horizontal="center"/>
    </xf>
    <xf numFmtId="0" fontId="18" fillId="0" borderId="18" xfId="0" applyFont="1" applyBorder="1" applyAlignment="1">
      <alignment horizontal="center"/>
    </xf>
    <xf numFmtId="0" fontId="0" fillId="0" borderId="4" xfId="0" applyBorder="1" applyAlignment="1">
      <alignment horizontal="right"/>
    </xf>
    <xf numFmtId="0" fontId="47" fillId="0" borderId="0" xfId="0" applyFont="1" applyAlignment="1">
      <alignment horizontal="center" vertical="center" wrapText="1"/>
    </xf>
    <xf numFmtId="0" fontId="4" fillId="0" borderId="16" xfId="0" applyFont="1" applyBorder="1" applyAlignment="1">
      <alignment horizontal="right"/>
    </xf>
    <xf numFmtId="166" fontId="0" fillId="0" borderId="18" xfId="0" applyNumberFormat="1" applyBorder="1" applyAlignment="1">
      <alignment horizontal="center"/>
    </xf>
    <xf numFmtId="0" fontId="47" fillId="0" borderId="0" xfId="0" applyFont="1" applyAlignment="1">
      <alignment horizontal="center" wrapText="1"/>
    </xf>
    <xf numFmtId="0" fontId="47" fillId="0" borderId="0" xfId="0" applyFont="1"/>
    <xf numFmtId="0" fontId="47" fillId="0" borderId="2" xfId="0" applyFont="1" applyBorder="1" applyAlignment="1">
      <alignment horizontal="center" vertical="center" wrapText="1"/>
    </xf>
    <xf numFmtId="0" fontId="48" fillId="0" borderId="0" xfId="0" applyFont="1" applyAlignment="1">
      <alignment horizontal="center" textRotation="90"/>
    </xf>
    <xf numFmtId="0" fontId="48" fillId="0" borderId="24" xfId="0" applyFont="1" applyBorder="1" applyAlignment="1">
      <alignment horizontal="center"/>
    </xf>
    <xf numFmtId="0" fontId="48" fillId="0" borderId="0" xfId="0" applyFont="1" applyAlignment="1">
      <alignment horizontal="center"/>
    </xf>
    <xf numFmtId="0" fontId="48" fillId="0" borderId="41" xfId="0" applyFont="1" applyBorder="1" applyAlignment="1">
      <alignment horizontal="center" vertical="center" textRotation="90"/>
    </xf>
    <xf numFmtId="0" fontId="48" fillId="0" borderId="37" xfId="0" applyFont="1" applyBorder="1" applyAlignment="1">
      <alignment textRotation="90"/>
    </xf>
    <xf numFmtId="0" fontId="48" fillId="0" borderId="0" xfId="0" applyFont="1" applyAlignment="1">
      <alignment textRotation="90"/>
    </xf>
    <xf numFmtId="0" fontId="48" fillId="0" borderId="0" xfId="0" applyFont="1"/>
    <xf numFmtId="0" fontId="6" fillId="0" borderId="0" xfId="5"/>
    <xf numFmtId="0" fontId="49" fillId="0" borderId="0" xfId="5" applyFont="1"/>
    <xf numFmtId="0" fontId="51" fillId="0" borderId="82" xfId="5" applyFont="1" applyBorder="1" applyAlignment="1">
      <alignment vertical="center" wrapText="1"/>
    </xf>
    <xf numFmtId="0" fontId="6" fillId="0" borderId="0" xfId="5" applyAlignment="1">
      <alignment vertical="center" wrapText="1"/>
    </xf>
    <xf numFmtId="0" fontId="53" fillId="0" borderId="82" xfId="5" applyFont="1" applyBorder="1" applyAlignment="1">
      <alignment horizontal="center"/>
    </xf>
    <xf numFmtId="0" fontId="54" fillId="0" borderId="31" xfId="5" applyFont="1" applyBorder="1" applyAlignment="1">
      <alignment horizontal="center"/>
    </xf>
    <xf numFmtId="0" fontId="53" fillId="0" borderId="87" xfId="5" applyFont="1" applyBorder="1" applyAlignment="1">
      <alignment horizontal="center"/>
    </xf>
    <xf numFmtId="0" fontId="52" fillId="0" borderId="87" xfId="5" applyFont="1" applyBorder="1" applyAlignment="1">
      <alignment horizontal="center"/>
    </xf>
    <xf numFmtId="0" fontId="53" fillId="0" borderId="88" xfId="5" applyFont="1" applyBorder="1" applyAlignment="1">
      <alignment horizontal="center"/>
    </xf>
    <xf numFmtId="0" fontId="53" fillId="0" borderId="31" xfId="5" applyFont="1" applyBorder="1" applyAlignment="1">
      <alignment horizontal="center"/>
    </xf>
    <xf numFmtId="0" fontId="6" fillId="0" borderId="88" xfId="5" applyBorder="1"/>
    <xf numFmtId="0" fontId="51" fillId="4" borderId="0" xfId="5" applyFont="1" applyFill="1"/>
    <xf numFmtId="0" fontId="53" fillId="4" borderId="0" xfId="5" applyFont="1" applyFill="1" applyAlignment="1">
      <alignment horizontal="center"/>
    </xf>
    <xf numFmtId="1" fontId="53" fillId="4" borderId="0" xfId="5" applyNumberFormat="1" applyFont="1" applyFill="1" applyAlignment="1">
      <alignment horizontal="center"/>
    </xf>
    <xf numFmtId="182" fontId="53" fillId="4" borderId="0" xfId="5" applyNumberFormat="1" applyFont="1" applyFill="1" applyAlignment="1">
      <alignment horizontal="center"/>
    </xf>
    <xf numFmtId="0" fontId="53" fillId="4" borderId="0" xfId="5" applyFont="1" applyFill="1"/>
    <xf numFmtId="0" fontId="52" fillId="4" borderId="0" xfId="5" applyFont="1" applyFill="1"/>
    <xf numFmtId="1" fontId="51" fillId="4" borderId="0" xfId="5" applyNumberFormat="1" applyFont="1" applyFill="1" applyAlignment="1">
      <alignment horizontal="center"/>
    </xf>
    <xf numFmtId="0" fontId="53" fillId="0" borderId="0" xfId="5" applyFont="1" applyAlignment="1">
      <alignment horizontal="center"/>
    </xf>
    <xf numFmtId="1" fontId="53" fillId="0" borderId="0" xfId="5" applyNumberFormat="1" applyFont="1" applyAlignment="1">
      <alignment horizontal="center"/>
    </xf>
    <xf numFmtId="182" fontId="53" fillId="0" borderId="0" xfId="5" applyNumberFormat="1" applyFont="1" applyAlignment="1">
      <alignment horizontal="center"/>
    </xf>
    <xf numFmtId="0" fontId="53" fillId="0" borderId="0" xfId="5" applyFont="1"/>
    <xf numFmtId="183" fontId="53" fillId="0" borderId="0" xfId="5" applyNumberFormat="1" applyFont="1" applyAlignment="1">
      <alignment horizontal="center"/>
    </xf>
    <xf numFmtId="184" fontId="53" fillId="0" borderId="0" xfId="5" applyNumberFormat="1" applyFont="1" applyAlignment="1">
      <alignment horizontal="center"/>
    </xf>
    <xf numFmtId="1" fontId="51" fillId="0" borderId="0" xfId="5" applyNumberFormat="1" applyFont="1" applyAlignment="1">
      <alignment horizontal="center"/>
    </xf>
    <xf numFmtId="0" fontId="56" fillId="0" borderId="82" xfId="5" applyFont="1" applyBorder="1" applyAlignment="1">
      <alignment horizontal="center"/>
    </xf>
    <xf numFmtId="1" fontId="53" fillId="0" borderId="82" xfId="5" applyNumberFormat="1" applyFont="1" applyBorder="1" applyAlignment="1">
      <alignment horizontal="center"/>
    </xf>
    <xf numFmtId="0" fontId="57" fillId="10" borderId="2" xfId="5" applyFont="1" applyFill="1" applyBorder="1" applyAlignment="1">
      <alignment horizontal="center"/>
    </xf>
    <xf numFmtId="183" fontId="57" fillId="10" borderId="4" xfId="5" applyNumberFormat="1" applyFont="1" applyFill="1" applyBorder="1" applyAlignment="1">
      <alignment horizontal="center"/>
    </xf>
    <xf numFmtId="0" fontId="57" fillId="10" borderId="4" xfId="5" applyFont="1" applyFill="1" applyBorder="1" applyAlignment="1">
      <alignment horizontal="center"/>
    </xf>
    <xf numFmtId="184" fontId="57" fillId="10" borderId="5" xfId="5" applyNumberFormat="1" applyFont="1" applyFill="1" applyBorder="1" applyAlignment="1">
      <alignment horizontal="center"/>
    </xf>
    <xf numFmtId="0" fontId="2" fillId="2" borderId="90" xfId="1" applyBorder="1" applyAlignment="1">
      <alignment horizontal="center"/>
    </xf>
    <xf numFmtId="1" fontId="57" fillId="0" borderId="0" xfId="5" applyNumberFormat="1" applyFont="1" applyAlignment="1">
      <alignment horizontal="center"/>
    </xf>
    <xf numFmtId="0" fontId="57" fillId="0" borderId="0" xfId="5" applyFont="1" applyAlignment="1">
      <alignment horizontal="center"/>
    </xf>
    <xf numFmtId="1" fontId="53" fillId="11" borderId="0" xfId="5" applyNumberFormat="1" applyFont="1" applyFill="1" applyAlignment="1">
      <alignment horizontal="center"/>
    </xf>
    <xf numFmtId="0" fontId="53" fillId="11" borderId="0" xfId="5" applyFont="1" applyFill="1" applyAlignment="1">
      <alignment horizontal="center"/>
    </xf>
    <xf numFmtId="0" fontId="53" fillId="12" borderId="0" xfId="5" applyFont="1" applyFill="1" applyAlignment="1">
      <alignment horizontal="center"/>
    </xf>
    <xf numFmtId="185" fontId="53" fillId="0" borderId="0" xfId="6" applyNumberFormat="1" applyFont="1" applyAlignment="1">
      <alignment horizontal="center"/>
    </xf>
    <xf numFmtId="186" fontId="2" fillId="2" borderId="91" xfId="1" applyNumberFormat="1" applyBorder="1" applyAlignment="1">
      <alignment horizontal="center"/>
    </xf>
    <xf numFmtId="170" fontId="6" fillId="0" borderId="0" xfId="5" applyNumberFormat="1" applyAlignment="1">
      <alignment horizontal="center"/>
    </xf>
    <xf numFmtId="0" fontId="57" fillId="10" borderId="6" xfId="5" applyFont="1" applyFill="1" applyBorder="1" applyAlignment="1">
      <alignment horizontal="center"/>
    </xf>
    <xf numFmtId="183" fontId="57" fillId="10" borderId="0" xfId="5" applyNumberFormat="1" applyFont="1" applyFill="1" applyAlignment="1">
      <alignment horizontal="center"/>
    </xf>
    <xf numFmtId="0" fontId="57" fillId="10" borderId="0" xfId="5" applyFont="1" applyFill="1" applyAlignment="1">
      <alignment horizontal="center"/>
    </xf>
    <xf numFmtId="184" fontId="57" fillId="10" borderId="7" xfId="5" applyNumberFormat="1" applyFont="1" applyFill="1" applyBorder="1" applyAlignment="1">
      <alignment horizontal="center"/>
    </xf>
    <xf numFmtId="0" fontId="2" fillId="2" borderId="92" xfId="1" applyBorder="1" applyAlignment="1">
      <alignment horizontal="center"/>
    </xf>
    <xf numFmtId="0" fontId="51" fillId="4" borderId="0" xfId="5" applyFont="1" applyFill="1" applyAlignment="1">
      <alignment horizontal="center"/>
    </xf>
    <xf numFmtId="0" fontId="58" fillId="4" borderId="0" xfId="5" applyFont="1" applyFill="1"/>
    <xf numFmtId="0" fontId="59" fillId="0" borderId="0" xfId="5" applyFont="1"/>
    <xf numFmtId="0" fontId="6" fillId="0" borderId="0" xfId="5" applyAlignment="1">
      <alignment horizontal="center"/>
    </xf>
    <xf numFmtId="0" fontId="60" fillId="0" borderId="0" xfId="5" applyFont="1"/>
    <xf numFmtId="0" fontId="59" fillId="0" borderId="0" xfId="5" applyFont="1" applyAlignment="1">
      <alignment horizontal="center"/>
    </xf>
    <xf numFmtId="0" fontId="50" fillId="0" borderId="0" xfId="5" applyFont="1" applyAlignment="1">
      <alignment vertical="top"/>
    </xf>
    <xf numFmtId="0" fontId="61" fillId="0" borderId="0" xfId="5" applyFont="1" applyAlignment="1">
      <alignment horizontal="left" vertical="center" indent="3"/>
    </xf>
    <xf numFmtId="0" fontId="51" fillId="0" borderId="82" xfId="5" applyFont="1" applyBorder="1" applyAlignment="1">
      <alignment horizontal="center" wrapText="1"/>
    </xf>
    <xf numFmtId="0" fontId="52" fillId="0" borderId="2" xfId="5" applyFont="1" applyBorder="1" applyAlignment="1">
      <alignment horizontal="left" vertical="center" indent="2"/>
    </xf>
    <xf numFmtId="0" fontId="53" fillId="0" borderId="4" xfId="5" applyFont="1" applyBorder="1"/>
    <xf numFmtId="0" fontId="52" fillId="0" borderId="4" xfId="5" applyFont="1" applyBorder="1"/>
    <xf numFmtId="0" fontId="51" fillId="0" borderId="4" xfId="5" applyFont="1" applyBorder="1" applyAlignment="1">
      <alignment vertical="center" wrapText="1"/>
    </xf>
    <xf numFmtId="0" fontId="51" fillId="0" borderId="5" xfId="5" applyFont="1" applyBorder="1" applyAlignment="1">
      <alignment horizontal="center" vertical="center" wrapText="1"/>
    </xf>
    <xf numFmtId="0" fontId="52" fillId="0" borderId="2" xfId="5" applyFont="1" applyBorder="1" applyAlignment="1">
      <alignment horizontal="left" vertical="center" indent="3"/>
    </xf>
    <xf numFmtId="0" fontId="53" fillId="0" borderId="4" xfId="5" applyFont="1" applyBorder="1" applyAlignment="1">
      <alignment horizontal="center"/>
    </xf>
    <xf numFmtId="0" fontId="52" fillId="0" borderId="4" xfId="5" applyFont="1" applyBorder="1" applyAlignment="1">
      <alignment horizontal="center"/>
    </xf>
    <xf numFmtId="0" fontId="53" fillId="0" borderId="4" xfId="5" applyFont="1" applyBorder="1" applyAlignment="1">
      <alignment horizontal="center" vertical="center" wrapText="1"/>
    </xf>
    <xf numFmtId="0" fontId="53" fillId="0" borderId="82" xfId="5" applyFont="1" applyBorder="1" applyAlignment="1">
      <alignment vertical="center"/>
    </xf>
    <xf numFmtId="0" fontId="53" fillId="0" borderId="82" xfId="5" applyFont="1" applyBorder="1" applyAlignment="1">
      <alignment horizontal="center" vertical="center"/>
    </xf>
    <xf numFmtId="0" fontId="53" fillId="0" borderId="0" xfId="5" applyFont="1" applyAlignment="1">
      <alignment vertical="center"/>
    </xf>
    <xf numFmtId="0" fontId="62" fillId="0" borderId="7" xfId="5" applyFont="1" applyBorder="1" applyAlignment="1">
      <alignment horizontal="center" vertical="center" wrapText="1"/>
    </xf>
    <xf numFmtId="0" fontId="53" fillId="4" borderId="6" xfId="5" applyFont="1" applyFill="1" applyBorder="1"/>
    <xf numFmtId="0" fontId="53" fillId="4" borderId="7" xfId="5" applyFont="1" applyFill="1" applyBorder="1"/>
    <xf numFmtId="0" fontId="53" fillId="0" borderId="6" xfId="5" applyFont="1" applyBorder="1"/>
    <xf numFmtId="0" fontId="57" fillId="0" borderId="4" xfId="5" applyFont="1" applyBorder="1" applyAlignment="1">
      <alignment horizontal="center"/>
    </xf>
    <xf numFmtId="1" fontId="53" fillId="11" borderId="5" xfId="5" applyNumberFormat="1" applyFont="1" applyFill="1" applyBorder="1" applyAlignment="1">
      <alignment horizontal="center"/>
    </xf>
    <xf numFmtId="186" fontId="2" fillId="10" borderId="93" xfId="1" applyNumberFormat="1" applyFill="1" applyBorder="1" applyAlignment="1">
      <alignment horizontal="center"/>
    </xf>
    <xf numFmtId="184" fontId="2" fillId="10" borderId="3" xfId="1" applyNumberFormat="1" applyFill="1" applyBorder="1" applyAlignment="1">
      <alignment horizontal="center"/>
    </xf>
    <xf numFmtId="1" fontId="53" fillId="11" borderId="7" xfId="5" applyNumberFormat="1" applyFont="1" applyFill="1" applyBorder="1" applyAlignment="1">
      <alignment horizontal="center"/>
    </xf>
    <xf numFmtId="186" fontId="2" fillId="10" borderId="94" xfId="1" applyNumberFormat="1" applyFill="1" applyBorder="1" applyAlignment="1">
      <alignment horizontal="center"/>
    </xf>
    <xf numFmtId="184" fontId="2" fillId="10" borderId="1" xfId="1" applyNumberFormat="1" applyFill="1" applyAlignment="1">
      <alignment horizontal="center"/>
    </xf>
    <xf numFmtId="9" fontId="53" fillId="0" borderId="7" xfId="6" applyFont="1" applyBorder="1" applyAlignment="1">
      <alignment horizontal="center"/>
    </xf>
    <xf numFmtId="187" fontId="2" fillId="10" borderId="92" xfId="1" applyNumberFormat="1" applyFill="1" applyBorder="1" applyAlignment="1">
      <alignment horizontal="center"/>
    </xf>
    <xf numFmtId="1" fontId="6" fillId="0" borderId="0" xfId="5" applyNumberFormat="1"/>
    <xf numFmtId="0" fontId="63" fillId="0" borderId="0" xfId="7" applyFont="1"/>
    <xf numFmtId="0" fontId="64" fillId="0" borderId="16" xfId="7" applyFont="1" applyBorder="1"/>
    <xf numFmtId="0" fontId="65" fillId="0" borderId="17" xfId="7" applyFont="1" applyBorder="1"/>
    <xf numFmtId="0" fontId="65" fillId="0" borderId="0" xfId="7" applyFont="1"/>
    <xf numFmtId="0" fontId="65" fillId="0" borderId="46" xfId="7" applyFont="1" applyBorder="1"/>
    <xf numFmtId="1" fontId="64" fillId="0" borderId="2" xfId="7" applyNumberFormat="1" applyFont="1" applyBorder="1"/>
    <xf numFmtId="1" fontId="64" fillId="0" borderId="4" xfId="7" applyNumberFormat="1" applyFont="1" applyBorder="1"/>
    <xf numFmtId="1" fontId="64" fillId="0" borderId="5" xfId="7" applyNumberFormat="1" applyFont="1" applyBorder="1"/>
    <xf numFmtId="0" fontId="64" fillId="0" borderId="6" xfId="7" applyFont="1" applyBorder="1" applyAlignment="1">
      <alignment horizontal="center"/>
    </xf>
    <xf numFmtId="1" fontId="64" fillId="0" borderId="0" xfId="7" applyNumberFormat="1" applyFont="1"/>
    <xf numFmtId="0" fontId="64" fillId="0" borderId="5" xfId="7" applyFont="1" applyBorder="1"/>
    <xf numFmtId="0" fontId="64" fillId="0" borderId="7" xfId="7" applyFont="1" applyBorder="1"/>
    <xf numFmtId="1" fontId="64" fillId="0" borderId="8" xfId="7" applyNumberFormat="1" applyFont="1" applyBorder="1"/>
    <xf numFmtId="1" fontId="64" fillId="0" borderId="10" xfId="7" applyNumberFormat="1" applyFont="1" applyBorder="1"/>
    <xf numFmtId="1" fontId="64" fillId="0" borderId="11" xfId="7" applyNumberFormat="1" applyFont="1" applyBorder="1"/>
    <xf numFmtId="0" fontId="64" fillId="0" borderId="8" xfId="7" applyFont="1" applyBorder="1" applyAlignment="1">
      <alignment horizontal="center"/>
    </xf>
    <xf numFmtId="0" fontId="64" fillId="0" borderId="11" xfId="7" applyFont="1" applyBorder="1"/>
    <xf numFmtId="0" fontId="66" fillId="0" borderId="0" xfId="7" applyFont="1" applyAlignment="1">
      <alignment horizontal="center"/>
    </xf>
    <xf numFmtId="1" fontId="66" fillId="0" borderId="0" xfId="7" applyNumberFormat="1" applyFont="1"/>
    <xf numFmtId="0" fontId="66" fillId="0" borderId="0" xfId="7" applyFont="1"/>
    <xf numFmtId="0" fontId="67" fillId="0" borderId="0" xfId="7" applyFont="1" applyAlignment="1">
      <alignment horizontal="center"/>
    </xf>
    <xf numFmtId="0" fontId="67" fillId="0" borderId="0" xfId="7" applyFont="1"/>
    <xf numFmtId="0" fontId="2" fillId="0" borderId="0" xfId="1" applyFill="1" applyBorder="1" applyAlignment="1">
      <alignment horizontal="left"/>
    </xf>
    <xf numFmtId="0" fontId="63" fillId="0" borderId="0" xfId="7" applyFont="1" applyAlignment="1">
      <alignment horizontal="right"/>
    </xf>
    <xf numFmtId="0" fontId="68" fillId="0" borderId="0" xfId="7" applyFont="1"/>
    <xf numFmtId="0" fontId="69" fillId="0" borderId="0" xfId="1" applyFont="1" applyFill="1" applyBorder="1" applyAlignment="1">
      <alignment horizontal="center"/>
    </xf>
    <xf numFmtId="0" fontId="69" fillId="0" borderId="0" xfId="1" applyFont="1" applyFill="1" applyBorder="1"/>
    <xf numFmtId="0" fontId="68" fillId="0" borderId="16" xfId="7" applyFont="1" applyBorder="1"/>
    <xf numFmtId="0" fontId="68" fillId="0" borderId="46" xfId="7" applyFont="1" applyBorder="1" applyAlignment="1">
      <alignment horizontal="center"/>
    </xf>
    <xf numFmtId="0" fontId="68" fillId="0" borderId="17" xfId="7" applyFont="1" applyBorder="1" applyAlignment="1">
      <alignment horizontal="center"/>
    </xf>
    <xf numFmtId="0" fontId="68" fillId="0" borderId="46" xfId="7" applyFont="1" applyBorder="1"/>
    <xf numFmtId="0" fontId="71" fillId="0" borderId="0" xfId="7" applyFont="1"/>
    <xf numFmtId="0" fontId="67" fillId="0" borderId="0" xfId="7" applyFont="1" applyAlignment="1">
      <alignment horizontal="left" indent="14"/>
    </xf>
    <xf numFmtId="0" fontId="67" fillId="0" borderId="0" xfId="7" applyFont="1" applyAlignment="1">
      <alignment horizontal="left" indent="1"/>
    </xf>
    <xf numFmtId="0" fontId="72" fillId="0" borderId="0" xfId="7" applyFont="1"/>
    <xf numFmtId="0" fontId="68" fillId="0" borderId="0" xfId="7" applyFont="1" applyAlignment="1">
      <alignment horizontal="center"/>
    </xf>
    <xf numFmtId="0" fontId="73" fillId="2" borderId="1" xfId="1" applyFont="1" applyAlignment="1">
      <alignment horizontal="center"/>
    </xf>
    <xf numFmtId="188" fontId="73" fillId="2" borderId="1" xfId="1" applyNumberFormat="1" applyFont="1" applyAlignment="1">
      <alignment horizontal="right"/>
    </xf>
    <xf numFmtId="0" fontId="73" fillId="2" borderId="1" xfId="1" applyFont="1" applyAlignment="1">
      <alignment horizontal="left"/>
    </xf>
    <xf numFmtId="0" fontId="73" fillId="2" borderId="1" xfId="1" applyFont="1"/>
    <xf numFmtId="0" fontId="69" fillId="2" borderId="50" xfId="1" applyFont="1" applyBorder="1"/>
    <xf numFmtId="0" fontId="69" fillId="2" borderId="92" xfId="1" applyFont="1" applyBorder="1"/>
    <xf numFmtId="188" fontId="68" fillId="0" borderId="0" xfId="7" applyNumberFormat="1" applyFont="1" applyAlignment="1">
      <alignment horizontal="right"/>
    </xf>
    <xf numFmtId="0" fontId="68" fillId="0" borderId="0" xfId="7" applyFont="1" applyAlignment="1">
      <alignment horizontal="left"/>
    </xf>
    <xf numFmtId="0" fontId="74" fillId="0" borderId="2" xfId="7" applyFont="1" applyBorder="1"/>
    <xf numFmtId="0" fontId="68" fillId="0" borderId="4" xfId="7" applyFont="1" applyBorder="1" applyAlignment="1">
      <alignment horizontal="center"/>
    </xf>
    <xf numFmtId="188" fontId="68" fillId="0" borderId="4" xfId="7" applyNumberFormat="1" applyFont="1" applyBorder="1" applyAlignment="1">
      <alignment horizontal="right"/>
    </xf>
    <xf numFmtId="0" fontId="68" fillId="0" borderId="4" xfId="7" applyFont="1" applyBorder="1" applyAlignment="1">
      <alignment horizontal="left"/>
    </xf>
    <xf numFmtId="0" fontId="68" fillId="0" borderId="5" xfId="7" applyFont="1" applyBorder="1"/>
    <xf numFmtId="0" fontId="69" fillId="2" borderId="73" xfId="1" applyFont="1" applyBorder="1"/>
    <xf numFmtId="188" fontId="69" fillId="2" borderId="9" xfId="1" applyNumberFormat="1" applyFont="1" applyBorder="1" applyAlignment="1">
      <alignment horizontal="center"/>
    </xf>
    <xf numFmtId="0" fontId="69" fillId="2" borderId="74" xfId="1" applyFont="1" applyBorder="1" applyAlignment="1">
      <alignment horizontal="left"/>
    </xf>
    <xf numFmtId="0" fontId="68" fillId="0" borderId="6" xfId="7" applyFont="1" applyBorder="1"/>
    <xf numFmtId="0" fontId="75" fillId="0" borderId="0" xfId="7" applyFont="1"/>
    <xf numFmtId="0" fontId="68" fillId="0" borderId="7" xfId="7" applyFont="1" applyBorder="1"/>
    <xf numFmtId="0" fontId="2" fillId="0" borderId="0" xfId="1" applyFill="1" applyBorder="1"/>
    <xf numFmtId="188" fontId="2" fillId="0" borderId="0" xfId="1" applyNumberFormat="1" applyFill="1" applyBorder="1" applyAlignment="1">
      <alignment horizontal="center"/>
    </xf>
    <xf numFmtId="0" fontId="68" fillId="0" borderId="6" xfId="7" applyFont="1" applyBorder="1" applyAlignment="1">
      <alignment horizontal="center"/>
    </xf>
    <xf numFmtId="0" fontId="68" fillId="0" borderId="0" xfId="7" applyFont="1" applyAlignment="1">
      <alignment horizontal="right"/>
    </xf>
    <xf numFmtId="1" fontId="68" fillId="0" borderId="0" xfId="7" applyNumberFormat="1" applyFont="1"/>
    <xf numFmtId="0" fontId="76" fillId="0" borderId="0" xfId="7" applyFont="1"/>
    <xf numFmtId="1" fontId="76" fillId="0" borderId="0" xfId="7" applyNumberFormat="1" applyFont="1"/>
    <xf numFmtId="0" fontId="76" fillId="0" borderId="7" xfId="7" applyFont="1" applyBorder="1"/>
    <xf numFmtId="0" fontId="77" fillId="0" borderId="0" xfId="7" applyFont="1"/>
    <xf numFmtId="0" fontId="77" fillId="0" borderId="0" xfId="7" applyFont="1" applyAlignment="1">
      <alignment horizontal="right"/>
    </xf>
    <xf numFmtId="1" fontId="77" fillId="0" borderId="0" xfId="7" applyNumberFormat="1" applyFont="1"/>
    <xf numFmtId="0" fontId="77" fillId="0" borderId="7" xfId="7" applyFont="1" applyBorder="1"/>
    <xf numFmtId="0" fontId="68" fillId="0" borderId="2" xfId="7" applyFont="1" applyBorder="1"/>
    <xf numFmtId="166" fontId="68" fillId="0" borderId="5" xfId="7" applyNumberFormat="1" applyFont="1" applyBorder="1"/>
    <xf numFmtId="0" fontId="68" fillId="0" borderId="8" xfId="7" applyFont="1" applyBorder="1"/>
    <xf numFmtId="166" fontId="68" fillId="0" borderId="11" xfId="7" applyNumberFormat="1" applyFont="1" applyBorder="1"/>
    <xf numFmtId="166" fontId="68" fillId="0" borderId="46" xfId="7" applyNumberFormat="1" applyFont="1" applyBorder="1"/>
    <xf numFmtId="0" fontId="78" fillId="0" borderId="2" xfId="7" applyFont="1" applyBorder="1" applyAlignment="1">
      <alignment horizontal="left" indent="12"/>
    </xf>
    <xf numFmtId="0" fontId="66" fillId="0" borderId="5" xfId="7" applyFont="1" applyBorder="1" applyAlignment="1">
      <alignment horizontal="center"/>
    </xf>
    <xf numFmtId="0" fontId="79" fillId="0" borderId="48" xfId="7" applyFont="1" applyBorder="1" applyAlignment="1">
      <alignment horizontal="center"/>
    </xf>
    <xf numFmtId="0" fontId="77" fillId="0" borderId="10" xfId="7" applyFont="1" applyBorder="1" applyAlignment="1">
      <alignment horizontal="right"/>
    </xf>
    <xf numFmtId="1" fontId="77" fillId="0" borderId="10" xfId="7" applyNumberFormat="1" applyFont="1" applyBorder="1"/>
    <xf numFmtId="0" fontId="77" fillId="0" borderId="10" xfId="7" applyFont="1" applyBorder="1"/>
    <xf numFmtId="0" fontId="68" fillId="0" borderId="10" xfId="7" applyFont="1" applyBorder="1"/>
    <xf numFmtId="0" fontId="68" fillId="0" borderId="11" xfId="7" applyFont="1" applyBorder="1"/>
    <xf numFmtId="0" fontId="66" fillId="0" borderId="6" xfId="7" applyFont="1" applyBorder="1" applyAlignment="1">
      <alignment horizontal="center"/>
    </xf>
    <xf numFmtId="0" fontId="73" fillId="2" borderId="92" xfId="1" applyFont="1" applyBorder="1" applyAlignment="1">
      <alignment horizontal="center"/>
    </xf>
    <xf numFmtId="185" fontId="68" fillId="0" borderId="18" xfId="8" applyNumberFormat="1" applyFont="1" applyBorder="1"/>
    <xf numFmtId="0" fontId="80" fillId="0" borderId="0" xfId="7" applyFont="1"/>
    <xf numFmtId="185" fontId="68" fillId="0" borderId="19" xfId="8" applyNumberFormat="1" applyFont="1" applyBorder="1"/>
    <xf numFmtId="0" fontId="68" fillId="0" borderId="4" xfId="7" applyFont="1" applyBorder="1"/>
    <xf numFmtId="0" fontId="66" fillId="0" borderId="8" xfId="7" applyFont="1" applyBorder="1" applyAlignment="1">
      <alignment horizontal="center"/>
    </xf>
    <xf numFmtId="0" fontId="73" fillId="2" borderId="74" xfId="1" applyFont="1" applyBorder="1" applyAlignment="1">
      <alignment horizontal="center"/>
    </xf>
    <xf numFmtId="168" fontId="68" fillId="0" borderId="0" xfId="7" applyNumberFormat="1" applyFont="1"/>
    <xf numFmtId="0" fontId="78" fillId="0" borderId="2" xfId="7" applyFont="1" applyBorder="1" applyAlignment="1">
      <alignment horizontal="left" indent="10"/>
    </xf>
    <xf numFmtId="0" fontId="79" fillId="0" borderId="0" xfId="7" applyFont="1" applyAlignment="1">
      <alignment horizontal="center"/>
    </xf>
    <xf numFmtId="1" fontId="66" fillId="0" borderId="7" xfId="7" applyNumberFormat="1" applyFont="1" applyBorder="1" applyAlignment="1">
      <alignment horizontal="center"/>
    </xf>
    <xf numFmtId="1" fontId="66" fillId="0" borderId="11" xfId="7" applyNumberFormat="1" applyFont="1" applyBorder="1" applyAlignment="1">
      <alignment horizontal="center"/>
    </xf>
    <xf numFmtId="0" fontId="78" fillId="0" borderId="2" xfId="7" applyFont="1" applyBorder="1" applyAlignment="1">
      <alignment horizontal="left" indent="3"/>
    </xf>
    <xf numFmtId="0" fontId="66" fillId="0" borderId="8" xfId="7" applyFont="1" applyBorder="1" applyAlignment="1">
      <alignment vertical="center"/>
    </xf>
    <xf numFmtId="0" fontId="81" fillId="2" borderId="74" xfId="1" applyFont="1" applyBorder="1" applyAlignment="1">
      <alignment horizontal="center" vertical="center"/>
    </xf>
    <xf numFmtId="0" fontId="66" fillId="0" borderId="0" xfId="7" applyFont="1" applyAlignment="1">
      <alignment horizontal="center" vertical="center"/>
    </xf>
    <xf numFmtId="0" fontId="82" fillId="0" borderId="0" xfId="7" applyFont="1"/>
    <xf numFmtId="0" fontId="67" fillId="0" borderId="2" xfId="7" applyFont="1" applyBorder="1"/>
    <xf numFmtId="1" fontId="67" fillId="0" borderId="4" xfId="7" applyNumberFormat="1" applyFont="1" applyBorder="1"/>
    <xf numFmtId="0" fontId="67" fillId="0" borderId="5" xfId="7" applyFont="1" applyBorder="1"/>
    <xf numFmtId="185" fontId="68" fillId="0" borderId="0" xfId="8" applyNumberFormat="1" applyFont="1"/>
    <xf numFmtId="0" fontId="67" fillId="0" borderId="8" xfId="7" applyFont="1" applyBorder="1"/>
    <xf numFmtId="1" fontId="67" fillId="0" borderId="10" xfId="7" applyNumberFormat="1" applyFont="1" applyBorder="1"/>
    <xf numFmtId="0" fontId="67" fillId="0" borderId="11" xfId="7" applyFont="1" applyBorder="1"/>
    <xf numFmtId="0" fontId="5" fillId="0" borderId="0" xfId="7"/>
    <xf numFmtId="0" fontId="83" fillId="0" borderId="26" xfId="0" applyFont="1" applyBorder="1" applyAlignment="1">
      <alignment horizontal="left"/>
    </xf>
    <xf numFmtId="0" fontId="83" fillId="0" borderId="40" xfId="0" applyFont="1" applyBorder="1"/>
    <xf numFmtId="175" fontId="83" fillId="0" borderId="40" xfId="0" applyNumberFormat="1" applyFont="1" applyBorder="1"/>
    <xf numFmtId="0" fontId="83" fillId="0" borderId="28" xfId="0" applyFont="1" applyBorder="1"/>
    <xf numFmtId="175" fontId="83" fillId="0" borderId="28" xfId="0" applyNumberFormat="1" applyFont="1" applyBorder="1"/>
    <xf numFmtId="0" fontId="83" fillId="0" borderId="43" xfId="0" applyFont="1" applyBorder="1" applyAlignment="1">
      <alignment horizontal="left"/>
    </xf>
    <xf numFmtId="0" fontId="83" fillId="0" borderId="0" xfId="0" applyFont="1"/>
    <xf numFmtId="0" fontId="83" fillId="0" borderId="0" xfId="0" applyFont="1" applyAlignment="1">
      <alignment horizontal="center" textRotation="90"/>
    </xf>
    <xf numFmtId="176" fontId="83" fillId="0" borderId="28" xfId="0" applyNumberFormat="1" applyFont="1" applyBorder="1"/>
    <xf numFmtId="0" fontId="83" fillId="0" borderId="24" xfId="0" applyFont="1" applyBorder="1"/>
    <xf numFmtId="175" fontId="83" fillId="0" borderId="24" xfId="0" applyNumberFormat="1" applyFont="1" applyBorder="1"/>
    <xf numFmtId="175" fontId="83" fillId="0" borderId="33" xfId="0" applyNumberFormat="1" applyFont="1" applyBorder="1"/>
    <xf numFmtId="175" fontId="83" fillId="0" borderId="0" xfId="0" applyNumberFormat="1" applyFont="1"/>
    <xf numFmtId="175" fontId="83" fillId="0" borderId="35" xfId="0" applyNumberFormat="1" applyFont="1" applyBorder="1"/>
    <xf numFmtId="0" fontId="0" fillId="0" borderId="24" xfId="0" applyBorder="1" applyAlignment="1">
      <alignment horizontal="left"/>
    </xf>
    <xf numFmtId="0" fontId="83" fillId="0" borderId="0" xfId="0" applyFont="1" applyAlignment="1">
      <alignment horizontal="left"/>
    </xf>
    <xf numFmtId="170" fontId="14" fillId="0" borderId="41" xfId="0" applyNumberFormat="1" applyFont="1" applyBorder="1" applyAlignment="1">
      <alignment horizontal="left"/>
    </xf>
    <xf numFmtId="170" fontId="2" fillId="2" borderId="96" xfId="1" applyNumberFormat="1" applyBorder="1" applyAlignment="1">
      <alignment horizontal="left"/>
    </xf>
    <xf numFmtId="170" fontId="0" fillId="0" borderId="0" xfId="0" applyNumberFormat="1" applyAlignment="1">
      <alignment horizontal="left"/>
    </xf>
    <xf numFmtId="0" fontId="83" fillId="0" borderId="39" xfId="0" applyFont="1" applyBorder="1" applyAlignment="1">
      <alignment horizontal="left"/>
    </xf>
    <xf numFmtId="0" fontId="0" fillId="0" borderId="98" xfId="0" applyBorder="1" applyAlignment="1">
      <alignment horizontal="left"/>
    </xf>
    <xf numFmtId="0" fontId="83" fillId="0" borderId="35" xfId="0" applyFont="1" applyBorder="1" applyAlignment="1">
      <alignment horizontal="left"/>
    </xf>
    <xf numFmtId="0" fontId="83" fillId="0" borderId="37" xfId="0" applyFont="1" applyBorder="1" applyAlignment="1">
      <alignment horizontal="left"/>
    </xf>
    <xf numFmtId="0" fontId="84" fillId="0" borderId="32" xfId="0" applyFont="1" applyBorder="1" applyAlignment="1">
      <alignment horizontal="center"/>
    </xf>
    <xf numFmtId="0" fontId="84" fillId="0" borderId="34" xfId="0" applyFont="1" applyBorder="1" applyAlignment="1">
      <alignment horizontal="center"/>
    </xf>
    <xf numFmtId="0" fontId="84" fillId="0" borderId="36" xfId="0" applyFont="1" applyBorder="1" applyAlignment="1">
      <alignment horizontal="left"/>
    </xf>
    <xf numFmtId="170" fontId="83" fillId="0" borderId="0" xfId="0" applyNumberFormat="1" applyFont="1" applyAlignment="1">
      <alignment horizontal="center" textRotation="90"/>
    </xf>
    <xf numFmtId="175" fontId="83" fillId="0" borderId="24" xfId="0" applyNumberFormat="1" applyFont="1" applyBorder="1" applyAlignment="1">
      <alignment horizontal="center"/>
    </xf>
    <xf numFmtId="175" fontId="83" fillId="0" borderId="0" xfId="0" applyNumberFormat="1" applyFont="1" applyAlignment="1">
      <alignment horizontal="center"/>
    </xf>
    <xf numFmtId="0" fontId="83" fillId="0" borderId="0" xfId="0" applyFont="1" applyAlignment="1">
      <alignment textRotation="90"/>
    </xf>
    <xf numFmtId="0" fontId="83" fillId="0" borderId="37" xfId="0" applyFont="1" applyBorder="1"/>
    <xf numFmtId="170" fontId="85" fillId="0" borderId="38" xfId="0" applyNumberFormat="1" applyFont="1" applyBorder="1" applyAlignment="1">
      <alignment horizontal="left"/>
    </xf>
    <xf numFmtId="170" fontId="83" fillId="0" borderId="26" xfId="0" applyNumberFormat="1" applyFont="1" applyBorder="1" applyAlignment="1">
      <alignment horizontal="left"/>
    </xf>
    <xf numFmtId="0" fontId="0" fillId="0" borderId="10" xfId="0" applyBorder="1" applyAlignment="1">
      <alignment horizontal="right"/>
    </xf>
    <xf numFmtId="0" fontId="0" fillId="0" borderId="99" xfId="0" applyBorder="1" applyAlignment="1">
      <alignment horizontal="left"/>
    </xf>
    <xf numFmtId="0" fontId="48" fillId="0" borderId="24" xfId="0" applyFont="1" applyBorder="1" applyAlignment="1">
      <alignment textRotation="90"/>
    </xf>
    <xf numFmtId="0" fontId="0" fillId="0" borderId="0" xfId="0" applyAlignment="1">
      <alignment vertical="top"/>
    </xf>
    <xf numFmtId="0" fontId="0" fillId="0" borderId="0" xfId="0" applyAlignment="1">
      <alignment horizontal="center" vertical="top"/>
    </xf>
    <xf numFmtId="0" fontId="87" fillId="0" borderId="0" xfId="0" applyFont="1" applyAlignment="1">
      <alignment horizontal="center"/>
    </xf>
    <xf numFmtId="0" fontId="47" fillId="0" borderId="0" xfId="0" applyFont="1" applyAlignment="1">
      <alignment vertical="top"/>
    </xf>
    <xf numFmtId="0" fontId="47" fillId="0" borderId="0" xfId="0" applyFont="1" applyAlignment="1">
      <alignment horizontal="left" vertical="top"/>
    </xf>
    <xf numFmtId="0" fontId="0" fillId="0" borderId="0" xfId="0" applyAlignment="1">
      <alignment vertical="top" wrapText="1"/>
    </xf>
    <xf numFmtId="0" fontId="88" fillId="0" borderId="0" xfId="0" applyFont="1"/>
    <xf numFmtId="0" fontId="47" fillId="13" borderId="0" xfId="0" applyFont="1" applyFill="1" applyAlignment="1">
      <alignment vertical="top"/>
    </xf>
    <xf numFmtId="0" fontId="47" fillId="4" borderId="0" xfId="0" applyFont="1" applyFill="1" applyAlignment="1">
      <alignment vertical="top"/>
    </xf>
    <xf numFmtId="0" fontId="63" fillId="0" borderId="17" xfId="7" applyFont="1" applyBorder="1"/>
    <xf numFmtId="0" fontId="89" fillId="0" borderId="46" xfId="7" applyFont="1" applyBorder="1"/>
    <xf numFmtId="0" fontId="90" fillId="2" borderId="75" xfId="1" applyFont="1" applyBorder="1"/>
    <xf numFmtId="0" fontId="87" fillId="0" borderId="0" xfId="0" applyFont="1" applyAlignment="1">
      <alignment horizontal="left"/>
    </xf>
    <xf numFmtId="0" fontId="91" fillId="0" borderId="0" xfId="5" applyFont="1"/>
    <xf numFmtId="0" fontId="92" fillId="0" borderId="0" xfId="5" applyFont="1"/>
    <xf numFmtId="0" fontId="91" fillId="0" borderId="0" xfId="5" applyFont="1" applyAlignment="1">
      <alignment horizontal="right"/>
    </xf>
    <xf numFmtId="0" fontId="67" fillId="0" borderId="0" xfId="7" quotePrefix="1" applyFont="1" applyAlignment="1">
      <alignment horizontal="left" indent="2"/>
    </xf>
    <xf numFmtId="0" fontId="68" fillId="4" borderId="0" xfId="7" applyFont="1" applyFill="1"/>
    <xf numFmtId="1" fontId="65" fillId="4" borderId="0" xfId="7" applyNumberFormat="1" applyFont="1" applyFill="1"/>
    <xf numFmtId="0" fontId="64" fillId="4" borderId="0" xfId="7" applyFont="1" applyFill="1" applyAlignment="1">
      <alignment horizontal="right"/>
    </xf>
    <xf numFmtId="0" fontId="93" fillId="4" borderId="2" xfId="7" applyFont="1" applyFill="1" applyBorder="1"/>
    <xf numFmtId="0" fontId="93" fillId="4" borderId="4" xfId="7" applyFont="1" applyFill="1" applyBorder="1"/>
    <xf numFmtId="0" fontId="93" fillId="4" borderId="6" xfId="7" applyFont="1" applyFill="1" applyBorder="1"/>
    <xf numFmtId="0" fontId="93" fillId="4" borderId="0" xfId="7" applyFont="1" applyFill="1"/>
    <xf numFmtId="0" fontId="93" fillId="4" borderId="8" xfId="7" applyFont="1" applyFill="1" applyBorder="1"/>
    <xf numFmtId="1" fontId="93" fillId="4" borderId="10" xfId="7" applyNumberFormat="1" applyFont="1" applyFill="1" applyBorder="1"/>
    <xf numFmtId="0" fontId="68" fillId="4" borderId="5" xfId="7" applyFont="1" applyFill="1" applyBorder="1"/>
    <xf numFmtId="0" fontId="68" fillId="4" borderId="7" xfId="7" applyFont="1" applyFill="1" applyBorder="1"/>
    <xf numFmtId="0" fontId="68" fillId="4" borderId="11" xfId="7" applyFont="1" applyFill="1" applyBorder="1"/>
    <xf numFmtId="0" fontId="67" fillId="13" borderId="0" xfId="7" applyFont="1" applyFill="1" applyAlignment="1">
      <alignment horizontal="right"/>
    </xf>
    <xf numFmtId="0" fontId="67" fillId="0" borderId="0" xfId="7" applyFont="1" applyAlignment="1">
      <alignment horizontal="right"/>
    </xf>
    <xf numFmtId="2" fontId="67" fillId="0" borderId="0" xfId="7" applyNumberFormat="1" applyFont="1" applyAlignment="1">
      <alignment horizontal="center"/>
    </xf>
    <xf numFmtId="2" fontId="67" fillId="13" borderId="0" xfId="7" applyNumberFormat="1" applyFont="1" applyFill="1" applyAlignment="1">
      <alignment horizontal="center"/>
    </xf>
    <xf numFmtId="0" fontId="68" fillId="13" borderId="100" xfId="7" applyFont="1" applyFill="1" applyBorder="1"/>
    <xf numFmtId="0" fontId="67" fillId="13" borderId="53" xfId="7" applyFont="1" applyFill="1" applyBorder="1" applyAlignment="1">
      <alignment horizontal="right"/>
    </xf>
    <xf numFmtId="2" fontId="67" fillId="13" borderId="53" xfId="7" applyNumberFormat="1" applyFont="1" applyFill="1" applyBorder="1" applyAlignment="1">
      <alignment horizontal="center"/>
    </xf>
    <xf numFmtId="0" fontId="67" fillId="13" borderId="101" xfId="7" applyFont="1" applyFill="1" applyBorder="1"/>
    <xf numFmtId="0" fontId="68" fillId="13" borderId="102" xfId="7" applyFont="1" applyFill="1" applyBorder="1"/>
    <xf numFmtId="0" fontId="67" fillId="13" borderId="103" xfId="7" applyFont="1" applyFill="1" applyBorder="1"/>
    <xf numFmtId="0" fontId="67" fillId="0" borderId="102" xfId="7" applyFont="1" applyBorder="1"/>
    <xf numFmtId="0" fontId="67" fillId="0" borderId="103" xfId="7" applyFont="1" applyBorder="1"/>
    <xf numFmtId="0" fontId="67" fillId="13" borderId="104" xfId="7" applyFont="1" applyFill="1" applyBorder="1"/>
    <xf numFmtId="0" fontId="67" fillId="13" borderId="105" xfId="7" applyFont="1" applyFill="1" applyBorder="1" applyAlignment="1">
      <alignment horizontal="right"/>
    </xf>
    <xf numFmtId="2" fontId="67" fillId="13" borderId="105" xfId="7" applyNumberFormat="1" applyFont="1" applyFill="1" applyBorder="1" applyAlignment="1">
      <alignment horizontal="center"/>
    </xf>
    <xf numFmtId="0" fontId="67" fillId="13" borderId="106" xfId="7" applyFont="1" applyFill="1" applyBorder="1"/>
    <xf numFmtId="0" fontId="63" fillId="4" borderId="0" xfId="7" applyFont="1" applyFill="1"/>
    <xf numFmtId="0" fontId="95" fillId="0" borderId="0" xfId="7" applyFont="1"/>
    <xf numFmtId="0" fontId="6" fillId="0" borderId="7" xfId="5" applyBorder="1"/>
    <xf numFmtId="0" fontId="6" fillId="0" borderId="6" xfId="5" applyBorder="1"/>
    <xf numFmtId="185" fontId="63" fillId="0" borderId="0" xfId="7" applyNumberFormat="1" applyFont="1"/>
    <xf numFmtId="185" fontId="68" fillId="0" borderId="0" xfId="7" applyNumberFormat="1" applyFont="1"/>
    <xf numFmtId="189" fontId="0" fillId="0" borderId="0" xfId="0" applyNumberFormat="1"/>
    <xf numFmtId="0" fontId="97" fillId="0" borderId="0" xfId="0" applyFont="1" applyAlignment="1">
      <alignment horizontal="right"/>
    </xf>
    <xf numFmtId="2" fontId="97" fillId="0" borderId="0" xfId="0" applyNumberFormat="1" applyFont="1"/>
    <xf numFmtId="0" fontId="62" fillId="0" borderId="0" xfId="5" applyFont="1"/>
    <xf numFmtId="0" fontId="53" fillId="0" borderId="83" xfId="5" applyFont="1" applyBorder="1" applyAlignment="1">
      <alignment horizontal="center"/>
    </xf>
    <xf numFmtId="0" fontId="53" fillId="0" borderId="85" xfId="5" applyFont="1" applyBorder="1" applyAlignment="1">
      <alignment horizontal="center" vertical="center" wrapText="1"/>
    </xf>
    <xf numFmtId="0" fontId="6" fillId="0" borderId="86" xfId="5" applyBorder="1" applyAlignment="1">
      <alignment horizontal="center" vertical="center" wrapText="1"/>
    </xf>
    <xf numFmtId="0" fontId="53" fillId="0" borderId="89" xfId="5" applyFont="1" applyBorder="1" applyAlignment="1">
      <alignment vertical="center"/>
    </xf>
    <xf numFmtId="0" fontId="53" fillId="0" borderId="89" xfId="5" applyFont="1" applyBorder="1" applyAlignment="1">
      <alignment horizontal="center" vertical="center"/>
    </xf>
    <xf numFmtId="0" fontId="53" fillId="0" borderId="31" xfId="5" applyFont="1" applyBorder="1" applyAlignment="1">
      <alignment horizontal="center" vertical="center"/>
    </xf>
    <xf numFmtId="0" fontId="53" fillId="0" borderId="89" xfId="5" applyFont="1" applyBorder="1" applyAlignment="1">
      <alignment horizontal="center"/>
    </xf>
    <xf numFmtId="0" fontId="51" fillId="0" borderId="89" xfId="5" applyFont="1" applyBorder="1" applyAlignment="1">
      <alignment horizontal="center"/>
    </xf>
    <xf numFmtId="0" fontId="55" fillId="0" borderId="89" xfId="5" applyFont="1" applyBorder="1" applyAlignment="1">
      <alignment horizontal="center" vertical="center" wrapText="1"/>
    </xf>
    <xf numFmtId="0" fontId="98" fillId="0" borderId="0" xfId="5" applyFont="1" applyAlignment="1">
      <alignment horizontal="center"/>
    </xf>
    <xf numFmtId="168" fontId="6" fillId="0" borderId="0" xfId="5" applyNumberFormat="1"/>
    <xf numFmtId="0" fontId="53" fillId="11" borderId="0" xfId="5" applyFont="1" applyFill="1"/>
    <xf numFmtId="0" fontId="51" fillId="0" borderId="4" xfId="5" applyFont="1" applyBorder="1" applyAlignment="1">
      <alignment horizontal="center" vertical="center" wrapText="1"/>
    </xf>
    <xf numFmtId="0" fontId="67" fillId="0" borderId="0" xfId="5" applyFont="1" applyAlignment="1">
      <alignment horizontal="center"/>
    </xf>
    <xf numFmtId="0" fontId="53" fillId="0" borderId="0" xfId="5" applyFont="1" applyAlignment="1">
      <alignment horizontal="center" vertical="center"/>
    </xf>
    <xf numFmtId="0" fontId="6" fillId="0" borderId="0" xfId="5" applyAlignment="1">
      <alignment horizontal="center" vertical="center"/>
    </xf>
    <xf numFmtId="0" fontId="53" fillId="4" borderId="7" xfId="5" applyFont="1" applyFill="1" applyBorder="1" applyAlignment="1">
      <alignment horizontal="center"/>
    </xf>
    <xf numFmtId="0" fontId="6" fillId="0" borderId="7" xfId="5" applyBorder="1" applyAlignment="1">
      <alignment horizontal="center"/>
    </xf>
    <xf numFmtId="9" fontId="0" fillId="0" borderId="0" xfId="6" applyFont="1" applyAlignment="1">
      <alignment horizontal="center"/>
    </xf>
    <xf numFmtId="168" fontId="6" fillId="0" borderId="0" xfId="5" applyNumberFormat="1" applyAlignment="1">
      <alignment horizontal="center"/>
    </xf>
    <xf numFmtId="1" fontId="6" fillId="0" borderId="0" xfId="5" applyNumberFormat="1" applyAlignment="1">
      <alignment horizontal="center"/>
    </xf>
    <xf numFmtId="10" fontId="6" fillId="0" borderId="0" xfId="5" applyNumberFormat="1" applyAlignment="1">
      <alignment horizontal="center"/>
    </xf>
    <xf numFmtId="10" fontId="6" fillId="0" borderId="0" xfId="5" applyNumberFormat="1"/>
    <xf numFmtId="2" fontId="6" fillId="0" borderId="0" xfId="5" applyNumberFormat="1" applyAlignment="1">
      <alignment horizontal="center"/>
    </xf>
    <xf numFmtId="166" fontId="6" fillId="0" borderId="0" xfId="5" applyNumberFormat="1" applyAlignment="1">
      <alignment horizontal="center"/>
    </xf>
    <xf numFmtId="0" fontId="70" fillId="0" borderId="0" xfId="0" applyFont="1"/>
    <xf numFmtId="0" fontId="99" fillId="0" borderId="2" xfId="0" applyFont="1" applyBorder="1" applyAlignment="1">
      <alignment horizontal="center"/>
    </xf>
    <xf numFmtId="0" fontId="100" fillId="0" borderId="4" xfId="0" applyFont="1" applyBorder="1" applyAlignment="1">
      <alignment horizontal="center"/>
    </xf>
    <xf numFmtId="0" fontId="100" fillId="0" borderId="5" xfId="0" applyFont="1" applyBorder="1" applyAlignment="1">
      <alignment horizontal="center"/>
    </xf>
    <xf numFmtId="0" fontId="100" fillId="0" borderId="6" xfId="0" applyFont="1" applyBorder="1" applyAlignment="1">
      <alignment horizontal="center"/>
    </xf>
    <xf numFmtId="0" fontId="71" fillId="0" borderId="0" xfId="0" applyFont="1" applyAlignment="1">
      <alignment horizontal="center"/>
    </xf>
    <xf numFmtId="0" fontId="71" fillId="0" borderId="7" xfId="0" applyFont="1" applyBorder="1" applyAlignment="1">
      <alignment horizontal="center"/>
    </xf>
    <xf numFmtId="0" fontId="100" fillId="0" borderId="8" xfId="0" applyFont="1" applyBorder="1" applyAlignment="1">
      <alignment horizontal="center"/>
    </xf>
    <xf numFmtId="0" fontId="71" fillId="0" borderId="10" xfId="0" applyFont="1" applyBorder="1" applyAlignment="1">
      <alignment horizontal="center"/>
    </xf>
    <xf numFmtId="0" fontId="71" fillId="0" borderId="11" xfId="0" applyFont="1" applyBorder="1" applyAlignment="1">
      <alignment horizontal="center"/>
    </xf>
    <xf numFmtId="0" fontId="64" fillId="0" borderId="0" xfId="7" applyFont="1"/>
    <xf numFmtId="0" fontId="60" fillId="0" borderId="0" xfId="5" applyFont="1" applyAlignment="1">
      <alignment vertical="center"/>
    </xf>
    <xf numFmtId="0" fontId="6" fillId="0" borderId="0" xfId="5" applyAlignment="1">
      <alignment horizontal="left"/>
    </xf>
    <xf numFmtId="0" fontId="59" fillId="0" borderId="0" xfId="5" applyFont="1" applyAlignment="1">
      <alignment horizontal="left"/>
    </xf>
    <xf numFmtId="1" fontId="59" fillId="0" borderId="0" xfId="5" applyNumberFormat="1" applyFont="1" applyAlignment="1">
      <alignment horizontal="left"/>
    </xf>
    <xf numFmtId="182" fontId="6" fillId="0" borderId="0" xfId="5" applyNumberFormat="1"/>
    <xf numFmtId="0" fontId="59" fillId="0" borderId="17" xfId="5" applyFont="1" applyBorder="1" applyAlignment="1">
      <alignment horizontal="center" vertical="center"/>
    </xf>
    <xf numFmtId="0" fontId="59" fillId="0" borderId="16" xfId="5" applyFont="1" applyBorder="1" applyAlignment="1">
      <alignment horizontal="center" vertical="center" wrapText="1"/>
    </xf>
    <xf numFmtId="0" fontId="59" fillId="0" borderId="16" xfId="5" applyFont="1" applyBorder="1" applyAlignment="1">
      <alignment horizontal="center" vertical="center"/>
    </xf>
    <xf numFmtId="0" fontId="59" fillId="0" borderId="0" xfId="5" applyFont="1" applyAlignment="1">
      <alignment horizontal="left" vertical="center"/>
    </xf>
    <xf numFmtId="0" fontId="106" fillId="2" borderId="1" xfId="1" applyFont="1" applyAlignment="1">
      <alignment horizontal="center"/>
    </xf>
    <xf numFmtId="0" fontId="110" fillId="0" borderId="0" xfId="5" applyFont="1"/>
    <xf numFmtId="11" fontId="6" fillId="0" borderId="0" xfId="1" applyNumberFormat="1" applyFont="1" applyFill="1" applyBorder="1" applyAlignment="1">
      <alignment horizontal="right"/>
    </xf>
    <xf numFmtId="188" fontId="6" fillId="0" borderId="0" xfId="1" applyNumberFormat="1" applyFont="1" applyFill="1" applyBorder="1" applyAlignment="1">
      <alignment horizontal="right"/>
    </xf>
    <xf numFmtId="0" fontId="47" fillId="4" borderId="0" xfId="0" applyFont="1" applyFill="1" applyAlignment="1">
      <alignment vertical="top" wrapText="1"/>
    </xf>
    <xf numFmtId="1" fontId="98" fillId="0" borderId="109" xfId="5" applyNumberFormat="1" applyFont="1" applyBorder="1" applyAlignment="1">
      <alignment horizontal="center"/>
    </xf>
    <xf numFmtId="1" fontId="111" fillId="14" borderId="107" xfId="10" applyNumberFormat="1" applyFont="1" applyAlignment="1">
      <alignment horizontal="center"/>
    </xf>
    <xf numFmtId="0" fontId="59" fillId="0" borderId="0" xfId="5" applyFont="1" applyAlignment="1">
      <alignment horizontal="center" vertical="center" wrapText="1"/>
    </xf>
    <xf numFmtId="0" fontId="61" fillId="0" borderId="0" xfId="5" applyFont="1"/>
    <xf numFmtId="1" fontId="6" fillId="0" borderId="2" xfId="5" applyNumberFormat="1" applyBorder="1"/>
    <xf numFmtId="1" fontId="6" fillId="0" borderId="4" xfId="5" applyNumberFormat="1" applyBorder="1"/>
    <xf numFmtId="0" fontId="6" fillId="0" borderId="4" xfId="5" applyBorder="1"/>
    <xf numFmtId="0" fontId="6" fillId="0" borderId="5" xfId="5" applyBorder="1"/>
    <xf numFmtId="0" fontId="6" fillId="0" borderId="8" xfId="5" applyBorder="1"/>
    <xf numFmtId="1" fontId="6" fillId="0" borderId="10" xfId="5" applyNumberFormat="1" applyBorder="1"/>
    <xf numFmtId="0" fontId="6" fillId="0" borderId="10" xfId="5" applyBorder="1"/>
    <xf numFmtId="0" fontId="6" fillId="0" borderId="11" xfId="5" applyBorder="1"/>
    <xf numFmtId="0" fontId="6" fillId="0" borderId="2" xfId="5" applyBorder="1"/>
    <xf numFmtId="1" fontId="57" fillId="0" borderId="6" xfId="5" applyNumberFormat="1" applyFont="1" applyBorder="1" applyAlignment="1">
      <alignment horizontal="center"/>
    </xf>
    <xf numFmtId="0" fontId="59" fillId="4" borderId="0" xfId="5" applyFont="1" applyFill="1" applyAlignment="1">
      <alignment horizontal="center"/>
    </xf>
    <xf numFmtId="0" fontId="67" fillId="0" borderId="85" xfId="5" applyFont="1" applyBorder="1" applyAlignment="1">
      <alignment horizontal="center"/>
    </xf>
    <xf numFmtId="0" fontId="67" fillId="0" borderId="86" xfId="5" applyFont="1" applyBorder="1" applyAlignment="1">
      <alignment horizontal="center"/>
    </xf>
    <xf numFmtId="0" fontId="67" fillId="0" borderId="84" xfId="5" applyFont="1" applyBorder="1" applyAlignment="1">
      <alignment horizontal="center"/>
    </xf>
    <xf numFmtId="0" fontId="112" fillId="0" borderId="0" xfId="5" applyFont="1"/>
    <xf numFmtId="0" fontId="113" fillId="4" borderId="0" xfId="5" applyFont="1" applyFill="1"/>
    <xf numFmtId="0" fontId="112" fillId="0" borderId="82" xfId="5" applyFont="1" applyBorder="1" applyAlignment="1">
      <alignment vertical="center" wrapText="1"/>
    </xf>
    <xf numFmtId="0" fontId="112" fillId="0" borderId="0" xfId="5" applyFont="1" applyAlignment="1">
      <alignment vertical="center" wrapText="1"/>
    </xf>
    <xf numFmtId="0" fontId="112" fillId="0" borderId="85" xfId="5" applyFont="1" applyBorder="1" applyAlignment="1">
      <alignment vertical="center" wrapText="1"/>
    </xf>
    <xf numFmtId="0" fontId="112" fillId="0" borderId="85" xfId="5" applyFont="1" applyBorder="1"/>
    <xf numFmtId="0" fontId="112" fillId="0" borderId="84" xfId="5" applyFont="1" applyBorder="1" applyAlignment="1">
      <alignment horizontal="center"/>
    </xf>
    <xf numFmtId="0" fontId="112" fillId="0" borderId="85" xfId="5" applyFont="1" applyBorder="1" applyAlignment="1">
      <alignment horizontal="center"/>
    </xf>
    <xf numFmtId="0" fontId="112" fillId="0" borderId="84" xfId="5" applyFont="1" applyBorder="1"/>
    <xf numFmtId="0" fontId="112" fillId="0" borderId="86" xfId="5" applyFont="1" applyBorder="1" applyAlignment="1">
      <alignment vertical="center" wrapText="1"/>
    </xf>
    <xf numFmtId="0" fontId="112" fillId="0" borderId="109" xfId="5" applyFont="1" applyBorder="1"/>
    <xf numFmtId="0" fontId="112" fillId="0" borderId="108" xfId="5" applyFont="1" applyBorder="1" applyAlignment="1">
      <alignment horizontal="center" vertical="center"/>
    </xf>
    <xf numFmtId="0" fontId="112" fillId="0" borderId="108" xfId="5" applyFont="1" applyBorder="1" applyAlignment="1">
      <alignment horizontal="center" vertical="center" wrapText="1"/>
    </xf>
    <xf numFmtId="0" fontId="112" fillId="0" borderId="0" xfId="5" applyFont="1" applyAlignment="1">
      <alignment horizontal="center" vertical="center" wrapText="1"/>
    </xf>
    <xf numFmtId="0" fontId="112" fillId="0" borderId="108" xfId="5" applyFont="1" applyBorder="1"/>
    <xf numFmtId="0" fontId="114" fillId="0" borderId="29" xfId="5" applyFont="1" applyBorder="1" applyAlignment="1">
      <alignment horizontal="center" vertical="center"/>
    </xf>
    <xf numFmtId="0" fontId="115" fillId="0" borderId="109" xfId="5" applyFont="1" applyBorder="1" applyAlignment="1">
      <alignment horizontal="center" vertical="center"/>
    </xf>
    <xf numFmtId="0" fontId="112" fillId="0" borderId="29" xfId="5" applyFont="1" applyBorder="1"/>
    <xf numFmtId="0" fontId="112" fillId="0" borderId="0" xfId="5" applyFont="1" applyAlignment="1">
      <alignment horizontal="center" vertical="center"/>
    </xf>
    <xf numFmtId="0" fontId="114" fillId="0" borderId="109" xfId="5" applyFont="1" applyBorder="1" applyAlignment="1">
      <alignment horizontal="center" vertical="center"/>
    </xf>
    <xf numFmtId="0" fontId="112" fillId="0" borderId="89" xfId="5" applyFont="1" applyBorder="1"/>
    <xf numFmtId="0" fontId="112" fillId="0" borderId="0" xfId="5" applyFont="1" applyAlignment="1">
      <alignment horizontal="center"/>
    </xf>
    <xf numFmtId="0" fontId="114" fillId="0" borderId="108" xfId="5" applyFont="1" applyBorder="1" applyAlignment="1">
      <alignment horizontal="left"/>
    </xf>
    <xf numFmtId="0" fontId="114" fillId="0" borderId="0" xfId="5" applyFont="1" applyAlignment="1">
      <alignment horizontal="left"/>
    </xf>
    <xf numFmtId="0" fontId="114" fillId="0" borderId="29" xfId="5" applyFont="1" applyBorder="1"/>
    <xf numFmtId="0" fontId="113" fillId="0" borderId="109" xfId="5" applyFont="1" applyBorder="1"/>
    <xf numFmtId="170" fontId="112" fillId="0" borderId="83" xfId="5" applyNumberFormat="1" applyFont="1" applyBorder="1" applyAlignment="1">
      <alignment horizontal="center"/>
    </xf>
    <xf numFmtId="1" fontId="112" fillId="0" borderId="108" xfId="5" applyNumberFormat="1" applyFont="1" applyBorder="1" applyAlignment="1">
      <alignment horizontal="center"/>
    </xf>
    <xf numFmtId="1" fontId="112" fillId="0" borderId="0" xfId="5" applyNumberFormat="1" applyFont="1" applyAlignment="1">
      <alignment horizontal="center"/>
    </xf>
    <xf numFmtId="1" fontId="112" fillId="0" borderId="108" xfId="9" applyNumberFormat="1" applyFont="1" applyBorder="1" applyAlignment="1">
      <alignment horizontal="center"/>
    </xf>
    <xf numFmtId="1" fontId="114" fillId="0" borderId="29" xfId="5" applyNumberFormat="1" applyFont="1" applyBorder="1" applyAlignment="1">
      <alignment horizontal="center"/>
    </xf>
    <xf numFmtId="1" fontId="115" fillId="0" borderId="109" xfId="5" applyNumberFormat="1" applyFont="1" applyBorder="1" applyAlignment="1">
      <alignment horizontal="center"/>
    </xf>
    <xf numFmtId="170" fontId="112" fillId="0" borderId="109" xfId="5" applyNumberFormat="1" applyFont="1" applyBorder="1" applyAlignment="1">
      <alignment horizontal="center"/>
    </xf>
    <xf numFmtId="1" fontId="112" fillId="0" borderId="108" xfId="5" applyNumberFormat="1" applyFont="1" applyBorder="1"/>
    <xf numFmtId="1" fontId="112" fillId="0" borderId="0" xfId="5" applyNumberFormat="1" applyFont="1"/>
    <xf numFmtId="2" fontId="112" fillId="0" borderId="29" xfId="5" applyNumberFormat="1" applyFont="1" applyBorder="1" applyAlignment="1">
      <alignment horizontal="center"/>
    </xf>
    <xf numFmtId="170" fontId="112" fillId="0" borderId="89" xfId="5" applyNumberFormat="1" applyFont="1" applyBorder="1" applyAlignment="1">
      <alignment horizontal="center"/>
    </xf>
    <xf numFmtId="170" fontId="112" fillId="0" borderId="0" xfId="5" applyNumberFormat="1" applyFont="1" applyAlignment="1">
      <alignment horizontal="center"/>
    </xf>
    <xf numFmtId="1" fontId="112" fillId="0" borderId="31" xfId="5" applyNumberFormat="1" applyFont="1" applyBorder="1" applyAlignment="1">
      <alignment horizontal="center"/>
    </xf>
    <xf numFmtId="1" fontId="112" fillId="0" borderId="87" xfId="5" applyNumberFormat="1" applyFont="1" applyBorder="1" applyAlignment="1">
      <alignment horizontal="center"/>
    </xf>
    <xf numFmtId="1" fontId="112" fillId="0" borderId="31" xfId="9" applyNumberFormat="1" applyFont="1" applyBorder="1" applyAlignment="1">
      <alignment horizontal="center"/>
    </xf>
    <xf numFmtId="1" fontId="114" fillId="0" borderId="88" xfId="5" applyNumberFormat="1" applyFont="1" applyBorder="1" applyAlignment="1">
      <alignment horizontal="center"/>
    </xf>
    <xf numFmtId="1" fontId="115" fillId="0" borderId="89" xfId="5" applyNumberFormat="1" applyFont="1" applyBorder="1" applyAlignment="1">
      <alignment horizontal="center"/>
    </xf>
    <xf numFmtId="0" fontId="112" fillId="0" borderId="81" xfId="5" applyFont="1" applyBorder="1" applyAlignment="1">
      <alignment horizontal="center" vertical="center" wrapText="1"/>
    </xf>
    <xf numFmtId="0" fontId="112" fillId="0" borderId="12" xfId="5" applyFont="1" applyBorder="1" applyAlignment="1">
      <alignment horizontal="center" vertical="center" wrapText="1"/>
    </xf>
    <xf numFmtId="0" fontId="112" fillId="0" borderId="13" xfId="5" applyFont="1" applyBorder="1" applyAlignment="1">
      <alignment horizontal="center" vertical="center" wrapText="1"/>
    </xf>
    <xf numFmtId="0" fontId="114" fillId="0" borderId="84" xfId="5" applyFont="1" applyBorder="1" applyAlignment="1">
      <alignment horizontal="left"/>
    </xf>
    <xf numFmtId="0" fontId="114" fillId="0" borderId="85" xfId="5" applyFont="1" applyBorder="1" applyAlignment="1">
      <alignment horizontal="left"/>
    </xf>
    <xf numFmtId="0" fontId="114" fillId="0" borderId="86" xfId="5" applyFont="1" applyBorder="1"/>
    <xf numFmtId="0" fontId="113" fillId="0" borderId="83" xfId="5" applyFont="1" applyBorder="1"/>
    <xf numFmtId="0" fontId="112" fillId="0" borderId="31" xfId="5" applyFont="1" applyBorder="1" applyAlignment="1">
      <alignment horizontal="center" vertical="center"/>
    </xf>
    <xf numFmtId="0" fontId="112" fillId="0" borderId="88" xfId="5" applyFont="1" applyBorder="1" applyAlignment="1">
      <alignment horizontal="center" vertical="center"/>
    </xf>
    <xf numFmtId="0" fontId="112" fillId="0" borderId="87" xfId="5" applyFont="1" applyBorder="1"/>
    <xf numFmtId="0" fontId="112" fillId="0" borderId="87" xfId="5" applyFont="1" applyBorder="1" applyAlignment="1">
      <alignment horizontal="center" vertical="center"/>
    </xf>
    <xf numFmtId="0" fontId="112" fillId="0" borderId="88" xfId="5" applyFont="1" applyBorder="1"/>
    <xf numFmtId="0" fontId="61" fillId="4" borderId="0" xfId="5" applyFont="1" applyFill="1"/>
    <xf numFmtId="0" fontId="112" fillId="0" borderId="31" xfId="5" applyFont="1" applyBorder="1"/>
    <xf numFmtId="1" fontId="115" fillId="0" borderId="83" xfId="5" applyNumberFormat="1" applyFont="1" applyBorder="1" applyAlignment="1">
      <alignment horizontal="center"/>
    </xf>
    <xf numFmtId="1" fontId="112" fillId="0" borderId="84" xfId="5" applyNumberFormat="1" applyFont="1" applyBorder="1" applyAlignment="1">
      <alignment horizontal="center"/>
    </xf>
    <xf numFmtId="10" fontId="112" fillId="0" borderId="85" xfId="5" applyNumberFormat="1" applyFont="1" applyBorder="1" applyAlignment="1">
      <alignment horizontal="center"/>
    </xf>
    <xf numFmtId="10" fontId="112" fillId="0" borderId="85" xfId="5" applyNumberFormat="1" applyFont="1" applyBorder="1"/>
    <xf numFmtId="2" fontId="112" fillId="0" borderId="85" xfId="5" applyNumberFormat="1" applyFont="1" applyBorder="1" applyAlignment="1">
      <alignment horizontal="center"/>
    </xf>
    <xf numFmtId="168" fontId="112" fillId="0" borderId="85" xfId="5" applyNumberFormat="1" applyFont="1" applyBorder="1" applyAlignment="1">
      <alignment horizontal="center"/>
    </xf>
    <xf numFmtId="166" fontId="112" fillId="0" borderId="85" xfId="5" applyNumberFormat="1" applyFont="1" applyBorder="1" applyAlignment="1">
      <alignment horizontal="center"/>
    </xf>
    <xf numFmtId="2" fontId="112" fillId="0" borderId="86" xfId="5" applyNumberFormat="1" applyFont="1" applyBorder="1" applyAlignment="1">
      <alignment horizontal="center"/>
    </xf>
    <xf numFmtId="10" fontId="112" fillId="0" borderId="84" xfId="5" applyNumberFormat="1" applyFont="1" applyBorder="1"/>
    <xf numFmtId="10" fontId="112" fillId="0" borderId="0" xfId="5" applyNumberFormat="1" applyFont="1" applyAlignment="1">
      <alignment horizontal="center"/>
    </xf>
    <xf numFmtId="10" fontId="112" fillId="0" borderId="0" xfId="5" applyNumberFormat="1" applyFont="1"/>
    <xf numFmtId="2" fontId="112" fillId="0" borderId="0" xfId="5" applyNumberFormat="1" applyFont="1" applyAlignment="1">
      <alignment horizontal="center"/>
    </xf>
    <xf numFmtId="168" fontId="112" fillId="0" borderId="0" xfId="5" applyNumberFormat="1" applyFont="1" applyAlignment="1">
      <alignment horizontal="center"/>
    </xf>
    <xf numFmtId="166" fontId="112" fillId="0" borderId="0" xfId="5" applyNumberFormat="1" applyFont="1" applyAlignment="1">
      <alignment horizontal="center"/>
    </xf>
    <xf numFmtId="10" fontId="112" fillId="0" borderId="108" xfId="5" applyNumberFormat="1" applyFont="1" applyBorder="1"/>
    <xf numFmtId="10" fontId="112" fillId="0" borderId="87" xfId="5" applyNumberFormat="1" applyFont="1" applyBorder="1" applyAlignment="1">
      <alignment horizontal="center"/>
    </xf>
    <xf numFmtId="10" fontId="112" fillId="0" borderId="87" xfId="5" applyNumberFormat="1" applyFont="1" applyBorder="1"/>
    <xf numFmtId="2" fontId="112" fillId="0" borderId="87" xfId="5" applyNumberFormat="1" applyFont="1" applyBorder="1" applyAlignment="1">
      <alignment horizontal="center"/>
    </xf>
    <xf numFmtId="168" fontId="112" fillId="0" borderId="87" xfId="5" applyNumberFormat="1" applyFont="1" applyBorder="1" applyAlignment="1">
      <alignment horizontal="center"/>
    </xf>
    <xf numFmtId="166" fontId="112" fillId="0" borderId="87" xfId="5" applyNumberFormat="1" applyFont="1" applyBorder="1" applyAlignment="1">
      <alignment horizontal="center"/>
    </xf>
    <xf numFmtId="2" fontId="112" fillId="0" borderId="88" xfId="5" applyNumberFormat="1" applyFont="1" applyBorder="1" applyAlignment="1">
      <alignment horizontal="center"/>
    </xf>
    <xf numFmtId="10" fontId="112" fillId="0" borderId="31" xfId="5" applyNumberFormat="1" applyFont="1" applyBorder="1"/>
    <xf numFmtId="0" fontId="6" fillId="0" borderId="84" xfId="5" applyBorder="1" applyAlignment="1">
      <alignment horizontal="left" vertical="center" wrapText="1"/>
    </xf>
    <xf numFmtId="0" fontId="112" fillId="0" borderId="12" xfId="5" applyFont="1" applyBorder="1" applyAlignment="1">
      <alignment horizontal="center" vertical="center"/>
    </xf>
    <xf numFmtId="0" fontId="112" fillId="0" borderId="13" xfId="5" applyFont="1" applyBorder="1" applyAlignment="1">
      <alignment horizontal="center" vertical="center"/>
    </xf>
    <xf numFmtId="0" fontId="113" fillId="0" borderId="84" xfId="5" applyFont="1" applyBorder="1" applyAlignment="1">
      <alignment horizontal="center" vertical="center"/>
    </xf>
    <xf numFmtId="0" fontId="114" fillId="0" borderId="86" xfId="5" applyFont="1" applyBorder="1" applyAlignment="1">
      <alignment horizontal="center" vertical="center"/>
    </xf>
    <xf numFmtId="0" fontId="113" fillId="0" borderId="85" xfId="5" applyFont="1" applyBorder="1" applyAlignment="1">
      <alignment horizontal="center" vertical="center"/>
    </xf>
    <xf numFmtId="0" fontId="115" fillId="0" borderId="83" xfId="5" applyFont="1" applyBorder="1" applyAlignment="1">
      <alignment horizontal="center" vertical="center"/>
    </xf>
    <xf numFmtId="0" fontId="112" fillId="0" borderId="0" xfId="5" applyFont="1" applyAlignment="1">
      <alignment vertical="center"/>
    </xf>
    <xf numFmtId="0" fontId="112" fillId="0" borderId="84" xfId="5" applyFont="1" applyBorder="1" applyAlignment="1">
      <alignment vertical="center"/>
    </xf>
    <xf numFmtId="0" fontId="112" fillId="0" borderId="85" xfId="5" applyFont="1" applyBorder="1" applyAlignment="1">
      <alignment vertical="center"/>
    </xf>
    <xf numFmtId="0" fontId="112" fillId="0" borderId="85" xfId="5" applyFont="1" applyBorder="1" applyAlignment="1">
      <alignment horizontal="left" vertical="center"/>
    </xf>
    <xf numFmtId="0" fontId="112" fillId="0" borderId="84" xfId="5" applyFont="1" applyBorder="1" applyAlignment="1">
      <alignment horizontal="center" vertical="center"/>
    </xf>
    <xf numFmtId="0" fontId="112" fillId="0" borderId="85" xfId="5" applyFont="1" applyBorder="1" applyAlignment="1">
      <alignment horizontal="center" vertical="center"/>
    </xf>
    <xf numFmtId="0" fontId="112" fillId="0" borderId="108" xfId="5" applyFont="1" applyBorder="1" applyAlignment="1">
      <alignment vertical="center"/>
    </xf>
    <xf numFmtId="0" fontId="112" fillId="0" borderId="29" xfId="5" applyFont="1" applyBorder="1" applyAlignment="1">
      <alignment vertical="center"/>
    </xf>
    <xf numFmtId="0" fontId="113" fillId="0" borderId="84" xfId="5" applyFont="1" applyBorder="1" applyAlignment="1">
      <alignment horizontal="center" vertical="center" wrapText="1"/>
    </xf>
    <xf numFmtId="0" fontId="113" fillId="0" borderId="86" xfId="5" applyFont="1" applyBorder="1" applyAlignment="1">
      <alignment horizontal="center" vertical="center" wrapText="1"/>
    </xf>
    <xf numFmtId="0" fontId="0" fillId="15" borderId="0" xfId="0" applyFill="1"/>
    <xf numFmtId="0" fontId="0" fillId="15" borderId="0" xfId="0" applyFill="1" applyAlignment="1">
      <alignment vertical="top" wrapText="1"/>
    </xf>
    <xf numFmtId="0" fontId="81" fillId="15" borderId="0" xfId="0" applyFont="1" applyFill="1" applyAlignment="1">
      <alignment vertical="top"/>
    </xf>
    <xf numFmtId="0" fontId="0" fillId="0" borderId="0" xfId="0" applyAlignment="1">
      <alignment horizontal="center" vertical="center"/>
    </xf>
    <xf numFmtId="0" fontId="6" fillId="0" borderId="0" xfId="5" applyAlignment="1">
      <alignment vertical="center"/>
    </xf>
    <xf numFmtId="0" fontId="115" fillId="0" borderId="0" xfId="5" applyFont="1" applyAlignment="1">
      <alignment vertical="center" wrapText="1"/>
    </xf>
    <xf numFmtId="182" fontId="53" fillId="0" borderId="82" xfId="5" applyNumberFormat="1" applyFont="1" applyBorder="1" applyAlignment="1">
      <alignment horizontal="center"/>
    </xf>
    <xf numFmtId="0" fontId="6" fillId="0" borderId="16" xfId="5" applyBorder="1" applyAlignment="1">
      <alignment horizontal="center" vertical="center" wrapText="1"/>
    </xf>
    <xf numFmtId="0" fontId="0" fillId="0" borderId="17" xfId="0" applyBorder="1" applyAlignment="1">
      <alignment horizontal="center" vertical="center"/>
    </xf>
    <xf numFmtId="0" fontId="121" fillId="0" borderId="16" xfId="5" applyFont="1" applyBorder="1" applyAlignment="1">
      <alignment horizontal="center" vertical="center" wrapText="1"/>
    </xf>
    <xf numFmtId="0" fontId="98" fillId="0" borderId="17" xfId="5" applyFont="1" applyBorder="1" applyAlignment="1">
      <alignment horizontal="center" vertical="center" wrapText="1"/>
    </xf>
    <xf numFmtId="0" fontId="6" fillId="0" borderId="110" xfId="5" applyBorder="1" applyAlignment="1">
      <alignment horizontal="center" vertical="center" wrapText="1"/>
    </xf>
    <xf numFmtId="0" fontId="6" fillId="0" borderId="111" xfId="5" applyBorder="1" applyAlignment="1">
      <alignment horizontal="center"/>
    </xf>
    <xf numFmtId="0" fontId="47" fillId="0" borderId="17" xfId="0" applyFont="1" applyBorder="1" applyAlignment="1">
      <alignment horizontal="center" vertical="center" wrapText="1"/>
    </xf>
    <xf numFmtId="0" fontId="53" fillId="11" borderId="0" xfId="5" quotePrefix="1" applyFont="1" applyFill="1" applyAlignment="1">
      <alignment horizontal="center"/>
    </xf>
    <xf numFmtId="0" fontId="6" fillId="0" borderId="46" xfId="5" applyBorder="1" applyAlignment="1">
      <alignment horizontal="center" vertical="center"/>
    </xf>
    <xf numFmtId="0" fontId="120" fillId="0" borderId="10" xfId="0" applyFont="1" applyBorder="1" applyAlignment="1">
      <alignment horizontal="center" vertical="center" wrapText="1"/>
    </xf>
    <xf numFmtId="184" fontId="2" fillId="0" borderId="1" xfId="1" applyNumberFormat="1" applyFill="1" applyAlignment="1">
      <alignment horizontal="center"/>
    </xf>
    <xf numFmtId="187" fontId="2" fillId="0" borderId="1" xfId="1" applyNumberFormat="1" applyFill="1" applyAlignment="1">
      <alignment horizontal="center"/>
    </xf>
    <xf numFmtId="0" fontId="55" fillId="0" borderId="7" xfId="5" applyFont="1" applyBorder="1" applyAlignment="1">
      <alignment horizontal="center" vertical="center" wrapText="1"/>
    </xf>
    <xf numFmtId="0" fontId="55" fillId="0" borderId="82" xfId="5" applyFont="1" applyBorder="1" applyAlignment="1">
      <alignment horizontal="center" vertical="center" wrapText="1"/>
    </xf>
    <xf numFmtId="0" fontId="51" fillId="0" borderId="84" xfId="5" applyFont="1" applyBorder="1" applyAlignment="1">
      <alignment horizontal="center"/>
    </xf>
    <xf numFmtId="0" fontId="53" fillId="0" borderId="86" xfId="5" applyFont="1" applyBorder="1" applyAlignment="1">
      <alignment horizontal="center"/>
    </xf>
    <xf numFmtId="0" fontId="52" fillId="0" borderId="83" xfId="5" applyFont="1" applyBorder="1" applyAlignment="1">
      <alignment horizontal="left" vertical="center" indent="5"/>
    </xf>
    <xf numFmtId="0" fontId="52" fillId="0" borderId="84" xfId="5" applyFont="1" applyBorder="1" applyAlignment="1">
      <alignment horizontal="left" vertical="center" indent="7"/>
    </xf>
    <xf numFmtId="0" fontId="53" fillId="0" borderId="5" xfId="5" applyFont="1" applyBorder="1" applyAlignment="1">
      <alignment horizontal="center"/>
    </xf>
    <xf numFmtId="2" fontId="0" fillId="0" borderId="11" xfId="0" applyNumberFormat="1" applyBorder="1" applyAlignment="1">
      <alignment horizontal="center" vertical="center"/>
    </xf>
    <xf numFmtId="2" fontId="113" fillId="0" borderId="0" xfId="5" applyNumberFormat="1" applyFont="1" applyAlignment="1">
      <alignment horizontal="center" vertical="center"/>
    </xf>
    <xf numFmtId="2" fontId="115" fillId="0" borderId="0" xfId="5" applyNumberFormat="1" applyFont="1" applyAlignment="1">
      <alignment horizontal="center" vertical="center"/>
    </xf>
    <xf numFmtId="0" fontId="5" fillId="0" borderId="113" xfId="7" applyBorder="1"/>
    <xf numFmtId="0" fontId="5" fillId="0" borderId="114" xfId="7" applyBorder="1"/>
    <xf numFmtId="0" fontId="5" fillId="0" borderId="115" xfId="7" applyBorder="1"/>
    <xf numFmtId="0" fontId="5" fillId="0" borderId="116" xfId="7" applyBorder="1"/>
    <xf numFmtId="1" fontId="5" fillId="0" borderId="0" xfId="7" applyNumberFormat="1"/>
    <xf numFmtId="166" fontId="5" fillId="0" borderId="0" xfId="7" applyNumberFormat="1"/>
    <xf numFmtId="0" fontId="14" fillId="0" borderId="115" xfId="7" applyFont="1" applyBorder="1"/>
    <xf numFmtId="170" fontId="5" fillId="0" borderId="0" xfId="7" applyNumberFormat="1"/>
    <xf numFmtId="168" fontId="5" fillId="0" borderId="0" xfId="7" applyNumberFormat="1"/>
    <xf numFmtId="0" fontId="5" fillId="0" borderId="117" xfId="7" applyBorder="1"/>
    <xf numFmtId="0" fontId="5" fillId="0" borderId="118" xfId="7" applyBorder="1"/>
    <xf numFmtId="0" fontId="5" fillId="0" borderId="119" xfId="7" applyBorder="1"/>
    <xf numFmtId="0" fontId="124" fillId="0" borderId="112" xfId="7" applyFont="1" applyBorder="1"/>
    <xf numFmtId="0" fontId="0" fillId="0" borderId="115" xfId="7" applyFont="1" applyBorder="1"/>
    <xf numFmtId="0" fontId="0" fillId="0" borderId="113" xfId="7" applyFont="1" applyBorder="1" applyAlignment="1">
      <alignment horizontal="center" vertical="center"/>
    </xf>
    <xf numFmtId="0" fontId="0" fillId="0" borderId="0" xfId="7" applyFont="1"/>
    <xf numFmtId="168" fontId="2" fillId="2" borderId="1" xfId="1" applyNumberFormat="1"/>
    <xf numFmtId="0" fontId="20" fillId="0" borderId="115" xfId="7" applyFont="1" applyBorder="1"/>
    <xf numFmtId="0" fontId="3" fillId="0" borderId="115" xfId="7" applyFont="1" applyBorder="1"/>
    <xf numFmtId="0" fontId="125" fillId="0" borderId="0" xfId="0" applyFont="1"/>
    <xf numFmtId="0" fontId="120" fillId="0" borderId="0" xfId="7" applyFont="1"/>
    <xf numFmtId="0" fontId="97" fillId="13" borderId="82" xfId="0" applyFont="1" applyFill="1" applyBorder="1" applyAlignment="1">
      <alignment wrapText="1"/>
    </xf>
    <xf numFmtId="0" fontId="126" fillId="0" borderId="0" xfId="7" applyFont="1" applyAlignment="1">
      <alignment horizontal="center" vertical="center"/>
    </xf>
    <xf numFmtId="0" fontId="123" fillId="0" borderId="82" xfId="0" applyFont="1" applyBorder="1" applyAlignment="1">
      <alignment horizontal="center" vertical="center"/>
    </xf>
    <xf numFmtId="0" fontId="97" fillId="0" borderId="0" xfId="0" applyFont="1"/>
    <xf numFmtId="0" fontId="97" fillId="0" borderId="0" xfId="0" applyFont="1" applyAlignment="1">
      <alignment horizontal="center"/>
    </xf>
    <xf numFmtId="0" fontId="123" fillId="0" borderId="82" xfId="0" applyFont="1" applyBorder="1" applyAlignment="1">
      <alignment horizontal="left" vertical="center"/>
    </xf>
    <xf numFmtId="168" fontId="127" fillId="0" borderId="82" xfId="0" applyNumberFormat="1" applyFont="1" applyBorder="1" applyAlignment="1">
      <alignment horizontal="center" wrapText="1"/>
    </xf>
    <xf numFmtId="0" fontId="97" fillId="13" borderId="82" xfId="0" applyFont="1" applyFill="1" applyBorder="1" applyAlignment="1">
      <alignment vertical="center" wrapText="1"/>
    </xf>
    <xf numFmtId="0" fontId="112" fillId="0" borderId="81" xfId="5" applyFont="1" applyBorder="1" applyAlignment="1">
      <alignment horizontal="center" wrapText="1"/>
    </xf>
    <xf numFmtId="0" fontId="112" fillId="0" borderId="108" xfId="5" applyFont="1" applyBorder="1" applyAlignment="1">
      <alignment horizontal="center" wrapText="1"/>
    </xf>
    <xf numFmtId="0" fontId="0" fillId="0" borderId="0" xfId="0" applyAlignment="1">
      <alignment horizontal="right" vertical="top"/>
    </xf>
    <xf numFmtId="0" fontId="27" fillId="0" borderId="0" xfId="0" applyFont="1" applyAlignment="1">
      <alignment horizontal="left"/>
    </xf>
    <xf numFmtId="2" fontId="27" fillId="0" borderId="97" xfId="0" applyNumberFormat="1" applyFont="1" applyBorder="1" applyAlignment="1">
      <alignment horizontal="right"/>
    </xf>
    <xf numFmtId="190" fontId="87" fillId="0" borderId="0" xfId="0" applyNumberFormat="1" applyFont="1" applyAlignment="1">
      <alignment horizontal="right" wrapText="1"/>
    </xf>
    <xf numFmtId="0" fontId="3" fillId="0" borderId="16" xfId="0" applyFont="1" applyBorder="1" applyAlignment="1">
      <alignment horizontal="left" vertical="center"/>
    </xf>
    <xf numFmtId="0" fontId="3" fillId="0" borderId="17" xfId="0" applyFont="1" applyBorder="1" applyAlignment="1">
      <alignment horizontal="left" vertical="center"/>
    </xf>
    <xf numFmtId="0" fontId="17" fillId="0" borderId="0" xfId="0" applyFont="1"/>
    <xf numFmtId="0" fontId="72" fillId="0" borderId="0" xfId="7" applyFont="1" applyAlignment="1">
      <alignment horizontal="center"/>
    </xf>
    <xf numFmtId="0" fontId="72" fillId="0" borderId="0" xfId="7" applyFont="1" applyAlignment="1">
      <alignment horizontal="left"/>
    </xf>
    <xf numFmtId="11" fontId="72" fillId="0" borderId="0" xfId="7" applyNumberFormat="1" applyFont="1" applyAlignment="1">
      <alignment horizontal="center"/>
    </xf>
    <xf numFmtId="0" fontId="63" fillId="0" borderId="0" xfId="7" applyFont="1" applyAlignment="1">
      <alignment horizontal="center"/>
    </xf>
    <xf numFmtId="1" fontId="63" fillId="0" borderId="0" xfId="7" applyNumberFormat="1" applyFont="1" applyAlignment="1">
      <alignment horizontal="center"/>
    </xf>
    <xf numFmtId="2" fontId="63" fillId="0" borderId="0" xfId="7" applyNumberFormat="1" applyFont="1" applyAlignment="1">
      <alignment horizontal="center"/>
    </xf>
    <xf numFmtId="1" fontId="72" fillId="0" borderId="0" xfId="7" applyNumberFormat="1" applyFont="1" applyAlignment="1">
      <alignment horizontal="center"/>
    </xf>
    <xf numFmtId="0" fontId="128" fillId="0" borderId="16" xfId="0" applyFont="1" applyBorder="1" applyAlignment="1">
      <alignment horizontal="right" vertical="center"/>
    </xf>
    <xf numFmtId="0" fontId="128" fillId="0" borderId="17" xfId="0" applyFont="1" applyBorder="1" applyAlignment="1">
      <alignment horizontal="left" vertical="center"/>
    </xf>
    <xf numFmtId="0" fontId="93" fillId="0" borderId="0" xfId="7" applyFont="1" applyAlignment="1">
      <alignment horizontal="center" vertical="center"/>
    </xf>
    <xf numFmtId="0" fontId="68" fillId="0" borderId="16" xfId="7" applyFont="1" applyBorder="1" applyAlignment="1">
      <alignment horizontal="center" vertical="center"/>
    </xf>
    <xf numFmtId="0" fontId="68" fillId="0" borderId="46" xfId="7" applyFont="1" applyBorder="1" applyAlignment="1">
      <alignment horizontal="center" vertical="center"/>
    </xf>
    <xf numFmtId="0" fontId="68" fillId="0" borderId="17" xfId="7" applyFont="1" applyBorder="1" applyAlignment="1">
      <alignment horizontal="center" vertical="center"/>
    </xf>
    <xf numFmtId="0" fontId="112" fillId="0" borderId="31" xfId="5" applyFont="1" applyBorder="1" applyAlignment="1">
      <alignment horizontal="left" vertical="center"/>
    </xf>
    <xf numFmtId="0" fontId="2" fillId="2" borderId="91" xfId="1" applyBorder="1" applyAlignment="1">
      <alignment horizontal="center"/>
    </xf>
    <xf numFmtId="1" fontId="2" fillId="2" borderId="91" xfId="1" applyNumberFormat="1" applyBorder="1" applyAlignment="1">
      <alignment horizontal="center"/>
    </xf>
    <xf numFmtId="1" fontId="51" fillId="0" borderId="4" xfId="5" applyNumberFormat="1" applyFont="1" applyBorder="1" applyAlignment="1">
      <alignment horizontal="center"/>
    </xf>
    <xf numFmtId="0" fontId="6" fillId="0" borderId="10" xfId="5" applyBorder="1" applyAlignment="1">
      <alignment horizontal="center"/>
    </xf>
    <xf numFmtId="191" fontId="0" fillId="0" borderId="0" xfId="0" applyNumberFormat="1"/>
    <xf numFmtId="0" fontId="3" fillId="0" borderId="16" xfId="0" applyFont="1" applyBorder="1" applyAlignment="1">
      <alignment horizontal="right"/>
    </xf>
    <xf numFmtId="0" fontId="3" fillId="0" borderId="46" xfId="0" applyFont="1" applyBorder="1" applyAlignment="1">
      <alignment horizontal="right"/>
    </xf>
    <xf numFmtId="0" fontId="8" fillId="0" borderId="0" xfId="0" applyFont="1" applyAlignment="1">
      <alignment horizontal="center" vertical="center"/>
    </xf>
    <xf numFmtId="0" fontId="47" fillId="0" borderId="48" xfId="0" applyFont="1" applyBorder="1" applyAlignment="1">
      <alignment horizontal="center"/>
    </xf>
    <xf numFmtId="0" fontId="47" fillId="0" borderId="10" xfId="0" applyFont="1" applyBorder="1" applyAlignment="1">
      <alignment horizontal="center"/>
    </xf>
    <xf numFmtId="0" fontId="47" fillId="0" borderId="46" xfId="0" applyFont="1" applyBorder="1" applyAlignment="1">
      <alignment horizontal="center"/>
    </xf>
    <xf numFmtId="0" fontId="47" fillId="0" borderId="17" xfId="0" applyFont="1" applyBorder="1" applyAlignment="1">
      <alignment horizontal="center"/>
    </xf>
    <xf numFmtId="181" fontId="0" fillId="0" borderId="4" xfId="0" applyNumberFormat="1" applyBorder="1" applyAlignment="1">
      <alignment horizontal="center"/>
    </xf>
    <xf numFmtId="168" fontId="0" fillId="0" borderId="5" xfId="0" applyNumberFormat="1" applyBorder="1" applyAlignment="1">
      <alignment horizontal="center"/>
    </xf>
    <xf numFmtId="0" fontId="18" fillId="0" borderId="6" xfId="0" applyFont="1" applyBorder="1" applyAlignment="1">
      <alignment horizontal="center"/>
    </xf>
    <xf numFmtId="11" fontId="0" fillId="0" borderId="6" xfId="0" applyNumberFormat="1" applyBorder="1" applyAlignment="1">
      <alignment horizontal="center"/>
    </xf>
    <xf numFmtId="11" fontId="0" fillId="0" borderId="0" xfId="0" applyNumberFormat="1" applyAlignment="1">
      <alignment horizontal="center"/>
    </xf>
    <xf numFmtId="11" fontId="0" fillId="0" borderId="7" xfId="0" applyNumberFormat="1" applyBorder="1" applyAlignment="1">
      <alignment horizontal="center"/>
    </xf>
    <xf numFmtId="181" fontId="0" fillId="0" borderId="0" xfId="0" applyNumberFormat="1" applyAlignment="1">
      <alignment horizontal="center"/>
    </xf>
    <xf numFmtId="168" fontId="0" fillId="0" borderId="7" xfId="0" applyNumberFormat="1" applyBorder="1" applyAlignment="1">
      <alignment horizontal="center"/>
    </xf>
    <xf numFmtId="181" fontId="0" fillId="0" borderId="10" xfId="0" applyNumberFormat="1" applyBorder="1" applyAlignment="1">
      <alignment horizontal="center"/>
    </xf>
    <xf numFmtId="168" fontId="0" fillId="0" borderId="11" xfId="0" applyNumberFormat="1" applyBorder="1" applyAlignment="1">
      <alignment horizontal="center"/>
    </xf>
    <xf numFmtId="0" fontId="18" fillId="0" borderId="8" xfId="0" applyFont="1" applyBorder="1" applyAlignment="1">
      <alignment horizontal="center"/>
    </xf>
    <xf numFmtId="0" fontId="17" fillId="0" borderId="44" xfId="0" applyFont="1" applyBorder="1" applyAlignment="1">
      <alignment horizontal="left"/>
    </xf>
    <xf numFmtId="0" fontId="57" fillId="10" borderId="8" xfId="5" applyFont="1" applyFill="1" applyBorder="1" applyAlignment="1">
      <alignment horizontal="center"/>
    </xf>
    <xf numFmtId="183" fontId="57" fillId="10" borderId="10" xfId="5" applyNumberFormat="1" applyFont="1" applyFill="1" applyBorder="1" applyAlignment="1">
      <alignment horizontal="center"/>
    </xf>
    <xf numFmtId="0" fontId="57" fillId="10" borderId="10" xfId="5" applyFont="1" applyFill="1" applyBorder="1" applyAlignment="1">
      <alignment horizontal="center"/>
    </xf>
    <xf numFmtId="184" fontId="57" fillId="10" borderId="11" xfId="5" applyNumberFormat="1" applyFont="1" applyFill="1" applyBorder="1" applyAlignment="1">
      <alignment horizontal="center"/>
    </xf>
    <xf numFmtId="0" fontId="2" fillId="2" borderId="74" xfId="1" applyBorder="1" applyAlignment="1">
      <alignment horizontal="center"/>
    </xf>
    <xf numFmtId="0" fontId="6" fillId="0" borderId="4" xfId="5" applyBorder="1" applyAlignment="1">
      <alignment horizontal="center"/>
    </xf>
    <xf numFmtId="0" fontId="53" fillId="0" borderId="10" xfId="5" applyFont="1" applyBorder="1" applyAlignment="1">
      <alignment horizontal="center"/>
    </xf>
    <xf numFmtId="0" fontId="53" fillId="0" borderId="11" xfId="5" applyFont="1" applyBorder="1" applyAlignment="1">
      <alignment horizontal="center"/>
    </xf>
    <xf numFmtId="0" fontId="53" fillId="0" borderId="8" xfId="5" applyFont="1" applyBorder="1" applyAlignment="1">
      <alignment horizontal="center"/>
    </xf>
    <xf numFmtId="1" fontId="57" fillId="0" borderId="2" xfId="5" applyNumberFormat="1" applyFont="1" applyBorder="1" applyAlignment="1">
      <alignment horizontal="center"/>
    </xf>
    <xf numFmtId="186" fontId="2" fillId="10" borderId="120" xfId="1" applyNumberFormat="1" applyFill="1" applyBorder="1" applyAlignment="1">
      <alignment horizontal="center"/>
    </xf>
    <xf numFmtId="0" fontId="6" fillId="0" borderId="5" xfId="5" applyBorder="1" applyAlignment="1">
      <alignment horizontal="center"/>
    </xf>
    <xf numFmtId="0" fontId="60" fillId="0" borderId="10" xfId="5" applyFont="1" applyBorder="1"/>
    <xf numFmtId="184" fontId="2" fillId="10" borderId="121" xfId="1" applyNumberFormat="1" applyFill="1" applyBorder="1" applyAlignment="1">
      <alignment horizontal="center"/>
    </xf>
    <xf numFmtId="186" fontId="2" fillId="10" borderId="123" xfId="1" applyNumberFormat="1" applyFill="1" applyBorder="1" applyAlignment="1">
      <alignment horizontal="center"/>
    </xf>
    <xf numFmtId="187" fontId="2" fillId="10" borderId="122" xfId="1" applyNumberFormat="1" applyFill="1" applyBorder="1" applyAlignment="1">
      <alignment horizontal="center"/>
    </xf>
    <xf numFmtId="190" fontId="87" fillId="0" borderId="27" xfId="0" applyNumberFormat="1" applyFont="1" applyBorder="1" applyAlignment="1">
      <alignment horizontal="right" wrapText="1"/>
    </xf>
    <xf numFmtId="0" fontId="83" fillId="0" borderId="27" xfId="0" applyFont="1" applyBorder="1" applyAlignment="1">
      <alignment horizontal="center" textRotation="90"/>
    </xf>
    <xf numFmtId="170" fontId="0" fillId="0" borderId="27" xfId="0" applyNumberFormat="1" applyBorder="1" applyAlignment="1">
      <alignment horizontal="center" textRotation="90"/>
    </xf>
    <xf numFmtId="0" fontId="48" fillId="0" borderId="27" xfId="0" applyFont="1" applyBorder="1" applyAlignment="1">
      <alignment horizontal="center" textRotation="90"/>
    </xf>
    <xf numFmtId="170" fontId="83" fillId="0" borderId="27" xfId="0" applyNumberFormat="1" applyFont="1" applyBorder="1" applyAlignment="1">
      <alignment horizontal="center" textRotation="90"/>
    </xf>
    <xf numFmtId="1" fontId="57" fillId="0" borderId="4" xfId="5" applyNumberFormat="1" applyFont="1" applyBorder="1" applyAlignment="1">
      <alignment horizontal="center"/>
    </xf>
    <xf numFmtId="1" fontId="57" fillId="0" borderId="10" xfId="5" applyNumberFormat="1" applyFont="1" applyBorder="1" applyAlignment="1">
      <alignment horizontal="center"/>
    </xf>
    <xf numFmtId="0" fontId="57" fillId="0" borderId="10" xfId="5" applyFont="1" applyBorder="1" applyAlignment="1">
      <alignment horizontal="center"/>
    </xf>
    <xf numFmtId="187" fontId="2" fillId="10" borderId="3" xfId="1" applyNumberFormat="1" applyFill="1" applyBorder="1" applyAlignment="1">
      <alignment horizontal="center"/>
    </xf>
    <xf numFmtId="187" fontId="2" fillId="10" borderId="1" xfId="1" applyNumberFormat="1" applyFill="1" applyAlignment="1">
      <alignment horizontal="center"/>
    </xf>
    <xf numFmtId="187" fontId="131" fillId="10" borderId="1" xfId="1" applyNumberFormat="1" applyFont="1" applyFill="1" applyAlignment="1">
      <alignment horizontal="center"/>
    </xf>
    <xf numFmtId="186" fontId="2" fillId="10" borderId="124" xfId="1" applyNumberFormat="1" applyFill="1" applyBorder="1" applyAlignment="1">
      <alignment horizontal="center"/>
    </xf>
    <xf numFmtId="184" fontId="2" fillId="10" borderId="9" xfId="1" applyNumberFormat="1" applyFill="1" applyBorder="1" applyAlignment="1">
      <alignment horizontal="center"/>
    </xf>
    <xf numFmtId="187" fontId="131" fillId="10" borderId="9" xfId="1" applyNumberFormat="1" applyFont="1" applyFill="1" applyBorder="1" applyAlignment="1">
      <alignment horizontal="center"/>
    </xf>
    <xf numFmtId="186" fontId="2" fillId="10" borderId="125" xfId="1" applyNumberFormat="1" applyFill="1" applyBorder="1" applyAlignment="1">
      <alignment horizontal="center"/>
    </xf>
    <xf numFmtId="184" fontId="2" fillId="10" borderId="47" xfId="1" applyNumberFormat="1" applyFill="1" applyBorder="1" applyAlignment="1">
      <alignment horizontal="center"/>
    </xf>
    <xf numFmtId="187" fontId="2" fillId="10" borderId="95" xfId="1" applyNumberFormat="1" applyFill="1" applyBorder="1" applyAlignment="1">
      <alignment horizontal="center"/>
    </xf>
    <xf numFmtId="0" fontId="73" fillId="2" borderId="76" xfId="1" applyFont="1" applyBorder="1" applyAlignment="1">
      <alignment horizontal="center" vertical="center"/>
    </xf>
    <xf numFmtId="0" fontId="73" fillId="2" borderId="52" xfId="1" applyFont="1" applyBorder="1" applyAlignment="1">
      <alignment horizontal="center" vertical="center"/>
    </xf>
    <xf numFmtId="0" fontId="68" fillId="15" borderId="46" xfId="7" applyFont="1" applyFill="1" applyBorder="1" applyAlignment="1">
      <alignment horizontal="center" vertical="center"/>
    </xf>
    <xf numFmtId="0" fontId="2" fillId="15" borderId="1" xfId="1" applyFill="1"/>
    <xf numFmtId="0" fontId="33" fillId="15" borderId="47" xfId="1" applyFont="1" applyFill="1" applyBorder="1"/>
    <xf numFmtId="0" fontId="33" fillId="15" borderId="1" xfId="1" applyFont="1" applyFill="1"/>
    <xf numFmtId="0" fontId="33" fillId="0" borderId="0" xfId="7" applyFont="1"/>
    <xf numFmtId="1" fontId="33" fillId="0" borderId="0" xfId="7" applyNumberFormat="1" applyFont="1"/>
    <xf numFmtId="0" fontId="33" fillId="15" borderId="1" xfId="1" applyFont="1" applyFill="1" applyAlignment="1">
      <alignment horizontal="center"/>
    </xf>
    <xf numFmtId="166" fontId="33" fillId="0" borderId="0" xfId="7" applyNumberFormat="1" applyFont="1"/>
    <xf numFmtId="170" fontId="33" fillId="0" borderId="0" xfId="7" applyNumberFormat="1" applyFont="1"/>
    <xf numFmtId="168" fontId="33" fillId="0" borderId="0" xfId="7" applyNumberFormat="1" applyFont="1"/>
    <xf numFmtId="0" fontId="2" fillId="15" borderId="4" xfId="1" applyFill="1" applyBorder="1" applyAlignment="1">
      <alignment horizontal="center"/>
    </xf>
    <xf numFmtId="0" fontId="2" fillId="15" borderId="0" xfId="1" applyFill="1" applyBorder="1" applyAlignment="1">
      <alignment horizontal="center"/>
    </xf>
    <xf numFmtId="0" fontId="69" fillId="2" borderId="0" xfId="1" applyFont="1" applyBorder="1" applyAlignment="1">
      <alignment horizontal="center"/>
    </xf>
    <xf numFmtId="0" fontId="2" fillId="2" borderId="76" xfId="1" applyBorder="1" applyAlignment="1">
      <alignment horizontal="center" vertical="center" wrapText="1"/>
    </xf>
    <xf numFmtId="0" fontId="2" fillId="2" borderId="52" xfId="1" applyBorder="1" applyAlignment="1">
      <alignment horizontal="center" vertical="center" wrapText="1"/>
    </xf>
    <xf numFmtId="192" fontId="0" fillId="0" borderId="4" xfId="0" applyNumberFormat="1" applyBorder="1"/>
    <xf numFmtId="192" fontId="0" fillId="0" borderId="0" xfId="0" applyNumberFormat="1"/>
    <xf numFmtId="0" fontId="124" fillId="0" borderId="2" xfId="7" applyFont="1" applyBorder="1"/>
    <xf numFmtId="0" fontId="5" fillId="0" borderId="4" xfId="7" applyBorder="1"/>
    <xf numFmtId="166" fontId="5" fillId="0" borderId="4" xfId="7" applyNumberFormat="1" applyBorder="1"/>
    <xf numFmtId="0" fontId="5" fillId="0" borderId="5" xfId="7" applyBorder="1"/>
    <xf numFmtId="0" fontId="5" fillId="0" borderId="6" xfId="7" applyBorder="1"/>
    <xf numFmtId="0" fontId="5" fillId="0" borderId="7" xfId="7" applyBorder="1"/>
    <xf numFmtId="0" fontId="14" fillId="0" borderId="6" xfId="7" applyFont="1" applyBorder="1"/>
    <xf numFmtId="0" fontId="5" fillId="0" borderId="8" xfId="7" applyBorder="1"/>
    <xf numFmtId="0" fontId="5" fillId="0" borderId="10" xfId="7" applyBorder="1"/>
    <xf numFmtId="0" fontId="5" fillId="0" borderId="11" xfId="7" applyBorder="1"/>
    <xf numFmtId="0" fontId="0" fillId="0" borderId="6" xfId="7" applyFont="1" applyBorder="1"/>
    <xf numFmtId="0" fontId="112" fillId="0" borderId="0" xfId="5" quotePrefix="1" applyFont="1"/>
    <xf numFmtId="168" fontId="112" fillId="0" borderId="85" xfId="5" quotePrefix="1" applyNumberFormat="1" applyFont="1" applyBorder="1" applyAlignment="1">
      <alignment horizontal="center"/>
    </xf>
    <xf numFmtId="0" fontId="68" fillId="0" borderId="17" xfId="7" applyFont="1" applyBorder="1"/>
    <xf numFmtId="0" fontId="67" fillId="0" borderId="16" xfId="7" applyFont="1" applyBorder="1" applyAlignment="1">
      <alignment horizontal="center" vertical="center"/>
    </xf>
    <xf numFmtId="0" fontId="69" fillId="2" borderId="51" xfId="1" applyFont="1" applyBorder="1"/>
    <xf numFmtId="0" fontId="69" fillId="2" borderId="3" xfId="1" applyFont="1" applyBorder="1" applyAlignment="1">
      <alignment horizontal="center"/>
    </xf>
    <xf numFmtId="0" fontId="69" fillId="2" borderId="90" xfId="1" applyFont="1" applyBorder="1"/>
    <xf numFmtId="0" fontId="69" fillId="2" borderId="1" xfId="1" applyFont="1" applyAlignment="1">
      <alignment horizontal="center"/>
    </xf>
    <xf numFmtId="0" fontId="69" fillId="2" borderId="1" xfId="1" applyFont="1" applyAlignment="1">
      <alignment horizontal="left"/>
    </xf>
    <xf numFmtId="0" fontId="69" fillId="2" borderId="92" xfId="1" applyFont="1" applyBorder="1" applyAlignment="1">
      <alignment horizontal="left"/>
    </xf>
    <xf numFmtId="0" fontId="33" fillId="16" borderId="1" xfId="1" applyFont="1" applyFill="1" applyAlignment="1">
      <alignment horizontal="center"/>
    </xf>
    <xf numFmtId="0" fontId="33" fillId="16" borderId="1" xfId="1" applyFont="1" applyFill="1"/>
    <xf numFmtId="0" fontId="0" fillId="16" borderId="0" xfId="0" applyFill="1"/>
    <xf numFmtId="0" fontId="73" fillId="0" borderId="0" xfId="1" applyFont="1" applyFill="1" applyBorder="1" applyAlignment="1">
      <alignment horizontal="center"/>
    </xf>
    <xf numFmtId="186" fontId="2" fillId="15" borderId="94" xfId="1" applyNumberFormat="1" applyFill="1" applyBorder="1" applyAlignment="1">
      <alignment horizontal="center"/>
    </xf>
    <xf numFmtId="0" fontId="14" fillId="17" borderId="0" xfId="7" applyFont="1" applyFill="1"/>
    <xf numFmtId="0" fontId="5" fillId="17" borderId="0" xfId="7" applyFill="1"/>
    <xf numFmtId="0" fontId="0" fillId="17" borderId="0" xfId="7" applyFont="1" applyFill="1"/>
    <xf numFmtId="0" fontId="51" fillId="0" borderId="108" xfId="5" applyFont="1" applyBorder="1" applyAlignment="1">
      <alignment wrapText="1"/>
    </xf>
    <xf numFmtId="0" fontId="3" fillId="0" borderId="82" xfId="0" applyFont="1" applyBorder="1" applyAlignment="1">
      <alignment horizontal="center" vertical="center" wrapText="1"/>
    </xf>
    <xf numFmtId="0" fontId="0" fillId="18" borderId="82" xfId="0" applyFill="1" applyBorder="1" applyAlignment="1">
      <alignment horizontal="center"/>
    </xf>
    <xf numFmtId="0" fontId="20" fillId="0" borderId="82" xfId="0" applyFont="1" applyBorder="1" applyAlignment="1">
      <alignment horizontal="center" vertical="center"/>
    </xf>
    <xf numFmtId="0" fontId="0" fillId="7" borderId="82" xfId="0" applyFill="1" applyBorder="1" applyAlignment="1">
      <alignment horizontal="center"/>
    </xf>
    <xf numFmtId="1" fontId="0" fillId="0" borderId="82" xfId="0" applyNumberFormat="1" applyBorder="1" applyAlignment="1">
      <alignment horizontal="center"/>
    </xf>
    <xf numFmtId="0" fontId="0" fillId="0" borderId="82" xfId="0" applyBorder="1" applyAlignment="1">
      <alignment horizontal="center" vertical="center"/>
    </xf>
    <xf numFmtId="0" fontId="3" fillId="7" borderId="82" xfId="0" applyFont="1" applyFill="1" applyBorder="1" applyAlignment="1">
      <alignment horizontal="center" vertical="center"/>
    </xf>
    <xf numFmtId="0" fontId="3" fillId="0" borderId="83" xfId="0" applyFont="1" applyBorder="1" applyAlignment="1">
      <alignment horizontal="center" vertical="center" wrapText="1"/>
    </xf>
    <xf numFmtId="0" fontId="3" fillId="0" borderId="83" xfId="0" applyFont="1" applyBorder="1" applyAlignment="1">
      <alignment horizontal="center" vertical="center"/>
    </xf>
    <xf numFmtId="0" fontId="20" fillId="0" borderId="83" xfId="0" applyFont="1" applyBorder="1" applyAlignment="1">
      <alignment horizontal="center" vertical="center"/>
    </xf>
    <xf numFmtId="0" fontId="0" fillId="0" borderId="82" xfId="0" applyBorder="1" applyAlignment="1">
      <alignment horizontal="center"/>
    </xf>
    <xf numFmtId="0" fontId="33" fillId="2" borderId="1" xfId="1" applyFont="1" applyAlignment="1">
      <alignment horizontal="center"/>
    </xf>
    <xf numFmtId="0" fontId="84" fillId="0" borderId="82" xfId="11" applyFont="1" applyFill="1" applyBorder="1" applyAlignment="1">
      <alignment horizontal="center" vertical="center" wrapText="1"/>
    </xf>
    <xf numFmtId="0" fontId="33" fillId="0" borderId="0" xfId="0" applyFont="1" applyAlignment="1">
      <alignment horizontal="center"/>
    </xf>
    <xf numFmtId="0" fontId="3" fillId="0" borderId="82" xfId="0" applyFont="1" applyBorder="1" applyAlignment="1">
      <alignment horizontal="center" vertical="center"/>
    </xf>
    <xf numFmtId="0" fontId="3" fillId="0" borderId="82" xfId="0" applyFont="1" applyBorder="1" applyAlignment="1">
      <alignment horizontal="center"/>
    </xf>
    <xf numFmtId="0" fontId="3" fillId="7" borderId="83" xfId="0" applyFont="1" applyFill="1" applyBorder="1" applyAlignment="1">
      <alignment horizontal="center" vertical="center"/>
    </xf>
    <xf numFmtId="0" fontId="84" fillId="0" borderId="83" xfId="11" applyFont="1" applyFill="1" applyBorder="1" applyAlignment="1">
      <alignment horizontal="center" vertical="center" wrapText="1"/>
    </xf>
    <xf numFmtId="2" fontId="0" fillId="0" borderId="82" xfId="0" applyNumberFormat="1" applyBorder="1" applyAlignment="1">
      <alignment horizontal="center"/>
    </xf>
    <xf numFmtId="0" fontId="0" fillId="19" borderId="82" xfId="0" applyFill="1" applyBorder="1" applyAlignment="1">
      <alignment horizontal="center"/>
    </xf>
    <xf numFmtId="0" fontId="0" fillId="7" borderId="82" xfId="0" applyFill="1" applyBorder="1" applyAlignment="1">
      <alignment horizontal="center" vertical="center"/>
    </xf>
    <xf numFmtId="0" fontId="33" fillId="2" borderId="1" xfId="1" applyFont="1" applyAlignment="1">
      <alignment horizontal="center" vertical="center"/>
    </xf>
    <xf numFmtId="1" fontId="0" fillId="0" borderId="82" xfId="0" applyNumberFormat="1" applyBorder="1" applyAlignment="1">
      <alignment horizontal="center" vertical="center"/>
    </xf>
    <xf numFmtId="2" fontId="0" fillId="0" borderId="82" xfId="0" applyNumberFormat="1" applyBorder="1" applyAlignment="1">
      <alignment horizontal="center" vertical="center"/>
    </xf>
    <xf numFmtId="0" fontId="0" fillId="7" borderId="89" xfId="0" applyFill="1" applyBorder="1" applyAlignment="1">
      <alignment horizontal="center" vertical="center"/>
    </xf>
    <xf numFmtId="185" fontId="53" fillId="0" borderId="0" xfId="5" applyNumberFormat="1" applyFont="1"/>
    <xf numFmtId="185" fontId="53" fillId="4" borderId="0" xfId="5" applyNumberFormat="1" applyFont="1" applyFill="1"/>
    <xf numFmtId="1" fontId="53" fillId="11" borderId="11" xfId="5" applyNumberFormat="1" applyFont="1" applyFill="1" applyBorder="1" applyAlignment="1">
      <alignment horizontal="center"/>
    </xf>
    <xf numFmtId="1" fontId="0" fillId="0" borderId="0" xfId="0" applyNumberFormat="1"/>
    <xf numFmtId="0" fontId="0" fillId="0" borderId="6" xfId="0" applyBorder="1" applyAlignment="1">
      <alignment horizontal="right"/>
    </xf>
    <xf numFmtId="0" fontId="0" fillId="0" borderId="8" xfId="0" applyBorder="1" applyAlignment="1">
      <alignment horizontal="right"/>
    </xf>
    <xf numFmtId="1" fontId="0" fillId="0" borderId="10" xfId="0" applyNumberFormat="1" applyBorder="1"/>
    <xf numFmtId="0" fontId="33" fillId="0" borderId="2" xfId="1" applyFont="1" applyFill="1" applyBorder="1" applyAlignment="1">
      <alignment horizontal="center"/>
    </xf>
    <xf numFmtId="0" fontId="33" fillId="0" borderId="5" xfId="1" applyFont="1" applyFill="1" applyBorder="1" applyAlignment="1">
      <alignment horizontal="center"/>
    </xf>
    <xf numFmtId="0" fontId="47" fillId="0" borderId="5" xfId="0" applyFont="1" applyBorder="1" applyAlignment="1">
      <alignment horizontal="center"/>
    </xf>
    <xf numFmtId="1" fontId="48" fillId="0" borderId="7" xfId="0" applyNumberFormat="1" applyFont="1" applyBorder="1"/>
    <xf numFmtId="1" fontId="48" fillId="0" borderId="11" xfId="0" applyNumberFormat="1" applyFont="1" applyBorder="1"/>
    <xf numFmtId="1" fontId="47" fillId="0" borderId="0" xfId="0" applyNumberFormat="1" applyFont="1" applyAlignment="1">
      <alignment horizontal="center"/>
    </xf>
    <xf numFmtId="0" fontId="2" fillId="0" borderId="9" xfId="1" applyFill="1" applyBorder="1" applyAlignment="1">
      <alignment horizontal="center"/>
    </xf>
    <xf numFmtId="0" fontId="0" fillId="17" borderId="6" xfId="7" applyFont="1" applyFill="1" applyBorder="1" applyAlignment="1">
      <alignment horizontal="left" vertical="center"/>
    </xf>
    <xf numFmtId="0" fontId="5" fillId="17" borderId="0" xfId="7" applyFill="1" applyAlignment="1">
      <alignment horizontal="left" vertical="center"/>
    </xf>
    <xf numFmtId="0" fontId="51" fillId="0" borderId="82" xfId="5" applyFont="1" applyBorder="1" applyAlignment="1">
      <alignment horizontal="center" vertical="center" wrapText="1"/>
    </xf>
    <xf numFmtId="0" fontId="3" fillId="0" borderId="16" xfId="0" applyFont="1" applyBorder="1" applyAlignment="1">
      <alignment horizontal="center"/>
    </xf>
    <xf numFmtId="0" fontId="3" fillId="0" borderId="46" xfId="0" applyFont="1" applyBorder="1" applyAlignment="1">
      <alignment horizontal="center"/>
    </xf>
    <xf numFmtId="0" fontId="3" fillId="0" borderId="17" xfId="0" applyFont="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166" fontId="29" fillId="0" borderId="11" xfId="0" applyNumberFormat="1" applyFont="1" applyBorder="1" applyAlignment="1">
      <alignment vertical="center"/>
    </xf>
    <xf numFmtId="0" fontId="70" fillId="4" borderId="0" xfId="7" applyFont="1" applyFill="1" applyAlignment="1">
      <alignment horizontal="center" wrapText="1"/>
    </xf>
    <xf numFmtId="0" fontId="0" fillId="17" borderId="6" xfId="7" applyFont="1" applyFill="1" applyBorder="1" applyAlignment="1">
      <alignment horizontal="left" vertical="center"/>
    </xf>
    <xf numFmtId="0" fontId="5" fillId="17" borderId="0" xfId="7" applyFill="1" applyAlignment="1">
      <alignment horizontal="left" vertical="center"/>
    </xf>
    <xf numFmtId="0" fontId="51" fillId="0" borderId="82" xfId="5" applyFont="1" applyBorder="1" applyAlignment="1">
      <alignment horizontal="center" vertical="center" wrapText="1"/>
    </xf>
    <xf numFmtId="0" fontId="51" fillId="0" borderId="81" xfId="5" applyFont="1" applyBorder="1" applyAlignment="1">
      <alignment horizontal="left" vertical="center" wrapText="1" indent="1"/>
    </xf>
    <xf numFmtId="0" fontId="51" fillId="0" borderId="13" xfId="5" applyFont="1" applyBorder="1" applyAlignment="1">
      <alignment horizontal="left" vertical="center" wrapText="1" indent="1"/>
    </xf>
    <xf numFmtId="0" fontId="19" fillId="0" borderId="16" xfId="0" applyFont="1" applyBorder="1" applyAlignment="1">
      <alignment horizontal="center"/>
    </xf>
    <xf numFmtId="0" fontId="19" fillId="0" borderId="46" xfId="0" applyFont="1" applyBorder="1" applyAlignment="1">
      <alignment horizontal="center"/>
    </xf>
    <xf numFmtId="0" fontId="19" fillId="0" borderId="17" xfId="0" applyFont="1" applyBorder="1" applyAlignment="1">
      <alignment horizontal="center"/>
    </xf>
    <xf numFmtId="0" fontId="21" fillId="0" borderId="2" xfId="0" applyFont="1" applyBorder="1" applyAlignment="1">
      <alignment horizontal="center"/>
    </xf>
    <xf numFmtId="0" fontId="21" fillId="0" borderId="4" xfId="0" applyFont="1" applyBorder="1" applyAlignment="1">
      <alignment horizontal="center"/>
    </xf>
    <xf numFmtId="0" fontId="21" fillId="0" borderId="5" xfId="0" applyFont="1" applyBorder="1" applyAlignment="1">
      <alignment horizontal="center"/>
    </xf>
    <xf numFmtId="0" fontId="3" fillId="0" borderId="16" xfId="0" applyFont="1" applyBorder="1" applyAlignment="1">
      <alignment horizontal="center"/>
    </xf>
    <xf numFmtId="0" fontId="3" fillId="0" borderId="46" xfId="0" applyFont="1" applyBorder="1" applyAlignment="1">
      <alignment horizontal="center"/>
    </xf>
    <xf numFmtId="0" fontId="3" fillId="0" borderId="17" xfId="0" applyFont="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136" fillId="0" borderId="2" xfId="0" applyFont="1" applyBorder="1" applyAlignment="1">
      <alignment horizontal="center"/>
    </xf>
    <xf numFmtId="0" fontId="136" fillId="0" borderId="4" xfId="0" applyFont="1" applyBorder="1" applyAlignment="1">
      <alignment horizontal="center"/>
    </xf>
    <xf numFmtId="0" fontId="136" fillId="0" borderId="5" xfId="0" applyFont="1" applyBorder="1" applyAlignment="1">
      <alignment horizontal="center"/>
    </xf>
  </cellXfs>
  <cellStyles count="12">
    <cellStyle name="Calculation" xfId="11" builtinId="22"/>
    <cellStyle name="Comma" xfId="2" builtinId="3"/>
    <cellStyle name="Good" xfId="3" builtinId="26"/>
    <cellStyle name="Input" xfId="1" builtinId="20"/>
    <cellStyle name="Normal" xfId="0" builtinId="0"/>
    <cellStyle name="Normal 2" xfId="5"/>
    <cellStyle name="Normal 2 2" xfId="7"/>
    <cellStyle name="Note" xfId="4" builtinId="10"/>
    <cellStyle name="Output" xfId="10" builtinId="21"/>
    <cellStyle name="Percent" xfId="9" builtinId="5"/>
    <cellStyle name="Percent 2" xfId="6"/>
    <cellStyle name="Percent 2 2" xfId="8"/>
  </cellStyles>
  <dxfs count="4">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0000FF"/>
      <color rgb="FFFF00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17/06/relationships/rdRichValueStructure" Target="richData/rdrichvaluestructure.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 Id="rId5" Type="http://schemas.openxmlformats.org/officeDocument/2006/relationships/image" Target="../media/image14.png"/><Relationship Id="rId4" Type="http://schemas.openxmlformats.org/officeDocument/2006/relationships/image" Target="../media/image13.png"/></Relationships>
</file>

<file path=xl/drawings/_rels/drawing5.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24</xdr:col>
      <xdr:colOff>116260</xdr:colOff>
      <xdr:row>1</xdr:row>
      <xdr:rowOff>130969</xdr:rowOff>
    </xdr:from>
    <xdr:to>
      <xdr:col>29</xdr:col>
      <xdr:colOff>101693</xdr:colOff>
      <xdr:row>7</xdr:row>
      <xdr:rowOff>190220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9101020" y="326688"/>
          <a:ext cx="3051700" cy="1899011"/>
          <a:chOff x="4648200" y="295275"/>
          <a:chExt cx="3019425" cy="1628775"/>
        </a:xfrm>
      </xdr:grpSpPr>
      <xdr:grpSp>
        <xdr:nvGrpSpPr>
          <xdr:cNvPr id="3" name="Group 2">
            <a:extLst>
              <a:ext uri="{FF2B5EF4-FFF2-40B4-BE49-F238E27FC236}">
                <a16:creationId xmlns:a16="http://schemas.microsoft.com/office/drawing/2014/main" id="{00000000-0008-0000-0100-000003000000}"/>
              </a:ext>
            </a:extLst>
          </xdr:cNvPr>
          <xdr:cNvGrpSpPr/>
        </xdr:nvGrpSpPr>
        <xdr:grpSpPr>
          <a:xfrm>
            <a:off x="5000625" y="295275"/>
            <a:ext cx="2667000" cy="1400175"/>
            <a:chOff x="3200400" y="28575"/>
            <a:chExt cx="2667000" cy="1400175"/>
          </a:xfrm>
        </xdr:grpSpPr>
        <xdr:grpSp>
          <xdr:nvGrpSpPr>
            <xdr:cNvPr id="8" name="Group 7">
              <a:extLst>
                <a:ext uri="{FF2B5EF4-FFF2-40B4-BE49-F238E27FC236}">
                  <a16:creationId xmlns:a16="http://schemas.microsoft.com/office/drawing/2014/main" id="{00000000-0008-0000-0100-000008000000}"/>
                </a:ext>
              </a:extLst>
            </xdr:cNvPr>
            <xdr:cNvGrpSpPr/>
          </xdr:nvGrpSpPr>
          <xdr:grpSpPr>
            <a:xfrm>
              <a:off x="3200400" y="333375"/>
              <a:ext cx="2343150" cy="1095375"/>
              <a:chOff x="3352800" y="314325"/>
              <a:chExt cx="2343150" cy="1095375"/>
            </a:xfrm>
          </xdr:grpSpPr>
          <xdr:sp macro="" textlink="">
            <xdr:nvSpPr>
              <xdr:cNvPr id="13" name="Rectangle 12">
                <a:extLst>
                  <a:ext uri="{FF2B5EF4-FFF2-40B4-BE49-F238E27FC236}">
                    <a16:creationId xmlns:a16="http://schemas.microsoft.com/office/drawing/2014/main" id="{00000000-0008-0000-0100-00000D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0100-000011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100-000012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100-000013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100-000014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9" name="Straight Arrow Connector 8">
              <a:extLst>
                <a:ext uri="{FF2B5EF4-FFF2-40B4-BE49-F238E27FC236}">
                  <a16:creationId xmlns:a16="http://schemas.microsoft.com/office/drawing/2014/main" id="{00000000-0008-0000-0100-000009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0100-00000A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12" name="TextBox 11">
              <a:extLst>
                <a:ext uri="{FF2B5EF4-FFF2-40B4-BE49-F238E27FC236}">
                  <a16:creationId xmlns:a16="http://schemas.microsoft.com/office/drawing/2014/main" id="{00000000-0008-0000-0100-00000C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4" name="Straight Arrow Connector 3">
            <a:extLst>
              <a:ext uri="{FF2B5EF4-FFF2-40B4-BE49-F238E27FC236}">
                <a16:creationId xmlns:a16="http://schemas.microsoft.com/office/drawing/2014/main" id="{00000000-0008-0000-0100-000004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6" name="Straight Arrow Connector 5">
            <a:extLst>
              <a:ext uri="{FF2B5EF4-FFF2-40B4-BE49-F238E27FC236}">
                <a16:creationId xmlns:a16="http://schemas.microsoft.com/office/drawing/2014/main" id="{00000000-0008-0000-0100-000006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0100-000007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457200</xdr:colOff>
      <xdr:row>11</xdr:row>
      <xdr:rowOff>0</xdr:rowOff>
    </xdr:from>
    <xdr:to>
      <xdr:col>9</xdr:col>
      <xdr:colOff>555499</xdr:colOff>
      <xdr:row>26</xdr:row>
      <xdr:rowOff>13544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314825" y="2095500"/>
          <a:ext cx="3755899" cy="2904662"/>
        </a:xfrm>
        <a:prstGeom prst="rect">
          <a:avLst/>
        </a:prstGeom>
      </xdr:spPr>
    </xdr:pic>
    <xdr:clientData/>
  </xdr:twoCellAnchor>
  <xdr:twoCellAnchor>
    <xdr:from>
      <xdr:col>4</xdr:col>
      <xdr:colOff>180975</xdr:colOff>
      <xdr:row>1</xdr:row>
      <xdr:rowOff>104775</xdr:rowOff>
    </xdr:from>
    <xdr:to>
      <xdr:col>9</xdr:col>
      <xdr:colOff>152400</xdr:colOff>
      <xdr:row>10</xdr:row>
      <xdr:rowOff>19050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4640916" y="306481"/>
          <a:ext cx="2997013" cy="1718422"/>
          <a:chOff x="4648200" y="295275"/>
          <a:chExt cx="3019425" cy="1628775"/>
        </a:xfrm>
      </xdr:grpSpPr>
      <xdr:grpSp>
        <xdr:nvGrpSpPr>
          <xdr:cNvPr id="4" name="Group 3">
            <a:extLst>
              <a:ext uri="{FF2B5EF4-FFF2-40B4-BE49-F238E27FC236}">
                <a16:creationId xmlns:a16="http://schemas.microsoft.com/office/drawing/2014/main" id="{00000000-0008-0000-0200-000004000000}"/>
              </a:ext>
            </a:extLst>
          </xdr:cNvPr>
          <xdr:cNvGrpSpPr/>
        </xdr:nvGrpSpPr>
        <xdr:grpSpPr>
          <a:xfrm>
            <a:off x="5000625" y="295275"/>
            <a:ext cx="2667000" cy="1400175"/>
            <a:chOff x="3200400" y="28575"/>
            <a:chExt cx="2667000" cy="1400175"/>
          </a:xfrm>
        </xdr:grpSpPr>
        <xdr:grpSp>
          <xdr:nvGrpSpPr>
            <xdr:cNvPr id="9" name="Group 8">
              <a:extLst>
                <a:ext uri="{FF2B5EF4-FFF2-40B4-BE49-F238E27FC236}">
                  <a16:creationId xmlns:a16="http://schemas.microsoft.com/office/drawing/2014/main" id="{00000000-0008-0000-0200-000009000000}"/>
                </a:ext>
              </a:extLst>
            </xdr:cNvPr>
            <xdr:cNvGrpSpPr/>
          </xdr:nvGrpSpPr>
          <xdr:grpSpPr>
            <a:xfrm>
              <a:off x="3200400" y="333375"/>
              <a:ext cx="2343150" cy="1095375"/>
              <a:chOff x="3352800" y="314325"/>
              <a:chExt cx="2343150" cy="1095375"/>
            </a:xfrm>
          </xdr:grpSpPr>
          <xdr:sp macro="" textlink="">
            <xdr:nvSpPr>
              <xdr:cNvPr id="14" name="Rectangle 13">
                <a:extLst>
                  <a:ext uri="{FF2B5EF4-FFF2-40B4-BE49-F238E27FC236}">
                    <a16:creationId xmlns:a16="http://schemas.microsoft.com/office/drawing/2014/main" id="{00000000-0008-0000-0200-00000E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00000000-0008-0000-0200-000010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0200-000011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200-000012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0200-000013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13" name="TextBox 12">
              <a:extLst>
                <a:ext uri="{FF2B5EF4-FFF2-40B4-BE49-F238E27FC236}">
                  <a16:creationId xmlns:a16="http://schemas.microsoft.com/office/drawing/2014/main" id="{00000000-0008-0000-0200-00000D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0200-000008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twoCellAnchor>
    <xdr:from>
      <xdr:col>15</xdr:col>
      <xdr:colOff>180975</xdr:colOff>
      <xdr:row>1</xdr:row>
      <xdr:rowOff>104775</xdr:rowOff>
    </xdr:from>
    <xdr:to>
      <xdr:col>20</xdr:col>
      <xdr:colOff>152400</xdr:colOff>
      <xdr:row>10</xdr:row>
      <xdr:rowOff>19050</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13235828" y="306481"/>
          <a:ext cx="2997013" cy="1718422"/>
          <a:chOff x="4648200" y="295275"/>
          <a:chExt cx="3019425" cy="1628775"/>
        </a:xfrm>
      </xdr:grpSpPr>
      <xdr:grpSp>
        <xdr:nvGrpSpPr>
          <xdr:cNvPr id="26" name="Group 25">
            <a:extLst>
              <a:ext uri="{FF2B5EF4-FFF2-40B4-BE49-F238E27FC236}">
                <a16:creationId xmlns:a16="http://schemas.microsoft.com/office/drawing/2014/main" id="{00000000-0008-0000-0200-00001A000000}"/>
              </a:ext>
            </a:extLst>
          </xdr:cNvPr>
          <xdr:cNvGrpSpPr/>
        </xdr:nvGrpSpPr>
        <xdr:grpSpPr>
          <a:xfrm>
            <a:off x="5000625" y="295275"/>
            <a:ext cx="2667000" cy="1400175"/>
            <a:chOff x="3200400" y="28575"/>
            <a:chExt cx="2667000" cy="1400175"/>
          </a:xfrm>
        </xdr:grpSpPr>
        <xdr:grpSp>
          <xdr:nvGrpSpPr>
            <xdr:cNvPr id="31" name="Group 30">
              <a:extLst>
                <a:ext uri="{FF2B5EF4-FFF2-40B4-BE49-F238E27FC236}">
                  <a16:creationId xmlns:a16="http://schemas.microsoft.com/office/drawing/2014/main" id="{00000000-0008-0000-0200-00001F000000}"/>
                </a:ext>
              </a:extLst>
            </xdr:cNvPr>
            <xdr:cNvGrpSpPr/>
          </xdr:nvGrpSpPr>
          <xdr:grpSpPr>
            <a:xfrm>
              <a:off x="3200400" y="333375"/>
              <a:ext cx="2343150" cy="1095375"/>
              <a:chOff x="3352800" y="314325"/>
              <a:chExt cx="2343150" cy="1095375"/>
            </a:xfrm>
          </xdr:grpSpPr>
          <xdr:sp macro="" textlink="">
            <xdr:nvSpPr>
              <xdr:cNvPr id="36" name="Rectangle 35">
                <a:extLst>
                  <a:ext uri="{FF2B5EF4-FFF2-40B4-BE49-F238E27FC236}">
                    <a16:creationId xmlns:a16="http://schemas.microsoft.com/office/drawing/2014/main" id="{00000000-0008-0000-0200-000024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a:extLst>
                  <a:ext uri="{FF2B5EF4-FFF2-40B4-BE49-F238E27FC236}">
                    <a16:creationId xmlns:a16="http://schemas.microsoft.com/office/drawing/2014/main" id="{00000000-0008-0000-0200-000025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Rectangle 37">
                <a:extLst>
                  <a:ext uri="{FF2B5EF4-FFF2-40B4-BE49-F238E27FC236}">
                    <a16:creationId xmlns:a16="http://schemas.microsoft.com/office/drawing/2014/main" id="{00000000-0008-0000-0200-000026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Rectangle 38">
                <a:extLst>
                  <a:ext uri="{FF2B5EF4-FFF2-40B4-BE49-F238E27FC236}">
                    <a16:creationId xmlns:a16="http://schemas.microsoft.com/office/drawing/2014/main" id="{00000000-0008-0000-0200-000027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ectangle 39">
                <a:extLst>
                  <a:ext uri="{FF2B5EF4-FFF2-40B4-BE49-F238E27FC236}">
                    <a16:creationId xmlns:a16="http://schemas.microsoft.com/office/drawing/2014/main" id="{00000000-0008-0000-0200-000028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Rectangle 40">
                <a:extLst>
                  <a:ext uri="{FF2B5EF4-FFF2-40B4-BE49-F238E27FC236}">
                    <a16:creationId xmlns:a16="http://schemas.microsoft.com/office/drawing/2014/main" id="{00000000-0008-0000-0200-000029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Straight Arrow Connector 42">
                <a:extLst>
                  <a:ext uri="{FF2B5EF4-FFF2-40B4-BE49-F238E27FC236}">
                    <a16:creationId xmlns:a16="http://schemas.microsoft.com/office/drawing/2014/main" id="{00000000-0008-0000-0200-00002B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45" name="TextBox 44">
                <a:extLst>
                  <a:ext uri="{FF2B5EF4-FFF2-40B4-BE49-F238E27FC236}">
                    <a16:creationId xmlns:a16="http://schemas.microsoft.com/office/drawing/2014/main" id="{00000000-0008-0000-0200-00002D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3" name="Straight Arrow Connector 32">
              <a:extLst>
                <a:ext uri="{FF2B5EF4-FFF2-40B4-BE49-F238E27FC236}">
                  <a16:creationId xmlns:a16="http://schemas.microsoft.com/office/drawing/2014/main" id="{00000000-0008-0000-0200-000021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35" name="TextBox 34">
              <a:extLst>
                <a:ext uri="{FF2B5EF4-FFF2-40B4-BE49-F238E27FC236}">
                  <a16:creationId xmlns:a16="http://schemas.microsoft.com/office/drawing/2014/main" id="{00000000-0008-0000-0200-000023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27" name="Straight Arrow Connector 26">
            <a:extLst>
              <a:ext uri="{FF2B5EF4-FFF2-40B4-BE49-F238E27FC236}">
                <a16:creationId xmlns:a16="http://schemas.microsoft.com/office/drawing/2014/main" id="{00000000-0008-0000-0200-00001B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29" name="Straight Arrow Connector 28">
            <a:extLst>
              <a:ext uri="{FF2B5EF4-FFF2-40B4-BE49-F238E27FC236}">
                <a16:creationId xmlns:a16="http://schemas.microsoft.com/office/drawing/2014/main" id="{00000000-0008-0000-0200-00001D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0" name="TextBox 29">
            <a:extLst>
              <a:ext uri="{FF2B5EF4-FFF2-40B4-BE49-F238E27FC236}">
                <a16:creationId xmlns:a16="http://schemas.microsoft.com/office/drawing/2014/main" id="{00000000-0008-0000-0200-00001E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twoCellAnchor>
    <xdr:from>
      <xdr:col>19</xdr:col>
      <xdr:colOff>385991</xdr:colOff>
      <xdr:row>40</xdr:row>
      <xdr:rowOff>102789</xdr:rowOff>
    </xdr:from>
    <xdr:to>
      <xdr:col>26</xdr:col>
      <xdr:colOff>243747</xdr:colOff>
      <xdr:row>66</xdr:row>
      <xdr:rowOff>65605</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5861315" y="7969318"/>
          <a:ext cx="4093579" cy="4915816"/>
          <a:chOff x="3111262" y="7098723"/>
          <a:chExt cx="4122103" cy="4762397"/>
        </a:xfrm>
      </xdr:grpSpPr>
      <xdr:pic>
        <xdr:nvPicPr>
          <xdr:cNvPr id="46" name="Picture 45">
            <a:extLst>
              <a:ext uri="{FF2B5EF4-FFF2-40B4-BE49-F238E27FC236}">
                <a16:creationId xmlns:a16="http://schemas.microsoft.com/office/drawing/2014/main" id="{00000000-0008-0000-0200-00002E000000}"/>
              </a:ext>
            </a:extLst>
          </xdr:cNvPr>
          <xdr:cNvPicPr>
            <a:picLocks noChangeAspect="1"/>
          </xdr:cNvPicPr>
        </xdr:nvPicPr>
        <xdr:blipFill>
          <a:blip xmlns:r="http://schemas.openxmlformats.org/officeDocument/2006/relationships" r:embed="rId2"/>
          <a:stretch>
            <a:fillRect/>
          </a:stretch>
        </xdr:blipFill>
        <xdr:spPr>
          <a:xfrm>
            <a:off x="3131994" y="7098723"/>
            <a:ext cx="4101371" cy="2468880"/>
          </a:xfrm>
          <a:prstGeom prst="rect">
            <a:avLst/>
          </a:prstGeom>
        </xdr:spPr>
      </xdr:pic>
      <xdr:pic>
        <xdr:nvPicPr>
          <xdr:cNvPr id="48" name="Picture 47">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11262" y="9683359"/>
            <a:ext cx="4084493" cy="217776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21</xdr:col>
      <xdr:colOff>225525</xdr:colOff>
      <xdr:row>0</xdr:row>
      <xdr:rowOff>183079</xdr:rowOff>
    </xdr:from>
    <xdr:to>
      <xdr:col>38</xdr:col>
      <xdr:colOff>286485</xdr:colOff>
      <xdr:row>59</xdr:row>
      <xdr:rowOff>167839</xdr:rowOff>
    </xdr:to>
    <xdr:grpSp>
      <xdr:nvGrpSpPr>
        <xdr:cNvPr id="54" name="Group 53">
          <a:extLst>
            <a:ext uri="{FF2B5EF4-FFF2-40B4-BE49-F238E27FC236}">
              <a16:creationId xmlns:a16="http://schemas.microsoft.com/office/drawing/2014/main" id="{00000000-0008-0000-0200-000036000000}"/>
            </a:ext>
          </a:extLst>
        </xdr:cNvPr>
        <xdr:cNvGrpSpPr/>
      </xdr:nvGrpSpPr>
      <xdr:grpSpPr>
        <a:xfrm>
          <a:off x="16911084" y="183079"/>
          <a:ext cx="10347960" cy="11470789"/>
          <a:chOff x="16643161" y="183079"/>
          <a:chExt cx="11090046" cy="11988120"/>
        </a:xfrm>
      </xdr:grpSpPr>
      <xdr:pic>
        <xdr:nvPicPr>
          <xdr:cNvPr id="49" name="Picture 48">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4"/>
          <a:stretch>
            <a:fillRect/>
          </a:stretch>
        </xdr:blipFill>
        <xdr:spPr>
          <a:xfrm>
            <a:off x="16643161" y="197504"/>
            <a:ext cx="5430735" cy="3872960"/>
          </a:xfrm>
          <a:prstGeom prst="rect">
            <a:avLst/>
          </a:prstGeom>
        </xdr:spPr>
      </xdr:pic>
      <xdr:pic>
        <xdr:nvPicPr>
          <xdr:cNvPr id="50" name="Picture 49">
            <a:extLst>
              <a:ext uri="{FF2B5EF4-FFF2-40B4-BE49-F238E27FC236}">
                <a16:creationId xmlns:a16="http://schemas.microsoft.com/office/drawing/2014/main" id="{00000000-0008-0000-0200-000032000000}"/>
              </a:ext>
            </a:extLst>
          </xdr:cNvPr>
          <xdr:cNvPicPr>
            <a:picLocks noChangeAspect="1"/>
          </xdr:cNvPicPr>
        </xdr:nvPicPr>
        <xdr:blipFill>
          <a:blip xmlns:r="http://schemas.openxmlformats.org/officeDocument/2006/relationships" r:embed="rId5"/>
          <a:stretch>
            <a:fillRect/>
          </a:stretch>
        </xdr:blipFill>
        <xdr:spPr>
          <a:xfrm>
            <a:off x="16692689" y="4567924"/>
            <a:ext cx="5495569" cy="3631148"/>
          </a:xfrm>
          <a:prstGeom prst="rect">
            <a:avLst/>
          </a:prstGeom>
        </xdr:spPr>
      </xdr:pic>
      <xdr:pic>
        <xdr:nvPicPr>
          <xdr:cNvPr id="51" name="Picture 50">
            <a:extLst>
              <a:ext uri="{FF2B5EF4-FFF2-40B4-BE49-F238E27FC236}">
                <a16:creationId xmlns:a16="http://schemas.microsoft.com/office/drawing/2014/main" id="{00000000-0008-0000-0200-000033000000}"/>
              </a:ext>
            </a:extLst>
          </xdr:cNvPr>
          <xdr:cNvPicPr>
            <a:picLocks noChangeAspect="1"/>
          </xdr:cNvPicPr>
        </xdr:nvPicPr>
        <xdr:blipFill>
          <a:blip xmlns:r="http://schemas.openxmlformats.org/officeDocument/2006/relationships" r:embed="rId6"/>
          <a:stretch>
            <a:fillRect/>
          </a:stretch>
        </xdr:blipFill>
        <xdr:spPr>
          <a:xfrm>
            <a:off x="22273656" y="183079"/>
            <a:ext cx="5459551" cy="3661287"/>
          </a:xfrm>
          <a:prstGeom prst="rect">
            <a:avLst/>
          </a:prstGeom>
        </xdr:spPr>
      </xdr:pic>
      <xdr:pic>
        <xdr:nvPicPr>
          <xdr:cNvPr id="52" name="Picture 51">
            <a:extLst>
              <a:ext uri="{FF2B5EF4-FFF2-40B4-BE49-F238E27FC236}">
                <a16:creationId xmlns:a16="http://schemas.microsoft.com/office/drawing/2014/main" id="{00000000-0008-0000-0200-000034000000}"/>
              </a:ext>
            </a:extLst>
          </xdr:cNvPr>
          <xdr:cNvPicPr>
            <a:picLocks noChangeAspect="1"/>
          </xdr:cNvPicPr>
        </xdr:nvPicPr>
        <xdr:blipFill>
          <a:blip xmlns:r="http://schemas.openxmlformats.org/officeDocument/2006/relationships" r:embed="rId7"/>
          <a:stretch>
            <a:fillRect/>
          </a:stretch>
        </xdr:blipFill>
        <xdr:spPr>
          <a:xfrm>
            <a:off x="22287263" y="3944834"/>
            <a:ext cx="5430735" cy="4820548"/>
          </a:xfrm>
          <a:prstGeom prst="rect">
            <a:avLst/>
          </a:prstGeom>
        </xdr:spPr>
      </xdr:pic>
      <xdr:pic>
        <xdr:nvPicPr>
          <xdr:cNvPr id="53" name="Picture 52">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8"/>
          <a:stretch>
            <a:fillRect/>
          </a:stretch>
        </xdr:blipFill>
        <xdr:spPr>
          <a:xfrm>
            <a:off x="19898593" y="8884226"/>
            <a:ext cx="5486400" cy="3286973"/>
          </a:xfrm>
          <a:prstGeom prst="rect">
            <a:avLst/>
          </a:prstGeom>
        </xdr:spPr>
      </xdr:pic>
    </xdr:grpSp>
    <xdr:clientData/>
  </xdr:twoCellAnchor>
  <xdr:twoCellAnchor editAs="oneCell">
    <xdr:from>
      <xdr:col>10</xdr:col>
      <xdr:colOff>8964</xdr:colOff>
      <xdr:row>34</xdr:row>
      <xdr:rowOff>26894</xdr:rowOff>
    </xdr:from>
    <xdr:to>
      <xdr:col>16</xdr:col>
      <xdr:colOff>8964</xdr:colOff>
      <xdr:row>74</xdr:row>
      <xdr:rowOff>163951</xdr:rowOff>
    </xdr:to>
    <xdr:pic>
      <xdr:nvPicPr>
        <xdr:cNvPr id="47" name="Picture 46">
          <a:extLst>
            <a:ext uri="{FF2B5EF4-FFF2-40B4-BE49-F238E27FC236}">
              <a16:creationId xmlns:a16="http://schemas.microsoft.com/office/drawing/2014/main" id="{00000000-0008-0000-0200-00002F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13841" r="12225"/>
        <a:stretch>
          <a:fillRect/>
        </a:stretch>
      </xdr:blipFill>
      <xdr:spPr>
        <a:xfrm>
          <a:off x="8373035" y="6275294"/>
          <a:ext cx="5746376" cy="739846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38</xdr:col>
      <xdr:colOff>463363</xdr:colOff>
      <xdr:row>5</xdr:row>
      <xdr:rowOff>24652</xdr:rowOff>
    </xdr:from>
    <xdr:to>
      <xdr:col>48</xdr:col>
      <xdr:colOff>260386</xdr:colOff>
      <xdr:row>42</xdr:row>
      <xdr:rowOff>66548</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030334" y="4831976"/>
          <a:ext cx="5736140" cy="5343175"/>
        </a:xfrm>
        <a:prstGeom prst="rect">
          <a:avLst/>
        </a:prstGeom>
      </xdr:spPr>
    </xdr:pic>
    <xdr:clientData/>
  </xdr:twoCellAnchor>
  <xdr:twoCellAnchor editAs="oneCell">
    <xdr:from>
      <xdr:col>48</xdr:col>
      <xdr:colOff>307714</xdr:colOff>
      <xdr:row>5</xdr:row>
      <xdr:rowOff>22412</xdr:rowOff>
    </xdr:from>
    <xdr:to>
      <xdr:col>57</xdr:col>
      <xdr:colOff>514416</xdr:colOff>
      <xdr:row>37</xdr:row>
      <xdr:rowOff>34868</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7813802" y="4829736"/>
          <a:ext cx="5551908" cy="4354960"/>
        </a:xfrm>
        <a:prstGeom prst="rect">
          <a:avLst/>
        </a:prstGeom>
      </xdr:spPr>
    </xdr:pic>
    <xdr:clientData/>
  </xdr:twoCellAnchor>
  <xdr:twoCellAnchor editAs="oneCell">
    <xdr:from>
      <xdr:col>25</xdr:col>
      <xdr:colOff>221751</xdr:colOff>
      <xdr:row>5</xdr:row>
      <xdr:rowOff>9512</xdr:rowOff>
    </xdr:from>
    <xdr:to>
      <xdr:col>30</xdr:col>
      <xdr:colOff>262230</xdr:colOff>
      <xdr:row>37</xdr:row>
      <xdr:rowOff>5744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193810" y="4816836"/>
          <a:ext cx="3805655" cy="4338736"/>
        </a:xfrm>
        <a:prstGeom prst="rect">
          <a:avLst/>
        </a:prstGeom>
      </xdr:spPr>
    </xdr:pic>
    <xdr:clientData/>
  </xdr:twoCellAnchor>
  <xdr:twoCellAnchor editAs="oneCell">
    <xdr:from>
      <xdr:col>30</xdr:col>
      <xdr:colOff>324373</xdr:colOff>
      <xdr:row>5</xdr:row>
      <xdr:rowOff>21169</xdr:rowOff>
    </xdr:from>
    <xdr:to>
      <xdr:col>38</xdr:col>
      <xdr:colOff>345156</xdr:colOff>
      <xdr:row>44</xdr:row>
      <xdr:rowOff>23547</xdr:rowOff>
    </xdr:to>
    <xdr:pic>
      <xdr:nvPicPr>
        <xdr:cNvPr id="8" name="Picture 7">
          <a:extLst>
            <a:ext uri="{FF2B5EF4-FFF2-40B4-BE49-F238E27FC236}">
              <a16:creationId xmlns:a16="http://schemas.microsoft.com/office/drawing/2014/main" id="{00000000-0008-0000-0400-000008000000}"/>
            </a:ext>
            <a:ext uri="{147F2762-F138-4A5C-976F-8EAC2B608ADB}">
              <a16:predDERef xmlns:a16="http://schemas.microsoft.com/office/drawing/2014/main" pred="{AC530D92-8C84-A6D3-F956-8C9D46B049E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7061608" y="4828493"/>
          <a:ext cx="4850519" cy="5684657"/>
        </a:xfrm>
        <a:prstGeom prst="rect">
          <a:avLst/>
        </a:prstGeom>
      </xdr:spPr>
    </xdr:pic>
    <xdr:clientData/>
  </xdr:twoCellAnchor>
  <xdr:twoCellAnchor editAs="oneCell">
    <xdr:from>
      <xdr:col>48</xdr:col>
      <xdr:colOff>222438</xdr:colOff>
      <xdr:row>24</xdr:row>
      <xdr:rowOff>145676</xdr:rowOff>
    </xdr:from>
    <xdr:to>
      <xdr:col>55</xdr:col>
      <xdr:colOff>184909</xdr:colOff>
      <xdr:row>45</xdr:row>
      <xdr:rowOff>124755</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5"/>
        <a:stretch>
          <a:fillRect/>
        </a:stretch>
      </xdr:blipFill>
      <xdr:spPr>
        <a:xfrm>
          <a:off x="37728526" y="9233647"/>
          <a:ext cx="4119854" cy="26460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704850</xdr:colOff>
      <xdr:row>1</xdr:row>
      <xdr:rowOff>47625</xdr:rowOff>
    </xdr:from>
    <xdr:to>
      <xdr:col>5</xdr:col>
      <xdr:colOff>194757</xdr:colOff>
      <xdr:row>4</xdr:row>
      <xdr:rowOff>249555</xdr:rowOff>
    </xdr:to>
    <xdr:grpSp>
      <xdr:nvGrpSpPr>
        <xdr:cNvPr id="3" name="Group 2">
          <a:extLst>
            <a:ext uri="{FF2B5EF4-FFF2-40B4-BE49-F238E27FC236}">
              <a16:creationId xmlns:a16="http://schemas.microsoft.com/office/drawing/2014/main" id="{00000000-0008-0000-0600-000003000000}"/>
            </a:ext>
          </a:extLst>
        </xdr:cNvPr>
        <xdr:cNvGrpSpPr/>
      </xdr:nvGrpSpPr>
      <xdr:grpSpPr>
        <a:xfrm>
          <a:off x="2527024" y="282299"/>
          <a:ext cx="828929" cy="781713"/>
          <a:chOff x="4000500" y="238125"/>
          <a:chExt cx="756732" cy="735330"/>
        </a:xfrm>
      </xdr:grpSpPr>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4429125" y="238125"/>
            <a:ext cx="2762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D</a:t>
            </a:r>
          </a:p>
        </xdr:txBody>
      </xdr:sp>
      <xdr:grpSp>
        <xdr:nvGrpSpPr>
          <xdr:cNvPr id="5" name="Group 4">
            <a:extLst>
              <a:ext uri="{FF2B5EF4-FFF2-40B4-BE49-F238E27FC236}">
                <a16:creationId xmlns:a16="http://schemas.microsoft.com/office/drawing/2014/main" id="{00000000-0008-0000-0600-000005000000}"/>
              </a:ext>
            </a:extLst>
          </xdr:cNvPr>
          <xdr:cNvGrpSpPr/>
        </xdr:nvGrpSpPr>
        <xdr:grpSpPr>
          <a:xfrm>
            <a:off x="4000500" y="466725"/>
            <a:ext cx="756732" cy="506730"/>
            <a:chOff x="4000500" y="466725"/>
            <a:chExt cx="756732" cy="506730"/>
          </a:xfrm>
        </xdr:grpSpPr>
        <xdr:sp macro="" textlink="">
          <xdr:nvSpPr>
            <xdr:cNvPr id="6" name="Rectangle 5">
              <a:extLst>
                <a:ext uri="{FF2B5EF4-FFF2-40B4-BE49-F238E27FC236}">
                  <a16:creationId xmlns:a16="http://schemas.microsoft.com/office/drawing/2014/main" id="{00000000-0008-0000-0600-000006000000}"/>
                </a:ext>
              </a:extLst>
            </xdr:cNvPr>
            <xdr:cNvSpPr/>
          </xdr:nvSpPr>
          <xdr:spPr>
            <a:xfrm>
              <a:off x="4345752" y="559039"/>
              <a:ext cx="411480" cy="411480"/>
            </a:xfrm>
            <a:prstGeom prst="rect">
              <a:avLst/>
            </a:prstGeom>
            <a:pattFill prst="divot">
              <a:fgClr>
                <a:schemeClr val="tx1"/>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rot="5400000">
              <a:off x="4547234" y="260985"/>
              <a:ext cx="0" cy="411480"/>
            </a:xfrm>
            <a:prstGeom prst="straightConnector1">
              <a:avLst/>
            </a:prstGeom>
            <a:ln w="3175">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Arrow Connector 7">
              <a:extLst>
                <a:ext uri="{FF2B5EF4-FFF2-40B4-BE49-F238E27FC236}">
                  <a16:creationId xmlns:a16="http://schemas.microsoft.com/office/drawing/2014/main" id="{00000000-0008-0000-0600-000008000000}"/>
                </a:ext>
              </a:extLst>
            </xdr:cNvPr>
            <xdr:cNvCxnSpPr/>
          </xdr:nvCxnSpPr>
          <xdr:spPr>
            <a:xfrm>
              <a:off x="4229100" y="561975"/>
              <a:ext cx="0" cy="411480"/>
            </a:xfrm>
            <a:prstGeom prst="straightConnector1">
              <a:avLst/>
            </a:prstGeom>
            <a:ln w="3175">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4000500" y="628650"/>
              <a:ext cx="2762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B</a:t>
              </a:r>
            </a:p>
          </xdr:txBody>
        </xdr:sp>
      </xdr:grpSp>
    </xdr:grpSp>
    <xdr:clientData/>
  </xdr:twoCellAnchor>
  <mc:AlternateContent xmlns:mc="http://schemas.openxmlformats.org/markup-compatibility/2006">
    <mc:Choice xmlns:a14="http://schemas.microsoft.com/office/drawing/2010/main" Requires="a14">
      <xdr:twoCellAnchor>
        <xdr:from>
          <xdr:col>3</xdr:col>
          <xdr:colOff>533400</xdr:colOff>
          <xdr:row>1</xdr:row>
          <xdr:rowOff>38100</xdr:rowOff>
        </xdr:from>
        <xdr:to>
          <xdr:col>6</xdr:col>
          <xdr:colOff>200025</xdr:colOff>
          <xdr:row>4</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2000" b="1" i="0" u="none" strike="noStrike" baseline="0">
                  <a:solidFill>
                    <a:srgbClr val="FF0000"/>
                  </a:solidFill>
                  <a:latin typeface="Calibri"/>
                  <a:ea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1</xdr:row>
          <xdr:rowOff>0</xdr:rowOff>
        </xdr:from>
        <xdr:to>
          <xdr:col>7</xdr:col>
          <xdr:colOff>828675</xdr:colOff>
          <xdr:row>3</xdr:row>
          <xdr:rowOff>19050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Populate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5</xdr:row>
          <xdr:rowOff>438150</xdr:rowOff>
        </xdr:from>
        <xdr:to>
          <xdr:col>5</xdr:col>
          <xdr:colOff>495300</xdr:colOff>
          <xdr:row>5</xdr:row>
          <xdr:rowOff>847725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Repeat Grid1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5</xdr:row>
          <xdr:rowOff>504825</xdr:rowOff>
        </xdr:from>
        <xdr:to>
          <xdr:col>2</xdr:col>
          <xdr:colOff>371475</xdr:colOff>
          <xdr:row>5</xdr:row>
          <xdr:rowOff>771525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6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TrialButton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847725</xdr:colOff>
          <xdr:row>1</xdr:row>
          <xdr:rowOff>0</xdr:rowOff>
        </xdr:from>
        <xdr:to>
          <xdr:col>22</xdr:col>
          <xdr:colOff>209550</xdr:colOff>
          <xdr:row>3</xdr:row>
          <xdr:rowOff>123825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Clear All Except Grid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0</xdr:rowOff>
        </xdr:from>
        <xdr:to>
          <xdr:col>2</xdr:col>
          <xdr:colOff>533400</xdr:colOff>
          <xdr:row>5</xdr:row>
          <xdr:rowOff>238125</xdr:rowOff>
        </xdr:to>
        <xdr:sp macro="" textlink="">
          <xdr:nvSpPr>
            <xdr:cNvPr id="9223" name="CheckBox1"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381000</xdr:colOff>
      <xdr:row>18</xdr:row>
      <xdr:rowOff>88963</xdr:rowOff>
    </xdr:from>
    <xdr:to>
      <xdr:col>5</xdr:col>
      <xdr:colOff>425823</xdr:colOff>
      <xdr:row>33</xdr:row>
      <xdr:rowOff>274171</xdr:rowOff>
    </xdr:to>
    <xdr:sp macro="" textlink="">
      <xdr:nvSpPr>
        <xdr:cNvPr id="16" name="TextBox 15">
          <a:extLst>
            <a:ext uri="{FF2B5EF4-FFF2-40B4-BE49-F238E27FC236}">
              <a16:creationId xmlns:a16="http://schemas.microsoft.com/office/drawing/2014/main" id="{00000000-0008-0000-0600-000010000000}"/>
            </a:ext>
          </a:extLst>
        </xdr:cNvPr>
        <xdr:cNvSpPr txBox="1"/>
      </xdr:nvSpPr>
      <xdr:spPr>
        <a:xfrm>
          <a:off x="381000" y="5579845"/>
          <a:ext cx="3193676" cy="3614208"/>
        </a:xfrm>
        <a:prstGeom prst="rect">
          <a:avLst/>
        </a:prstGeom>
        <a:pattFill prst="lgGrid">
          <a:fgClr>
            <a:srgbClr val="FF0000"/>
          </a:fgClr>
          <a:bgClr>
            <a:schemeClr val="bg1"/>
          </a:bgClr>
        </a:patt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ysClr val="windowText" lastClr="000000"/>
              </a:solidFill>
              <a:effectLst/>
              <a:latin typeface="+mn-lt"/>
              <a:ea typeface="+mn-ea"/>
              <a:cs typeface="+mn-cs"/>
            </a:rPr>
            <a:t>Instructions to</a:t>
          </a:r>
          <a:r>
            <a:rPr lang="en-IN" sz="1200" b="1" i="0" u="sng" strike="noStrike" baseline="0">
              <a:solidFill>
                <a:sysClr val="windowText" lastClr="000000"/>
              </a:solidFill>
              <a:effectLst/>
              <a:latin typeface="+mn-lt"/>
              <a:ea typeface="+mn-ea"/>
              <a:cs typeface="+mn-cs"/>
            </a:rPr>
            <a:t> create Model with repeated Grids (NOT needed anymore)</a:t>
          </a:r>
          <a:endParaRPr lang="en-IN" sz="1200" b="1" i="0" u="sng" strike="noStrike">
            <a:solidFill>
              <a:sysClr val="windowText" lastClr="000000"/>
            </a:solidFill>
            <a:effectLst/>
            <a:latin typeface="+mn-lt"/>
            <a:ea typeface="+mn-ea"/>
            <a:cs typeface="+mn-cs"/>
          </a:endParaRPr>
        </a:p>
        <a:p>
          <a:r>
            <a:rPr lang="en-IN" sz="1100" b="0" i="1" u="none" strike="noStrike">
              <a:solidFill>
                <a:sysClr val="windowText" lastClr="000000"/>
              </a:solidFill>
              <a:effectLst/>
              <a:latin typeface="+mn-lt"/>
              <a:ea typeface="+mn-ea"/>
              <a:cs typeface="+mn-cs"/>
            </a:rPr>
            <a:t>Step 1- Hit </a:t>
          </a:r>
          <a:r>
            <a:rPr lang="en-IN" sz="1100" b="1" i="1" u="none" strike="noStrike">
              <a:solidFill>
                <a:srgbClr val="FF0000"/>
              </a:solidFill>
              <a:effectLst/>
              <a:latin typeface="+mn-lt"/>
              <a:ea typeface="+mn-ea"/>
              <a:cs typeface="+mn-cs"/>
            </a:rPr>
            <a:t>Clear All.</a:t>
          </a:r>
          <a:r>
            <a:rPr lang="en-IN" b="1" i="1">
              <a:solidFill>
                <a:srgbClr val="FF0000"/>
              </a:solidFill>
            </a:rPr>
            <a:t> </a:t>
          </a:r>
          <a:br>
            <a:rPr lang="en-IN" b="1" i="1">
              <a:solidFill>
                <a:srgbClr val="FF0000"/>
              </a:solidFill>
            </a:rPr>
          </a:br>
          <a:r>
            <a:rPr lang="en-IN" i="1">
              <a:solidFill>
                <a:sysClr val="windowText" lastClr="000000"/>
              </a:solidFill>
            </a:rPr>
            <a:t/>
          </a:r>
          <a:br>
            <a:rPr lang="en-IN" i="1">
              <a:solidFill>
                <a:sysClr val="windowText" lastClr="000000"/>
              </a:solidFill>
            </a:rPr>
          </a:br>
          <a:r>
            <a:rPr lang="en-IN" sz="1100" b="0" i="1" u="none" strike="noStrike">
              <a:solidFill>
                <a:sysClr val="windowText" lastClr="000000"/>
              </a:solidFill>
              <a:effectLst/>
              <a:latin typeface="+mn-lt"/>
              <a:ea typeface="+mn-ea"/>
              <a:cs typeface="+mn-cs"/>
            </a:rPr>
            <a:t>Step 2- Feed Bay = 1, Floor = Actual #floors, Hit </a:t>
          </a:r>
          <a:r>
            <a:rPr lang="en-IN" sz="1100" b="1" i="1" u="none" strike="noStrike">
              <a:solidFill>
                <a:srgbClr val="FF0000"/>
              </a:solidFill>
              <a:effectLst/>
              <a:latin typeface="+mn-lt"/>
              <a:ea typeface="+mn-ea"/>
              <a:cs typeface="+mn-cs"/>
            </a:rPr>
            <a:t>Populate</a:t>
          </a:r>
          <a:r>
            <a:rPr lang="en-IN" sz="1100" b="0" i="1" u="none" strike="noStrike">
              <a:solidFill>
                <a:sysClr val="windowText" lastClr="000000"/>
              </a:solidFill>
              <a:effectLst/>
              <a:latin typeface="+mn-lt"/>
              <a:ea typeface="+mn-ea"/>
              <a:cs typeface="+mn-cs"/>
            </a:rPr>
            <a:t>.</a:t>
          </a:r>
          <a:r>
            <a:rPr lang="en-IN" i="1">
              <a:solidFill>
                <a:sysClr val="windowText" lastClr="000000"/>
              </a:solidFill>
            </a:rPr>
            <a:t> </a:t>
          </a:r>
          <a:br>
            <a:rPr lang="en-IN" i="1">
              <a:solidFill>
                <a:sysClr val="windowText" lastClr="000000"/>
              </a:solidFill>
            </a:rPr>
          </a:br>
          <a:endParaRPr lang="en-IN" i="1">
            <a:solidFill>
              <a:sysClr val="windowText" lastClr="000000"/>
            </a:solidFill>
          </a:endParaRPr>
        </a:p>
        <a:p>
          <a:r>
            <a:rPr lang="en-IN" i="1">
              <a:solidFill>
                <a:sysClr val="windowText" lastClr="000000"/>
              </a:solidFill>
            </a:rPr>
            <a:t>Step 3- </a:t>
          </a:r>
          <a:r>
            <a:rPr lang="en-IN" b="0" i="1">
              <a:solidFill>
                <a:sysClr val="windowText" lastClr="000000"/>
              </a:solidFill>
            </a:rPr>
            <a:t>Hit</a:t>
          </a:r>
          <a:r>
            <a:rPr lang="en-IN" b="1" i="1">
              <a:solidFill>
                <a:srgbClr val="FF0000"/>
              </a:solidFill>
            </a:rPr>
            <a:t> Clear All</a:t>
          </a:r>
          <a:r>
            <a:rPr lang="en-IN" b="1" i="1" baseline="0">
              <a:solidFill>
                <a:srgbClr val="FF0000"/>
              </a:solidFill>
            </a:rPr>
            <a:t> Except Grid 1 </a:t>
          </a:r>
          <a:r>
            <a:rPr lang="en-IN" i="1" baseline="0">
              <a:solidFill>
                <a:sysClr val="windowText" lastClr="000000"/>
              </a:solidFill>
            </a:rPr>
            <a:t>to clear the grid2 data.</a:t>
          </a:r>
        </a:p>
        <a:p>
          <a:r>
            <a:rPr lang="en-IN" i="1">
              <a:solidFill>
                <a:sysClr val="windowText" lastClr="000000"/>
              </a:solidFill>
            </a:rPr>
            <a:t/>
          </a:r>
          <a:br>
            <a:rPr lang="en-IN" i="1">
              <a:solidFill>
                <a:sysClr val="windowText" lastClr="000000"/>
              </a:solidFill>
            </a:rPr>
          </a:br>
          <a:r>
            <a:rPr lang="en-IN" sz="1100" b="0" i="1" u="none" strike="noStrike">
              <a:solidFill>
                <a:sysClr val="windowText" lastClr="000000"/>
              </a:solidFill>
              <a:effectLst/>
              <a:latin typeface="+mn-lt"/>
              <a:ea typeface="+mn-ea"/>
              <a:cs typeface="+mn-cs"/>
            </a:rPr>
            <a:t>Step 4- Feed data of all floors in first grid.</a:t>
          </a:r>
          <a:br>
            <a:rPr lang="en-IN" sz="1100" b="0" i="1" u="none" strike="noStrike">
              <a:solidFill>
                <a:sysClr val="windowText" lastClr="000000"/>
              </a:solidFill>
              <a:effectLst/>
              <a:latin typeface="+mn-lt"/>
              <a:ea typeface="+mn-ea"/>
              <a:cs typeface="+mn-cs"/>
            </a:rPr>
          </a:br>
          <a:r>
            <a:rPr lang="en-IN" sz="1100" b="0" i="1" u="none" strike="noStrike">
              <a:solidFill>
                <a:sysClr val="windowText" lastClr="000000"/>
              </a:solidFill>
              <a:effectLst/>
              <a:latin typeface="+mn-lt"/>
              <a:ea typeface="+mn-ea"/>
              <a:cs typeface="+mn-cs"/>
            </a:rPr>
            <a:t/>
          </a:r>
          <a:br>
            <a:rPr lang="en-IN" sz="1100" b="0" i="1" u="none" strike="noStrike">
              <a:solidFill>
                <a:sysClr val="windowText" lastClr="000000"/>
              </a:solidFill>
              <a:effectLst/>
              <a:latin typeface="+mn-lt"/>
              <a:ea typeface="+mn-ea"/>
              <a:cs typeface="+mn-cs"/>
            </a:rPr>
          </a:br>
          <a:r>
            <a:rPr lang="en-IN" sz="1100" b="0" i="1" u="none" strike="noStrike">
              <a:solidFill>
                <a:sysClr val="windowText" lastClr="000000"/>
              </a:solidFill>
              <a:effectLst/>
              <a:latin typeface="+mn-lt"/>
              <a:ea typeface="+mn-ea"/>
              <a:cs typeface="+mn-cs"/>
            </a:rPr>
            <a:t>Step 5- Feed Bay = Actual #bays, Hit </a:t>
          </a:r>
          <a:r>
            <a:rPr lang="en-IN" sz="1100" b="1" i="1" u="none" strike="noStrike">
              <a:solidFill>
                <a:srgbClr val="FF0000"/>
              </a:solidFill>
              <a:effectLst/>
              <a:latin typeface="+mn-lt"/>
              <a:ea typeface="+mn-ea"/>
              <a:cs typeface="+mn-cs"/>
            </a:rPr>
            <a:t>Repeat Grid1</a:t>
          </a:r>
          <a:r>
            <a:rPr lang="en-IN" b="1" i="1">
              <a:solidFill>
                <a:srgbClr val="FF0000"/>
              </a:solidFill>
            </a:rPr>
            <a:t> </a:t>
          </a:r>
          <a:r>
            <a:rPr lang="en-IN" i="1">
              <a:solidFill>
                <a:sysClr val="windowText" lastClr="000000"/>
              </a:solidFill>
            </a:rPr>
            <a:t>.</a:t>
          </a:r>
        </a:p>
        <a:p>
          <a:endParaRPr lang="en-IN" sz="1100" i="1">
            <a:solidFill>
              <a:sysClr val="windowText" lastClr="000000"/>
            </a:solidFill>
          </a:endParaRPr>
        </a:p>
        <a:p>
          <a:pPr marL="0" marR="0" indent="0" defTabSz="914400" eaLnBrk="1" fontAlgn="auto" latinLnBrk="0" hangingPunct="1">
            <a:lnSpc>
              <a:spcPct val="100000"/>
            </a:lnSpc>
            <a:spcBef>
              <a:spcPts val="0"/>
            </a:spcBef>
            <a:spcAft>
              <a:spcPts val="0"/>
            </a:spcAft>
            <a:buClrTx/>
            <a:buSzTx/>
            <a:buFontTx/>
            <a:buNone/>
            <a:tabLst/>
            <a:defRPr/>
          </a:pPr>
          <a:r>
            <a:rPr lang="en-IN" sz="1100" b="1" i="0" u="sng">
              <a:solidFill>
                <a:sysClr val="windowText" lastClr="000000"/>
              </a:solidFill>
              <a:effectLst/>
              <a:latin typeface="+mn-lt"/>
              <a:ea typeface="+mn-ea"/>
              <a:cs typeface="+mn-cs"/>
            </a:rPr>
            <a:t>Instructions to</a:t>
          </a:r>
          <a:r>
            <a:rPr lang="en-IN" sz="1100" b="1" i="0" u="sng" baseline="0">
              <a:solidFill>
                <a:sysClr val="windowText" lastClr="000000"/>
              </a:solidFill>
              <a:effectLst/>
              <a:latin typeface="+mn-lt"/>
              <a:ea typeface="+mn-ea"/>
              <a:cs typeface="+mn-cs"/>
            </a:rPr>
            <a:t> change only the number of grids in the Model</a:t>
          </a: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1- Hit </a:t>
          </a:r>
          <a:r>
            <a:rPr lang="en-IN" sz="1100" b="1" i="1" u="none" baseline="0">
              <a:solidFill>
                <a:srgbClr val="FF0000"/>
              </a:solidFill>
              <a:effectLst/>
              <a:latin typeface="+mn-lt"/>
              <a:ea typeface="+mn-ea"/>
              <a:cs typeface="+mn-cs"/>
            </a:rPr>
            <a:t>Clear All Except Grid 1</a:t>
          </a:r>
          <a:r>
            <a:rPr lang="en-IN" sz="1100" b="0" i="1" u="none" baseline="0">
              <a:solidFill>
                <a:sysClr val="windowText" lastClr="000000"/>
              </a:solidFill>
              <a:effectLst/>
              <a:latin typeface="+mn-lt"/>
              <a:ea typeface="+mn-ea"/>
              <a:cs typeface="+mn-cs"/>
            </a:rPr>
            <a:t>.</a:t>
          </a:r>
        </a:p>
        <a:p>
          <a:pPr marL="0" marR="0" indent="0" defTabSz="914400" eaLnBrk="1" fontAlgn="auto" latinLnBrk="0" hangingPunct="1">
            <a:lnSpc>
              <a:spcPct val="100000"/>
            </a:lnSpc>
            <a:spcBef>
              <a:spcPts val="0"/>
            </a:spcBef>
            <a:spcAft>
              <a:spcPts val="0"/>
            </a:spcAft>
            <a:buClrTx/>
            <a:buSzTx/>
            <a:buFontTx/>
            <a:buNone/>
            <a:tabLst/>
            <a:defRPr/>
          </a:pPr>
          <a:endParaRPr lang="en-IN" sz="1100" b="0" i="1" u="none" baseline="0">
            <a:solidFill>
              <a:sysClr val="windowText" lastClr="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2- Change the number of Bays to required.</a:t>
          </a:r>
        </a:p>
        <a:p>
          <a:pPr marL="0" marR="0" indent="0" defTabSz="914400" eaLnBrk="1" fontAlgn="auto" latinLnBrk="0" hangingPunct="1">
            <a:lnSpc>
              <a:spcPct val="100000"/>
            </a:lnSpc>
            <a:spcBef>
              <a:spcPts val="0"/>
            </a:spcBef>
            <a:spcAft>
              <a:spcPts val="0"/>
            </a:spcAft>
            <a:buClrTx/>
            <a:buSzTx/>
            <a:buFontTx/>
            <a:buNone/>
            <a:tabLst/>
            <a:defRPr/>
          </a:pPr>
          <a:endParaRPr lang="en-IN" sz="1100" b="0" i="1" u="none" baseline="0">
            <a:solidFill>
              <a:sysClr val="windowText" lastClr="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3- Hit </a:t>
          </a:r>
          <a:r>
            <a:rPr lang="en-IN" sz="1100" b="1" i="1" u="none" baseline="0">
              <a:solidFill>
                <a:srgbClr val="FF0000"/>
              </a:solidFill>
              <a:effectLst/>
              <a:latin typeface="+mn-lt"/>
              <a:ea typeface="+mn-ea"/>
              <a:cs typeface="+mn-cs"/>
            </a:rPr>
            <a:t>Repeat Grid1</a:t>
          </a:r>
          <a:r>
            <a:rPr lang="en-IN" sz="1100" b="0" i="1" u="none" baseline="0">
              <a:solidFill>
                <a:sysClr val="windowText" lastClr="000000"/>
              </a:solidFill>
              <a:effectLst/>
              <a:latin typeface="+mn-lt"/>
              <a:ea typeface="+mn-ea"/>
              <a:cs typeface="+mn-cs"/>
            </a:rPr>
            <a:t>.</a:t>
          </a:r>
          <a:endParaRPr lang="en-IN" b="0" i="1" u="none">
            <a:solidFill>
              <a:sysClr val="windowText" lastClr="000000"/>
            </a:solidFill>
            <a:effectLst/>
          </a:endParaRPr>
        </a:p>
        <a:p>
          <a:endParaRPr lang="en-IN" sz="1100" i="1"/>
        </a:p>
      </xdr:txBody>
    </xdr:sp>
    <xdr:clientData/>
  </xdr:twoCellAnchor>
  <xdr:twoCellAnchor>
    <xdr:from>
      <xdr:col>0</xdr:col>
      <xdr:colOff>409575</xdr:colOff>
      <xdr:row>5</xdr:row>
      <xdr:rowOff>1053353</xdr:rowOff>
    </xdr:from>
    <xdr:to>
      <xdr:col>5</xdr:col>
      <xdr:colOff>481853</xdr:colOff>
      <xdr:row>15</xdr:row>
      <xdr:rowOff>186267</xdr:rowOff>
    </xdr:to>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409575" y="2196353"/>
          <a:ext cx="3221131" cy="2472267"/>
        </a:xfrm>
        <a:prstGeom prst="rect">
          <a:avLst/>
        </a:prstGeom>
        <a:solidFill>
          <a:srgbClr val="FFFF00"/>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ysClr val="windowText" lastClr="000000"/>
              </a:solidFill>
              <a:effectLst/>
              <a:latin typeface="+mn-lt"/>
              <a:ea typeface="+mn-ea"/>
              <a:cs typeface="+mn-cs"/>
            </a:rPr>
            <a:t>Instructions to</a:t>
          </a:r>
          <a:r>
            <a:rPr lang="en-IN" sz="1200" b="1" i="0" u="sng" strike="noStrike" baseline="0">
              <a:solidFill>
                <a:sysClr val="windowText" lastClr="000000"/>
              </a:solidFill>
              <a:effectLst/>
              <a:latin typeface="+mn-lt"/>
              <a:ea typeface="+mn-ea"/>
              <a:cs typeface="+mn-cs"/>
            </a:rPr>
            <a:t> create Model with repeated Grids</a:t>
          </a:r>
          <a:endParaRPr lang="en-IN" sz="1200" b="1" i="0" u="sng" strike="noStrike">
            <a:solidFill>
              <a:sysClr val="windowText" lastClr="000000"/>
            </a:solidFill>
            <a:effectLst/>
            <a:latin typeface="+mn-lt"/>
            <a:ea typeface="+mn-ea"/>
            <a:cs typeface="+mn-cs"/>
          </a:endParaRPr>
        </a:p>
        <a:p>
          <a:r>
            <a:rPr lang="en-IN" sz="1100" b="0" i="1" u="none" strike="noStrike">
              <a:solidFill>
                <a:sysClr val="windowText" lastClr="000000"/>
              </a:solidFill>
              <a:effectLst/>
              <a:latin typeface="+mn-lt"/>
              <a:ea typeface="+mn-ea"/>
              <a:cs typeface="+mn-cs"/>
            </a:rPr>
            <a:t>Now, in</a:t>
          </a:r>
          <a:r>
            <a:rPr lang="en-IN" sz="1100" b="0" i="1" u="none" strike="noStrike" baseline="0">
              <a:solidFill>
                <a:sysClr val="windowText" lastClr="000000"/>
              </a:solidFill>
              <a:effectLst/>
              <a:latin typeface="+mn-lt"/>
              <a:ea typeface="+mn-ea"/>
              <a:cs typeface="+mn-cs"/>
            </a:rPr>
            <a:t> general, u</a:t>
          </a:r>
          <a:r>
            <a:rPr lang="en-IN" sz="1100" b="0" i="1" u="none" strike="noStrike">
              <a:solidFill>
                <a:sysClr val="windowText" lastClr="000000"/>
              </a:solidFill>
              <a:effectLst/>
              <a:latin typeface="+mn-lt"/>
              <a:ea typeface="+mn-ea"/>
              <a:cs typeface="+mn-cs"/>
            </a:rPr>
            <a:t>pdated</a:t>
          </a:r>
          <a:r>
            <a:rPr lang="en-IN" sz="1100" b="0" i="1" u="none" strike="noStrike" baseline="0">
              <a:solidFill>
                <a:sysClr val="windowText" lastClr="000000"/>
              </a:solidFill>
              <a:effectLst/>
              <a:latin typeface="+mn-lt"/>
              <a:ea typeface="+mn-ea"/>
              <a:cs typeface="+mn-cs"/>
            </a:rPr>
            <a:t> formulae use index and import values from the detailing sheet and do not need manual filling of values in this sheet and running of VBA code. The simple process as follows should suffice. VBA macros can, however, be used to clear data.</a:t>
          </a:r>
        </a:p>
        <a:p>
          <a:endParaRPr lang="en-IN" sz="1100" b="0" i="1" u="none" strike="noStrike">
            <a:solidFill>
              <a:sysClr val="windowText" lastClr="000000"/>
            </a:solidFill>
            <a:effectLst/>
            <a:latin typeface="+mn-lt"/>
            <a:ea typeface="+mn-ea"/>
            <a:cs typeface="+mn-cs"/>
          </a:endParaRPr>
        </a:p>
        <a:p>
          <a:r>
            <a:rPr lang="en-IN" sz="1400" b="1" i="1" u="none" strike="noStrike">
              <a:solidFill>
                <a:sysClr val="windowText" lastClr="000000"/>
              </a:solidFill>
              <a:effectLst/>
              <a:latin typeface="+mn-lt"/>
              <a:ea typeface="+mn-ea"/>
              <a:cs typeface="+mn-cs"/>
            </a:rPr>
            <a:t>Copy the formula from (n-1)</a:t>
          </a:r>
          <a:r>
            <a:rPr lang="en-IN" sz="1400" b="1" i="1" u="none" strike="noStrike" baseline="30000">
              <a:solidFill>
                <a:sysClr val="windowText" lastClr="000000"/>
              </a:solidFill>
              <a:effectLst/>
              <a:latin typeface="+mn-lt"/>
              <a:ea typeface="+mn-ea"/>
              <a:cs typeface="+mn-cs"/>
            </a:rPr>
            <a:t>th</a:t>
          </a:r>
          <a:r>
            <a:rPr lang="en-IN" sz="1400" b="1" i="1" u="none" strike="noStrike">
              <a:solidFill>
                <a:sysClr val="windowText" lastClr="000000"/>
              </a:solidFill>
              <a:effectLst/>
              <a:latin typeface="+mn-lt"/>
              <a:ea typeface="+mn-ea"/>
              <a:cs typeface="+mn-cs"/>
            </a:rPr>
            <a:t> or 2</a:t>
          </a:r>
          <a:r>
            <a:rPr lang="en-IN" sz="1400" b="1" i="1" u="none" strike="noStrike" baseline="30000">
              <a:solidFill>
                <a:sysClr val="windowText" lastClr="000000"/>
              </a:solidFill>
              <a:effectLst/>
              <a:latin typeface="+mn-lt"/>
              <a:ea typeface="+mn-ea"/>
              <a:cs typeface="+mn-cs"/>
            </a:rPr>
            <a:t>nd</a:t>
          </a:r>
          <a:r>
            <a:rPr lang="en-IN" sz="1400" b="1" i="1" u="none" strike="noStrike">
              <a:solidFill>
                <a:sysClr val="windowText" lastClr="000000"/>
              </a:solidFill>
              <a:effectLst/>
              <a:latin typeface="+mn-lt"/>
              <a:ea typeface="+mn-ea"/>
              <a:cs typeface="+mn-cs"/>
            </a:rPr>
            <a:t> floor to all other floors.</a:t>
          </a:r>
          <a:endParaRPr lang="en-IN" sz="1400" b="1" i="1"/>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6</xdr:col>
      <xdr:colOff>219075</xdr:colOff>
      <xdr:row>85</xdr:row>
      <xdr:rowOff>161925</xdr:rowOff>
    </xdr:from>
    <xdr:ext cx="6142857" cy="8133333"/>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5486400" y="15373350"/>
          <a:ext cx="6142857" cy="8133333"/>
        </a:xfrm>
        <a:prstGeom prst="rect">
          <a:avLst/>
        </a:prstGeom>
      </xdr:spPr>
    </xdr:pic>
    <xdr:clientData/>
  </xdr:oneCellAnchor>
  <xdr:twoCellAnchor>
    <xdr:from>
      <xdr:col>19</xdr:col>
      <xdr:colOff>145598</xdr:colOff>
      <xdr:row>37</xdr:row>
      <xdr:rowOff>69314</xdr:rowOff>
    </xdr:from>
    <xdr:to>
      <xdr:col>26</xdr:col>
      <xdr:colOff>88446</xdr:colOff>
      <xdr:row>57</xdr:row>
      <xdr:rowOff>126547</xdr:rowOff>
    </xdr:to>
    <xdr:grpSp>
      <xdr:nvGrpSpPr>
        <xdr:cNvPr id="7" name="Group 6">
          <a:extLst>
            <a:ext uri="{FF2B5EF4-FFF2-40B4-BE49-F238E27FC236}">
              <a16:creationId xmlns:a16="http://schemas.microsoft.com/office/drawing/2014/main" id="{00000000-0008-0000-0900-000007000000}"/>
            </a:ext>
          </a:extLst>
        </xdr:cNvPr>
        <xdr:cNvGrpSpPr/>
      </xdr:nvGrpSpPr>
      <xdr:grpSpPr>
        <a:xfrm>
          <a:off x="17088892" y="8552167"/>
          <a:ext cx="4694142" cy="3912056"/>
          <a:chOff x="7648576" y="6485082"/>
          <a:chExt cx="4972049" cy="3906693"/>
        </a:xfrm>
      </xdr:grpSpPr>
      <xdr:pic>
        <xdr:nvPicPr>
          <xdr:cNvPr id="24577" name="Picture 1">
            <a:extLst>
              <a:ext uri="{FF2B5EF4-FFF2-40B4-BE49-F238E27FC236}">
                <a16:creationId xmlns:a16="http://schemas.microsoft.com/office/drawing/2014/main" id="{00000000-0008-0000-0900-000001600000}"/>
              </a:ext>
            </a:extLst>
          </xdr:cNvPr>
          <xdr:cNvPicPr>
            <a:picLocks noChangeAspect="1" noChangeArrowheads="1"/>
          </xdr:cNvPicPr>
        </xdr:nvPicPr>
        <xdr:blipFill>
          <a:blip xmlns:r="http://schemas.openxmlformats.org/officeDocument/2006/relationships" r:embed="rId2" cstate="print"/>
          <a:srcRect r="23123"/>
          <a:stretch>
            <a:fillRect/>
          </a:stretch>
        </xdr:blipFill>
        <xdr:spPr bwMode="auto">
          <a:xfrm>
            <a:off x="7648576" y="6485082"/>
            <a:ext cx="4876799" cy="3906693"/>
          </a:xfrm>
          <a:prstGeom prst="rect">
            <a:avLst/>
          </a:prstGeom>
          <a:noFill/>
          <a:ln w="1">
            <a:noFill/>
            <a:miter lim="800000"/>
            <a:headEnd/>
            <a:tailEnd type="none" w="med" len="med"/>
          </a:ln>
          <a:effectLst/>
        </xdr:spPr>
      </xdr:pic>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7781926" y="6845529"/>
            <a:ext cx="2057400" cy="55937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IN" sz="1200" b="1" i="1" baseline="0">
                <a:solidFill>
                  <a:schemeClr val="dk1"/>
                </a:solidFill>
                <a:latin typeface="+mn-lt"/>
                <a:ea typeface="+mn-ea"/>
                <a:cs typeface="+mn-cs"/>
              </a:rPr>
              <a:t>pp 594 of </a:t>
            </a:r>
            <a:r>
              <a:rPr lang="en-IN" sz="1200" b="1" i="1"/>
              <a:t>Wight Macgregor,</a:t>
            </a:r>
            <a:endParaRPr lang="en-IN" sz="1200" b="1" i="1" baseline="0"/>
          </a:p>
          <a:p>
            <a:r>
              <a:rPr lang="en-IN" sz="1200" b="1" i="1" baseline="0"/>
              <a:t>In turn, from PCI handbook</a:t>
            </a:r>
            <a:endParaRPr lang="en-IN" sz="1200" b="1" i="1"/>
          </a:p>
        </xdr:txBody>
      </xdr:sp>
      <xdr:pic>
        <xdr:nvPicPr>
          <xdr:cNvPr id="24578" name="Picture 2">
            <a:extLst>
              <a:ext uri="{FF2B5EF4-FFF2-40B4-BE49-F238E27FC236}">
                <a16:creationId xmlns:a16="http://schemas.microsoft.com/office/drawing/2014/main" id="{00000000-0008-0000-0900-000002600000}"/>
              </a:ext>
            </a:extLst>
          </xdr:cNvPr>
          <xdr:cNvPicPr>
            <a:picLocks noChangeAspect="1" noChangeArrowheads="1"/>
          </xdr:cNvPicPr>
        </xdr:nvPicPr>
        <xdr:blipFill>
          <a:blip xmlns:r="http://schemas.openxmlformats.org/officeDocument/2006/relationships" r:embed="rId3" cstate="print"/>
          <a:srcRect l="10968" t="13570" r="5484" b="3714"/>
          <a:stretch>
            <a:fillRect/>
          </a:stretch>
        </xdr:blipFill>
        <xdr:spPr bwMode="auto">
          <a:xfrm>
            <a:off x="10153650" y="6677025"/>
            <a:ext cx="2466975" cy="3657600"/>
          </a:xfrm>
          <a:prstGeom prst="rect">
            <a:avLst/>
          </a:prstGeom>
          <a:noFill/>
          <a:ln w="1">
            <a:noFill/>
            <a:miter lim="800000"/>
            <a:headEnd/>
            <a:tailEnd type="none" w="med" len="med"/>
          </a:ln>
          <a:effectLst/>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1</xdr:row>
          <xdr:rowOff>76200</xdr:rowOff>
        </xdr:from>
        <xdr:to>
          <xdr:col>5</xdr:col>
          <xdr:colOff>276225</xdr:colOff>
          <xdr:row>2</xdr:row>
          <xdr:rowOff>152400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Create HASELTON Model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1238250</xdr:colOff>
          <xdr:row>1</xdr:row>
          <xdr:rowOff>76200</xdr:rowOff>
        </xdr:from>
        <xdr:to>
          <xdr:col>7</xdr:col>
          <xdr:colOff>904875</xdr:colOff>
          <xdr:row>2</xdr:row>
          <xdr:rowOff>152400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1171575</xdr:colOff>
          <xdr:row>1</xdr:row>
          <xdr:rowOff>76200</xdr:rowOff>
        </xdr:from>
        <xdr:to>
          <xdr:col>8</xdr:col>
          <xdr:colOff>1085850</xdr:colOff>
          <xdr:row>2</xdr:row>
          <xdr:rowOff>152400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Copy the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542925</xdr:colOff>
          <xdr:row>1</xdr:row>
          <xdr:rowOff>76200</xdr:rowOff>
        </xdr:from>
        <xdr:to>
          <xdr:col>6</xdr:col>
          <xdr:colOff>962025</xdr:colOff>
          <xdr:row>2</xdr:row>
          <xdr:rowOff>152400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A00-00000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Create ELWOOD Model File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0</xdr:row>
          <xdr:rowOff>114300</xdr:rowOff>
        </xdr:from>
        <xdr:to>
          <xdr:col>12</xdr:col>
          <xdr:colOff>876300</xdr:colOff>
          <xdr:row>3</xdr:row>
          <xdr:rowOff>38100</xdr:rowOff>
        </xdr:to>
        <xdr:sp macro="" textlink="">
          <xdr:nvSpPr>
            <xdr:cNvPr id="4097" name="Object 1" hidden="1">
              <a:extLst>
                <a:ext uri="{63B3BB69-23CF-44E3-9099-C40C66FF867C}">
                  <a14:compatExt spid="_x0000_s4097"/>
                </a:ext>
                <a:ext uri="{FF2B5EF4-FFF2-40B4-BE49-F238E27FC236}">
                  <a16:creationId xmlns:a16="http://schemas.microsoft.com/office/drawing/2014/main" id="{00000000-0008-0000-0C00-000001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923925</xdr:colOff>
          <xdr:row>0</xdr:row>
          <xdr:rowOff>47625</xdr:rowOff>
        </xdr:from>
        <xdr:to>
          <xdr:col>13</xdr:col>
          <xdr:colOff>866775</xdr:colOff>
          <xdr:row>2</xdr:row>
          <xdr:rowOff>123825</xdr:rowOff>
        </xdr:to>
        <xdr:sp macro="" textlink="">
          <xdr:nvSpPr>
            <xdr:cNvPr id="4098" name="Object 2" hidden="1">
              <a:extLst>
                <a:ext uri="{63B3BB69-23CF-44E3-9099-C40C66FF867C}">
                  <a14:compatExt spid="_x0000_s4098"/>
                </a:ext>
                <a:ext uri="{FF2B5EF4-FFF2-40B4-BE49-F238E27FC236}">
                  <a16:creationId xmlns:a16="http://schemas.microsoft.com/office/drawing/2014/main" id="{00000000-0008-0000-0C00-000002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209550</xdr:colOff>
          <xdr:row>4</xdr:row>
          <xdr:rowOff>0</xdr:rowOff>
        </xdr:from>
        <xdr:to>
          <xdr:col>12</xdr:col>
          <xdr:colOff>142875</xdr:colOff>
          <xdr:row>6</xdr:row>
          <xdr:rowOff>123825</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C00-000003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419100</xdr:colOff>
          <xdr:row>4</xdr:row>
          <xdr:rowOff>0</xdr:rowOff>
        </xdr:from>
        <xdr:to>
          <xdr:col>13</xdr:col>
          <xdr:colOff>314325</xdr:colOff>
          <xdr:row>6</xdr:row>
          <xdr:rowOff>85725</xdr:rowOff>
        </xdr:to>
        <xdr:sp macro="" textlink="">
          <xdr:nvSpPr>
            <xdr:cNvPr id="4101" name="Object 5" hidden="1">
              <a:extLst>
                <a:ext uri="{63B3BB69-23CF-44E3-9099-C40C66FF867C}">
                  <a14:compatExt spid="_x0000_s4101"/>
                </a:ext>
                <a:ext uri="{FF2B5EF4-FFF2-40B4-BE49-F238E27FC236}">
                  <a16:creationId xmlns:a16="http://schemas.microsoft.com/office/drawing/2014/main" id="{00000000-0008-0000-0C00-000005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ist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sb\AppData\Roaming\Microsoft\AddIns\MyFormulasPrak.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ompatibility Report"/>
      <sheetName val="MyFormulasPrak"/>
    </sheetNames>
    <definedNames>
      <definedName name="INTERPLINEAR"/>
    </definedNames>
    <sheetDataSet>
      <sheetData sheetId="0"/>
      <sheetData sheetId="1"/>
      <sheetData sheetId="2"/>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9</v>
    <v>3</v>
  </rv>
  <rv s="1">
    <v>9</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ctrlProp" Target="../ctrlProps/ctrlProp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15.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20.emf"/><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oleObject" Target="../embeddings/oleObject2.bin"/><Relationship Id="rId5" Type="http://schemas.openxmlformats.org/officeDocument/2006/relationships/image" Target="../media/image19.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2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K14"/>
  <sheetViews>
    <sheetView zoomScale="115" zoomScaleNormal="115" workbookViewId="0">
      <selection activeCell="C14" sqref="C14"/>
    </sheetView>
  </sheetViews>
  <sheetFormatPr defaultRowHeight="15" x14ac:dyDescent="0.25"/>
  <cols>
    <col min="2" max="2" width="23" customWidth="1"/>
    <col min="3" max="3" width="159.7109375" bestFit="1" customWidth="1"/>
  </cols>
  <sheetData>
    <row r="1" spans="1:11" ht="21" x14ac:dyDescent="0.35">
      <c r="B1" s="628" t="s">
        <v>0</v>
      </c>
    </row>
    <row r="3" spans="1:11" ht="18.75" x14ac:dyDescent="0.3">
      <c r="A3" s="624" t="s">
        <v>1</v>
      </c>
      <c r="B3" s="624" t="s">
        <v>2</v>
      </c>
      <c r="C3" s="624" t="s">
        <v>3</v>
      </c>
      <c r="D3" s="630"/>
      <c r="E3" s="634" t="s">
        <v>4</v>
      </c>
      <c r="J3" s="993"/>
      <c r="K3" t="s">
        <v>5</v>
      </c>
    </row>
    <row r="4" spans="1:11" ht="22.5" customHeight="1" x14ac:dyDescent="0.3">
      <c r="A4" s="623">
        <v>1</v>
      </c>
      <c r="B4" s="630" t="s">
        <v>6</v>
      </c>
      <c r="C4" s="622" t="s">
        <v>7</v>
      </c>
      <c r="D4" s="629"/>
      <c r="E4" s="634" t="s">
        <v>8</v>
      </c>
      <c r="J4" s="844"/>
      <c r="K4" t="s">
        <v>9</v>
      </c>
    </row>
    <row r="5" spans="1:11" ht="22.5" customHeight="1" x14ac:dyDescent="0.3">
      <c r="A5" s="623">
        <v>2</v>
      </c>
      <c r="B5" s="625" t="s">
        <v>10</v>
      </c>
      <c r="C5" s="622" t="s">
        <v>11</v>
      </c>
      <c r="D5" s="841"/>
      <c r="E5" s="634" t="s">
        <v>12</v>
      </c>
      <c r="J5" s="992"/>
      <c r="K5" t="s">
        <v>13</v>
      </c>
    </row>
    <row r="6" spans="1:11" ht="287.25" x14ac:dyDescent="0.25">
      <c r="A6" s="623">
        <v>3</v>
      </c>
      <c r="B6" s="726" t="s">
        <v>14</v>
      </c>
      <c r="C6" s="842" t="s">
        <v>15</v>
      </c>
    </row>
    <row r="7" spans="1:11" ht="30" x14ac:dyDescent="0.25">
      <c r="A7" s="623">
        <v>4</v>
      </c>
      <c r="B7" s="625" t="s">
        <v>16</v>
      </c>
      <c r="C7" s="627" t="s">
        <v>17</v>
      </c>
    </row>
    <row r="8" spans="1:11" ht="90" x14ac:dyDescent="0.25">
      <c r="A8" s="623">
        <v>5</v>
      </c>
      <c r="B8" s="625" t="s">
        <v>18</v>
      </c>
      <c r="C8" s="627" t="s">
        <v>19</v>
      </c>
      <c r="E8" s="391"/>
    </row>
    <row r="9" spans="1:11" ht="120" x14ac:dyDescent="0.25">
      <c r="A9" s="623">
        <v>6</v>
      </c>
      <c r="B9" s="626" t="s">
        <v>20</v>
      </c>
      <c r="C9" s="627" t="s">
        <v>21</v>
      </c>
      <c r="E9" s="5"/>
    </row>
    <row r="10" spans="1:11" ht="187.5" x14ac:dyDescent="0.25">
      <c r="A10" s="623">
        <v>7</v>
      </c>
      <c r="B10" s="630" t="s">
        <v>22</v>
      </c>
      <c r="C10" s="627" t="s">
        <v>23</v>
      </c>
    </row>
    <row r="11" spans="1:11" ht="22.5" customHeight="1" x14ac:dyDescent="0.25">
      <c r="A11" s="623">
        <v>8</v>
      </c>
      <c r="B11" s="625" t="s">
        <v>24</v>
      </c>
      <c r="C11" s="622" t="s">
        <v>25</v>
      </c>
    </row>
    <row r="12" spans="1:11" ht="22.5" customHeight="1" x14ac:dyDescent="0.25">
      <c r="A12" s="623">
        <v>9</v>
      </c>
      <c r="B12" s="629" t="s">
        <v>26</v>
      </c>
      <c r="C12" s="843" t="s">
        <v>27</v>
      </c>
    </row>
    <row r="13" spans="1:11" ht="30" x14ac:dyDescent="0.25">
      <c r="A13" s="623">
        <v>10</v>
      </c>
      <c r="B13" s="629" t="s">
        <v>28</v>
      </c>
      <c r="C13" s="627" t="s">
        <v>29</v>
      </c>
    </row>
    <row r="14" spans="1:11" ht="22.5" customHeight="1" x14ac:dyDescent="0.25">
      <c r="A14" s="623"/>
      <c r="B14" s="625" t="s">
        <v>30</v>
      </c>
      <c r="C14" s="622" t="s">
        <v>31</v>
      </c>
      <c r="E14"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O58"/>
  <sheetViews>
    <sheetView zoomScale="73" zoomScaleNormal="70" workbookViewId="0">
      <selection activeCell="F20" sqref="F20"/>
    </sheetView>
  </sheetViews>
  <sheetFormatPr defaultColWidth="9.140625" defaultRowHeight="15" x14ac:dyDescent="0.25"/>
  <cols>
    <col min="1" max="1" width="9.140625" style="480"/>
    <col min="2" max="2" width="31.140625" style="480" customWidth="1"/>
    <col min="3" max="3" width="17.7109375" style="480" customWidth="1"/>
    <col min="4" max="4" width="9.140625" style="480" customWidth="1"/>
    <col min="5" max="5" width="10.140625" style="480" bestFit="1" customWidth="1"/>
    <col min="6" max="6" width="11.42578125" style="480" customWidth="1"/>
    <col min="7" max="7" width="15.28515625" style="480" customWidth="1"/>
    <col min="8" max="8" width="12" style="480" customWidth="1"/>
    <col min="9" max="9" width="11.140625" style="480" customWidth="1"/>
    <col min="10" max="11" width="9.140625" style="480"/>
    <col min="12" max="12" width="13" style="480" customWidth="1"/>
    <col min="13" max="15" width="9.140625" style="480"/>
    <col min="16" max="16" width="13" style="480" customWidth="1"/>
    <col min="17" max="17" width="9.85546875" style="480" bestFit="1" customWidth="1"/>
    <col min="18" max="19" width="9.140625" style="480"/>
    <col min="20" max="20" width="15.42578125" style="480" customWidth="1"/>
    <col min="21" max="21" width="9.140625" style="480" customWidth="1"/>
    <col min="22" max="22" width="10.85546875" style="480" customWidth="1"/>
    <col min="23" max="23" width="9.140625" style="480" customWidth="1"/>
    <col min="24" max="24" width="13" style="480" customWidth="1"/>
    <col min="25" max="38" width="9.140625" style="480"/>
    <col min="39" max="39" width="11.28515625" style="480" customWidth="1"/>
    <col min="40" max="16384" width="9.140625" style="480"/>
  </cols>
  <sheetData>
    <row r="1" spans="1:41" ht="15.75" thickBot="1" x14ac:dyDescent="0.3"/>
    <row r="2" spans="1:41" ht="24" thickBot="1" x14ac:dyDescent="0.35">
      <c r="B2" s="896" t="s">
        <v>32</v>
      </c>
      <c r="C2" s="891" t="s">
        <v>1075</v>
      </c>
      <c r="D2" s="37">
        <f>IF(C2="IS 1893 (1984)",1,IF(C2="IS 1893-1 (2002)",2,IF(C2="IS 1893-1 (2016)",3,IF(C2="IS 1893-1 (2025)",4))))</f>
        <v>3</v>
      </c>
      <c r="G2" s="481" t="s">
        <v>33</v>
      </c>
      <c r="H2" s="482"/>
      <c r="I2" s="483"/>
      <c r="J2" s="483"/>
      <c r="K2" s="483"/>
      <c r="L2" s="481" t="s">
        <v>34</v>
      </c>
      <c r="M2" s="484"/>
      <c r="N2" s="482"/>
      <c r="O2" s="483"/>
      <c r="P2" s="485" t="s">
        <v>35</v>
      </c>
      <c r="Q2" s="486"/>
      <c r="R2" s="487"/>
      <c r="S2" s="483"/>
      <c r="T2" s="485" t="s">
        <v>36</v>
      </c>
      <c r="U2" s="486"/>
      <c r="V2" s="487"/>
      <c r="W2" s="483"/>
      <c r="X2" s="483"/>
    </row>
    <row r="3" spans="1:41" ht="33" thickBot="1" x14ac:dyDescent="0.35">
      <c r="B3" s="896" t="s">
        <v>37</v>
      </c>
      <c r="C3" s="891" t="s">
        <v>38</v>
      </c>
      <c r="D3" s="37">
        <f>IF(C3 = "Ordinary", 1, IF(C3 = "Special", 2, IF(C3 = "Special 13920 (1993)", 3, IF(C3 = "Special 13920 (2016)", 4))))</f>
        <v>4</v>
      </c>
      <c r="G3" s="488" t="s">
        <v>39</v>
      </c>
      <c r="H3" s="489">
        <f>J27+O27+O30+S27+J30</f>
        <v>93568.8</v>
      </c>
      <c r="I3" s="490" t="s">
        <v>40</v>
      </c>
      <c r="J3" s="483"/>
      <c r="K3" s="483"/>
      <c r="L3" s="488" t="s">
        <v>39</v>
      </c>
      <c r="M3" s="489">
        <f>J36+O36+O39+S36+J39</f>
        <v>10270.975</v>
      </c>
      <c r="N3" s="491" t="s">
        <v>40</v>
      </c>
      <c r="O3" s="483"/>
      <c r="P3" s="492" t="s">
        <v>41</v>
      </c>
      <c r="Q3" s="493">
        <f>H3+IF(C19&gt;3,0.5,0.25)*H4</f>
        <v>111723.6</v>
      </c>
      <c r="R3" s="494" t="s">
        <v>40</v>
      </c>
      <c r="S3" s="483"/>
      <c r="T3" s="492" t="s">
        <v>42</v>
      </c>
      <c r="U3" s="493">
        <f>M3*LOAD_DATA!$D$9+M4*LOAD_DATA!$D$10</f>
        <v>11279.575000000001</v>
      </c>
      <c r="V3" s="494" t="s">
        <v>40</v>
      </c>
      <c r="W3" s="483"/>
      <c r="X3" s="483"/>
    </row>
    <row r="4" spans="1:41" ht="24.75" customHeight="1" thickBot="1" x14ac:dyDescent="0.35">
      <c r="B4" s="896" t="s">
        <v>43</v>
      </c>
      <c r="C4" s="897">
        <f>IF(OR(D3=1, D3=3), 0,IF(D3=4, 1.4,IF(D3=2,C7)))</f>
        <v>1.4</v>
      </c>
      <c r="D4" t="str">
        <f>IF(D3=2,"(As specified)", "")</f>
        <v/>
      </c>
      <c r="E4" s="892"/>
      <c r="G4" s="495" t="s">
        <v>44</v>
      </c>
      <c r="H4" s="493">
        <f>J31</f>
        <v>36309.599999999999</v>
      </c>
      <c r="I4" s="496" t="s">
        <v>40</v>
      </c>
      <c r="J4" s="483"/>
      <c r="K4" s="483"/>
      <c r="L4" s="495" t="s">
        <v>44</v>
      </c>
      <c r="M4" s="493">
        <f>J40</f>
        <v>4034.4</v>
      </c>
      <c r="N4" s="496" t="s">
        <v>40</v>
      </c>
      <c r="O4" s="483"/>
      <c r="P4" s="483"/>
      <c r="Q4" s="483"/>
      <c r="R4" s="483"/>
      <c r="S4" s="483"/>
      <c r="T4" s="483"/>
      <c r="U4" s="483"/>
      <c r="V4" s="483"/>
      <c r="W4" s="483"/>
      <c r="X4" s="483"/>
    </row>
    <row r="5" spans="1:41" ht="23.25" x14ac:dyDescent="0.25">
      <c r="B5" s="896" t="s">
        <v>45</v>
      </c>
      <c r="C5" s="898" t="s">
        <v>46</v>
      </c>
      <c r="D5" s="37">
        <f>IF(C5 = "Haselton", 1, IF(C5 = "ElwoodHingeAtColTop", 2, IF(C5 = "ElwoodShearHingeAtColTopAndBeamEnds", 3)))</f>
        <v>1</v>
      </c>
      <c r="G5" s="497"/>
      <c r="H5" s="498"/>
      <c r="I5" s="499"/>
      <c r="L5" s="497"/>
      <c r="M5" s="498"/>
      <c r="N5" s="499"/>
      <c r="U5" s="503" t="s">
        <v>47</v>
      </c>
      <c r="V5" s="671">
        <f ca="1">(GeneralInput!T88/RxnCheck!U3-1)</f>
        <v>-1.1102230246251565E-16</v>
      </c>
    </row>
    <row r="6" spans="1:41" ht="16.5" thickBot="1" x14ac:dyDescent="0.3">
      <c r="G6" s="500"/>
      <c r="H6" s="501"/>
      <c r="I6" s="501"/>
      <c r="M6" s="503"/>
    </row>
    <row r="7" spans="1:41" ht="24" thickBot="1" x14ac:dyDescent="0.3">
      <c r="B7" s="893" t="s">
        <v>48</v>
      </c>
      <c r="C7" s="14"/>
      <c r="D7" s="480" t="s">
        <v>49</v>
      </c>
      <c r="G7" s="504"/>
      <c r="H7" s="505"/>
      <c r="I7" s="506"/>
      <c r="J7" s="917" t="str">
        <f>IF(K8+M8&lt;&gt;C12+1,"CHECK THE NUM OF COLUMNS","OK")</f>
        <v>OK</v>
      </c>
      <c r="K7" s="504"/>
      <c r="L7" s="1012" t="s">
        <v>50</v>
      </c>
      <c r="M7" s="1011">
        <f>((((K8*(C24+1)*J15*K15)+(M8*(C24+1)*L15*M15))/10^6)/C47)*100</f>
        <v>0.694031330557208</v>
      </c>
      <c r="N7" s="507" t="s">
        <v>51</v>
      </c>
      <c r="O7" s="508">
        <v>1</v>
      </c>
      <c r="P7" s="508"/>
      <c r="Q7" s="508">
        <v>2</v>
      </c>
      <c r="R7" s="508"/>
      <c r="S7" s="508">
        <v>3</v>
      </c>
      <c r="T7" s="508"/>
      <c r="U7" s="508"/>
      <c r="V7" s="508"/>
      <c r="W7" s="509"/>
      <c r="X7" s="504"/>
      <c r="Y7" s="504"/>
      <c r="Z7" s="504"/>
    </row>
    <row r="8" spans="1:41" ht="40.5" customHeight="1" thickBot="1" x14ac:dyDescent="0.4">
      <c r="A8" s="1077" t="s">
        <v>52</v>
      </c>
      <c r="B8" s="1077"/>
      <c r="C8" s="1077"/>
      <c r="D8" s="1077"/>
      <c r="E8" s="1077"/>
      <c r="F8" s="1077"/>
      <c r="G8" s="1077"/>
      <c r="H8" s="1077"/>
      <c r="I8" s="504"/>
      <c r="J8" s="918" t="s">
        <v>53</v>
      </c>
      <c r="K8" s="979">
        <v>2</v>
      </c>
      <c r="L8" s="919"/>
      <c r="M8" s="980">
        <v>2</v>
      </c>
      <c r="N8" s="918" t="s">
        <v>54</v>
      </c>
      <c r="O8" s="981">
        <f>C23</f>
        <v>8200</v>
      </c>
      <c r="P8" s="919"/>
      <c r="Q8" s="981">
        <f>C23</f>
        <v>8200</v>
      </c>
      <c r="R8" s="919"/>
      <c r="S8" s="981">
        <f>C23</f>
        <v>8200</v>
      </c>
      <c r="T8" s="919"/>
      <c r="U8" s="919"/>
      <c r="V8" s="919"/>
      <c r="W8" s="920"/>
      <c r="X8" s="504"/>
      <c r="Y8" s="504"/>
      <c r="Z8" s="504"/>
      <c r="AJ8" s="480">
        <f>LOAD_DATA!D10</f>
        <v>0.25</v>
      </c>
    </row>
    <row r="9" spans="1:41" ht="19.5" customHeight="1" thickBot="1" x14ac:dyDescent="0.3">
      <c r="B9" s="511" t="s">
        <v>55</v>
      </c>
      <c r="C9" s="504"/>
      <c r="D9" s="504"/>
      <c r="G9" s="500" t="s">
        <v>56</v>
      </c>
      <c r="H9" s="501" t="s">
        <v>57</v>
      </c>
      <c r="I9" s="501" t="s">
        <v>58</v>
      </c>
      <c r="J9" s="513" t="s">
        <v>59</v>
      </c>
      <c r="K9" s="501"/>
      <c r="L9" s="638" t="s">
        <v>60</v>
      </c>
      <c r="M9" s="501"/>
      <c r="N9" s="512" t="s">
        <v>61</v>
      </c>
      <c r="O9" s="501"/>
      <c r="P9" s="501"/>
      <c r="Q9" s="501"/>
      <c r="R9" s="501"/>
      <c r="S9" s="501"/>
      <c r="T9" s="501"/>
      <c r="U9" s="501"/>
      <c r="V9" s="501"/>
      <c r="W9" s="501"/>
      <c r="X9" s="513" t="s">
        <v>62</v>
      </c>
      <c r="Y9" s="501"/>
      <c r="Z9" s="501"/>
      <c r="AA9" s="514"/>
      <c r="AB9" s="908" t="s">
        <v>63</v>
      </c>
      <c r="AC9" s="909" t="s">
        <v>64</v>
      </c>
      <c r="AD9" s="909" t="s">
        <v>65</v>
      </c>
      <c r="AE9" s="908" t="s">
        <v>66</v>
      </c>
      <c r="AF9" s="908" t="s">
        <v>67</v>
      </c>
      <c r="AG9" s="908" t="s">
        <v>68</v>
      </c>
      <c r="AI9" s="514" t="s">
        <v>69</v>
      </c>
      <c r="AJ9" s="514" t="str">
        <f>CONCATENATE("DL + ",AJ8,"LL")</f>
        <v>DL + 0.25LL</v>
      </c>
      <c r="AK9" s="908"/>
      <c r="AL9" s="908" t="s">
        <v>70</v>
      </c>
      <c r="AM9" s="910">
        <f>SUMPRODUCT($AJ$11:$AJ$22, $AL$11:$AL$22, $AL$11:$AL$22)</f>
        <v>18621325062000</v>
      </c>
      <c r="AN9" s="514"/>
      <c r="AO9" s="514" t="s">
        <v>71</v>
      </c>
    </row>
    <row r="10" spans="1:41" ht="19.5" customHeight="1" thickBot="1" x14ac:dyDescent="0.35">
      <c r="B10" s="633" t="s">
        <v>72</v>
      </c>
      <c r="C10" s="632" t="s">
        <v>1078</v>
      </c>
      <c r="D10" s="510"/>
      <c r="E10" s="631"/>
      <c r="I10" s="504"/>
      <c r="J10" s="504"/>
      <c r="K10" s="504"/>
      <c r="L10" s="504"/>
      <c r="M10" s="504"/>
      <c r="N10" s="515"/>
      <c r="O10" s="515"/>
      <c r="P10" s="515"/>
      <c r="Q10" s="515"/>
      <c r="R10" s="515"/>
      <c r="S10" s="515"/>
      <c r="T10" s="504"/>
      <c r="U10" s="504"/>
      <c r="V10" s="504"/>
      <c r="W10" s="504"/>
      <c r="X10" s="515"/>
      <c r="Y10" s="515"/>
      <c r="Z10" s="504"/>
      <c r="AB10" s="911"/>
      <c r="AC10" s="911"/>
      <c r="AD10" s="911"/>
      <c r="AO10" s="911" t="s">
        <v>73</v>
      </c>
    </row>
    <row r="11" spans="1:41" ht="19.5" customHeight="1" x14ac:dyDescent="0.25">
      <c r="B11" s="1013" t="s">
        <v>74</v>
      </c>
      <c r="C11" s="1014">
        <v>35053</v>
      </c>
      <c r="D11" s="1015"/>
      <c r="G11" s="538" t="str">
        <f>"Level "&amp;H11+0&amp; " ("&amp;FIXED(SUM(I11:$I$23)/1000, 1)&amp;" m)"</f>
        <v>Level 5 (20.1 m)</v>
      </c>
      <c r="H11" s="515">
        <f>C13</f>
        <v>5</v>
      </c>
      <c r="I11" s="516">
        <v>3900</v>
      </c>
      <c r="J11" s="517">
        <v>450</v>
      </c>
      <c r="K11" s="518">
        <v>600</v>
      </c>
      <c r="L11" s="517">
        <v>600</v>
      </c>
      <c r="M11" s="518">
        <v>600</v>
      </c>
      <c r="N11" s="517">
        <v>400</v>
      </c>
      <c r="O11" s="518">
        <v>750</v>
      </c>
      <c r="P11" s="517">
        <v>400</v>
      </c>
      <c r="Q11" s="518">
        <v>750</v>
      </c>
      <c r="R11" s="517">
        <v>400</v>
      </c>
      <c r="S11" s="518">
        <v>750</v>
      </c>
      <c r="T11" s="519"/>
      <c r="U11" s="519"/>
      <c r="V11" s="519"/>
      <c r="W11" s="519"/>
      <c r="X11" s="517">
        <v>400</v>
      </c>
      <c r="Y11" s="518">
        <v>750</v>
      </c>
      <c r="Z11" s="504"/>
      <c r="AB11" s="697">
        <f t="shared" ref="AB11:AB22" si="0">(($C$21/1000*$C$22)*SUM($O$8:$V$8)*$C$23*$C$24/1000000)</f>
        <v>11346.75</v>
      </c>
      <c r="AC11" s="697">
        <f t="shared" ref="AC11:AC22" si="1">$C$22 * (P11*(O11-$C$21)*$O$8/1000000000 + P11*(Q11-$C$21)*$Q$8/1000000000 + R11*(S11-$C$21)*$S$8/1000000000) * ($C$24+1)</f>
        <v>1230</v>
      </c>
      <c r="AD11" s="912">
        <f t="shared" ref="AD11:AD22" si="2">X11*(Y11-$C$21)*(($C$12+1) * $C$24 * $C$23)/1000000000*$C$22</f>
        <v>1476</v>
      </c>
      <c r="AE11" s="911">
        <f t="shared" ref="AE11:AE22" si="3">$C$22*($K$8*PRODUCT(I11-O11,L11,M11) + $M$8*PRODUCT(I11-Q11,J11,K11))/10^9 * ($C$24+1)</f>
        <v>992.25</v>
      </c>
      <c r="AF11" s="911">
        <f>$C$20*SUM($O$8:$V$8)*$C$23*$C$24/1000000</f>
        <v>3630.96</v>
      </c>
      <c r="AG11" s="911">
        <f t="shared" ref="AG11:AG22" si="4">$C$19*SUM($O$8:$V$8)*$C$23*$C$24/1000000</f>
        <v>7261.92</v>
      </c>
      <c r="AH11" s="911"/>
      <c r="AI11" s="912">
        <f>SUM(AB11:AF11)</f>
        <v>18675.96</v>
      </c>
      <c r="AJ11" s="912">
        <f t="shared" ref="AJ11:AJ22" si="5">AI11+$AJ$8*AG11</f>
        <v>20491.439999999999</v>
      </c>
      <c r="AK11" s="480">
        <f>SUM($I$11:I11)</f>
        <v>3900</v>
      </c>
      <c r="AL11" s="480">
        <f t="shared" ref="AL11:AL22" si="6">$C$27*1000-AK10</f>
        <v>20100</v>
      </c>
      <c r="AM11" s="913">
        <f t="shared" ref="AM11:AM22" si="7">AJ11*AL11^2/ $AM$9</f>
        <v>0.44458418758255813</v>
      </c>
      <c r="AO11" s="497">
        <f t="shared" ref="AO11:AO22" si="8">AM11*$C$34</f>
        <v>2593.7041503566443</v>
      </c>
    </row>
    <row r="12" spans="1:41" ht="19.5" customHeight="1" x14ac:dyDescent="0.25">
      <c r="B12" s="520" t="s">
        <v>75</v>
      </c>
      <c r="C12" s="1016">
        <v>3</v>
      </c>
      <c r="D12" s="521"/>
      <c r="G12" s="538" t="str">
        <f>"Level "&amp;H12+0&amp; " ("&amp;FIXED(SUM(I12:$I$23)/1000, 1)&amp;" m)"</f>
        <v>Level 4 (16.2 m)</v>
      </c>
      <c r="H12" s="515">
        <f t="shared" ref="H12:H20" si="9">H11-1</f>
        <v>4</v>
      </c>
      <c r="I12" s="516">
        <v>3900</v>
      </c>
      <c r="J12" s="517">
        <v>450</v>
      </c>
      <c r="K12" s="518">
        <v>600</v>
      </c>
      <c r="L12" s="517">
        <v>600</v>
      </c>
      <c r="M12" s="518">
        <v>600</v>
      </c>
      <c r="N12" s="517">
        <v>400</v>
      </c>
      <c r="O12" s="518">
        <v>750</v>
      </c>
      <c r="P12" s="517">
        <v>400</v>
      </c>
      <c r="Q12" s="518">
        <v>750</v>
      </c>
      <c r="R12" s="517">
        <v>400</v>
      </c>
      <c r="S12" s="518">
        <v>750</v>
      </c>
      <c r="T12" s="519"/>
      <c r="U12" s="519"/>
      <c r="V12" s="519"/>
      <c r="W12" s="519"/>
      <c r="X12" s="517">
        <v>400</v>
      </c>
      <c r="Y12" s="518">
        <v>750</v>
      </c>
      <c r="Z12" s="504"/>
      <c r="AB12" s="697">
        <f t="shared" si="0"/>
        <v>11346.75</v>
      </c>
      <c r="AC12" s="697">
        <f t="shared" si="1"/>
        <v>1230</v>
      </c>
      <c r="AD12" s="912">
        <f t="shared" si="2"/>
        <v>1476</v>
      </c>
      <c r="AE12" s="911">
        <f t="shared" si="3"/>
        <v>992.25</v>
      </c>
      <c r="AF12" s="911">
        <f t="shared" ref="AF12:AF22" si="10">$C$20*SUM($O$8:$V$8)*$C$23*$C$24/1000000</f>
        <v>3630.96</v>
      </c>
      <c r="AG12" s="911">
        <f t="shared" si="4"/>
        <v>7261.92</v>
      </c>
      <c r="AH12" s="911"/>
      <c r="AI12" s="912">
        <f t="shared" ref="AI12:AI22" si="11">SUM(AB12:AF12)</f>
        <v>18675.96</v>
      </c>
      <c r="AJ12" s="912">
        <f t="shared" si="5"/>
        <v>20491.439999999999</v>
      </c>
      <c r="AK12" s="480">
        <f>SUM($I$11:I12)</f>
        <v>7800</v>
      </c>
      <c r="AL12" s="480">
        <f t="shared" si="6"/>
        <v>16200</v>
      </c>
      <c r="AM12" s="913">
        <f t="shared" si="7"/>
        <v>0.28879650055485401</v>
      </c>
      <c r="AO12" s="497">
        <f t="shared" si="8"/>
        <v>1684.8387842370182</v>
      </c>
    </row>
    <row r="13" spans="1:41" ht="19.5" customHeight="1" x14ac:dyDescent="0.25">
      <c r="B13" s="520" t="s">
        <v>76</v>
      </c>
      <c r="C13" s="1016">
        <v>5</v>
      </c>
      <c r="D13" s="521"/>
      <c r="G13" s="538" t="str">
        <f>"Level "&amp;H13+0&amp; " ("&amp;FIXED(SUM(I13:$I$23)/1000, 1)&amp;" m)"</f>
        <v>Level 3 (12.3 m)</v>
      </c>
      <c r="H13" s="515">
        <f t="shared" si="9"/>
        <v>3</v>
      </c>
      <c r="I13" s="516">
        <v>3900</v>
      </c>
      <c r="J13" s="517">
        <v>450</v>
      </c>
      <c r="K13" s="518">
        <v>600</v>
      </c>
      <c r="L13" s="517">
        <v>600</v>
      </c>
      <c r="M13" s="518">
        <v>600</v>
      </c>
      <c r="N13" s="517">
        <v>400</v>
      </c>
      <c r="O13" s="518">
        <v>750</v>
      </c>
      <c r="P13" s="517">
        <v>400</v>
      </c>
      <c r="Q13" s="518">
        <v>750</v>
      </c>
      <c r="R13" s="517">
        <v>400</v>
      </c>
      <c r="S13" s="518">
        <v>750</v>
      </c>
      <c r="T13" s="519"/>
      <c r="U13" s="519"/>
      <c r="V13" s="519"/>
      <c r="W13" s="519"/>
      <c r="X13" s="517">
        <v>400</v>
      </c>
      <c r="Y13" s="518">
        <v>750</v>
      </c>
      <c r="Z13" s="504"/>
      <c r="AB13" s="697">
        <f t="shared" si="0"/>
        <v>11346.75</v>
      </c>
      <c r="AC13" s="697">
        <f t="shared" si="1"/>
        <v>1230</v>
      </c>
      <c r="AD13" s="912">
        <f t="shared" si="2"/>
        <v>1476</v>
      </c>
      <c r="AE13" s="911">
        <f t="shared" si="3"/>
        <v>992.25</v>
      </c>
      <c r="AF13" s="911">
        <f t="shared" si="10"/>
        <v>3630.96</v>
      </c>
      <c r="AG13" s="911">
        <f t="shared" si="4"/>
        <v>7261.92</v>
      </c>
      <c r="AH13" s="911"/>
      <c r="AI13" s="912">
        <f t="shared" si="11"/>
        <v>18675.96</v>
      </c>
      <c r="AJ13" s="912">
        <f t="shared" si="5"/>
        <v>20491.439999999999</v>
      </c>
      <c r="AK13" s="480">
        <f>SUM($I$11:I13)</f>
        <v>11700</v>
      </c>
      <c r="AL13" s="480">
        <f t="shared" si="6"/>
        <v>12300</v>
      </c>
      <c r="AM13" s="913">
        <f t="shared" si="7"/>
        <v>0.166483853714921</v>
      </c>
      <c r="AO13" s="497">
        <f t="shared" si="8"/>
        <v>971.26680257284909</v>
      </c>
    </row>
    <row r="14" spans="1:41" ht="19.5" customHeight="1" x14ac:dyDescent="0.25">
      <c r="B14" s="520" t="s">
        <v>77</v>
      </c>
      <c r="C14" s="14" t="s">
        <v>147</v>
      </c>
      <c r="D14" s="521"/>
      <c r="G14" s="538" t="str">
        <f>"Level "&amp;H14+0&amp; " ("&amp;FIXED(SUM(I14:$I$23)/1000, 1)&amp;" m)"</f>
        <v>Level 2 (8.4 m)</v>
      </c>
      <c r="H14" s="515">
        <f t="shared" si="9"/>
        <v>2</v>
      </c>
      <c r="I14" s="516">
        <v>3900</v>
      </c>
      <c r="J14" s="517">
        <v>450</v>
      </c>
      <c r="K14" s="518">
        <v>600</v>
      </c>
      <c r="L14" s="517">
        <v>600</v>
      </c>
      <c r="M14" s="518">
        <v>600</v>
      </c>
      <c r="N14" s="517">
        <v>400</v>
      </c>
      <c r="O14" s="518">
        <v>750</v>
      </c>
      <c r="P14" s="517">
        <v>400</v>
      </c>
      <c r="Q14" s="518">
        <v>750</v>
      </c>
      <c r="R14" s="517">
        <v>400</v>
      </c>
      <c r="S14" s="518">
        <v>750</v>
      </c>
      <c r="T14" s="519"/>
      <c r="U14" s="519"/>
      <c r="V14" s="519"/>
      <c r="W14" s="519"/>
      <c r="X14" s="517">
        <v>400</v>
      </c>
      <c r="Y14" s="518">
        <v>750</v>
      </c>
      <c r="Z14" s="504"/>
      <c r="AB14" s="697">
        <f t="shared" si="0"/>
        <v>11346.75</v>
      </c>
      <c r="AC14" s="697">
        <f t="shared" si="1"/>
        <v>1230</v>
      </c>
      <c r="AD14" s="912">
        <f t="shared" si="2"/>
        <v>1476</v>
      </c>
      <c r="AE14" s="911">
        <f t="shared" si="3"/>
        <v>992.25</v>
      </c>
      <c r="AF14" s="911">
        <f t="shared" si="10"/>
        <v>3630.96</v>
      </c>
      <c r="AG14" s="911">
        <f t="shared" si="4"/>
        <v>7261.92</v>
      </c>
      <c r="AH14" s="911"/>
      <c r="AI14" s="912">
        <f t="shared" si="11"/>
        <v>18675.96</v>
      </c>
      <c r="AJ14" s="912">
        <f t="shared" si="5"/>
        <v>20491.439999999999</v>
      </c>
      <c r="AK14" s="480">
        <f>SUM($I$11:I14)</f>
        <v>15600</v>
      </c>
      <c r="AL14" s="480">
        <f t="shared" si="6"/>
        <v>8400</v>
      </c>
      <c r="AM14" s="913">
        <f t="shared" si="7"/>
        <v>7.7646247062759105E-2</v>
      </c>
      <c r="AO14" s="497">
        <f t="shared" si="8"/>
        <v>452.9882053641366</v>
      </c>
    </row>
    <row r="15" spans="1:41" ht="19.5" customHeight="1" x14ac:dyDescent="0.25">
      <c r="B15" s="520" t="s">
        <v>78</v>
      </c>
      <c r="C15" s="1016">
        <v>1</v>
      </c>
      <c r="D15" s="521"/>
      <c r="G15" s="538" t="str">
        <f>"Level "&amp;H15+0&amp; " ("&amp;FIXED(SUM(I15:$I$23)/1000, 1)&amp;" m)"</f>
        <v>Level 1 (4.5 m)</v>
      </c>
      <c r="H15" s="515">
        <f t="shared" si="9"/>
        <v>1</v>
      </c>
      <c r="I15" s="516">
        <v>4500</v>
      </c>
      <c r="J15" s="517">
        <v>450</v>
      </c>
      <c r="K15" s="518">
        <v>600</v>
      </c>
      <c r="L15" s="517">
        <v>600</v>
      </c>
      <c r="M15" s="518">
        <v>600</v>
      </c>
      <c r="N15" s="517">
        <v>400</v>
      </c>
      <c r="O15" s="518">
        <v>750</v>
      </c>
      <c r="P15" s="517">
        <v>400</v>
      </c>
      <c r="Q15" s="518">
        <v>750</v>
      </c>
      <c r="R15" s="517">
        <v>400</v>
      </c>
      <c r="S15" s="518">
        <v>750</v>
      </c>
      <c r="T15" s="519"/>
      <c r="U15" s="519"/>
      <c r="V15" s="519"/>
      <c r="W15" s="519"/>
      <c r="X15" s="517">
        <v>400</v>
      </c>
      <c r="Y15" s="518">
        <v>750</v>
      </c>
      <c r="Z15" s="504"/>
      <c r="AB15" s="697">
        <f t="shared" si="0"/>
        <v>11346.75</v>
      </c>
      <c r="AC15" s="697">
        <f t="shared" si="1"/>
        <v>1230</v>
      </c>
      <c r="AD15" s="912">
        <f t="shared" si="2"/>
        <v>1476</v>
      </c>
      <c r="AE15" s="911">
        <f t="shared" si="3"/>
        <v>1181.25</v>
      </c>
      <c r="AF15" s="911">
        <f t="shared" si="10"/>
        <v>3630.96</v>
      </c>
      <c r="AG15" s="911">
        <f t="shared" si="4"/>
        <v>7261.92</v>
      </c>
      <c r="AH15" s="911"/>
      <c r="AI15" s="912">
        <f t="shared" si="11"/>
        <v>18864.96</v>
      </c>
      <c r="AJ15" s="912">
        <f t="shared" si="5"/>
        <v>20680.439999999999</v>
      </c>
      <c r="AK15" s="480">
        <f>SUM($I$11:I15)</f>
        <v>20100</v>
      </c>
      <c r="AL15" s="480">
        <f t="shared" si="6"/>
        <v>4500</v>
      </c>
      <c r="AM15" s="913">
        <f t="shared" si="7"/>
        <v>2.2489211084907701E-2</v>
      </c>
      <c r="AO15" s="497">
        <f t="shared" si="8"/>
        <v>131.20205746935153</v>
      </c>
    </row>
    <row r="16" spans="1:41" ht="19.5" customHeight="1" x14ac:dyDescent="0.25">
      <c r="B16" s="520" t="str">
        <f>IF(D2=1, "Performance factor, K (Table 5)", "RRF")</f>
        <v>RRF</v>
      </c>
      <c r="C16" s="1016">
        <v>5</v>
      </c>
      <c r="D16" s="521"/>
      <c r="G16" s="538" t="str">
        <f>"Level "&amp;H16+0&amp; " ("&amp;FIXED(SUM(I16:$I$23)/1000, 1)&amp;" m)"</f>
        <v>Level 0 (0.0 m)</v>
      </c>
      <c r="H16" s="515">
        <f t="shared" si="9"/>
        <v>0</v>
      </c>
      <c r="I16" s="516"/>
      <c r="J16" s="517"/>
      <c r="K16" s="518"/>
      <c r="L16" s="517"/>
      <c r="M16" s="518"/>
      <c r="N16" s="517"/>
      <c r="O16" s="518"/>
      <c r="P16" s="517"/>
      <c r="Q16" s="518"/>
      <c r="R16" s="517"/>
      <c r="S16" s="518"/>
      <c r="T16" s="519"/>
      <c r="U16" s="519"/>
      <c r="V16" s="519"/>
      <c r="W16" s="519"/>
      <c r="X16" s="517"/>
      <c r="Y16" s="518"/>
      <c r="Z16" s="504"/>
      <c r="AB16" s="697">
        <f t="shared" si="0"/>
        <v>11346.75</v>
      </c>
      <c r="AC16" s="697">
        <f t="shared" si="1"/>
        <v>0</v>
      </c>
      <c r="AD16" s="912">
        <f t="shared" si="2"/>
        <v>0</v>
      </c>
      <c r="AE16" s="911">
        <f t="shared" si="3"/>
        <v>0</v>
      </c>
      <c r="AF16" s="911">
        <f t="shared" si="10"/>
        <v>3630.96</v>
      </c>
      <c r="AG16" s="911">
        <f t="shared" si="4"/>
        <v>7261.92</v>
      </c>
      <c r="AH16" s="911"/>
      <c r="AI16" s="912">
        <f t="shared" si="11"/>
        <v>14977.71</v>
      </c>
      <c r="AJ16" s="912">
        <f t="shared" si="5"/>
        <v>16793.189999999999</v>
      </c>
      <c r="AK16" s="480">
        <f>SUM($I$11:I16)</f>
        <v>20100</v>
      </c>
      <c r="AL16" s="480">
        <f t="shared" si="6"/>
        <v>0</v>
      </c>
      <c r="AM16" s="913">
        <f t="shared" si="7"/>
        <v>0</v>
      </c>
      <c r="AO16" s="497">
        <f t="shared" si="8"/>
        <v>0</v>
      </c>
    </row>
    <row r="17" spans="1:41" ht="19.5" customHeight="1" x14ac:dyDescent="0.25">
      <c r="B17" s="520" t="s">
        <v>79</v>
      </c>
      <c r="C17" s="1017" t="s">
        <v>80</v>
      </c>
      <c r="D17" s="521"/>
      <c r="G17" s="538" t="str">
        <f>"Level "&amp;H17+0&amp; " ("&amp;FIXED(SUM(I17:$I$23)/1000, 1)&amp;" m)"</f>
        <v>Level -1 (0.0 m)</v>
      </c>
      <c r="H17" s="515">
        <f t="shared" si="9"/>
        <v>-1</v>
      </c>
      <c r="I17" s="516"/>
      <c r="J17" s="517"/>
      <c r="K17" s="518"/>
      <c r="L17" s="517"/>
      <c r="M17" s="518"/>
      <c r="N17" s="517"/>
      <c r="O17" s="518"/>
      <c r="P17" s="517"/>
      <c r="Q17" s="518"/>
      <c r="R17" s="517"/>
      <c r="S17" s="518"/>
      <c r="T17" s="519"/>
      <c r="U17" s="519"/>
      <c r="V17" s="519"/>
      <c r="W17" s="519"/>
      <c r="X17" s="517"/>
      <c r="Y17" s="518"/>
      <c r="Z17" s="504"/>
      <c r="AB17" s="697">
        <f t="shared" si="0"/>
        <v>11346.75</v>
      </c>
      <c r="AC17" s="697">
        <f t="shared" si="1"/>
        <v>0</v>
      </c>
      <c r="AD17" s="912">
        <f t="shared" si="2"/>
        <v>0</v>
      </c>
      <c r="AE17" s="911">
        <f t="shared" si="3"/>
        <v>0</v>
      </c>
      <c r="AF17" s="911">
        <f t="shared" si="10"/>
        <v>3630.96</v>
      </c>
      <c r="AG17" s="911">
        <f t="shared" si="4"/>
        <v>7261.92</v>
      </c>
      <c r="AH17" s="911"/>
      <c r="AI17" s="912">
        <f t="shared" si="11"/>
        <v>14977.71</v>
      </c>
      <c r="AJ17" s="912">
        <f t="shared" si="5"/>
        <v>16793.189999999999</v>
      </c>
      <c r="AK17" s="480">
        <f>SUM($I$11:I17)</f>
        <v>20100</v>
      </c>
      <c r="AL17" s="480">
        <f t="shared" si="6"/>
        <v>0</v>
      </c>
      <c r="AM17" s="913">
        <f t="shared" si="7"/>
        <v>0</v>
      </c>
      <c r="AO17" s="497">
        <f t="shared" si="8"/>
        <v>0</v>
      </c>
    </row>
    <row r="18" spans="1:41" ht="19.5" customHeight="1" x14ac:dyDescent="0.25">
      <c r="B18" s="520" t="s">
        <v>81</v>
      </c>
      <c r="C18" s="1017" t="s">
        <v>82</v>
      </c>
      <c r="D18" s="1018" t="str">
        <f>IF(C18="Rocky or Hard Soil", "A/B", IF(C18="Medium Soil", "C", IF(C18="Soft Soil", "D")))</f>
        <v>A/B</v>
      </c>
      <c r="G18" s="538" t="str">
        <f>"Level "&amp;H18+0&amp; " ("&amp;FIXED(SUM(I18:$I$23)/1000, 1)&amp;" m)"</f>
        <v>Level -2 (0.0 m)</v>
      </c>
      <c r="H18" s="515">
        <f t="shared" si="9"/>
        <v>-2</v>
      </c>
      <c r="I18" s="516"/>
      <c r="J18" s="517"/>
      <c r="K18" s="518"/>
      <c r="L18" s="517"/>
      <c r="M18" s="518"/>
      <c r="N18" s="517"/>
      <c r="O18" s="518"/>
      <c r="P18" s="517"/>
      <c r="Q18" s="518"/>
      <c r="R18" s="517"/>
      <c r="S18" s="518"/>
      <c r="T18" s="519"/>
      <c r="U18" s="519"/>
      <c r="V18" s="519"/>
      <c r="W18" s="519"/>
      <c r="X18" s="517"/>
      <c r="Y18" s="518"/>
      <c r="Z18" s="504"/>
      <c r="AB18" s="697">
        <f t="shared" si="0"/>
        <v>11346.75</v>
      </c>
      <c r="AC18" s="697">
        <f t="shared" si="1"/>
        <v>0</v>
      </c>
      <c r="AD18" s="912">
        <f t="shared" si="2"/>
        <v>0</v>
      </c>
      <c r="AE18" s="911">
        <f t="shared" si="3"/>
        <v>0</v>
      </c>
      <c r="AF18" s="911">
        <f t="shared" si="10"/>
        <v>3630.96</v>
      </c>
      <c r="AG18" s="911">
        <f t="shared" si="4"/>
        <v>7261.92</v>
      </c>
      <c r="AH18" s="911"/>
      <c r="AI18" s="912">
        <f t="shared" si="11"/>
        <v>14977.71</v>
      </c>
      <c r="AJ18" s="912">
        <f t="shared" si="5"/>
        <v>16793.189999999999</v>
      </c>
      <c r="AK18" s="480">
        <f>SUM($I$11:I18)</f>
        <v>20100</v>
      </c>
      <c r="AL18" s="480">
        <f t="shared" si="6"/>
        <v>0</v>
      </c>
      <c r="AM18" s="913">
        <f t="shared" si="7"/>
        <v>0</v>
      </c>
      <c r="AO18" s="497">
        <f t="shared" si="8"/>
        <v>0</v>
      </c>
    </row>
    <row r="19" spans="1:41" ht="19.5" customHeight="1" x14ac:dyDescent="0.25">
      <c r="B19" s="520" t="s">
        <v>44</v>
      </c>
      <c r="C19" s="1016">
        <v>4</v>
      </c>
      <c r="D19" s="521" t="s">
        <v>83</v>
      </c>
      <c r="G19" s="538" t="str">
        <f>"Level "&amp;H19+0&amp; " ("&amp;FIXED(SUM(I19:$I$23)/1000, 1)&amp;" m)"</f>
        <v>Level -3 (0.0 m)</v>
      </c>
      <c r="H19" s="515">
        <f t="shared" si="9"/>
        <v>-3</v>
      </c>
      <c r="I19" s="516"/>
      <c r="J19" s="517"/>
      <c r="K19" s="518"/>
      <c r="L19" s="517"/>
      <c r="M19" s="518"/>
      <c r="N19" s="517"/>
      <c r="O19" s="518"/>
      <c r="P19" s="517"/>
      <c r="Q19" s="518"/>
      <c r="R19" s="517"/>
      <c r="S19" s="518"/>
      <c r="T19" s="519"/>
      <c r="U19" s="519"/>
      <c r="V19" s="519"/>
      <c r="W19" s="519"/>
      <c r="X19" s="517"/>
      <c r="Y19" s="518"/>
      <c r="Z19" s="504"/>
      <c r="AB19" s="697">
        <f t="shared" si="0"/>
        <v>11346.75</v>
      </c>
      <c r="AC19" s="697">
        <f t="shared" si="1"/>
        <v>0</v>
      </c>
      <c r="AD19" s="912">
        <f t="shared" si="2"/>
        <v>0</v>
      </c>
      <c r="AE19" s="911">
        <f t="shared" si="3"/>
        <v>0</v>
      </c>
      <c r="AF19" s="911">
        <f t="shared" si="10"/>
        <v>3630.96</v>
      </c>
      <c r="AG19" s="911">
        <f t="shared" si="4"/>
        <v>7261.92</v>
      </c>
      <c r="AH19" s="911"/>
      <c r="AI19" s="912">
        <f t="shared" si="11"/>
        <v>14977.71</v>
      </c>
      <c r="AJ19" s="912">
        <f t="shared" si="5"/>
        <v>16793.189999999999</v>
      </c>
      <c r="AK19" s="480">
        <f>SUM($I$11:I19)</f>
        <v>20100</v>
      </c>
      <c r="AL19" s="480">
        <f t="shared" si="6"/>
        <v>0</v>
      </c>
      <c r="AM19" s="913">
        <f t="shared" si="7"/>
        <v>0</v>
      </c>
      <c r="AO19" s="497">
        <f t="shared" si="8"/>
        <v>0</v>
      </c>
    </row>
    <row r="20" spans="1:41" ht="19.5" customHeight="1" x14ac:dyDescent="0.25">
      <c r="B20" s="520" t="s">
        <v>84</v>
      </c>
      <c r="C20" s="1016">
        <v>2</v>
      </c>
      <c r="D20" s="521" t="s">
        <v>83</v>
      </c>
      <c r="G20" s="538" t="str">
        <f>"Level "&amp;H20+0&amp; " ("&amp;FIXED(SUM(I20:$I$23)/1000, 1)&amp;" m)"</f>
        <v>Level -4 (0.0 m)</v>
      </c>
      <c r="H20" s="515">
        <f t="shared" si="9"/>
        <v>-4</v>
      </c>
      <c r="I20" s="516"/>
      <c r="J20" s="517"/>
      <c r="K20" s="518"/>
      <c r="L20" s="517"/>
      <c r="M20" s="518"/>
      <c r="N20" s="517"/>
      <c r="O20" s="518"/>
      <c r="P20" s="517"/>
      <c r="Q20" s="518"/>
      <c r="R20" s="517"/>
      <c r="S20" s="518"/>
      <c r="T20" s="519"/>
      <c r="U20" s="519"/>
      <c r="V20" s="519"/>
      <c r="W20" s="519"/>
      <c r="X20" s="517"/>
      <c r="Y20" s="518"/>
      <c r="Z20" s="504"/>
      <c r="AB20" s="697">
        <f t="shared" si="0"/>
        <v>11346.75</v>
      </c>
      <c r="AC20" s="697">
        <f t="shared" si="1"/>
        <v>0</v>
      </c>
      <c r="AD20" s="912">
        <f t="shared" si="2"/>
        <v>0</v>
      </c>
      <c r="AE20" s="911">
        <f t="shared" si="3"/>
        <v>0</v>
      </c>
      <c r="AF20" s="911">
        <f t="shared" si="10"/>
        <v>3630.96</v>
      </c>
      <c r="AG20" s="911">
        <f t="shared" si="4"/>
        <v>7261.92</v>
      </c>
      <c r="AH20" s="911"/>
      <c r="AI20" s="912">
        <f t="shared" si="11"/>
        <v>14977.71</v>
      </c>
      <c r="AJ20" s="912">
        <f t="shared" si="5"/>
        <v>16793.189999999999</v>
      </c>
      <c r="AK20" s="480">
        <f>SUM($I$11:I20)</f>
        <v>20100</v>
      </c>
      <c r="AL20" s="480">
        <f t="shared" si="6"/>
        <v>0</v>
      </c>
      <c r="AM20" s="913">
        <f t="shared" si="7"/>
        <v>0</v>
      </c>
      <c r="AO20" s="497">
        <f t="shared" si="8"/>
        <v>0</v>
      </c>
    </row>
    <row r="21" spans="1:41" ht="19.5" customHeight="1" x14ac:dyDescent="0.25">
      <c r="B21" s="520" t="s">
        <v>85</v>
      </c>
      <c r="C21" s="1016">
        <v>250</v>
      </c>
      <c r="D21" s="521" t="s">
        <v>86</v>
      </c>
      <c r="G21" s="538" t="str">
        <f>"Level "&amp;H21+0&amp; " ("&amp;FIXED(SUM(I21:$I$23)/1000, 1)&amp;" m)"</f>
        <v>Level -5 (0.0 m)</v>
      </c>
      <c r="H21" s="515">
        <f>H20-1</f>
        <v>-5</v>
      </c>
      <c r="I21" s="516"/>
      <c r="J21" s="517"/>
      <c r="K21" s="518"/>
      <c r="L21" s="517"/>
      <c r="M21" s="518"/>
      <c r="N21" s="517"/>
      <c r="O21" s="518"/>
      <c r="P21" s="517"/>
      <c r="Q21" s="518"/>
      <c r="R21" s="517"/>
      <c r="S21" s="518"/>
      <c r="T21" s="519"/>
      <c r="U21" s="519"/>
      <c r="V21" s="519"/>
      <c r="W21" s="519"/>
      <c r="X21" s="517"/>
      <c r="Y21" s="518"/>
      <c r="Z21" s="504"/>
      <c r="AB21" s="697">
        <f t="shared" si="0"/>
        <v>11346.75</v>
      </c>
      <c r="AC21" s="697">
        <f t="shared" si="1"/>
        <v>0</v>
      </c>
      <c r="AD21" s="912">
        <f t="shared" si="2"/>
        <v>0</v>
      </c>
      <c r="AE21" s="911">
        <f t="shared" si="3"/>
        <v>0</v>
      </c>
      <c r="AF21" s="911">
        <f t="shared" si="10"/>
        <v>3630.96</v>
      </c>
      <c r="AG21" s="911">
        <f t="shared" si="4"/>
        <v>7261.92</v>
      </c>
      <c r="AH21" s="911"/>
      <c r="AI21" s="912">
        <f t="shared" si="11"/>
        <v>14977.71</v>
      </c>
      <c r="AJ21" s="912">
        <f t="shared" si="5"/>
        <v>16793.189999999999</v>
      </c>
      <c r="AK21" s="480">
        <f>SUM($I$11:I21)</f>
        <v>20100</v>
      </c>
      <c r="AL21" s="480">
        <f t="shared" si="6"/>
        <v>0</v>
      </c>
      <c r="AM21" s="913">
        <f t="shared" si="7"/>
        <v>0</v>
      </c>
      <c r="AO21" s="497">
        <f t="shared" si="8"/>
        <v>0</v>
      </c>
    </row>
    <row r="22" spans="1:41" ht="19.5" customHeight="1" x14ac:dyDescent="0.25">
      <c r="B22" s="520" t="s">
        <v>87</v>
      </c>
      <c r="C22" s="1016">
        <v>25</v>
      </c>
      <c r="D22" s="521" t="s">
        <v>88</v>
      </c>
      <c r="G22" s="538" t="str">
        <f>"Level "&amp;H22+0&amp; " ("&amp;FIXED(SUM(I22:$I$23)/1000, 1)&amp;" m)"</f>
        <v>Level -6 (0.0 m)</v>
      </c>
      <c r="H22" s="515">
        <f>H21-1</f>
        <v>-6</v>
      </c>
      <c r="I22" s="516"/>
      <c r="J22" s="517"/>
      <c r="K22" s="518"/>
      <c r="L22" s="517"/>
      <c r="M22" s="518"/>
      <c r="N22" s="517"/>
      <c r="O22" s="518"/>
      <c r="P22" s="517"/>
      <c r="Q22" s="518"/>
      <c r="R22" s="517"/>
      <c r="S22" s="518"/>
      <c r="T22" s="519"/>
      <c r="U22" s="519"/>
      <c r="V22" s="519"/>
      <c r="W22" s="519"/>
      <c r="X22" s="517"/>
      <c r="Y22" s="518"/>
      <c r="Z22" s="504"/>
      <c r="AB22" s="697">
        <f t="shared" si="0"/>
        <v>11346.75</v>
      </c>
      <c r="AC22" s="697">
        <f t="shared" si="1"/>
        <v>0</v>
      </c>
      <c r="AD22" s="912">
        <f t="shared" si="2"/>
        <v>0</v>
      </c>
      <c r="AE22" s="911">
        <f t="shared" si="3"/>
        <v>0</v>
      </c>
      <c r="AF22" s="911">
        <f t="shared" si="10"/>
        <v>3630.96</v>
      </c>
      <c r="AG22" s="911">
        <f t="shared" si="4"/>
        <v>7261.92</v>
      </c>
      <c r="AH22" s="911"/>
      <c r="AI22" s="912">
        <f t="shared" si="11"/>
        <v>14977.71</v>
      </c>
      <c r="AJ22" s="912">
        <f t="shared" si="5"/>
        <v>16793.189999999999</v>
      </c>
      <c r="AK22" s="480">
        <f>SUM($I$11:I22)</f>
        <v>20100</v>
      </c>
      <c r="AL22" s="480">
        <f t="shared" si="6"/>
        <v>0</v>
      </c>
      <c r="AM22" s="913">
        <f t="shared" si="7"/>
        <v>0</v>
      </c>
      <c r="AO22" s="497">
        <f t="shared" si="8"/>
        <v>0</v>
      </c>
    </row>
    <row r="23" spans="1:41" s="514" customFormat="1" ht="19.5" customHeight="1" thickBot="1" x14ac:dyDescent="0.3">
      <c r="A23" s="480"/>
      <c r="B23" s="520" t="s">
        <v>89</v>
      </c>
      <c r="C23" s="1016">
        <v>8200</v>
      </c>
      <c r="D23" s="521" t="s">
        <v>86</v>
      </c>
      <c r="E23" s="480"/>
      <c r="F23" s="480"/>
      <c r="G23" s="538" t="str">
        <f>"Level "&amp;H23+0&amp; " ("&amp;FIXED(SUM(I23:$I$23)/1000, 1)&amp;" m)"</f>
        <v>Level -7 (0.0 m)</v>
      </c>
      <c r="H23" s="515">
        <f>H22-1</f>
        <v>-7</v>
      </c>
      <c r="I23" s="515"/>
      <c r="J23" s="522"/>
      <c r="K23" s="523"/>
      <c r="L23" s="522"/>
      <c r="M23" s="523"/>
      <c r="N23" s="522"/>
      <c r="O23" s="523"/>
      <c r="P23" s="522"/>
      <c r="Q23" s="523"/>
      <c r="R23" s="522"/>
      <c r="S23" s="523"/>
      <c r="T23" s="504"/>
      <c r="U23" s="504"/>
      <c r="V23" s="504"/>
      <c r="W23" s="504"/>
      <c r="X23" s="504"/>
      <c r="Y23" s="504"/>
      <c r="Z23" s="504"/>
      <c r="AA23" s="480"/>
      <c r="AB23" s="480"/>
      <c r="AJ23" s="914">
        <f ca="1">SUM(OFFSET(AJ11,0,0,C13))</f>
        <v>102646.2</v>
      </c>
    </row>
    <row r="24" spans="1:41" ht="16.5" thickBot="1" x14ac:dyDescent="0.3">
      <c r="A24" s="514"/>
      <c r="B24" s="520" t="s">
        <v>90</v>
      </c>
      <c r="C24" s="1016">
        <v>9</v>
      </c>
      <c r="D24" s="521"/>
      <c r="G24" s="515"/>
      <c r="H24" s="524" t="s">
        <v>91</v>
      </c>
      <c r="I24" s="525"/>
      <c r="J24" s="526"/>
      <c r="K24" s="527"/>
      <c r="L24" s="526"/>
      <c r="M24" s="527"/>
      <c r="N24" s="526"/>
      <c r="O24" s="527"/>
      <c r="P24" s="526"/>
      <c r="Q24" s="527"/>
      <c r="R24" s="526"/>
      <c r="S24" s="527"/>
      <c r="T24" s="528"/>
      <c r="U24" s="504"/>
      <c r="V24" s="504"/>
      <c r="W24" s="504"/>
      <c r="X24" s="504"/>
      <c r="Y24" s="504"/>
      <c r="Z24" s="504"/>
    </row>
    <row r="25" spans="1:41" ht="19.5" thickBot="1" x14ac:dyDescent="0.35">
      <c r="B25" s="529"/>
      <c r="C25" s="530"/>
      <c r="D25" s="531"/>
      <c r="G25" s="504"/>
      <c r="H25" s="532"/>
      <c r="I25" s="533" t="s">
        <v>92</v>
      </c>
      <c r="J25" s="504"/>
      <c r="K25" s="504"/>
      <c r="L25" s="504"/>
      <c r="M25" s="504"/>
      <c r="N25" s="533" t="s">
        <v>93</v>
      </c>
      <c r="O25" s="504"/>
      <c r="P25" s="504"/>
      <c r="Q25" s="504"/>
      <c r="R25" s="533" t="s">
        <v>94</v>
      </c>
      <c r="S25" s="504"/>
      <c r="T25" s="534"/>
      <c r="U25" s="504"/>
      <c r="V25" s="504"/>
      <c r="W25" s="642" t="s">
        <v>95</v>
      </c>
      <c r="X25" s="643"/>
      <c r="Y25" s="648"/>
      <c r="Z25" s="504"/>
    </row>
    <row r="26" spans="1:41" ht="18.75" x14ac:dyDescent="0.3">
      <c r="B26" s="535"/>
      <c r="C26" s="536"/>
      <c r="D26" s="502"/>
      <c r="G26" s="504"/>
      <c r="H26" s="537"/>
      <c r="I26" s="538" t="s">
        <v>96</v>
      </c>
      <c r="J26" s="539">
        <f>($C$22*$C$21*(C23*C24)*(SUM(O8:W8))/10^9)</f>
        <v>11346.75</v>
      </c>
      <c r="K26" s="504" t="s">
        <v>40</v>
      </c>
      <c r="L26" s="504"/>
      <c r="M26" s="504"/>
      <c r="N26" s="538" t="s">
        <v>97</v>
      </c>
      <c r="O26" s="504">
        <f>$C$22*((O8*SUMPRODUCT(N11:N22,O11:O22-$C$21))+(Q8*SUMPRODUCT(P11:P22,Q11:Q22-$C$21))+(S8*SUMPRODUCT(R11:R22,S11:S22-$C$21))+(U8*SUMPRODUCT(T11:T22,U11:U22-$C$21))+(W8*SUMPRODUCT(V11:V22,W11:W22-$C$21)))/10^9</f>
        <v>615</v>
      </c>
      <c r="P26" s="504" t="s">
        <v>40</v>
      </c>
      <c r="Q26" s="504"/>
      <c r="R26" s="540" t="s">
        <v>98</v>
      </c>
      <c r="S26" s="541">
        <f>$C$22*($M$8*SUMPRODUCT(I11:I22-O11:O22,L11:L22,M11:M22) + $K$8*SUMPRODUCT(I11:I22-Q11:Q22,J11:J22,K11:K22))/10^9</f>
        <v>515.02499999999998</v>
      </c>
      <c r="T26" s="542" t="s">
        <v>40</v>
      </c>
      <c r="U26" s="504"/>
      <c r="V26" s="539"/>
      <c r="W26" s="644" t="s">
        <v>99</v>
      </c>
      <c r="X26" s="645">
        <f>(N11*C21*(O8*C12*(C24+1) + C23*C24*(C12+1)))*C13/10^9*25</f>
        <v>6765.0000000000009</v>
      </c>
      <c r="Y26" s="649" t="s">
        <v>40</v>
      </c>
    </row>
    <row r="27" spans="1:41" ht="19.5" thickBot="1" x14ac:dyDescent="0.35">
      <c r="B27" s="504" t="s">
        <v>100</v>
      </c>
      <c r="C27" s="504">
        <f>SUM(I11:I22)/1000</f>
        <v>20.100000000000001</v>
      </c>
      <c r="D27" s="504" t="s">
        <v>101</v>
      </c>
      <c r="E27" s="504"/>
      <c r="F27" s="539">
        <f>C33*6.25/4</f>
        <v>56734.375</v>
      </c>
      <c r="G27" s="504"/>
      <c r="H27" s="532"/>
      <c r="I27" s="543" t="s">
        <v>102</v>
      </c>
      <c r="J27" s="543">
        <f>$C$13*J26</f>
        <v>56733.75</v>
      </c>
      <c r="K27" s="543" t="s">
        <v>40</v>
      </c>
      <c r="L27" s="504"/>
      <c r="M27" s="504"/>
      <c r="N27" s="544" t="s">
        <v>103</v>
      </c>
      <c r="O27" s="543">
        <f>O26*($C$24+1)</f>
        <v>6150</v>
      </c>
      <c r="P27" s="543" t="s">
        <v>40</v>
      </c>
      <c r="Q27" s="504"/>
      <c r="R27" s="543" t="s">
        <v>104</v>
      </c>
      <c r="S27" s="545">
        <f>S26*($C$24+1)</f>
        <v>5150.25</v>
      </c>
      <c r="T27" s="546" t="s">
        <v>40</v>
      </c>
      <c r="U27" s="504"/>
      <c r="V27" s="539"/>
      <c r="W27" s="646" t="s">
        <v>66</v>
      </c>
      <c r="X27" s="647">
        <f>(SUMPRODUCT(L11:L22,M11:M22,O11:O22)+SUMPRODUCT(J11:J22,K11:K22,O11:O22))*2*(C24+1)/10^9*25</f>
        <v>1181.25</v>
      </c>
      <c r="Y27" s="650" t="s">
        <v>40</v>
      </c>
    </row>
    <row r="28" spans="1:41" ht="18.75" x14ac:dyDescent="0.3">
      <c r="B28" s="547" t="s">
        <v>105</v>
      </c>
      <c r="C28" s="548">
        <f>IF(OR($D$2=2,$D$2=3),Vb!B22,IF($D$2=1,Vb!M22,IF($D$2=4,Vb!B55,"")))</f>
        <v>0.7119644460449811</v>
      </c>
      <c r="D28" s="504"/>
      <c r="E28" s="504"/>
      <c r="F28" s="504"/>
      <c r="G28" s="504"/>
      <c r="H28" s="532"/>
      <c r="I28" s="504"/>
      <c r="J28" s="504"/>
      <c r="K28" s="504"/>
      <c r="L28" s="504"/>
      <c r="M28" s="504"/>
      <c r="N28" s="504"/>
      <c r="O28" s="504"/>
      <c r="P28" s="504"/>
      <c r="Q28" s="504"/>
      <c r="R28" s="504"/>
      <c r="S28" s="504"/>
      <c r="T28" s="534"/>
      <c r="U28" s="504"/>
      <c r="V28" s="667"/>
      <c r="W28" s="641" t="s">
        <v>106</v>
      </c>
      <c r="X28" s="640">
        <f>X26+X27+H3</f>
        <v>101515.05</v>
      </c>
      <c r="Y28" s="639" t="s">
        <v>40</v>
      </c>
      <c r="Z28" s="668" t="s">
        <v>107</v>
      </c>
    </row>
    <row r="29" spans="1:41" ht="16.5" thickBot="1" x14ac:dyDescent="0.3">
      <c r="B29" s="549" t="s">
        <v>108</v>
      </c>
      <c r="C29" s="550">
        <f>IF(OR($D$2=2,$D$2=3),Vb!B23,IF($D$2=1,Vb!M23,IF($D$2=4,Vb!B56,"")))</f>
        <v>0.7119644460449811</v>
      </c>
      <c r="D29" s="504"/>
      <c r="E29" s="504"/>
      <c r="F29" s="504"/>
      <c r="G29" s="504"/>
      <c r="H29" s="532"/>
      <c r="I29" s="533" t="s">
        <v>109</v>
      </c>
      <c r="J29" s="504"/>
      <c r="K29" s="504"/>
      <c r="L29" s="504"/>
      <c r="M29" s="504"/>
      <c r="N29" s="538" t="s">
        <v>110</v>
      </c>
      <c r="O29" s="504">
        <f>$C$22*($C$24*C23*SUMPRODUCT(X11:X22,(Y11:Y22-$C$21))/10^9)</f>
        <v>1845</v>
      </c>
      <c r="P29" s="504" t="s">
        <v>40</v>
      </c>
      <c r="Q29" s="504"/>
      <c r="R29" s="504"/>
      <c r="S29" s="504"/>
      <c r="T29" s="534"/>
      <c r="U29" s="504"/>
      <c r="V29" s="504"/>
      <c r="W29" s="504"/>
      <c r="X29" s="504"/>
      <c r="Y29" s="504"/>
      <c r="Z29" s="672">
        <f>X28/H3-1</f>
        <v>8.4924141380460227E-2</v>
      </c>
    </row>
    <row r="30" spans="1:41" ht="17.25" thickTop="1" thickBot="1" x14ac:dyDescent="0.3">
      <c r="B30" s="510"/>
      <c r="C30" s="551"/>
      <c r="D30" s="504"/>
      <c r="E30" s="504"/>
      <c r="F30" s="504"/>
      <c r="G30" s="504"/>
      <c r="H30" s="532"/>
      <c r="I30" s="544" t="s">
        <v>84</v>
      </c>
      <c r="J30" s="545">
        <f>J27*($C$20/($C$21*$C$22/1000))</f>
        <v>18154.8</v>
      </c>
      <c r="K30" s="543" t="s">
        <v>40</v>
      </c>
      <c r="L30" s="504"/>
      <c r="M30" s="504"/>
      <c r="N30" s="544" t="s">
        <v>111</v>
      </c>
      <c r="O30" s="543">
        <f>O29*($C$12+1)</f>
        <v>7380</v>
      </c>
      <c r="P30" s="543" t="s">
        <v>40</v>
      </c>
      <c r="Q30" s="504"/>
      <c r="R30" s="504"/>
      <c r="S30" s="504"/>
      <c r="T30" s="534"/>
      <c r="U30" s="504"/>
      <c r="V30" s="655"/>
      <c r="W30" s="656" t="s">
        <v>112</v>
      </c>
      <c r="X30" s="657">
        <f>25*(1-X26/(X26+O27+O30))</f>
        <v>16.666666666666664</v>
      </c>
      <c r="Y30" s="658" t="s">
        <v>113</v>
      </c>
    </row>
    <row r="31" spans="1:41" ht="16.5" thickBot="1" x14ac:dyDescent="0.3">
      <c r="B31" s="552" t="s">
        <v>114</v>
      </c>
      <c r="C31" s="553"/>
      <c r="D31" s="504"/>
      <c r="E31" s="554" t="s">
        <v>115</v>
      </c>
      <c r="F31" s="504"/>
      <c r="G31" s="504"/>
      <c r="H31" s="549"/>
      <c r="I31" s="555" t="s">
        <v>116</v>
      </c>
      <c r="J31" s="556">
        <f>J27*($C$19/($C$21*$C$22/1000))</f>
        <v>36309.599999999999</v>
      </c>
      <c r="K31" s="557" t="s">
        <v>40</v>
      </c>
      <c r="L31" s="558"/>
      <c r="M31" s="558"/>
      <c r="N31" s="558"/>
      <c r="O31" s="558"/>
      <c r="P31" s="558"/>
      <c r="Q31" s="558"/>
      <c r="R31" s="558"/>
      <c r="S31" s="558"/>
      <c r="T31" s="559"/>
      <c r="U31" s="504"/>
      <c r="V31" s="659"/>
      <c r="W31" s="651" t="s">
        <v>117</v>
      </c>
      <c r="X31" s="654">
        <f>25*(1-X27/(X27+S27))</f>
        <v>20.335820895522389</v>
      </c>
      <c r="Y31" s="660" t="s">
        <v>113</v>
      </c>
    </row>
    <row r="32" spans="1:41" ht="19.5" thickBot="1" x14ac:dyDescent="0.35">
      <c r="B32" s="560" t="s">
        <v>118</v>
      </c>
      <c r="C32" s="561">
        <v>97863</v>
      </c>
      <c r="D32" s="504"/>
      <c r="E32" s="562">
        <f>(C32-H3)/H3</f>
        <v>4.5893502962525937E-2</v>
      </c>
      <c r="F32" s="563" t="str">
        <f>IF(ABS(E32)&lt;5%, "OK!", "CHECK!")</f>
        <v>OK!</v>
      </c>
      <c r="G32" s="712" t="str">
        <f>IF(ABS(X28-C32) &lt; 50, "REVISE DENSITY IN ETABS!","OK!")</f>
        <v>OK!</v>
      </c>
      <c r="H32" s="504"/>
      <c r="I32" s="504"/>
      <c r="J32" s="504"/>
      <c r="K32" s="504"/>
      <c r="L32" s="504"/>
      <c r="M32" s="504"/>
      <c r="N32" s="504"/>
      <c r="O32" s="504"/>
      <c r="P32" s="504"/>
      <c r="Q32" s="504"/>
      <c r="R32" s="504"/>
      <c r="S32" s="504"/>
      <c r="T32" s="504"/>
      <c r="U32" s="504"/>
      <c r="V32" s="661"/>
      <c r="W32" s="652" t="s">
        <v>119</v>
      </c>
      <c r="X32" s="653"/>
      <c r="Y32" s="662"/>
      <c r="Z32" s="504"/>
    </row>
    <row r="33" spans="2:27" ht="19.5" thickBot="1" x14ac:dyDescent="0.35">
      <c r="B33" s="560" t="s">
        <v>120</v>
      </c>
      <c r="C33" s="561">
        <v>36310</v>
      </c>
      <c r="D33" s="504"/>
      <c r="E33" s="564">
        <f>(C33-H4)/H4</f>
        <v>1.1016370326344967E-5</v>
      </c>
      <c r="F33" s="563" t="str">
        <f>IF(ABS(E33)&lt;5%, "OK!", "CHECK!")</f>
        <v>OK!</v>
      </c>
      <c r="H33" s="524" t="s">
        <v>121</v>
      </c>
      <c r="I33" s="565"/>
      <c r="J33" s="565"/>
      <c r="K33" s="565"/>
      <c r="L33" s="565"/>
      <c r="M33" s="565"/>
      <c r="N33" s="565"/>
      <c r="O33" s="565"/>
      <c r="P33" s="565"/>
      <c r="Q33" s="565"/>
      <c r="R33" s="565"/>
      <c r="S33" s="565"/>
      <c r="T33" s="528"/>
      <c r="U33" s="504"/>
      <c r="V33" s="663"/>
      <c r="W33" s="664" t="s">
        <v>122</v>
      </c>
      <c r="X33" s="665">
        <f>25*(1-(X26+X27)/(X26+X27+O27+S27+O30))</f>
        <v>17.53915272379021</v>
      </c>
      <c r="Y33" s="666" t="s">
        <v>113</v>
      </c>
      <c r="Z33" s="504">
        <v>18.8</v>
      </c>
      <c r="AA33" s="480" t="s">
        <v>113</v>
      </c>
    </row>
    <row r="34" spans="2:27" ht="18.75" x14ac:dyDescent="0.3">
      <c r="B34" s="560" t="s">
        <v>123</v>
      </c>
      <c r="C34" s="561">
        <v>5834</v>
      </c>
      <c r="D34" s="504"/>
      <c r="E34" s="562">
        <f>(C34-C38)/C38</f>
        <v>-5.5181623573687293E-3</v>
      </c>
      <c r="F34" s="563" t="str">
        <f>IF(ABS(E34)&lt;5%, "OK!", "CHECK!")</f>
        <v>OK!</v>
      </c>
      <c r="H34" s="532"/>
      <c r="I34" s="533" t="s">
        <v>92</v>
      </c>
      <c r="J34" s="504"/>
      <c r="K34" s="504"/>
      <c r="L34" s="504"/>
      <c r="M34" s="504"/>
      <c r="N34" s="533" t="s">
        <v>93</v>
      </c>
      <c r="O34" s="504"/>
      <c r="P34" s="504"/>
      <c r="Q34" s="504"/>
      <c r="R34" s="533" t="s">
        <v>94</v>
      </c>
      <c r="S34" s="504"/>
      <c r="T34" s="534"/>
      <c r="U34" s="504"/>
      <c r="V34" s="504"/>
      <c r="W34" s="504"/>
      <c r="X34" s="504"/>
      <c r="Y34" s="504"/>
      <c r="Z34" s="504"/>
    </row>
    <row r="35" spans="2:27" ht="19.5" thickBot="1" x14ac:dyDescent="0.35">
      <c r="B35" s="566" t="s">
        <v>124</v>
      </c>
      <c r="C35" s="567">
        <v>5834</v>
      </c>
      <c r="D35" s="504"/>
      <c r="E35" s="564">
        <f>(C35-C39)/C39</f>
        <v>-5.5181623573687293E-3</v>
      </c>
      <c r="F35" s="563" t="str">
        <f>IF(ABS(E35)&lt;5%, "OK!", "CHECK!")</f>
        <v>OK!</v>
      </c>
      <c r="H35" s="532"/>
      <c r="I35" s="504" t="s">
        <v>96</v>
      </c>
      <c r="J35" s="568">
        <f>($C$22*$C$21*(C23)*(SUM(O8:W8))/10^9)</f>
        <v>1260.75</v>
      </c>
      <c r="K35" s="504" t="s">
        <v>40</v>
      </c>
      <c r="L35" s="504"/>
      <c r="M35" s="504"/>
      <c r="N35" s="538" t="s">
        <v>97</v>
      </c>
      <c r="O35" s="504">
        <f>$C$22*((O8*SUMPRODUCT(N11:N22,O11:O22-$C$21))+(Q8*SUMPRODUCT(P11:P22,Q11:Q22-$C$21))+(S8*SUMPRODUCT(R11:R22,S11:S22-$C$21))+(U8*SUMPRODUCT(T11:T22,U11:U22-$C$21))+(W8*SUMPRODUCT(V11:V22,W11:W22-$C$21)))/10^9</f>
        <v>615</v>
      </c>
      <c r="P35" s="504" t="s">
        <v>40</v>
      </c>
      <c r="Q35" s="504"/>
      <c r="R35" s="540" t="s">
        <v>125</v>
      </c>
      <c r="S35" s="541">
        <f>$C$22*($K$8*SUMPRODUCT(I11:I22-O11:O22,L11:L22,M11:M22) + $M$8*SUMPRODUCT(I11:I22-Q11:Q22,J11:J22,K11:K22))/10^9</f>
        <v>515.02499999999998</v>
      </c>
      <c r="T35" s="542" t="s">
        <v>40</v>
      </c>
      <c r="U35" s="504"/>
      <c r="V35" s="504"/>
      <c r="W35" s="504"/>
      <c r="X35" s="504"/>
      <c r="Y35" s="504"/>
      <c r="Z35" s="504"/>
    </row>
    <row r="36" spans="2:27" ht="19.5" thickBot="1" x14ac:dyDescent="0.35">
      <c r="B36" s="504"/>
      <c r="C36" s="504"/>
      <c r="D36" s="504"/>
      <c r="E36" s="504"/>
      <c r="F36" s="563"/>
      <c r="H36" s="532"/>
      <c r="I36" s="543" t="s">
        <v>102</v>
      </c>
      <c r="J36" s="543">
        <f>$C$13*J35</f>
        <v>6303.75</v>
      </c>
      <c r="K36" s="543" t="s">
        <v>40</v>
      </c>
      <c r="L36" s="504"/>
      <c r="M36" s="504"/>
      <c r="N36" s="544" t="s">
        <v>103</v>
      </c>
      <c r="O36" s="543">
        <f>O35*(1)</f>
        <v>615</v>
      </c>
      <c r="P36" s="543" t="s">
        <v>40</v>
      </c>
      <c r="Q36" s="504"/>
      <c r="R36" s="543" t="s">
        <v>104</v>
      </c>
      <c r="S36" s="545">
        <f>S35*(1)</f>
        <v>515.02499999999998</v>
      </c>
      <c r="T36" s="546" t="s">
        <v>40</v>
      </c>
      <c r="U36" s="504"/>
      <c r="V36" s="504"/>
      <c r="W36" s="504"/>
      <c r="X36" s="504"/>
      <c r="Y36" s="504"/>
      <c r="Z36" s="504"/>
    </row>
    <row r="37" spans="2:27" ht="18.75" x14ac:dyDescent="0.3">
      <c r="B37" s="569" t="s">
        <v>126</v>
      </c>
      <c r="C37" s="553"/>
      <c r="D37" s="504"/>
      <c r="E37" s="570"/>
      <c r="F37" s="563"/>
      <c r="H37" s="532"/>
      <c r="I37" s="504"/>
      <c r="J37" s="504"/>
      <c r="K37" s="504"/>
      <c r="L37" s="504"/>
      <c r="M37" s="504"/>
      <c r="N37" s="504"/>
      <c r="O37" s="504"/>
      <c r="P37" s="504"/>
      <c r="Q37" s="504"/>
      <c r="R37" s="504"/>
      <c r="S37" s="504"/>
      <c r="T37" s="534"/>
      <c r="U37" s="504"/>
      <c r="V37" s="504"/>
      <c r="W37" s="504"/>
      <c r="X37" s="504"/>
      <c r="Y37" s="504"/>
      <c r="Z37" s="504"/>
    </row>
    <row r="38" spans="2:27" ht="15.75" x14ac:dyDescent="0.25">
      <c r="B38" s="560" t="s">
        <v>123</v>
      </c>
      <c r="C38" s="571">
        <f>IF(OR($D$2=2,$D$2=3),Vb!B30,IF($D$2=1,Vb!M30,IF($D$2=4,Vb!B63,"")))</f>
        <v>5866.3715908871709</v>
      </c>
      <c r="D38" s="504" t="str">
        <f>C2</f>
        <v>IS 1893-1 (2016)</v>
      </c>
      <c r="H38" s="532"/>
      <c r="I38" s="533" t="s">
        <v>109</v>
      </c>
      <c r="J38" s="504"/>
      <c r="K38" s="504"/>
      <c r="L38" s="504"/>
      <c r="M38" s="504"/>
      <c r="N38" s="538" t="s">
        <v>110</v>
      </c>
      <c r="O38" s="504">
        <f>$C$22*(1*C23*SUMPRODUCT(X11:X22,(Y11:Y22-$C$21))/10^9)</f>
        <v>204.99999999999997</v>
      </c>
      <c r="P38" s="504" t="s">
        <v>40</v>
      </c>
      <c r="Q38" s="504"/>
      <c r="R38" s="504"/>
      <c r="S38" s="504"/>
      <c r="T38" s="534"/>
      <c r="U38" s="504"/>
      <c r="V38" s="504"/>
      <c r="W38" s="504"/>
      <c r="X38" s="504"/>
      <c r="Y38" s="504"/>
      <c r="Z38" s="504"/>
    </row>
    <row r="39" spans="2:27" ht="16.5" thickBot="1" x14ac:dyDescent="0.3">
      <c r="B39" s="566" t="s">
        <v>124</v>
      </c>
      <c r="C39" s="572">
        <f>IF(OR($D$2=2,$D$2=3),Vb!B31,IF($D$2=1,Vb!M31,IF($D$2=4,Vb!B64,"")))</f>
        <v>5866.3715908871709</v>
      </c>
      <c r="D39" s="504" t="str">
        <f>D38</f>
        <v>IS 1893-1 (2016)</v>
      </c>
      <c r="H39" s="532"/>
      <c r="I39" s="544" t="s">
        <v>84</v>
      </c>
      <c r="J39" s="545">
        <f>J36*($C$20/($C$21*$C$22/1000))</f>
        <v>2017.2</v>
      </c>
      <c r="K39" s="543" t="s">
        <v>40</v>
      </c>
      <c r="L39" s="504"/>
      <c r="M39" s="504"/>
      <c r="N39" s="544" t="s">
        <v>111</v>
      </c>
      <c r="O39" s="543">
        <f>O38*($C$12+1)</f>
        <v>819.99999999999989</v>
      </c>
      <c r="P39" s="543" t="s">
        <v>40</v>
      </c>
      <c r="Q39" s="504"/>
      <c r="R39" s="504"/>
      <c r="S39" s="504"/>
      <c r="T39" s="534"/>
      <c r="U39" s="504"/>
      <c r="V39" s="504"/>
      <c r="W39" s="504"/>
      <c r="X39" s="504"/>
      <c r="Y39" s="504"/>
      <c r="Z39" s="504"/>
    </row>
    <row r="40" spans="2:27" ht="16.5" thickBot="1" x14ac:dyDescent="0.3">
      <c r="H40" s="549"/>
      <c r="I40" s="555" t="s">
        <v>116</v>
      </c>
      <c r="J40" s="556">
        <f>J36*($C$19/($C$21*$C$22/1000))</f>
        <v>4034.4</v>
      </c>
      <c r="K40" s="557" t="s">
        <v>40</v>
      </c>
      <c r="L40" s="558"/>
      <c r="M40" s="558"/>
      <c r="N40" s="558"/>
      <c r="O40" s="558"/>
      <c r="P40" s="558"/>
      <c r="Q40" s="558"/>
      <c r="R40" s="558"/>
      <c r="S40" s="558"/>
      <c r="T40" s="559"/>
      <c r="U40" s="504"/>
      <c r="V40" s="504"/>
      <c r="W40" s="504"/>
      <c r="X40" s="504"/>
      <c r="Y40" s="504"/>
      <c r="Z40" s="504"/>
    </row>
    <row r="41" spans="2:27" ht="15.75" x14ac:dyDescent="0.25">
      <c r="B41" s="573" t="s">
        <v>127</v>
      </c>
      <c r="C41" s="553"/>
      <c r="H41" s="504"/>
      <c r="I41" s="544"/>
      <c r="J41" s="545"/>
      <c r="K41" s="543"/>
      <c r="L41" s="504"/>
      <c r="M41" s="504"/>
      <c r="N41" s="504"/>
      <c r="O41" s="504"/>
      <c r="P41" s="504"/>
      <c r="Q41" s="504"/>
      <c r="R41" s="504"/>
      <c r="S41" s="504"/>
      <c r="T41" s="504"/>
      <c r="U41" s="504"/>
      <c r="V41" s="504"/>
      <c r="W41" s="504"/>
      <c r="X41" s="504"/>
      <c r="Y41" s="504"/>
      <c r="Z41" s="504"/>
    </row>
    <row r="42" spans="2:27" ht="25.5" customHeight="1" thickBot="1" x14ac:dyDescent="0.3">
      <c r="B42" s="574" t="s">
        <v>128</v>
      </c>
      <c r="C42" s="575">
        <v>2.9819999999999998E-3</v>
      </c>
      <c r="E42" s="576" t="str">
        <f>IF(C42&lt;=0.004,"OK","Drift Ratio exceeds limit")</f>
        <v>OK</v>
      </c>
      <c r="F42" s="504" t="s">
        <v>129</v>
      </c>
      <c r="H42" s="504"/>
      <c r="I42" s="504"/>
      <c r="J42" s="504"/>
      <c r="K42" s="504"/>
      <c r="L42" s="504"/>
      <c r="M42" s="504"/>
      <c r="N42" s="504"/>
      <c r="O42" s="504"/>
      <c r="P42" s="504"/>
      <c r="Q42" s="504"/>
      <c r="R42" s="504"/>
      <c r="S42" s="504"/>
      <c r="T42" s="504"/>
      <c r="U42" s="504"/>
      <c r="V42" s="504"/>
      <c r="W42" s="504"/>
      <c r="X42" s="504"/>
      <c r="Y42" s="504"/>
      <c r="Z42" s="504"/>
    </row>
    <row r="43" spans="2:27" ht="15.75" x14ac:dyDescent="0.25">
      <c r="B43" s="504"/>
      <c r="C43" s="504"/>
      <c r="D43" s="504"/>
      <c r="E43" s="504"/>
      <c r="F43" s="504"/>
      <c r="H43" s="504"/>
      <c r="I43" s="504"/>
      <c r="J43" s="504"/>
      <c r="K43" s="504"/>
      <c r="L43" s="504"/>
      <c r="M43" s="504"/>
      <c r="N43" s="504"/>
      <c r="O43" s="504"/>
      <c r="P43" s="504"/>
      <c r="Q43" s="504"/>
      <c r="R43" s="504"/>
      <c r="S43" s="504"/>
      <c r="T43" s="504"/>
      <c r="U43" s="504"/>
      <c r="V43" s="504"/>
      <c r="W43" s="504"/>
      <c r="X43" s="504"/>
      <c r="Y43" s="504"/>
      <c r="Z43" s="504"/>
    </row>
    <row r="44" spans="2:27" ht="15.75" x14ac:dyDescent="0.25">
      <c r="B44" s="504" t="s">
        <v>130</v>
      </c>
      <c r="C44" s="504">
        <f>(C22*C21/1000)+C20</f>
        <v>8.25</v>
      </c>
      <c r="D44" s="504" t="s">
        <v>83</v>
      </c>
      <c r="E44" s="504"/>
      <c r="F44" s="504"/>
      <c r="G44" s="504"/>
    </row>
    <row r="45" spans="2:27" ht="15.75" x14ac:dyDescent="0.25">
      <c r="B45" s="504" t="s">
        <v>131</v>
      </c>
      <c r="C45" s="504">
        <f>C19</f>
        <v>4</v>
      </c>
      <c r="D45" s="504" t="s">
        <v>83</v>
      </c>
      <c r="E45" s="501"/>
      <c r="F45" s="501"/>
      <c r="G45" s="504"/>
    </row>
    <row r="46" spans="2:27" ht="20.25" x14ac:dyDescent="0.3">
      <c r="B46" s="577" t="s">
        <v>132</v>
      </c>
      <c r="C46" s="577">
        <f>C44+C45</f>
        <v>12.25</v>
      </c>
      <c r="D46" s="577" t="s">
        <v>83</v>
      </c>
      <c r="E46" s="504"/>
      <c r="F46" s="504"/>
      <c r="G46" s="504"/>
    </row>
    <row r="47" spans="2:27" ht="15.75" x14ac:dyDescent="0.25">
      <c r="B47" s="504" t="s">
        <v>133</v>
      </c>
      <c r="C47" s="504">
        <f>(C23*C24*SUM(O8:W8))/10^6</f>
        <v>1815.48</v>
      </c>
      <c r="D47" s="504" t="s">
        <v>134</v>
      </c>
      <c r="E47" s="504"/>
      <c r="F47" s="504"/>
      <c r="G47" s="504"/>
    </row>
    <row r="48" spans="2:27" ht="16.5" thickBot="1" x14ac:dyDescent="0.3">
      <c r="B48" s="504"/>
      <c r="C48" s="504"/>
      <c r="D48" s="504"/>
      <c r="E48" s="504"/>
      <c r="F48" s="504"/>
      <c r="G48" s="504"/>
    </row>
    <row r="49" spans="2:7" ht="15.75" x14ac:dyDescent="0.25">
      <c r="B49" s="578" t="s">
        <v>135</v>
      </c>
      <c r="C49" s="579">
        <f>C47*C44*C13*1.25</f>
        <v>93610.6875</v>
      </c>
      <c r="D49" s="580" t="s">
        <v>40</v>
      </c>
      <c r="E49" s="581">
        <f>(C32-C49)/C32</f>
        <v>4.3451687563226142E-2</v>
      </c>
      <c r="F49" s="504"/>
      <c r="G49" s="504"/>
    </row>
    <row r="50" spans="2:7" ht="16.5" thickBot="1" x14ac:dyDescent="0.3">
      <c r="B50" s="582" t="s">
        <v>136</v>
      </c>
      <c r="C50" s="583">
        <f>C45*C47*C13</f>
        <v>36309.599999999999</v>
      </c>
      <c r="D50" s="584" t="s">
        <v>40</v>
      </c>
      <c r="E50" s="581">
        <f>(C33-C50)/C33</f>
        <v>1.1016248967266736E-5</v>
      </c>
      <c r="F50" s="504"/>
      <c r="G50" s="504"/>
    </row>
    <row r="51" spans="2:7" ht="15.75" x14ac:dyDescent="0.25">
      <c r="B51" s="504"/>
      <c r="C51" s="504"/>
      <c r="D51" s="504"/>
      <c r="E51" s="504"/>
      <c r="F51" s="504"/>
      <c r="G51" s="504"/>
    </row>
    <row r="52" spans="2:7" ht="15.75" x14ac:dyDescent="0.25">
      <c r="B52" s="504" t="s">
        <v>137</v>
      </c>
      <c r="C52" s="504">
        <f>SUM(O8:W8)/1000</f>
        <v>24.6</v>
      </c>
      <c r="D52" s="504" t="s">
        <v>101</v>
      </c>
      <c r="E52" s="504" t="s">
        <v>138</v>
      </c>
      <c r="G52" s="504"/>
    </row>
    <row r="53" spans="2:7" ht="15.75" x14ac:dyDescent="0.25">
      <c r="B53" s="504" t="s">
        <v>139</v>
      </c>
      <c r="C53" s="504">
        <f>C23*C24/1000</f>
        <v>73.8</v>
      </c>
      <c r="D53" s="504" t="s">
        <v>101</v>
      </c>
    </row>
    <row r="55" spans="2:7" ht="15.75" x14ac:dyDescent="0.25">
      <c r="B55" s="504"/>
      <c r="C55" s="1022"/>
      <c r="D55" s="504"/>
      <c r="E55" s="504"/>
    </row>
    <row r="56" spans="2:7" ht="15.75" x14ac:dyDescent="0.25">
      <c r="B56" s="504"/>
      <c r="C56" s="1022"/>
      <c r="D56" s="504"/>
      <c r="E56" s="504"/>
    </row>
    <row r="57" spans="2:7" ht="15.75" x14ac:dyDescent="0.25">
      <c r="B57" s="504"/>
      <c r="C57" s="1022"/>
      <c r="D57" s="504"/>
      <c r="E57" s="504"/>
    </row>
    <row r="58" spans="2:7" ht="15.75" x14ac:dyDescent="0.25">
      <c r="B58" s="504"/>
      <c r="C58" s="1022"/>
      <c r="D58" s="504"/>
      <c r="E58" s="504"/>
    </row>
  </sheetData>
  <mergeCells count="1">
    <mergeCell ref="A8:H8"/>
  </mergeCells>
  <dataValidations count="6">
    <dataValidation type="list" allowBlank="1" showInputMessage="1" showErrorMessage="1" sqref="C14">
      <formula1>"II,III,IV,V,VI"</formula1>
    </dataValidation>
    <dataValidation type="list" allowBlank="1" showInputMessage="1" showErrorMessage="1" sqref="C17">
      <formula1>"RCC with infill,RCC bare frame,Steel Frame"</formula1>
    </dataValidation>
    <dataValidation type="list" allowBlank="1" showInputMessage="1" showErrorMessage="1" sqref="C2">
      <formula1>"IS 1893 (1984), IS 1893-1 (2002), IS 1893-1 (2016), IS 1893-1 (2025)"</formula1>
    </dataValidation>
    <dataValidation type="list" allowBlank="1" showInputMessage="1" showErrorMessage="1" sqref="C3">
      <formula1>"Ordinary, Special, Special 13920 (1993), Special 13920 (2016)"</formula1>
    </dataValidation>
    <dataValidation type="list" allowBlank="1" showInputMessage="1" showErrorMessage="1" sqref="C5">
      <formula1>"Haselton, ElwoodHingeAtColTop, ElwoodShearHingeAtColTopAndBeamEnds"</formula1>
    </dataValidation>
    <dataValidation type="list" allowBlank="1" showInputMessage="1" showErrorMessage="1" sqref="C18">
      <formula1>"Rocky or Hard Soil,Medium Soil,Soft Soil"</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75"/>
  <sheetViews>
    <sheetView topLeftCell="A7" zoomScale="85" zoomScaleNormal="85" workbookViewId="0">
      <selection activeCell="A57" sqref="A57"/>
    </sheetView>
  </sheetViews>
  <sheetFormatPr defaultColWidth="9.140625" defaultRowHeight="15" x14ac:dyDescent="0.25"/>
  <cols>
    <col min="1" max="1" width="31.85546875" style="585" bestFit="1" customWidth="1"/>
    <col min="2" max="2" width="16.85546875" style="585" bestFit="1" customWidth="1"/>
    <col min="3" max="10" width="9.140625" style="585"/>
    <col min="11" max="11" width="4.28515625" style="585" customWidth="1"/>
    <col min="12" max="12" width="35.140625" style="585" customWidth="1"/>
    <col min="13" max="13" width="16.85546875" style="585" customWidth="1"/>
    <col min="14" max="16384" width="9.140625" style="585"/>
  </cols>
  <sheetData>
    <row r="1" spans="1:21" ht="15.75" thickBot="1" x14ac:dyDescent="0.3">
      <c r="B1" s="585" t="str">
        <f>RxnCheck!C2</f>
        <v>IS 1893-1 (2016)</v>
      </c>
      <c r="C1" s="585">
        <f>RxnCheck!D2</f>
        <v>3</v>
      </c>
    </row>
    <row r="2" spans="1:21" ht="21.75" thickTop="1" x14ac:dyDescent="0.35">
      <c r="A2" s="882" t="s">
        <v>140</v>
      </c>
      <c r="B2" s="870"/>
      <c r="C2" s="870"/>
      <c r="D2" s="870"/>
      <c r="E2" s="870"/>
      <c r="F2" s="870"/>
      <c r="G2" s="870"/>
      <c r="H2" s="870"/>
      <c r="I2" s="870"/>
      <c r="J2" s="871"/>
      <c r="L2" s="882" t="s">
        <v>141</v>
      </c>
      <c r="M2" s="870"/>
      <c r="N2" s="884" t="s">
        <v>142</v>
      </c>
      <c r="O2" s="131">
        <f>RxnCheck!C13</f>
        <v>5</v>
      </c>
      <c r="P2" s="870"/>
      <c r="Q2" s="870"/>
      <c r="R2" s="870"/>
      <c r="S2" s="870"/>
      <c r="T2" s="870"/>
      <c r="U2" s="871"/>
    </row>
    <row r="3" spans="1:21" x14ac:dyDescent="0.25">
      <c r="A3" s="872" t="s">
        <v>143</v>
      </c>
      <c r="B3" s="983">
        <f>RxnCheck!C32</f>
        <v>97863</v>
      </c>
      <c r="C3" s="585" t="s">
        <v>40</v>
      </c>
      <c r="J3" s="873"/>
      <c r="L3" s="872" t="s">
        <v>143</v>
      </c>
      <c r="M3" s="131">
        <f>B3</f>
        <v>97863</v>
      </c>
      <c r="N3" s="585" t="s">
        <v>40</v>
      </c>
      <c r="U3" s="873"/>
    </row>
    <row r="4" spans="1:21" x14ac:dyDescent="0.25">
      <c r="A4" s="872" t="s">
        <v>144</v>
      </c>
      <c r="B4" s="984">
        <f>IF(RxnCheck!$C$19&lt;=3,RxnCheck!C33,0)</f>
        <v>0</v>
      </c>
      <c r="C4" s="585" t="s">
        <v>40</v>
      </c>
      <c r="J4" s="873"/>
      <c r="L4" s="872" t="s">
        <v>144</v>
      </c>
      <c r="M4" s="125">
        <f>B4</f>
        <v>0</v>
      </c>
      <c r="N4" s="585" t="s">
        <v>40</v>
      </c>
      <c r="U4" s="873"/>
    </row>
    <row r="5" spans="1:21" x14ac:dyDescent="0.25">
      <c r="A5" s="872" t="s">
        <v>145</v>
      </c>
      <c r="B5" s="984">
        <f>IF(RxnCheck!$C$19&gt;3,RxnCheck!C33,0)</f>
        <v>36310</v>
      </c>
      <c r="C5" s="585" t="s">
        <v>40</v>
      </c>
      <c r="J5" s="873"/>
      <c r="L5" s="872" t="s">
        <v>145</v>
      </c>
      <c r="M5" s="125">
        <f>B5</f>
        <v>36310</v>
      </c>
      <c r="N5" s="585" t="s">
        <v>40</v>
      </c>
      <c r="U5" s="873"/>
    </row>
    <row r="6" spans="1:21" x14ac:dyDescent="0.25">
      <c r="A6" s="872"/>
      <c r="B6" s="985"/>
      <c r="J6" s="873"/>
      <c r="L6" s="872"/>
      <c r="U6" s="873"/>
    </row>
    <row r="7" spans="1:21" x14ac:dyDescent="0.25">
      <c r="A7" s="872" t="s">
        <v>146</v>
      </c>
      <c r="B7" s="986">
        <f>B3+0.25*B4+0.5*B5</f>
        <v>116018</v>
      </c>
      <c r="C7" s="585" t="s">
        <v>40</v>
      </c>
      <c r="J7" s="873"/>
      <c r="L7" s="872" t="s">
        <v>146</v>
      </c>
      <c r="M7" s="874">
        <f>M3+0.25*M4+0.5*M5</f>
        <v>116018</v>
      </c>
      <c r="N7" s="585" t="s">
        <v>40</v>
      </c>
      <c r="U7" s="873"/>
    </row>
    <row r="8" spans="1:21" x14ac:dyDescent="0.25">
      <c r="A8" s="872"/>
      <c r="B8" s="985"/>
      <c r="J8" s="873"/>
      <c r="L8" s="872"/>
      <c r="U8" s="873"/>
    </row>
    <row r="9" spans="1:21" x14ac:dyDescent="0.25">
      <c r="A9" s="872" t="s">
        <v>77</v>
      </c>
      <c r="B9" s="987" t="s">
        <v>147</v>
      </c>
      <c r="J9" s="873"/>
      <c r="L9" s="872" t="s">
        <v>77</v>
      </c>
      <c r="M9" s="14" t="str">
        <f>B9</f>
        <v>V</v>
      </c>
      <c r="U9" s="873"/>
    </row>
    <row r="10" spans="1:21" x14ac:dyDescent="0.25">
      <c r="A10" s="872" t="s">
        <v>78</v>
      </c>
      <c r="B10" s="984">
        <f>RxnCheck!C15</f>
        <v>1</v>
      </c>
      <c r="J10" s="873"/>
      <c r="L10" s="888" t="s">
        <v>148</v>
      </c>
      <c r="M10" s="125">
        <f>B10</f>
        <v>1</v>
      </c>
      <c r="U10" s="873"/>
    </row>
    <row r="11" spans="1:21" x14ac:dyDescent="0.25">
      <c r="A11" s="872" t="s">
        <v>149</v>
      </c>
      <c r="B11" s="984">
        <f>RxnCheck!C16</f>
        <v>5</v>
      </c>
      <c r="J11" s="873"/>
      <c r="L11" s="888" t="s">
        <v>150</v>
      </c>
      <c r="M11" s="125">
        <v>1</v>
      </c>
      <c r="N11" s="885" t="s">
        <v>151</v>
      </c>
      <c r="U11" s="873"/>
    </row>
    <row r="12" spans="1:21" x14ac:dyDescent="0.25">
      <c r="A12" s="872" t="s">
        <v>152</v>
      </c>
      <c r="B12" s="984">
        <f>RxnCheck!C27</f>
        <v>20.100000000000001</v>
      </c>
      <c r="C12" s="585" t="s">
        <v>101</v>
      </c>
      <c r="J12" s="873"/>
      <c r="L12" s="872" t="s">
        <v>152</v>
      </c>
      <c r="M12" s="125">
        <f>B12</f>
        <v>20.100000000000001</v>
      </c>
      <c r="N12" s="585" t="s">
        <v>101</v>
      </c>
      <c r="U12" s="873"/>
    </row>
    <row r="13" spans="1:21" x14ac:dyDescent="0.25">
      <c r="A13" s="872" t="s">
        <v>137</v>
      </c>
      <c r="B13" s="984">
        <f>RxnCheck!C52</f>
        <v>24.6</v>
      </c>
      <c r="C13" s="585" t="s">
        <v>101</v>
      </c>
      <c r="J13" s="873"/>
      <c r="L13" s="872" t="s">
        <v>137</v>
      </c>
      <c r="M13" s="125">
        <f>B13</f>
        <v>24.6</v>
      </c>
      <c r="N13" s="585" t="s">
        <v>101</v>
      </c>
      <c r="U13" s="873"/>
    </row>
    <row r="14" spans="1:21" x14ac:dyDescent="0.25">
      <c r="A14" s="872" t="s">
        <v>139</v>
      </c>
      <c r="B14" s="984">
        <f>RxnCheck!C53</f>
        <v>73.8</v>
      </c>
      <c r="C14" s="585" t="s">
        <v>101</v>
      </c>
      <c r="J14" s="873"/>
      <c r="L14" s="872" t="s">
        <v>139</v>
      </c>
      <c r="M14" s="125">
        <f>B14</f>
        <v>73.8</v>
      </c>
      <c r="N14" s="585" t="s">
        <v>101</v>
      </c>
      <c r="U14" s="873"/>
    </row>
    <row r="15" spans="1:21" x14ac:dyDescent="0.25">
      <c r="A15" s="872" t="s">
        <v>79</v>
      </c>
      <c r="B15" s="984" t="str">
        <f>RxnCheck!C17</f>
        <v>RCC bare frame</v>
      </c>
      <c r="J15" s="873"/>
      <c r="L15" s="872" t="s">
        <v>79</v>
      </c>
      <c r="M15" s="125" t="str">
        <f>B15</f>
        <v>RCC bare frame</v>
      </c>
      <c r="U15" s="873"/>
    </row>
    <row r="16" spans="1:21" x14ac:dyDescent="0.25">
      <c r="A16" s="872" t="s">
        <v>81</v>
      </c>
      <c r="B16" s="984" t="s">
        <v>82</v>
      </c>
      <c r="J16" s="873"/>
      <c r="L16" s="872" t="s">
        <v>81</v>
      </c>
      <c r="M16" s="125" t="str">
        <f>B16</f>
        <v>Rocky or Hard Soil</v>
      </c>
      <c r="U16" s="873"/>
    </row>
    <row r="17" spans="1:21" x14ac:dyDescent="0.25">
      <c r="A17" s="872"/>
      <c r="B17" s="985"/>
      <c r="J17" s="873"/>
      <c r="L17" s="872"/>
      <c r="U17" s="873"/>
    </row>
    <row r="18" spans="1:21" x14ac:dyDescent="0.25">
      <c r="A18" s="872" t="s">
        <v>153</v>
      </c>
      <c r="B18" s="984">
        <v>43.65</v>
      </c>
      <c r="C18" s="585" t="s">
        <v>101</v>
      </c>
      <c r="J18" s="873"/>
      <c r="L18" s="883" t="s">
        <v>154</v>
      </c>
      <c r="M18" s="125">
        <f>B18</f>
        <v>43.65</v>
      </c>
      <c r="N18" s="585" t="s">
        <v>101</v>
      </c>
      <c r="U18" s="873"/>
    </row>
    <row r="19" spans="1:21" x14ac:dyDescent="0.25">
      <c r="A19" s="872" t="s">
        <v>155</v>
      </c>
      <c r="B19" s="984">
        <f>28.687-1.716</f>
        <v>26.971</v>
      </c>
      <c r="C19" s="585" t="s">
        <v>101</v>
      </c>
      <c r="J19" s="873"/>
      <c r="L19" s="883" t="s">
        <v>156</v>
      </c>
      <c r="M19" s="125">
        <f>B19</f>
        <v>26.971</v>
      </c>
      <c r="N19" s="585" t="s">
        <v>101</v>
      </c>
      <c r="U19" s="873"/>
    </row>
    <row r="20" spans="1:21" x14ac:dyDescent="0.25">
      <c r="A20" s="872"/>
      <c r="B20" s="985"/>
      <c r="J20" s="873"/>
      <c r="L20" s="872"/>
      <c r="U20" s="873"/>
    </row>
    <row r="21" spans="1:21" ht="18" x14ac:dyDescent="0.35">
      <c r="A21" s="872" t="s">
        <v>157</v>
      </c>
      <c r="B21" s="985">
        <f>IF(B9="II",0.1,IF(B9="III",0.16,IF(B9="IV",0.24,IF(B9="V",0.36))))</f>
        <v>0.36</v>
      </c>
      <c r="J21" s="873"/>
      <c r="L21" s="887" t="s">
        <v>158</v>
      </c>
      <c r="M21" s="585">
        <f>IF(M9="II",0.02,IF(M9="III",0.04,IF(M9="IV",0.05,IF(M9="V",0.08))))</f>
        <v>0.08</v>
      </c>
      <c r="U21" s="873"/>
    </row>
    <row r="22" spans="1:21" x14ac:dyDescent="0.25">
      <c r="A22" s="872" t="s">
        <v>159</v>
      </c>
      <c r="B22" s="988">
        <f>IF(B15="RCC with infill",0.09*B12/SQRT(B13),IF(B15="RCC bare frame",0.075*POWER(B12,0.75),IF(B15="Steel frame",0.085*POWER(B12,0.75))))</f>
        <v>0.7119644460449811</v>
      </c>
      <c r="C22" s="585" t="s">
        <v>160</v>
      </c>
      <c r="F22" s="875"/>
      <c r="J22" s="873"/>
      <c r="L22" s="872" t="s">
        <v>159</v>
      </c>
      <c r="M22" s="875">
        <f>IF(M15="RCC bare frame",0.1*O2,0.09*M12/SQRT(M13))</f>
        <v>0.5</v>
      </c>
      <c r="N22" s="585" t="s">
        <v>160</v>
      </c>
      <c r="Q22" s="875"/>
      <c r="U22" s="873"/>
    </row>
    <row r="23" spans="1:21" x14ac:dyDescent="0.25">
      <c r="A23" s="872" t="s">
        <v>161</v>
      </c>
      <c r="B23" s="988">
        <f>IF(B15="RCC with infill",0.09*B12/SQRT(B14),IF(B15="RCC bare frame",0.075*POWER(B12,0.75),IF(B15="Steel frame",0.085*POWER(B12,0.75))))</f>
        <v>0.7119644460449811</v>
      </c>
      <c r="C23" s="585" t="s">
        <v>160</v>
      </c>
      <c r="F23" s="875"/>
      <c r="J23" s="873"/>
      <c r="L23" s="872" t="s">
        <v>161</v>
      </c>
      <c r="M23" s="875">
        <f>IF(M15="RCC bare frame",0.1*O2,0.09*M12/SQRT(M14))</f>
        <v>0.5</v>
      </c>
      <c r="N23" s="585" t="s">
        <v>160</v>
      </c>
      <c r="Q23" s="875"/>
      <c r="U23" s="873"/>
    </row>
    <row r="24" spans="1:21" x14ac:dyDescent="0.25">
      <c r="A24" s="872" t="s">
        <v>162</v>
      </c>
      <c r="B24" s="988">
        <f>IF(B16="Rocky or Hard Soil",IF(B22&lt;0.1,1+15*B22,IF(B22&lt;0.4,2.5,IF(B22&gt;=0.4,1/B22))),IF(B16="Medium Soil",IF(B22&lt;0.1,1+15*B22,IF(B22&lt;0.55,2.5,IF(B22&gt;=0.55,1.36/B22))),IF(B16="Soft Soil",IF(B22&lt;0.1,1+15*B22,IF(B22&lt;2/3,2.5,IF(B22&gt;=2/3,(1.67)/B22))))))</f>
        <v>1.4045645194153713</v>
      </c>
      <c r="J24" s="873"/>
      <c r="L24" s="872" t="s">
        <v>163</v>
      </c>
      <c r="M24" s="875">
        <f>0.0194252445133526*M22^6  -0.219002244741422*M22^5 +1.00086992499172*M22^4 -2.39810327354132*M22^3 +3.30636911541543*M22^2 -2.82924435393596*M22 +1.65684752194689</f>
        <v>0.82506878424943653</v>
      </c>
      <c r="N24" s="890" t="s">
        <v>164</v>
      </c>
      <c r="U24" s="873"/>
    </row>
    <row r="25" spans="1:21" x14ac:dyDescent="0.25">
      <c r="A25" s="872" t="s">
        <v>165</v>
      </c>
      <c r="B25" s="988">
        <f>IF(B16="Rocky or Hard Soil",IF(B23&lt;0.1,1+15*B23,IF(B23&lt;0.4,2.5,IF(B23&gt;=0.4,1/B23))),IF(B16="Medium Soil",IF(B23&lt;0.1,1+15*B23,IF(B23&lt;0.55,2.5,IF(B23&gt;=0.55,1.36/B23))),IF(B16="Soft Soil",IF(B23&lt;0.1,1+15*B23,IF(B23&lt;2/3,2.5,IF(B23&gt;=2/3,(1.67)/B23))))))</f>
        <v>1.4045645194153713</v>
      </c>
      <c r="J25" s="873"/>
      <c r="L25" s="872" t="s">
        <v>166</v>
      </c>
      <c r="M25" s="875">
        <f>0.0194252445133526*M23^6  -0.219002244741422*M23^5 +1.00086992499172*M23^4 -2.39810327354132*M23^3 +3.30636911541543*M23^2 -2.82924435393596*M23 +1.65684752194689</f>
        <v>0.82506878424943653</v>
      </c>
      <c r="U25" s="873"/>
    </row>
    <row r="26" spans="1:21" x14ac:dyDescent="0.25">
      <c r="A26" s="872"/>
      <c r="B26" s="985"/>
      <c r="J26" s="873"/>
      <c r="L26" s="888" t="s">
        <v>167</v>
      </c>
      <c r="M26" s="886">
        <v>1</v>
      </c>
      <c r="U26" s="873"/>
    </row>
    <row r="27" spans="1:21" x14ac:dyDescent="0.25">
      <c r="A27" s="876" t="s">
        <v>168</v>
      </c>
      <c r="B27" s="989">
        <f>($B$21/2)*($B$10/$B$11)*B24</f>
        <v>5.0564322698953362E-2</v>
      </c>
      <c r="J27" s="873"/>
      <c r="L27" s="883" t="s">
        <v>169</v>
      </c>
      <c r="M27" s="877">
        <f>$M$11*M24*$M$26*$M$10*$M$21</f>
        <v>6.6005502739954924E-2</v>
      </c>
      <c r="U27" s="873"/>
    </row>
    <row r="28" spans="1:21" x14ac:dyDescent="0.25">
      <c r="A28" s="876" t="s">
        <v>170</v>
      </c>
      <c r="B28" s="989">
        <f>($B$21/2)*($B$10/$B$11)*B25</f>
        <v>5.0564322698953362E-2</v>
      </c>
      <c r="J28" s="873"/>
      <c r="L28" s="883" t="s">
        <v>171</v>
      </c>
      <c r="M28" s="877">
        <f>$M$11*M25*$M$26*$M$10*$M$21</f>
        <v>6.6005502739954924E-2</v>
      </c>
      <c r="U28" s="873"/>
    </row>
    <row r="29" spans="1:21" x14ac:dyDescent="0.25">
      <c r="A29" s="872"/>
      <c r="B29" s="985"/>
      <c r="J29" s="873"/>
      <c r="L29" s="872"/>
      <c r="U29" s="873"/>
    </row>
    <row r="30" spans="1:21" x14ac:dyDescent="0.25">
      <c r="A30" s="872" t="s">
        <v>172</v>
      </c>
      <c r="B30" s="990">
        <f>B27*$B$7</f>
        <v>5866.3715908871709</v>
      </c>
      <c r="C30" s="585" t="s">
        <v>40</v>
      </c>
      <c r="J30" s="873"/>
      <c r="L30" s="872" t="s">
        <v>172</v>
      </c>
      <c r="M30" s="878">
        <f>M27*$M$7</f>
        <v>7657.8264168840906</v>
      </c>
      <c r="N30" s="585" t="s">
        <v>40</v>
      </c>
      <c r="U30" s="873"/>
    </row>
    <row r="31" spans="1:21" x14ac:dyDescent="0.25">
      <c r="A31" s="872" t="s">
        <v>173</v>
      </c>
      <c r="B31" s="990">
        <f>B28*$B$7</f>
        <v>5866.3715908871709</v>
      </c>
      <c r="C31" s="585" t="s">
        <v>40</v>
      </c>
      <c r="D31" s="875"/>
      <c r="J31" s="873"/>
      <c r="L31" s="872" t="s">
        <v>173</v>
      </c>
      <c r="M31" s="878">
        <f>M28*$M$7</f>
        <v>7657.8264168840906</v>
      </c>
      <c r="N31" s="585" t="s">
        <v>40</v>
      </c>
      <c r="O31" s="875"/>
      <c r="U31" s="873"/>
    </row>
    <row r="32" spans="1:21" ht="15.75" thickBot="1" x14ac:dyDescent="0.3">
      <c r="A32" s="879"/>
      <c r="B32" s="880"/>
      <c r="C32" s="880"/>
      <c r="D32" s="880"/>
      <c r="E32" s="880"/>
      <c r="F32" s="880"/>
      <c r="G32" s="880"/>
      <c r="H32" s="880"/>
      <c r="I32" s="880"/>
      <c r="J32" s="881"/>
      <c r="L32" s="879"/>
      <c r="M32" s="880"/>
      <c r="N32" s="880"/>
      <c r="O32" s="880"/>
      <c r="P32" s="880"/>
      <c r="Q32" s="880"/>
      <c r="R32" s="880"/>
      <c r="S32" s="880"/>
      <c r="T32" s="880"/>
      <c r="U32" s="881"/>
    </row>
    <row r="33" spans="1:17" ht="15.75" thickTop="1" x14ac:dyDescent="0.25"/>
    <row r="34" spans="1:17" ht="15.75" thickBot="1" x14ac:dyDescent="0.3"/>
    <row r="35" spans="1:17" ht="21" x14ac:dyDescent="0.35">
      <c r="A35" s="998" t="s">
        <v>174</v>
      </c>
      <c r="B35" s="999"/>
      <c r="C35" s="999"/>
      <c r="D35" s="999"/>
      <c r="E35" s="999"/>
      <c r="F35" s="999"/>
      <c r="G35" s="999"/>
      <c r="H35" s="999"/>
      <c r="I35" s="999"/>
      <c r="J35" s="999"/>
      <c r="K35" s="999"/>
      <c r="L35" s="999">
        <v>3</v>
      </c>
      <c r="M35" s="1000">
        <f>0.0194252445133526*L35^6  -0.219002244741422*L35^5 +1.00086992499172*L35^4 -2.39810327354132*L35^3 +3.30636911541543*L35^2 -2.82924435393596*L35 +1.65684752194689</f>
        <v>0.19156981566005604</v>
      </c>
      <c r="N35" s="999"/>
      <c r="O35" s="999"/>
      <c r="P35" s="999"/>
      <c r="Q35" s="1001"/>
    </row>
    <row r="36" spans="1:17" x14ac:dyDescent="0.25">
      <c r="A36" s="1002" t="s">
        <v>143</v>
      </c>
      <c r="B36" s="983">
        <f>RxnCheck!C32</f>
        <v>97863</v>
      </c>
      <c r="C36" s="585" t="s">
        <v>40</v>
      </c>
      <c r="Q36" s="1003"/>
    </row>
    <row r="37" spans="1:17" x14ac:dyDescent="0.25">
      <c r="A37" s="1002" t="s">
        <v>144</v>
      </c>
      <c r="B37" s="984">
        <f>IF(RxnCheck!$C$19&lt;=3,RxnCheck!C33,0)</f>
        <v>0</v>
      </c>
      <c r="C37" s="585" t="s">
        <v>40</v>
      </c>
      <c r="Q37" s="1003"/>
    </row>
    <row r="38" spans="1:17" x14ac:dyDescent="0.25">
      <c r="A38" s="1002" t="s">
        <v>145</v>
      </c>
      <c r="B38" s="984">
        <f>IF(RxnCheck!$C$19&gt;3,RxnCheck!C33,0)</f>
        <v>36310</v>
      </c>
      <c r="C38" s="585" t="s">
        <v>40</v>
      </c>
      <c r="Q38" s="1003"/>
    </row>
    <row r="39" spans="1:17" x14ac:dyDescent="0.25">
      <c r="A39" s="1002"/>
      <c r="B39" s="985"/>
      <c r="Q39" s="1003"/>
    </row>
    <row r="40" spans="1:17" x14ac:dyDescent="0.25">
      <c r="A40" s="1002" t="s">
        <v>146</v>
      </c>
      <c r="B40" s="986">
        <f>B36+0.25*B37+0.5*B38</f>
        <v>116018</v>
      </c>
      <c r="C40" s="585" t="s">
        <v>40</v>
      </c>
      <c r="Q40" s="1003"/>
    </row>
    <row r="41" spans="1:17" x14ac:dyDescent="0.25">
      <c r="A41" s="1002"/>
      <c r="B41" s="985"/>
      <c r="Q41" s="1003"/>
    </row>
    <row r="42" spans="1:17" x14ac:dyDescent="0.25">
      <c r="A42" s="1002" t="s">
        <v>77</v>
      </c>
      <c r="B42" s="1019" t="str">
        <f>RxnCheck!C14</f>
        <v>V</v>
      </c>
      <c r="Q42" s="1003"/>
    </row>
    <row r="43" spans="1:17" x14ac:dyDescent="0.25">
      <c r="A43" s="1002" t="s">
        <v>78</v>
      </c>
      <c r="B43" s="984">
        <f>RxnCheck!C15</f>
        <v>1</v>
      </c>
      <c r="Q43" s="1003"/>
    </row>
    <row r="44" spans="1:17" x14ac:dyDescent="0.25">
      <c r="A44" s="1002" t="s">
        <v>149</v>
      </c>
      <c r="B44" s="984">
        <f>RxnCheck!C16</f>
        <v>5</v>
      </c>
      <c r="Q44" s="1003"/>
    </row>
    <row r="45" spans="1:17" x14ac:dyDescent="0.25">
      <c r="A45" s="1002" t="s">
        <v>152</v>
      </c>
      <c r="B45" s="984">
        <f>RxnCheck!C27</f>
        <v>20.100000000000001</v>
      </c>
      <c r="C45" s="585" t="s">
        <v>101</v>
      </c>
      <c r="Q45" s="1003"/>
    </row>
    <row r="46" spans="1:17" x14ac:dyDescent="0.25">
      <c r="A46" s="1002" t="s">
        <v>137</v>
      </c>
      <c r="B46" s="984">
        <f>RxnCheck!C52</f>
        <v>24.6</v>
      </c>
      <c r="C46" s="585" t="s">
        <v>101</v>
      </c>
      <c r="Q46" s="1003"/>
    </row>
    <row r="47" spans="1:17" x14ac:dyDescent="0.25">
      <c r="A47" s="1002" t="s">
        <v>139</v>
      </c>
      <c r="B47" s="984">
        <f>RxnCheck!C53</f>
        <v>73.8</v>
      </c>
      <c r="C47" s="585" t="s">
        <v>101</v>
      </c>
      <c r="Q47" s="1003"/>
    </row>
    <row r="48" spans="1:17" x14ac:dyDescent="0.25">
      <c r="A48" s="1002" t="s">
        <v>79</v>
      </c>
      <c r="B48" s="1020" t="str">
        <f>RxnCheck!C17</f>
        <v>RCC bare frame</v>
      </c>
      <c r="Q48" s="1003"/>
    </row>
    <row r="49" spans="1:17" x14ac:dyDescent="0.25">
      <c r="A49" s="1002" t="s">
        <v>81</v>
      </c>
      <c r="B49" s="1021" t="str">
        <f>RxnCheck!D18</f>
        <v>A/B</v>
      </c>
      <c r="Q49" s="1003"/>
    </row>
    <row r="50" spans="1:17" x14ac:dyDescent="0.25">
      <c r="A50" s="1002"/>
      <c r="B50" s="985"/>
      <c r="Q50" s="1003"/>
    </row>
    <row r="51" spans="1:17" x14ac:dyDescent="0.25">
      <c r="A51" s="1067" t="s">
        <v>175</v>
      </c>
      <c r="B51" s="1068"/>
      <c r="C51" s="1068"/>
      <c r="D51" s="1024"/>
      <c r="E51" s="1025"/>
      <c r="F51" s="1026" t="s">
        <v>176</v>
      </c>
      <c r="G51" s="1025">
        <v>0</v>
      </c>
      <c r="H51" s="1025"/>
      <c r="I51" s="1025"/>
      <c r="Q51" s="1003"/>
    </row>
    <row r="52" spans="1:17" x14ac:dyDescent="0.25">
      <c r="A52" s="1078" t="s">
        <v>177</v>
      </c>
      <c r="B52" s="1079"/>
      <c r="C52" s="1079"/>
      <c r="D52" s="1026" t="s">
        <v>178</v>
      </c>
      <c r="E52" s="1025">
        <v>0</v>
      </c>
      <c r="F52" s="1024" t="s">
        <v>179</v>
      </c>
      <c r="G52" s="1025">
        <v>0</v>
      </c>
      <c r="H52" s="1024" t="s">
        <v>180</v>
      </c>
      <c r="I52" s="1025">
        <v>0</v>
      </c>
      <c r="Q52" s="1003"/>
    </row>
    <row r="53" spans="1:17" x14ac:dyDescent="0.25">
      <c r="A53" s="1002"/>
      <c r="B53" s="985"/>
      <c r="Q53" s="1003"/>
    </row>
    <row r="54" spans="1:17" x14ac:dyDescent="0.25">
      <c r="A54" s="1002" t="s">
        <v>157</v>
      </c>
      <c r="B54" s="985">
        <f>IF(B42="II",0.075,IF(B42="III",0.125,IF(B42="IV",0.233,IF(B42="V",0.333,IF(B42="VI",0.5)))))</f>
        <v>0.33300000000000002</v>
      </c>
      <c r="D54" s="885" t="s">
        <v>181</v>
      </c>
      <c r="Q54" s="1003"/>
    </row>
    <row r="55" spans="1:17" x14ac:dyDescent="0.25">
      <c r="A55" s="1002" t="s">
        <v>159</v>
      </c>
      <c r="B55" s="988">
        <f>IF(OR(B48="RCC bare frame",B48="RCC with infill"),(0.075*B45^0.75)/SQRT(1+0.2*RxnCheck!M7),IF(B48="Steel frame",0.085*POWER(B45,0.75)))</f>
        <v>0.66716519601731172</v>
      </c>
      <c r="C55" s="585" t="s">
        <v>160</v>
      </c>
      <c r="Q55" s="1003"/>
    </row>
    <row r="56" spans="1:17" x14ac:dyDescent="0.25">
      <c r="A56" s="1002" t="s">
        <v>161</v>
      </c>
      <c r="B56" s="988">
        <f>B55</f>
        <v>0.66716519601731172</v>
      </c>
      <c r="C56" s="585" t="s">
        <v>160</v>
      </c>
      <c r="Q56" s="1003"/>
    </row>
    <row r="57" spans="1:17" x14ac:dyDescent="0.25">
      <c r="A57" s="1008" t="s">
        <v>182</v>
      </c>
      <c r="B57" s="988">
        <f>IF(OR(B49="A/B"),IF(B55&lt;=0.01,1,IF(B55&lt;=0.1,1+(50/3)*(B55-0.01),IF(B55&lt;=0.4,2.5,IF(B55&lt;=6,1/B55,IF(B55&lt;=10,6/B55^2,""))))),IF(B49="C",IF(B55&lt;=0.01,1,IF(B55&lt;=0.1,1+(50/3)*(B55-0.01),IF(B55&lt;=0.6,2.5,IF(B55&lt;=6,1.5/B55,IF(B55&lt;=10,9/B55^2,""))))),IF(B49="D",IF(B55&lt;=0.01,1,IF(B55&lt;=0.1,1+(50/3)*(B55-0.01),IF(B55&lt;=0.8,2.5,IF(B55&lt;=6,2/B55,IF(B55&lt;=10,12/B55^2,""))))),"")))</f>
        <v>1.4988791471281302</v>
      </c>
      <c r="Q57" s="1003"/>
    </row>
    <row r="58" spans="1:17" x14ac:dyDescent="0.25">
      <c r="A58" s="1008" t="s">
        <v>183</v>
      </c>
      <c r="B58" s="988">
        <f>IF(OR(B49="A/B"),IF(B56&lt;=0.01,1,IF(B56&lt;=0.1,1+(50/3)*(B56-0.01),IF(B56&lt;=0.4,2.5,IF(B56&lt;=6,1/B56,IF(B56&lt;=10,6/B56^2,""))))),IF(B49="C",IF(B56&lt;=0.01,1,IF(B56&lt;=0.1,1+(50/3)*(B56-0.01),IF(B56&lt;=0.6,2.5,IF(B56&lt;=6,1.5/B56,IF(B56&lt;=10,9/B56^2,""))))),IF(B49="D",IF(B56&lt;=0.01,1,IF(B56&lt;=0.1,1+(50/3)*(B56-0.01),IF(B56&lt;=0.8,2.5,IF(B56&lt;=6,2/B56,IF(B56&lt;=10,12/B56^2,""))))),"")))</f>
        <v>1.4988791471281302</v>
      </c>
      <c r="Q58" s="1003"/>
    </row>
    <row r="59" spans="1:17" x14ac:dyDescent="0.25">
      <c r="A59" s="1002"/>
      <c r="B59" s="985"/>
      <c r="Q59" s="1003"/>
    </row>
    <row r="60" spans="1:17" x14ac:dyDescent="0.25">
      <c r="A60" s="1004" t="s">
        <v>184</v>
      </c>
      <c r="B60" s="989">
        <f>(B54)*(B43/B44)*(B57)</f>
        <v>9.9825351198733481E-2</v>
      </c>
      <c r="Q60" s="1003"/>
    </row>
    <row r="61" spans="1:17" x14ac:dyDescent="0.25">
      <c r="A61" s="1004" t="s">
        <v>185</v>
      </c>
      <c r="B61" s="989">
        <f>(B54)*(B43/B44)*(B58)</f>
        <v>9.9825351198733481E-2</v>
      </c>
      <c r="Q61" s="1003"/>
    </row>
    <row r="62" spans="1:17" x14ac:dyDescent="0.25">
      <c r="A62" s="1002"/>
      <c r="B62" s="985"/>
      <c r="Q62" s="1003"/>
    </row>
    <row r="63" spans="1:17" x14ac:dyDescent="0.25">
      <c r="A63" s="1002" t="s">
        <v>172</v>
      </c>
      <c r="B63" s="990">
        <f>B60*$B$40</f>
        <v>11581.537595374661</v>
      </c>
      <c r="C63" s="585" t="s">
        <v>40</v>
      </c>
      <c r="Q63" s="1003"/>
    </row>
    <row r="64" spans="1:17" x14ac:dyDescent="0.25">
      <c r="A64" s="1002" t="s">
        <v>173</v>
      </c>
      <c r="B64" s="990">
        <f>B61*$B$40</f>
        <v>11581.537595374661</v>
      </c>
      <c r="C64" s="585" t="s">
        <v>40</v>
      </c>
      <c r="Q64" s="1003"/>
    </row>
    <row r="65" spans="1:17" x14ac:dyDescent="0.25">
      <c r="A65" s="1002"/>
      <c r="Q65" s="1003"/>
    </row>
    <row r="66" spans="1:17" x14ac:dyDescent="0.25">
      <c r="A66" s="1002"/>
      <c r="Q66" s="1003"/>
    </row>
    <row r="67" spans="1:17" x14ac:dyDescent="0.25">
      <c r="A67" s="1002"/>
      <c r="Q67" s="1003"/>
    </row>
    <row r="68" spans="1:17" x14ac:dyDescent="0.25">
      <c r="A68" s="1002"/>
      <c r="Q68" s="1003"/>
    </row>
    <row r="69" spans="1:17" x14ac:dyDescent="0.25">
      <c r="A69" s="1002"/>
      <c r="Q69" s="1003"/>
    </row>
    <row r="70" spans="1:17" x14ac:dyDescent="0.25">
      <c r="A70" s="1002"/>
      <c r="Q70" s="1003"/>
    </row>
    <row r="71" spans="1:17" x14ac:dyDescent="0.25">
      <c r="A71" s="1002"/>
      <c r="Q71" s="1003"/>
    </row>
    <row r="72" spans="1:17" x14ac:dyDescent="0.25">
      <c r="A72" s="1002"/>
      <c r="Q72" s="1003"/>
    </row>
    <row r="73" spans="1:17" x14ac:dyDescent="0.25">
      <c r="A73" s="1002"/>
      <c r="Q73" s="1003"/>
    </row>
    <row r="74" spans="1:17" x14ac:dyDescent="0.25">
      <c r="A74" s="1002"/>
      <c r="Q74" s="1003"/>
    </row>
    <row r="75" spans="1:17" ht="15.75" thickBot="1" x14ac:dyDescent="0.3">
      <c r="A75" s="1005"/>
      <c r="B75" s="1006"/>
      <c r="C75" s="1006"/>
      <c r="D75" s="1006"/>
      <c r="E75" s="1006"/>
      <c r="F75" s="1006"/>
      <c r="G75" s="1006"/>
      <c r="H75" s="1006"/>
      <c r="I75" s="1006"/>
      <c r="J75" s="1006"/>
      <c r="K75" s="1006"/>
      <c r="L75" s="1006"/>
      <c r="M75" s="1006"/>
      <c r="N75" s="1006"/>
      <c r="O75" s="1006"/>
      <c r="P75" s="1006"/>
      <c r="Q75" s="1007"/>
    </row>
  </sheetData>
  <mergeCells count="1">
    <mergeCell ref="A52:C52"/>
  </mergeCells>
  <conditionalFormatting sqref="A2:J32">
    <cfRule type="expression" dxfId="3" priority="4">
      <formula>($C$1=1)</formula>
    </cfRule>
  </conditionalFormatting>
  <conditionalFormatting sqref="L2:U32">
    <cfRule type="expression" dxfId="2" priority="3">
      <formula>($C$1&lt;&gt;1)</formula>
    </cfRule>
  </conditionalFormatting>
  <conditionalFormatting sqref="A35">
    <cfRule type="expression" dxfId="1" priority="2">
      <formula>($C$1=1)</formula>
    </cfRule>
  </conditionalFormatting>
  <conditionalFormatting sqref="A36:C48 A50:C50 A49 C49 A53:C64 A51">
    <cfRule type="expression" dxfId="0" priority="1">
      <formula>($C$1=1)</formula>
    </cfRule>
  </conditionalFormatting>
  <dataValidations disablePrompts="1" count="3">
    <dataValidation type="list" allowBlank="1" showInputMessage="1" showErrorMessage="1" sqref="B16 M16">
      <formula1>"Rocky or Hard Soil,Medium Soil,Soft Soil"</formula1>
    </dataValidation>
    <dataValidation type="list" allowBlank="1" showInputMessage="1" showErrorMessage="1" sqref="B15 M15">
      <formula1>"RCC with infill,RCC bare frame,Steel Frame"</formula1>
    </dataValidation>
    <dataValidation type="list" allowBlank="1" showInputMessage="1" showErrorMessage="1" sqref="B9 M9">
      <formula1>"II,III,IV,V"</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A1:BI328"/>
  <sheetViews>
    <sheetView view="pageBreakPreview" topLeftCell="A107" zoomScale="85" zoomScaleNormal="85" zoomScaleSheetLayoutView="85" workbookViewId="0">
      <pane ySplit="8640" topLeftCell="A32" activePane="bottomLeft"/>
      <selection activeCell="AC31" sqref="AC31"/>
      <selection pane="bottomLeft" activeCell="L13" sqref="L13"/>
    </sheetView>
  </sheetViews>
  <sheetFormatPr defaultColWidth="9.140625" defaultRowHeight="12.75" x14ac:dyDescent="0.2"/>
  <cols>
    <col min="1" max="1" width="9.140625" style="400"/>
    <col min="2" max="2" width="4.140625" style="400" customWidth="1"/>
    <col min="3" max="3" width="7.140625" style="400" customWidth="1"/>
    <col min="4" max="4" width="6.42578125" style="400" customWidth="1"/>
    <col min="5" max="5" width="7.7109375" style="400" customWidth="1"/>
    <col min="6" max="6" width="7.5703125" style="400" customWidth="1"/>
    <col min="7" max="7" width="10.7109375" style="400" customWidth="1"/>
    <col min="8" max="8" width="7.42578125" style="400" customWidth="1"/>
    <col min="9" max="9" width="9.42578125" style="400" customWidth="1"/>
    <col min="10" max="10" width="11.140625" style="400" customWidth="1"/>
    <col min="11" max="11" width="9.5703125" style="400" customWidth="1"/>
    <col min="12" max="12" width="10.42578125" style="400" customWidth="1"/>
    <col min="13" max="14" width="9" style="400" customWidth="1"/>
    <col min="15" max="15" width="7.85546875" style="400" customWidth="1"/>
    <col min="16" max="16" width="11.7109375" style="400" customWidth="1"/>
    <col min="17" max="17" width="7.85546875" style="400" customWidth="1"/>
    <col min="18" max="18" width="11" style="400" customWidth="1"/>
    <col min="19" max="20" width="10.28515625" style="400" customWidth="1"/>
    <col min="21" max="21" width="9.42578125" style="400" customWidth="1"/>
    <col min="22" max="22" width="10" style="400" customWidth="1"/>
    <col min="23" max="24" width="8.7109375" style="400" customWidth="1"/>
    <col min="25" max="25" width="12.28515625" style="400" customWidth="1"/>
    <col min="26" max="26" width="10.5703125" style="400" customWidth="1"/>
    <col min="27" max="27" width="8.140625" style="400" customWidth="1"/>
    <col min="28" max="28" width="9.42578125" style="400" customWidth="1"/>
    <col min="29" max="29" width="10.85546875" style="400" customWidth="1"/>
    <col min="30" max="30" width="10.5703125" style="400" customWidth="1"/>
    <col min="31" max="31" width="10.28515625" style="400" customWidth="1"/>
    <col min="32" max="32" width="9.28515625" style="400" customWidth="1"/>
    <col min="33" max="33" width="9.140625" style="400"/>
    <col min="34" max="34" width="9.140625" style="400" customWidth="1"/>
    <col min="35" max="35" width="9.140625" style="400"/>
    <col min="36" max="36" width="9.42578125" style="400" bestFit="1" customWidth="1"/>
    <col min="37" max="37" width="9.140625" style="400"/>
    <col min="38" max="39" width="9.42578125" style="400" bestFit="1" customWidth="1"/>
    <col min="40" max="40" width="12" style="400" customWidth="1"/>
    <col min="41" max="41" width="11.28515625" style="400" customWidth="1"/>
    <col min="42" max="42" width="10.28515625" style="400" customWidth="1"/>
    <col min="43" max="46" width="9.42578125" style="400" bestFit="1" customWidth="1"/>
    <col min="47" max="47" width="8.7109375" style="400" customWidth="1"/>
    <col min="48" max="49" width="10.85546875" style="400" bestFit="1" customWidth="1"/>
    <col min="50" max="50" width="10.140625" style="400" customWidth="1"/>
    <col min="51" max="51" width="11" style="400" bestFit="1" customWidth="1"/>
    <col min="52" max="52" width="10" style="400" customWidth="1"/>
    <col min="53" max="53" width="9.140625" style="400" customWidth="1"/>
    <col min="54" max="54" width="10.42578125" style="400" customWidth="1"/>
    <col min="55" max="55" width="9.85546875" style="400" customWidth="1"/>
    <col min="56" max="56" width="9.5703125" style="400" customWidth="1"/>
    <col min="57" max="57" width="7" style="400" customWidth="1"/>
    <col min="58" max="58" width="10.140625" style="400" customWidth="1"/>
    <col min="59" max="59" width="5.85546875" style="400" customWidth="1"/>
    <col min="60" max="16384" width="9.140625" style="400"/>
  </cols>
  <sheetData>
    <row r="1" spans="1:56" ht="20.25" thickBot="1" x14ac:dyDescent="0.4">
      <c r="D1"/>
      <c r="E1" s="702" t="s">
        <v>186</v>
      </c>
      <c r="F1"/>
      <c r="G1"/>
      <c r="H1"/>
      <c r="I1"/>
      <c r="J1"/>
    </row>
    <row r="2" spans="1:56" ht="15.75" x14ac:dyDescent="0.25">
      <c r="D2" s="703" t="s">
        <v>187</v>
      </c>
      <c r="E2" s="704">
        <v>0</v>
      </c>
      <c r="F2" s="704">
        <v>0.05</v>
      </c>
      <c r="G2" s="704">
        <v>0.1</v>
      </c>
      <c r="H2" s="704">
        <v>0.15</v>
      </c>
      <c r="I2" s="704">
        <v>0.2</v>
      </c>
      <c r="J2" s="705">
        <v>0.4</v>
      </c>
    </row>
    <row r="3" spans="1:56" ht="15.75" x14ac:dyDescent="0.25">
      <c r="D3" s="706">
        <v>415</v>
      </c>
      <c r="E3" s="707">
        <v>355.1</v>
      </c>
      <c r="F3" s="707">
        <v>355.1</v>
      </c>
      <c r="G3" s="707">
        <v>351.9</v>
      </c>
      <c r="H3" s="707">
        <v>342.4</v>
      </c>
      <c r="I3" s="707">
        <v>329.2</v>
      </c>
      <c r="J3" s="708">
        <v>329.2</v>
      </c>
    </row>
    <row r="4" spans="1:56" ht="16.5" thickBot="1" x14ac:dyDescent="0.3">
      <c r="D4" s="709">
        <v>500</v>
      </c>
      <c r="E4" s="710">
        <v>423.9</v>
      </c>
      <c r="F4" s="710">
        <v>423.9</v>
      </c>
      <c r="G4" s="710">
        <v>411.3</v>
      </c>
      <c r="H4" s="710">
        <v>395.1</v>
      </c>
      <c r="I4" s="710">
        <v>370.3</v>
      </c>
      <c r="J4" s="711">
        <v>370.3</v>
      </c>
    </row>
    <row r="6" spans="1:56" ht="13.5" thickBot="1" x14ac:dyDescent="0.25"/>
    <row r="7" spans="1:56" ht="27" thickBot="1" x14ac:dyDescent="0.45">
      <c r="C7" s="636"/>
      <c r="E7" s="637" t="s">
        <v>188</v>
      </c>
      <c r="F7" s="635" t="str">
        <f>RxnCheck!C10</f>
        <v>5story_35053v02_R5</v>
      </c>
      <c r="O7" s="401"/>
      <c r="T7" s="852" t="s">
        <v>189</v>
      </c>
      <c r="U7" s="853">
        <f>GeneralInput!C12</f>
        <v>1.4</v>
      </c>
    </row>
    <row r="8" spans="1:56" ht="48.75" thickBot="1" x14ac:dyDescent="0.3">
      <c r="C8" s="401"/>
      <c r="D8" s="848" t="s">
        <v>190</v>
      </c>
      <c r="E8" s="854" t="str">
        <f>GeneralInput!C10</f>
        <v>IS 1893-1 (2016)</v>
      </c>
      <c r="F8" s="37">
        <f>IF(E8="IS 1893 (1984)",1,IF(E8="IS 1893-1 (2002)",2,IF(E8="IS 1893-1 (2016)",3,IF(E8="IS 1893-1 (2025)",4))))</f>
        <v>3</v>
      </c>
      <c r="H8" s="848" t="s">
        <v>37</v>
      </c>
      <c r="I8" s="854" t="str">
        <f>GeneralInput!C11</f>
        <v>Special 13920 (2016)</v>
      </c>
      <c r="J8" s="37">
        <f>IF(I8 = "Ordinary", 1, IF(I8 = "Special", 2, IF(I8 = "Special 13920 (1993)", 3, IF(I8 = "Special 13920 (2016)", 4))))</f>
        <v>4</v>
      </c>
      <c r="K8" s="848" t="s">
        <v>191</v>
      </c>
      <c r="L8" s="849">
        <f>GeneralInput!$C$23</f>
        <v>500</v>
      </c>
      <c r="M8" s="845"/>
      <c r="N8" s="850" t="s">
        <v>192</v>
      </c>
      <c r="O8" s="856">
        <f>IF($L$8=415,180,IF($L$8=500,150,IF($L$8=250,300)))</f>
        <v>150</v>
      </c>
      <c r="P8" s="848" t="s">
        <v>193</v>
      </c>
      <c r="Q8" s="994">
        <v>25</v>
      </c>
      <c r="R8" s="848" t="s">
        <v>194</v>
      </c>
      <c r="S8" s="995">
        <v>40</v>
      </c>
      <c r="T8" s="857" t="s">
        <v>195</v>
      </c>
      <c r="U8" s="867">
        <f ca="1">ROUND(MIN(L12, L28), 2)</f>
        <v>0</v>
      </c>
      <c r="V8" s="851" t="str">
        <f ca="1">IF(U7&lt;=U8, "SCWB factor OK", "SCWB factor NOT-OK")</f>
        <v>SCWB factor NOT-OK</v>
      </c>
      <c r="W8" s="846"/>
      <c r="AK8" s="22" t="s">
        <v>196</v>
      </c>
      <c r="AL8" s="22">
        <f>LOAD_DATA!D9</f>
        <v>1</v>
      </c>
    </row>
    <row r="9" spans="1:56" ht="18" x14ac:dyDescent="0.25">
      <c r="C9" s="451" t="s">
        <v>197</v>
      </c>
      <c r="Y9" s="676"/>
      <c r="AJ9" s="745"/>
      <c r="AK9" s="22" t="s">
        <v>198</v>
      </c>
      <c r="AL9" s="745">
        <f>LOAD_DATA!D10</f>
        <v>0.25</v>
      </c>
      <c r="AM9" s="745"/>
      <c r="AN9" s="746" t="s">
        <v>199</v>
      </c>
      <c r="AO9" s="745"/>
      <c r="AP9" s="745"/>
      <c r="AQ9" s="745"/>
      <c r="AR9" s="745"/>
      <c r="AS9" s="745"/>
      <c r="AT9" s="745"/>
      <c r="AU9" s="745"/>
      <c r="AV9" s="1009" t="s">
        <v>200</v>
      </c>
      <c r="AW9" s="745"/>
      <c r="AX9" s="745"/>
      <c r="AY9" s="745"/>
      <c r="AZ9" s="745"/>
      <c r="BA9" s="745"/>
      <c r="BB9" s="745"/>
      <c r="BC9" s="745"/>
      <c r="BD9" s="745"/>
    </row>
    <row r="10" spans="1:56" s="403" customFormat="1" ht="43.5" customHeight="1" x14ac:dyDescent="0.25">
      <c r="A10" s="403" t="s">
        <v>201</v>
      </c>
      <c r="B10" s="1069" t="s">
        <v>202</v>
      </c>
      <c r="C10" s="1080" t="s">
        <v>203</v>
      </c>
      <c r="D10" s="1080"/>
      <c r="E10" s="1069" t="s">
        <v>204</v>
      </c>
      <c r="F10" s="1069" t="s">
        <v>205</v>
      </c>
      <c r="G10" s="1069" t="s">
        <v>206</v>
      </c>
      <c r="H10" s="1069" t="s">
        <v>207</v>
      </c>
      <c r="I10" s="1069" t="s">
        <v>208</v>
      </c>
      <c r="J10" s="1069" t="s">
        <v>209</v>
      </c>
      <c r="K10" s="1069" t="s">
        <v>210</v>
      </c>
      <c r="L10" s="729" t="s">
        <v>211</v>
      </c>
      <c r="M10" s="1069" t="s">
        <v>212</v>
      </c>
      <c r="N10" s="1069" t="s">
        <v>213</v>
      </c>
      <c r="O10" s="864" t="s">
        <v>214</v>
      </c>
      <c r="P10" s="677"/>
      <c r="Q10" s="862"/>
      <c r="R10" s="863"/>
      <c r="S10" s="453" t="s">
        <v>215</v>
      </c>
      <c r="T10" s="453" t="s">
        <v>216</v>
      </c>
      <c r="U10" s="453" t="s">
        <v>217</v>
      </c>
      <c r="V10" s="1069" t="s">
        <v>218</v>
      </c>
      <c r="W10" s="453" t="s">
        <v>219</v>
      </c>
      <c r="X10" s="453" t="s">
        <v>220</v>
      </c>
      <c r="Y10" s="1069" t="s">
        <v>221</v>
      </c>
      <c r="Z10" s="1069" t="s">
        <v>222</v>
      </c>
      <c r="AA10" s="1069" t="s">
        <v>223</v>
      </c>
      <c r="AB10" s="1069" t="s">
        <v>224</v>
      </c>
      <c r="AC10" s="865" t="s">
        <v>225</v>
      </c>
      <c r="AD10" s="678"/>
      <c r="AE10" s="678"/>
      <c r="AF10" s="678"/>
      <c r="AG10" s="679"/>
      <c r="AH10" s="1069" t="s">
        <v>226</v>
      </c>
      <c r="AJ10" s="747" t="s">
        <v>227</v>
      </c>
      <c r="AK10" s="748"/>
      <c r="AL10" s="824" t="s">
        <v>228</v>
      </c>
      <c r="AM10" s="834" t="s">
        <v>229</v>
      </c>
      <c r="AN10" s="749"/>
      <c r="AO10" s="833"/>
      <c r="AP10" s="835" t="s">
        <v>230</v>
      </c>
      <c r="AQ10" s="836" t="s">
        <v>230</v>
      </c>
      <c r="AR10" s="836" t="s">
        <v>230</v>
      </c>
      <c r="AS10" s="836" t="s">
        <v>230</v>
      </c>
      <c r="AT10" s="836" t="s">
        <v>230</v>
      </c>
      <c r="AU10" s="827" t="s">
        <v>231</v>
      </c>
      <c r="AV10" s="828" t="s">
        <v>232</v>
      </c>
      <c r="AW10" s="829" t="s">
        <v>233</v>
      </c>
      <c r="AX10" s="828" t="s">
        <v>234</v>
      </c>
      <c r="AY10" s="830" t="s">
        <v>235</v>
      </c>
      <c r="AZ10" s="748"/>
      <c r="BA10" s="832" t="s">
        <v>236</v>
      </c>
      <c r="BB10" s="833" t="s">
        <v>237</v>
      </c>
      <c r="BC10" s="749"/>
      <c r="BD10" s="754" t="s">
        <v>238</v>
      </c>
    </row>
    <row r="11" spans="1:56" ht="30" customHeight="1" x14ac:dyDescent="0.25">
      <c r="A11" s="400" t="s">
        <v>86</v>
      </c>
      <c r="B11" s="680"/>
      <c r="C11" s="681" t="s">
        <v>239</v>
      </c>
      <c r="D11" s="681" t="s">
        <v>240</v>
      </c>
      <c r="E11" s="681" t="s">
        <v>241</v>
      </c>
      <c r="F11" s="681" t="s">
        <v>241</v>
      </c>
      <c r="G11" s="681" t="s">
        <v>86</v>
      </c>
      <c r="H11" s="681" t="s">
        <v>86</v>
      </c>
      <c r="I11" s="681" t="s">
        <v>86</v>
      </c>
      <c r="J11" s="464" t="s">
        <v>242</v>
      </c>
      <c r="K11" s="464" t="s">
        <v>242</v>
      </c>
      <c r="L11" s="868"/>
      <c r="M11" s="681" t="s">
        <v>243</v>
      </c>
      <c r="N11" s="682" t="s">
        <v>242</v>
      </c>
      <c r="O11" s="405"/>
      <c r="P11" s="406"/>
      <c r="Q11" s="407"/>
      <c r="R11" s="408"/>
      <c r="S11" s="408"/>
      <c r="T11" s="683"/>
      <c r="U11" s="684"/>
      <c r="V11" s="683"/>
      <c r="W11" s="683"/>
      <c r="X11" s="683"/>
      <c r="Y11" s="685" t="str">
        <f>IF(OR($J$8 = 2, $J$8 = 3, $J$8 = 4),"IS-13920","26.5.3.1(g)")</f>
        <v>IS-13920</v>
      </c>
      <c r="Z11" s="683"/>
      <c r="AA11" s="409"/>
      <c r="AB11" s="409"/>
      <c r="AC11" s="409"/>
      <c r="AD11" s="406"/>
      <c r="AE11" s="406"/>
      <c r="AF11" s="406"/>
      <c r="AG11" s="410"/>
      <c r="AH11" s="861" t="s">
        <v>244</v>
      </c>
      <c r="AJ11" s="755"/>
      <c r="AK11" s="745"/>
      <c r="AL11" s="756" t="s">
        <v>73</v>
      </c>
      <c r="AM11" s="831">
        <f>RxnCheck!$C$44</f>
        <v>8.25</v>
      </c>
      <c r="AN11" s="831">
        <f>RxnCheck!$C$45</f>
        <v>4</v>
      </c>
      <c r="AO11" s="831"/>
      <c r="AP11" s="757" t="s">
        <v>245</v>
      </c>
      <c r="AQ11" s="758" t="s">
        <v>246</v>
      </c>
      <c r="AR11" s="758" t="s">
        <v>247</v>
      </c>
      <c r="AS11" s="758" t="s">
        <v>248</v>
      </c>
      <c r="AT11" s="758" t="s">
        <v>249</v>
      </c>
      <c r="AU11" s="837"/>
      <c r="AV11" s="760"/>
      <c r="AW11" s="831"/>
      <c r="AX11" s="760"/>
      <c r="AY11" s="761"/>
      <c r="AZ11" s="831"/>
      <c r="BA11" s="837"/>
      <c r="BB11" s="831"/>
      <c r="BC11" s="831"/>
      <c r="BD11" s="838"/>
    </row>
    <row r="12" spans="1:56" ht="15.75" x14ac:dyDescent="0.25">
      <c r="B12" s="411" t="s">
        <v>199</v>
      </c>
      <c r="C12" s="411"/>
      <c r="D12" s="415"/>
      <c r="E12" s="415"/>
      <c r="F12" s="415"/>
      <c r="G12" s="415"/>
      <c r="H12" s="415"/>
      <c r="I12" s="415"/>
      <c r="J12" s="412"/>
      <c r="K12" s="412"/>
      <c r="L12" s="869">
        <f ca="1">MIN(OFFSET(L15,0,0,RxnCheck!$C$13-1,1))</f>
        <v>0</v>
      </c>
      <c r="M12" s="415"/>
      <c r="N12" s="415"/>
      <c r="O12" s="415"/>
      <c r="P12" s="415"/>
      <c r="Q12" s="411" t="s">
        <v>199</v>
      </c>
      <c r="R12" s="415"/>
      <c r="S12" s="415"/>
      <c r="T12" s="415"/>
      <c r="U12" s="445"/>
      <c r="V12" s="415"/>
      <c r="W12" s="412"/>
      <c r="X12" s="415"/>
      <c r="Y12" s="415"/>
      <c r="Z12" s="415"/>
      <c r="AA12" s="415"/>
      <c r="AB12" s="415"/>
      <c r="AC12" s="415"/>
      <c r="AD12" s="415"/>
      <c r="AE12" s="415"/>
      <c r="AF12" s="415"/>
      <c r="AG12" s="446"/>
      <c r="AH12" s="412"/>
      <c r="AJ12" s="755"/>
      <c r="AK12" s="745"/>
      <c r="AL12" s="837"/>
      <c r="AM12" s="831"/>
      <c r="AN12" s="831"/>
      <c r="AO12" s="831"/>
      <c r="AP12" s="756" t="s">
        <v>73</v>
      </c>
      <c r="AQ12" s="763" t="s">
        <v>73</v>
      </c>
      <c r="AR12" s="763" t="s">
        <v>73</v>
      </c>
      <c r="AS12" s="763" t="s">
        <v>73</v>
      </c>
      <c r="AT12" s="763" t="s">
        <v>73</v>
      </c>
      <c r="AU12" s="837"/>
      <c r="AV12" s="760" t="s">
        <v>250</v>
      </c>
      <c r="AW12" s="831"/>
      <c r="AX12" s="760" t="s">
        <v>250</v>
      </c>
      <c r="AY12" s="761" t="s">
        <v>250</v>
      </c>
      <c r="AZ12" s="831"/>
      <c r="BA12" s="764" t="s">
        <v>250</v>
      </c>
      <c r="BB12" s="760" t="s">
        <v>250</v>
      </c>
      <c r="BC12" s="831"/>
      <c r="BD12" s="838"/>
    </row>
    <row r="13" spans="1:56" ht="31.5" thickBot="1" x14ac:dyDescent="0.3">
      <c r="B13" s="447"/>
      <c r="C13" s="447"/>
      <c r="J13" s="448"/>
      <c r="K13" s="448"/>
      <c r="Q13" s="449"/>
      <c r="U13" s="450"/>
      <c r="W13" s="448"/>
      <c r="AH13" s="448"/>
      <c r="AJ13" s="765"/>
      <c r="AK13" s="745"/>
      <c r="AL13" s="900" t="str">
        <f>CONCATENATE($AL$8, "DL+",$AL$9,"LL")</f>
        <v>1DL+0.25LL</v>
      </c>
      <c r="AM13" s="766" t="s">
        <v>69</v>
      </c>
      <c r="AN13" s="766" t="s">
        <v>68</v>
      </c>
      <c r="AO13" s="766" t="s">
        <v>251</v>
      </c>
      <c r="AP13" s="767"/>
      <c r="AQ13" s="768"/>
      <c r="AR13" s="768"/>
      <c r="AS13" s="768"/>
      <c r="AT13" s="768"/>
      <c r="AU13" s="759"/>
      <c r="AV13" s="769"/>
      <c r="AW13" s="745"/>
      <c r="AX13" s="769"/>
      <c r="AY13" s="770"/>
      <c r="AZ13" s="745"/>
      <c r="BA13" s="759"/>
      <c r="BB13" s="745"/>
      <c r="BC13" s="745"/>
      <c r="BD13" s="762"/>
    </row>
    <row r="14" spans="1:56" ht="16.5" customHeight="1" x14ac:dyDescent="0.25">
      <c r="A14" s="400">
        <f>RxnCheck!I11</f>
        <v>3900</v>
      </c>
      <c r="B14" s="425">
        <f>RxnCheck!C13</f>
        <v>5</v>
      </c>
      <c r="C14" s="404">
        <f>RxnCheck!J11</f>
        <v>450</v>
      </c>
      <c r="D14" s="404">
        <f>RxnCheck!K11</f>
        <v>600</v>
      </c>
      <c r="E14" s="404">
        <f>GeneralInput!$C$15</f>
        <v>50</v>
      </c>
      <c r="F14" s="404">
        <v>500</v>
      </c>
      <c r="G14" s="14">
        <v>10</v>
      </c>
      <c r="H14" s="14">
        <v>100</v>
      </c>
      <c r="I14" s="426">
        <f>IF(OR($J$8 = 2, $J$8 = 3, $J$8 = 4),ROUND(PI()/4*G14^2*F14/(0.18*H14*(J14/K14-1)*E14),0),"-")</f>
        <v>108</v>
      </c>
      <c r="J14" s="847">
        <f t="shared" ref="J14:J25" si="0">IF(OR($J$8 = 2, $J$8 = 3, $J$8 = 4),C14*D14,"-")</f>
        <v>270000</v>
      </c>
      <c r="K14" s="847">
        <f t="shared" ref="K14:K25" si="1">IF(OR($J$8 = 2, $J$8 = 3, $J$8 = 4),(C14-80)*(D14-2*$S$8),"-")</f>
        <v>192400</v>
      </c>
      <c r="M14" s="14">
        <v>666</v>
      </c>
      <c r="N14" s="14">
        <v>2423</v>
      </c>
      <c r="O14" s="427">
        <v>6</v>
      </c>
      <c r="P14" s="428">
        <v>16</v>
      </c>
      <c r="Q14" s="429">
        <v>12</v>
      </c>
      <c r="R14" s="430">
        <v>12</v>
      </c>
      <c r="S14" s="156">
        <v>5</v>
      </c>
      <c r="T14" s="431">
        <v>6</v>
      </c>
      <c r="U14" s="432">
        <f t="shared" ref="U14:U25" si="2">PI()/4*(O14*P14^2+Q14*R14^2)</f>
        <v>2563.5396053292711</v>
      </c>
      <c r="V14" s="433" t="str">
        <f t="shared" ref="V14:V20" si="3">IF(U14&gt;=N14, CONCATENATE("OK (",ROUND((U14/N14-1)*100,0),"%)"), "NOT OK")</f>
        <v>OK (6%)</v>
      </c>
      <c r="W14" s="434">
        <f t="shared" ref="W14:W25" si="4">ROUND((C14 - 2*40 - 2* G14-2*0.5*P14) / (S14-1), 0)</f>
        <v>84</v>
      </c>
      <c r="X14" s="434">
        <f t="shared" ref="X14:X25" si="5">ROUND((D14 - 2*40 - 2* G14-2*0.5*R14) / (T14-1),0)</f>
        <v>98</v>
      </c>
      <c r="Y14" s="855" t="str">
        <f t="shared" ref="Y14:Y25" si="6">IF(OR($J$8 = 2, $J$8 = 3, $J$8 = 4),IF(I14&gt;=MAX(W14,X14), "OK", "NOT OK"), IF($J$8=1,IF(MAX(W14,X14)&lt;300, "OK", "NOT OK")))</f>
        <v>OK</v>
      </c>
      <c r="Z14" s="436" t="str">
        <f t="shared" ref="Z14:Z20" si="7">IF((S14+T14)*2-4 = O14+Q14, "OK", "NOT-OK")</f>
        <v>OK</v>
      </c>
      <c r="AA14" s="437">
        <f t="shared" ref="AA14:AA20" si="8">N14/C14/D14</f>
        <v>8.9740740740740736E-3</v>
      </c>
      <c r="AB14" s="437">
        <f t="shared" ref="AB14:AB20" si="9">U14/C14/D14</f>
        <v>9.4945911308491528E-3</v>
      </c>
      <c r="AC14" s="438">
        <v>4</v>
      </c>
      <c r="AD14" s="858">
        <f t="shared" ref="AD14:AD19" si="10">G14</f>
        <v>10</v>
      </c>
      <c r="AE14" s="859">
        <f t="shared" ref="AE14:AE25" si="11">H14</f>
        <v>100</v>
      </c>
      <c r="AF14" s="424">
        <f t="shared" ref="AF14:AF20" si="12">AC14*PI()/4*AD14^2*1000/AE14</f>
        <v>3141.5926535897934</v>
      </c>
      <c r="AG14" s="418" t="str">
        <f t="shared" ref="AG14:AG20" si="13">IF(AF14&gt;=M14, "OK", "NOT OK")</f>
        <v>OK</v>
      </c>
      <c r="AH14" s="418" t="str">
        <f t="shared" ref="AH14:AH25" si="14">IF(AE14&lt;=MIN(C14,D14,16*MIN(P14, R14), 300), "OK", "NOT-OK")</f>
        <v>OK</v>
      </c>
      <c r="AJ14" s="771">
        <f t="shared" ref="AJ14:AJ25" si="15">AC14*PI()*AD14^2/4/AE14/C14</f>
        <v>6.9813170079773184E-3</v>
      </c>
      <c r="AK14" s="745"/>
      <c r="AL14" s="772">
        <f ca="1">GeneralInput!D96</f>
        <v>380.08083333333332</v>
      </c>
      <c r="AM14" s="773">
        <f t="shared" ref="AM14:AM25" ca="1" si="16">$AL14*AM$11/($AL$8*$AM$11+$AL$9*$AN$11)</f>
        <v>338.99101351351351</v>
      </c>
      <c r="AN14" s="773">
        <f t="shared" ref="AN14:AN25" ca="1" si="17">$AL14*(AN$11)/($AL$8*$AM$11+$AL$9*$AN$11)</f>
        <v>164.35927927927926</v>
      </c>
      <c r="AO14" s="773">
        <f ca="1">AxialForceEQCase!G43</f>
        <v>-19.896997597706861</v>
      </c>
      <c r="AP14" s="772">
        <f t="shared" ref="AP14:AP19" ca="1" si="18">1.5*(AM14+AN14)</f>
        <v>755.02543918918911</v>
      </c>
      <c r="AQ14" s="773">
        <f t="shared" ref="AQ14:AQ19" ca="1" si="19">1.5*(AM14+AO14)</f>
        <v>478.64102387370997</v>
      </c>
      <c r="AR14" s="773">
        <f t="shared" ref="AR14:AR19" ca="1" si="20">1.5*(AM14-AO14)</f>
        <v>538.33201666683055</v>
      </c>
      <c r="AS14" s="773">
        <f t="shared" ref="AS14:AS19" ca="1" si="21">1.2*(AM14+AN14+AO14)</f>
        <v>580.14395423410303</v>
      </c>
      <c r="AT14" s="773">
        <f t="shared" ref="AT14:AT19" ca="1" si="22">1.2*(AM14+AN14-AO14)</f>
        <v>627.89674846859953</v>
      </c>
      <c r="AU14" s="774">
        <f t="shared" ref="AU14:AU25" ca="1" si="23">MAX(AQ14,AR14,AS14,AT14)</f>
        <v>627.89674846859953</v>
      </c>
      <c r="AV14" s="775"/>
      <c r="AW14" s="773">
        <f t="shared" ref="AW14:AW25" ca="1" si="24">MIN(AQ14,AR14,AS14,AT14)</f>
        <v>478.64102387370997</v>
      </c>
      <c r="AX14" s="775"/>
      <c r="AY14" s="776"/>
      <c r="AZ14" s="745"/>
      <c r="BA14" s="759"/>
      <c r="BB14" s="745"/>
      <c r="BC14" s="745"/>
      <c r="BD14" s="762"/>
    </row>
    <row r="15" spans="1:56" ht="16.5" customHeight="1" x14ac:dyDescent="0.25">
      <c r="A15" s="400">
        <f>RxnCheck!I12</f>
        <v>3900</v>
      </c>
      <c r="B15" s="425">
        <f t="shared" ref="B15:B23" si="25">B14-1</f>
        <v>4</v>
      </c>
      <c r="C15" s="404">
        <f>RxnCheck!J12</f>
        <v>450</v>
      </c>
      <c r="D15" s="404">
        <f>RxnCheck!K12</f>
        <v>600</v>
      </c>
      <c r="E15" s="404">
        <f>GeneralInput!$C$15</f>
        <v>50</v>
      </c>
      <c r="F15" s="404">
        <v>500</v>
      </c>
      <c r="G15" s="14">
        <v>10</v>
      </c>
      <c r="H15" s="14">
        <v>100</v>
      </c>
      <c r="I15" s="426">
        <f>IF(OR($J$8 = 2, $J$8 = 3, $J$8 = 4),ROUND(PI()/4*G15^2*F15/(0.18*H15*(J15/K15-1)*E15),0),"-")</f>
        <v>108</v>
      </c>
      <c r="J15" s="847">
        <f t="shared" si="0"/>
        <v>270000</v>
      </c>
      <c r="K15" s="847">
        <f t="shared" si="1"/>
        <v>192400</v>
      </c>
      <c r="L15" s="700">
        <f t="shared" ref="L15:L25" si="26">IFERROR(BD15, "-")</f>
        <v>0</v>
      </c>
      <c r="M15" s="14">
        <v>862</v>
      </c>
      <c r="N15" s="14">
        <v>2431</v>
      </c>
      <c r="O15" s="440">
        <v>6</v>
      </c>
      <c r="P15" s="441">
        <v>16</v>
      </c>
      <c r="Q15" s="442">
        <v>12</v>
      </c>
      <c r="R15" s="443">
        <v>12</v>
      </c>
      <c r="S15" s="154">
        <v>5</v>
      </c>
      <c r="T15" s="444">
        <v>6</v>
      </c>
      <c r="U15" s="432">
        <f t="shared" si="2"/>
        <v>2563.5396053292711</v>
      </c>
      <c r="V15" s="433" t="str">
        <f t="shared" si="3"/>
        <v>OK (5%)</v>
      </c>
      <c r="W15" s="434">
        <f t="shared" si="4"/>
        <v>84</v>
      </c>
      <c r="X15" s="434">
        <f t="shared" si="5"/>
        <v>98</v>
      </c>
      <c r="Y15" s="435" t="str">
        <f t="shared" si="6"/>
        <v>OK</v>
      </c>
      <c r="Z15" s="436" t="str">
        <f t="shared" si="7"/>
        <v>OK</v>
      </c>
      <c r="AA15" s="437">
        <f t="shared" si="8"/>
        <v>9.003703703703703E-3</v>
      </c>
      <c r="AB15" s="437">
        <f t="shared" si="9"/>
        <v>9.4945911308491528E-3</v>
      </c>
      <c r="AC15" s="438">
        <v>4</v>
      </c>
      <c r="AD15" s="858">
        <f t="shared" si="10"/>
        <v>10</v>
      </c>
      <c r="AE15" s="859">
        <f t="shared" si="11"/>
        <v>100</v>
      </c>
      <c r="AF15" s="424">
        <f t="shared" si="12"/>
        <v>3141.5926535897934</v>
      </c>
      <c r="AG15" s="418" t="str">
        <f t="shared" si="13"/>
        <v>OK</v>
      </c>
      <c r="AH15" s="418" t="str">
        <f t="shared" si="14"/>
        <v>OK</v>
      </c>
      <c r="AJ15" s="777">
        <f t="shared" si="15"/>
        <v>6.9813170079773184E-3</v>
      </c>
      <c r="AK15" s="745"/>
      <c r="AL15" s="772">
        <f ca="1">GeneralInput!D97</f>
        <v>760.16166666666663</v>
      </c>
      <c r="AM15" s="773">
        <f t="shared" ca="1" si="16"/>
        <v>677.98202702702702</v>
      </c>
      <c r="AN15" s="773">
        <f t="shared" ca="1" si="17"/>
        <v>328.71855855855853</v>
      </c>
      <c r="AO15" s="773">
        <f ca="1">AxialForceEQCase!G44</f>
        <v>-72.615841310588436</v>
      </c>
      <c r="AP15" s="772">
        <f t="shared" ca="1" si="18"/>
        <v>1510.0508783783782</v>
      </c>
      <c r="AQ15" s="773">
        <f t="shared" ca="1" si="19"/>
        <v>908.04927857465793</v>
      </c>
      <c r="AR15" s="773">
        <f t="shared" ca="1" si="20"/>
        <v>1125.8968025064232</v>
      </c>
      <c r="AS15" s="773">
        <f t="shared" ca="1" si="21"/>
        <v>1120.9016931299964</v>
      </c>
      <c r="AT15" s="773">
        <f t="shared" ca="1" si="22"/>
        <v>1295.1797122754085</v>
      </c>
      <c r="AU15" s="774">
        <f t="shared" ca="1" si="23"/>
        <v>1295.1797122754085</v>
      </c>
      <c r="AV15" s="775"/>
      <c r="AW15" s="773">
        <f t="shared" ca="1" si="24"/>
        <v>908.04927857465793</v>
      </c>
      <c r="AX15" s="775"/>
      <c r="AY15" s="776"/>
      <c r="AZ15" s="745"/>
      <c r="BA15" s="778">
        <f t="shared" ref="BA15:BA25" si="27">AY14+AY15</f>
        <v>0</v>
      </c>
      <c r="BB15" s="779">
        <f t="shared" ref="BB15:BB20" si="28">MAX(AO50:AP50)</f>
        <v>719.13232722308408</v>
      </c>
      <c r="BC15" s="745"/>
      <c r="BD15" s="780">
        <f t="shared" ref="BD15:BD25" si="29">BA15/BB15</f>
        <v>0</v>
      </c>
    </row>
    <row r="16" spans="1:56" ht="16.5" customHeight="1" x14ac:dyDescent="0.25">
      <c r="A16" s="400">
        <f>RxnCheck!I13</f>
        <v>3900</v>
      </c>
      <c r="B16" s="425">
        <f t="shared" si="25"/>
        <v>3</v>
      </c>
      <c r="C16" s="404">
        <f>RxnCheck!J13</f>
        <v>450</v>
      </c>
      <c r="D16" s="404">
        <f>RxnCheck!K13</f>
        <v>600</v>
      </c>
      <c r="E16" s="404">
        <f>GeneralInput!$C$15</f>
        <v>50</v>
      </c>
      <c r="F16" s="404">
        <v>500</v>
      </c>
      <c r="G16" s="14">
        <v>10</v>
      </c>
      <c r="H16" s="14">
        <v>100</v>
      </c>
      <c r="I16" s="426">
        <f>IF(OR($J$8 = 2, $J$8 = 3, $J$8 = 4),ROUND(PI()/4*G16^2*F16/(0.18*H16*(J16/K16-1)*E16),0),"-")</f>
        <v>108</v>
      </c>
      <c r="J16" s="847">
        <f t="shared" si="0"/>
        <v>270000</v>
      </c>
      <c r="K16" s="847">
        <f t="shared" si="1"/>
        <v>192400</v>
      </c>
      <c r="L16" s="700">
        <f t="shared" si="26"/>
        <v>0</v>
      </c>
      <c r="M16" s="14">
        <v>1141</v>
      </c>
      <c r="N16" s="14">
        <v>4631</v>
      </c>
      <c r="O16" s="440">
        <v>12</v>
      </c>
      <c r="P16" s="441">
        <v>20</v>
      </c>
      <c r="Q16" s="442">
        <v>6</v>
      </c>
      <c r="R16" s="443">
        <v>16</v>
      </c>
      <c r="S16" s="154">
        <v>5</v>
      </c>
      <c r="T16" s="444">
        <v>6</v>
      </c>
      <c r="U16" s="432">
        <f t="shared" si="2"/>
        <v>4976.2827632862327</v>
      </c>
      <c r="V16" s="433" t="str">
        <f>IF(U16&gt;=N16, CONCATENATE("OK (",ROUND((U16/N16-1)*100,0),"%)"), "NOT OK")</f>
        <v>OK (7%)</v>
      </c>
      <c r="W16" s="434">
        <f t="shared" si="4"/>
        <v>83</v>
      </c>
      <c r="X16" s="434">
        <f t="shared" si="5"/>
        <v>97</v>
      </c>
      <c r="Y16" s="435" t="str">
        <f t="shared" si="6"/>
        <v>OK</v>
      </c>
      <c r="Z16" s="436" t="str">
        <f t="shared" si="7"/>
        <v>OK</v>
      </c>
      <c r="AA16" s="437">
        <f t="shared" si="8"/>
        <v>1.7151851851851852E-2</v>
      </c>
      <c r="AB16" s="437">
        <f t="shared" si="9"/>
        <v>1.8430676901060122E-2</v>
      </c>
      <c r="AC16" s="438">
        <v>4</v>
      </c>
      <c r="AD16" s="858">
        <f t="shared" si="10"/>
        <v>10</v>
      </c>
      <c r="AE16" s="859">
        <f t="shared" si="11"/>
        <v>100</v>
      </c>
      <c r="AF16" s="424">
        <f t="shared" si="12"/>
        <v>3141.5926535897934</v>
      </c>
      <c r="AG16" s="418" t="str">
        <f t="shared" si="13"/>
        <v>OK</v>
      </c>
      <c r="AH16" s="418" t="str">
        <f t="shared" si="14"/>
        <v>OK</v>
      </c>
      <c r="AJ16" s="777">
        <f t="shared" si="15"/>
        <v>6.9813170079773184E-3</v>
      </c>
      <c r="AK16" s="745"/>
      <c r="AL16" s="772">
        <f ca="1">GeneralInput!D98</f>
        <v>1140.2424999999998</v>
      </c>
      <c r="AM16" s="773">
        <f t="shared" ca="1" si="16"/>
        <v>1016.9730405405404</v>
      </c>
      <c r="AN16" s="773">
        <f t="shared" ca="1" si="17"/>
        <v>493.07783783783776</v>
      </c>
      <c r="AO16" s="773">
        <f ca="1">AxialForceEQCase!G45</f>
        <v>-145.71038071441643</v>
      </c>
      <c r="AP16" s="772">
        <f t="shared" ca="1" si="18"/>
        <v>2265.0763175675675</v>
      </c>
      <c r="AQ16" s="773">
        <f t="shared" ca="1" si="19"/>
        <v>1306.8939897391861</v>
      </c>
      <c r="AR16" s="773">
        <f t="shared" ca="1" si="20"/>
        <v>1744.0251318824353</v>
      </c>
      <c r="AS16" s="773">
        <f t="shared" ca="1" si="21"/>
        <v>1637.208597196754</v>
      </c>
      <c r="AT16" s="773">
        <f t="shared" ca="1" si="22"/>
        <v>1986.9135109113536</v>
      </c>
      <c r="AU16" s="774">
        <f t="shared" ca="1" si="23"/>
        <v>1986.9135109113536</v>
      </c>
      <c r="AV16" s="775"/>
      <c r="AW16" s="773">
        <f t="shared" ca="1" si="24"/>
        <v>1306.8939897391861</v>
      </c>
      <c r="AX16" s="775"/>
      <c r="AY16" s="776"/>
      <c r="AZ16" s="745"/>
      <c r="BA16" s="778">
        <f t="shared" si="27"/>
        <v>0</v>
      </c>
      <c r="BB16" s="779">
        <f t="shared" si="28"/>
        <v>851.2220056472936</v>
      </c>
      <c r="BC16" s="745"/>
      <c r="BD16" s="780">
        <f t="shared" si="29"/>
        <v>0</v>
      </c>
    </row>
    <row r="17" spans="1:56" ht="16.5" customHeight="1" x14ac:dyDescent="0.25">
      <c r="A17" s="400">
        <f>RxnCheck!I14</f>
        <v>3900</v>
      </c>
      <c r="B17" s="425">
        <f t="shared" si="25"/>
        <v>2</v>
      </c>
      <c r="C17" s="404">
        <f>RxnCheck!J14</f>
        <v>450</v>
      </c>
      <c r="D17" s="404">
        <f>RxnCheck!K14</f>
        <v>600</v>
      </c>
      <c r="E17" s="404">
        <f>GeneralInput!$C$15</f>
        <v>50</v>
      </c>
      <c r="F17" s="404">
        <v>500</v>
      </c>
      <c r="G17" s="14">
        <v>10</v>
      </c>
      <c r="H17" s="14">
        <v>100</v>
      </c>
      <c r="I17" s="426">
        <f t="shared" ref="I17:I25" si="30">IF(OR($J$8 = 2, $J$8 = 3, $J$8 = 4),ROUND(PI()/4*G17^2*F17/(0.18*H17*(J17/K17-1)*E17),0),"-")</f>
        <v>108</v>
      </c>
      <c r="J17" s="847">
        <f t="shared" si="0"/>
        <v>270000</v>
      </c>
      <c r="K17" s="847">
        <f t="shared" si="1"/>
        <v>192400</v>
      </c>
      <c r="L17" s="700">
        <f t="shared" si="26"/>
        <v>0</v>
      </c>
      <c r="M17" s="14">
        <v>1315</v>
      </c>
      <c r="N17" s="14">
        <v>6745</v>
      </c>
      <c r="O17" s="440">
        <v>12</v>
      </c>
      <c r="P17" s="441">
        <v>25</v>
      </c>
      <c r="Q17" s="442">
        <v>6</v>
      </c>
      <c r="R17" s="443">
        <v>16</v>
      </c>
      <c r="S17" s="154">
        <v>5</v>
      </c>
      <c r="T17" s="444">
        <v>6</v>
      </c>
      <c r="U17" s="432">
        <f t="shared" si="2"/>
        <v>7096.8578044593423</v>
      </c>
      <c r="V17" s="433" t="str">
        <f t="shared" si="3"/>
        <v>OK (5%)</v>
      </c>
      <c r="W17" s="434">
        <f t="shared" si="4"/>
        <v>81</v>
      </c>
      <c r="X17" s="434">
        <f t="shared" si="5"/>
        <v>97</v>
      </c>
      <c r="Y17" s="435" t="str">
        <f t="shared" si="6"/>
        <v>OK</v>
      </c>
      <c r="Z17" s="436" t="str">
        <f t="shared" si="7"/>
        <v>OK</v>
      </c>
      <c r="AA17" s="437">
        <f t="shared" si="8"/>
        <v>2.4981481481481483E-2</v>
      </c>
      <c r="AB17" s="437">
        <f t="shared" si="9"/>
        <v>2.6284658535034602E-2</v>
      </c>
      <c r="AC17" s="438">
        <v>4</v>
      </c>
      <c r="AD17" s="858">
        <f t="shared" si="10"/>
        <v>10</v>
      </c>
      <c r="AE17" s="859">
        <f t="shared" si="11"/>
        <v>100</v>
      </c>
      <c r="AF17" s="424">
        <f t="shared" si="12"/>
        <v>3141.5926535897934</v>
      </c>
      <c r="AG17" s="418" t="str">
        <f t="shared" si="13"/>
        <v>OK</v>
      </c>
      <c r="AH17" s="418" t="str">
        <f t="shared" si="14"/>
        <v>OK</v>
      </c>
      <c r="AJ17" s="777">
        <f t="shared" si="15"/>
        <v>6.9813170079773184E-3</v>
      </c>
      <c r="AK17" s="745"/>
      <c r="AL17" s="772">
        <f ca="1">GeneralInput!D99</f>
        <v>1520.3233333333333</v>
      </c>
      <c r="AM17" s="773">
        <f t="shared" ca="1" si="16"/>
        <v>1355.964054054054</v>
      </c>
      <c r="AN17" s="773">
        <f t="shared" ca="1" si="17"/>
        <v>657.43711711711705</v>
      </c>
      <c r="AO17" s="773">
        <f ca="1">AxialForceEQCase!G46</f>
        <v>-229.73076085746195</v>
      </c>
      <c r="AP17" s="772">
        <f t="shared" ca="1" si="18"/>
        <v>3020.1017567567565</v>
      </c>
      <c r="AQ17" s="773">
        <f t="shared" ca="1" si="19"/>
        <v>1689.3499397948881</v>
      </c>
      <c r="AR17" s="773">
        <f t="shared" ca="1" si="20"/>
        <v>2378.542222367274</v>
      </c>
      <c r="AS17" s="773">
        <f t="shared" ca="1" si="21"/>
        <v>2140.4044923764509</v>
      </c>
      <c r="AT17" s="773">
        <f t="shared" ca="1" si="22"/>
        <v>2691.7583184343594</v>
      </c>
      <c r="AU17" s="774">
        <f t="shared" ca="1" si="23"/>
        <v>2691.7583184343594</v>
      </c>
      <c r="AV17" s="775"/>
      <c r="AW17" s="773">
        <f t="shared" ca="1" si="24"/>
        <v>1689.3499397948881</v>
      </c>
      <c r="AX17" s="775"/>
      <c r="AY17" s="776"/>
      <c r="AZ17" s="745"/>
      <c r="BA17" s="778">
        <f t="shared" si="27"/>
        <v>0</v>
      </c>
      <c r="BB17" s="779">
        <f t="shared" si="28"/>
        <v>901.03011944318644</v>
      </c>
      <c r="BC17" s="745"/>
      <c r="BD17" s="780">
        <f t="shared" si="29"/>
        <v>0</v>
      </c>
    </row>
    <row r="18" spans="1:56" ht="16.5" customHeight="1" x14ac:dyDescent="0.25">
      <c r="A18" s="400">
        <f>RxnCheck!I15</f>
        <v>4500</v>
      </c>
      <c r="B18" s="425">
        <f t="shared" si="25"/>
        <v>1</v>
      </c>
      <c r="C18" s="404">
        <f>RxnCheck!J15</f>
        <v>450</v>
      </c>
      <c r="D18" s="404">
        <f>RxnCheck!K15</f>
        <v>600</v>
      </c>
      <c r="E18" s="404">
        <f>GeneralInput!$C$15</f>
        <v>50</v>
      </c>
      <c r="F18" s="404">
        <v>500</v>
      </c>
      <c r="G18" s="14">
        <v>10</v>
      </c>
      <c r="H18" s="14">
        <v>100</v>
      </c>
      <c r="I18" s="426">
        <f t="shared" si="30"/>
        <v>108</v>
      </c>
      <c r="J18" s="847">
        <f t="shared" si="0"/>
        <v>270000</v>
      </c>
      <c r="K18" s="847">
        <f t="shared" si="1"/>
        <v>192400</v>
      </c>
      <c r="L18" s="700">
        <f t="shared" si="26"/>
        <v>0</v>
      </c>
      <c r="M18" s="14">
        <v>1072</v>
      </c>
      <c r="N18" s="14">
        <v>8528</v>
      </c>
      <c r="O18" s="440">
        <v>12</v>
      </c>
      <c r="P18" s="441">
        <v>25</v>
      </c>
      <c r="Q18" s="442">
        <v>6</v>
      </c>
      <c r="R18" s="443">
        <v>25</v>
      </c>
      <c r="S18" s="154">
        <v>5</v>
      </c>
      <c r="T18" s="444">
        <v>6</v>
      </c>
      <c r="U18" s="432">
        <f t="shared" si="2"/>
        <v>8835.7293382212938</v>
      </c>
      <c r="V18" s="433" t="str">
        <f t="shared" si="3"/>
        <v>OK (4%)</v>
      </c>
      <c r="W18" s="434">
        <f t="shared" si="4"/>
        <v>81</v>
      </c>
      <c r="X18" s="434">
        <f t="shared" si="5"/>
        <v>95</v>
      </c>
      <c r="Y18" s="435" t="str">
        <f t="shared" si="6"/>
        <v>OK</v>
      </c>
      <c r="Z18" s="436" t="str">
        <f t="shared" si="7"/>
        <v>OK</v>
      </c>
      <c r="AA18" s="437">
        <f t="shared" si="8"/>
        <v>3.1585185185185181E-2</v>
      </c>
      <c r="AB18" s="437">
        <f t="shared" si="9"/>
        <v>3.2724923474893683E-2</v>
      </c>
      <c r="AC18" s="438">
        <v>4</v>
      </c>
      <c r="AD18" s="858">
        <f t="shared" si="10"/>
        <v>10</v>
      </c>
      <c r="AE18" s="859">
        <f t="shared" si="11"/>
        <v>100</v>
      </c>
      <c r="AF18" s="424">
        <f t="shared" si="12"/>
        <v>3141.5926535897934</v>
      </c>
      <c r="AG18" s="418" t="str">
        <f t="shared" si="13"/>
        <v>OK</v>
      </c>
      <c r="AH18" s="418" t="str">
        <f t="shared" si="14"/>
        <v>OK</v>
      </c>
      <c r="AJ18" s="777">
        <f t="shared" si="15"/>
        <v>6.9813170079773184E-3</v>
      </c>
      <c r="AK18" s="745"/>
      <c r="AL18" s="772">
        <f ca="1">GeneralInput!D100</f>
        <v>1904.4541666666667</v>
      </c>
      <c r="AM18" s="773">
        <f t="shared" ca="1" si="16"/>
        <v>1698.5672297297299</v>
      </c>
      <c r="AN18" s="773">
        <f t="shared" ca="1" si="17"/>
        <v>823.54774774774774</v>
      </c>
      <c r="AO18" s="773">
        <f ca="1">AxialForceEQCase!G47</f>
        <v>-325.11692135465512</v>
      </c>
      <c r="AP18" s="772">
        <f t="shared" ca="1" si="18"/>
        <v>3783.1724662162164</v>
      </c>
      <c r="AQ18" s="773">
        <f t="shared" ca="1" si="19"/>
        <v>2060.1754625626118</v>
      </c>
      <c r="AR18" s="773">
        <f t="shared" ca="1" si="20"/>
        <v>3035.5262266265777</v>
      </c>
      <c r="AS18" s="773">
        <f t="shared" ca="1" si="21"/>
        <v>2636.3976673473871</v>
      </c>
      <c r="AT18" s="773">
        <f t="shared" ca="1" si="22"/>
        <v>3416.6782785985592</v>
      </c>
      <c r="AU18" s="774">
        <f t="shared" ca="1" si="23"/>
        <v>3416.6782785985592</v>
      </c>
      <c r="AV18" s="775"/>
      <c r="AW18" s="773">
        <f t="shared" ca="1" si="24"/>
        <v>2060.1754625626118</v>
      </c>
      <c r="AX18" s="775"/>
      <c r="AY18" s="776"/>
      <c r="AZ18" s="745"/>
      <c r="BA18" s="778">
        <f t="shared" si="27"/>
        <v>0</v>
      </c>
      <c r="BB18" s="779">
        <f t="shared" si="28"/>
        <v>901.03011944318644</v>
      </c>
      <c r="BC18" s="745"/>
      <c r="BD18" s="780">
        <f t="shared" si="29"/>
        <v>0</v>
      </c>
    </row>
    <row r="19" spans="1:56" ht="16.5" hidden="1" customHeight="1" x14ac:dyDescent="0.25">
      <c r="A19" s="400">
        <f>RxnCheck!I16</f>
        <v>0</v>
      </c>
      <c r="B19" s="425">
        <f t="shared" si="25"/>
        <v>0</v>
      </c>
      <c r="C19" s="404">
        <f>RxnCheck!J16</f>
        <v>0</v>
      </c>
      <c r="D19" s="404">
        <f>RxnCheck!K16</f>
        <v>0</v>
      </c>
      <c r="E19" s="404">
        <f>GeneralInput!$C$15</f>
        <v>50</v>
      </c>
      <c r="F19" s="404">
        <v>415</v>
      </c>
      <c r="G19" s="14">
        <v>10</v>
      </c>
      <c r="H19" s="14">
        <v>75</v>
      </c>
      <c r="I19" s="426">
        <f t="shared" si="30"/>
        <v>-48</v>
      </c>
      <c r="J19" s="847">
        <f t="shared" si="0"/>
        <v>0</v>
      </c>
      <c r="K19" s="847">
        <f t="shared" si="1"/>
        <v>6400</v>
      </c>
      <c r="L19" s="700" t="str">
        <f t="shared" si="26"/>
        <v>-</v>
      </c>
      <c r="M19" s="14"/>
      <c r="N19" s="14"/>
      <c r="O19" s="440"/>
      <c r="P19" s="441"/>
      <c r="Q19" s="442"/>
      <c r="R19" s="443"/>
      <c r="S19" s="154"/>
      <c r="T19" s="444"/>
      <c r="U19" s="432">
        <f t="shared" si="2"/>
        <v>0</v>
      </c>
      <c r="V19" s="433" t="e">
        <f t="shared" si="3"/>
        <v>#DIV/0!</v>
      </c>
      <c r="W19" s="434">
        <f t="shared" si="4"/>
        <v>100</v>
      </c>
      <c r="X19" s="434">
        <f t="shared" si="5"/>
        <v>100</v>
      </c>
      <c r="Y19" s="435" t="str">
        <f t="shared" si="6"/>
        <v>NOT OK</v>
      </c>
      <c r="Z19" s="436" t="str">
        <f t="shared" si="7"/>
        <v>NOT-OK</v>
      </c>
      <c r="AA19" s="437" t="e">
        <f t="shared" si="8"/>
        <v>#DIV/0!</v>
      </c>
      <c r="AB19" s="437" t="e">
        <f t="shared" si="9"/>
        <v>#DIV/0!</v>
      </c>
      <c r="AC19" s="438">
        <v>4</v>
      </c>
      <c r="AD19" s="858">
        <f t="shared" si="10"/>
        <v>10</v>
      </c>
      <c r="AE19" s="859">
        <f t="shared" si="11"/>
        <v>75</v>
      </c>
      <c r="AF19" s="424">
        <f t="shared" si="12"/>
        <v>4188.7902047863909</v>
      </c>
      <c r="AG19" s="418" t="str">
        <f t="shared" si="13"/>
        <v>OK</v>
      </c>
      <c r="AH19" s="418" t="str">
        <f t="shared" si="14"/>
        <v>NOT-OK</v>
      </c>
      <c r="AJ19" s="777" t="e">
        <f t="shared" si="15"/>
        <v>#DIV/0!</v>
      </c>
      <c r="AK19" s="745"/>
      <c r="AL19" s="772" t="e">
        <f ca="1">GeneralInput!D101</f>
        <v>#N/A</v>
      </c>
      <c r="AM19" s="773" t="e">
        <f t="shared" ca="1" si="16"/>
        <v>#N/A</v>
      </c>
      <c r="AN19" s="773" t="e">
        <f t="shared" ca="1" si="17"/>
        <v>#N/A</v>
      </c>
      <c r="AO19" s="773" t="e">
        <f ca="1">AxialForceEQCase!G48</f>
        <v>#N/A</v>
      </c>
      <c r="AP19" s="772" t="e">
        <f t="shared" ca="1" si="18"/>
        <v>#N/A</v>
      </c>
      <c r="AQ19" s="773" t="e">
        <f t="shared" ca="1" si="19"/>
        <v>#N/A</v>
      </c>
      <c r="AR19" s="773" t="e">
        <f t="shared" ca="1" si="20"/>
        <v>#N/A</v>
      </c>
      <c r="AS19" s="773" t="e">
        <f t="shared" ca="1" si="21"/>
        <v>#N/A</v>
      </c>
      <c r="AT19" s="773" t="e">
        <f t="shared" ca="1" si="22"/>
        <v>#N/A</v>
      </c>
      <c r="AU19" s="774" t="e">
        <f t="shared" ca="1" si="23"/>
        <v>#N/A</v>
      </c>
      <c r="AV19" s="775"/>
      <c r="AW19" s="773" t="e">
        <f t="shared" ca="1" si="24"/>
        <v>#N/A</v>
      </c>
      <c r="AX19" s="775"/>
      <c r="AY19" s="776"/>
      <c r="AZ19" s="745"/>
      <c r="BA19" s="778">
        <f t="shared" si="27"/>
        <v>0</v>
      </c>
      <c r="BB19" s="779" t="e">
        <f t="shared" si="28"/>
        <v>#DIV/0!</v>
      </c>
      <c r="BC19" s="745"/>
      <c r="BD19" s="780" t="e">
        <f t="shared" si="29"/>
        <v>#DIV/0!</v>
      </c>
    </row>
    <row r="20" spans="1:56" ht="16.5" hidden="1" customHeight="1" x14ac:dyDescent="0.25">
      <c r="A20" s="400">
        <f>RxnCheck!I17</f>
        <v>0</v>
      </c>
      <c r="B20" s="425">
        <f t="shared" si="25"/>
        <v>-1</v>
      </c>
      <c r="C20" s="404">
        <f>RxnCheck!J17</f>
        <v>0</v>
      </c>
      <c r="D20" s="404">
        <f>RxnCheck!K17</f>
        <v>0</v>
      </c>
      <c r="E20" s="404">
        <f>GeneralInput!$C$15</f>
        <v>50</v>
      </c>
      <c r="F20" s="404">
        <v>415</v>
      </c>
      <c r="G20" s="14">
        <v>10</v>
      </c>
      <c r="H20" s="14">
        <v>75</v>
      </c>
      <c r="I20" s="426">
        <f t="shared" si="30"/>
        <v>-48</v>
      </c>
      <c r="J20" s="847">
        <f t="shared" si="0"/>
        <v>0</v>
      </c>
      <c r="K20" s="847">
        <f t="shared" si="1"/>
        <v>6400</v>
      </c>
      <c r="L20" s="700" t="str">
        <f t="shared" si="26"/>
        <v>-</v>
      </c>
      <c r="M20" s="14"/>
      <c r="N20" s="14"/>
      <c r="O20" s="440"/>
      <c r="P20" s="441"/>
      <c r="Q20" s="442"/>
      <c r="R20" s="443"/>
      <c r="S20" s="154"/>
      <c r="T20" s="444"/>
      <c r="U20" s="432">
        <f t="shared" si="2"/>
        <v>0</v>
      </c>
      <c r="V20" s="433" t="e">
        <f t="shared" si="3"/>
        <v>#DIV/0!</v>
      </c>
      <c r="W20" s="434">
        <f t="shared" si="4"/>
        <v>100</v>
      </c>
      <c r="X20" s="434">
        <f t="shared" si="5"/>
        <v>100</v>
      </c>
      <c r="Y20" s="435" t="str">
        <f t="shared" si="6"/>
        <v>NOT OK</v>
      </c>
      <c r="Z20" s="436" t="str">
        <f t="shared" si="7"/>
        <v>NOT-OK</v>
      </c>
      <c r="AA20" s="437" t="e">
        <f t="shared" si="8"/>
        <v>#DIV/0!</v>
      </c>
      <c r="AB20" s="437" t="e">
        <f t="shared" si="9"/>
        <v>#DIV/0!</v>
      </c>
      <c r="AC20" s="438">
        <v>4</v>
      </c>
      <c r="AD20" s="858">
        <f t="shared" ref="AD20:AD25" si="31">G20</f>
        <v>10</v>
      </c>
      <c r="AE20" s="859">
        <f t="shared" si="11"/>
        <v>75</v>
      </c>
      <c r="AF20" s="424">
        <f t="shared" si="12"/>
        <v>4188.7902047863909</v>
      </c>
      <c r="AG20" s="418" t="str">
        <f t="shared" si="13"/>
        <v>OK</v>
      </c>
      <c r="AH20" s="418" t="str">
        <f t="shared" si="14"/>
        <v>NOT-OK</v>
      </c>
      <c r="AJ20" s="781" t="e">
        <f t="shared" si="15"/>
        <v>#DIV/0!</v>
      </c>
      <c r="AK20" s="745"/>
      <c r="AL20" s="772" t="e">
        <f ca="1">GeneralInput!D102</f>
        <v>#N/A</v>
      </c>
      <c r="AM20" s="773" t="e">
        <f t="shared" ca="1" si="16"/>
        <v>#N/A</v>
      </c>
      <c r="AN20" s="773" t="e">
        <f t="shared" ca="1" si="17"/>
        <v>#N/A</v>
      </c>
      <c r="AO20" s="773" t="e">
        <f ca="1">AxialForceEQCase!G49</f>
        <v>#N/A</v>
      </c>
      <c r="AP20" s="772" t="e">
        <f t="shared" ref="AP20:AP25" ca="1" si="32">1.5*(AM20+AN20)</f>
        <v>#N/A</v>
      </c>
      <c r="AQ20" s="773" t="e">
        <f t="shared" ref="AQ20:AQ25" ca="1" si="33">1.5*(AM20+AO20)</f>
        <v>#N/A</v>
      </c>
      <c r="AR20" s="773" t="e">
        <f t="shared" ref="AR20:AR25" ca="1" si="34">1.5*(AM20-AO20)</f>
        <v>#N/A</v>
      </c>
      <c r="AS20" s="773" t="e">
        <f t="shared" ref="AS20:AS25" ca="1" si="35">1.2*(AM20+AN20+AO20)</f>
        <v>#N/A</v>
      </c>
      <c r="AT20" s="773" t="e">
        <f t="shared" ref="AT20:AT25" ca="1" si="36">1.2*(AM20+AN20-AO20)</f>
        <v>#N/A</v>
      </c>
      <c r="AU20" s="774" t="e">
        <f t="shared" ca="1" si="23"/>
        <v>#N/A</v>
      </c>
      <c r="AV20" s="775"/>
      <c r="AW20" s="773" t="e">
        <f t="shared" ca="1" si="24"/>
        <v>#N/A</v>
      </c>
      <c r="AX20" s="775"/>
      <c r="AY20" s="776"/>
      <c r="AZ20" s="745"/>
      <c r="BA20" s="778">
        <f t="shared" si="27"/>
        <v>0</v>
      </c>
      <c r="BB20" s="779" t="e">
        <f t="shared" si="28"/>
        <v>#DIV/0!</v>
      </c>
      <c r="BC20" s="745"/>
      <c r="BD20" s="780" t="e">
        <f t="shared" si="29"/>
        <v>#DIV/0!</v>
      </c>
    </row>
    <row r="21" spans="1:56" ht="16.5" hidden="1" customHeight="1" x14ac:dyDescent="0.25">
      <c r="A21" s="400">
        <f>RxnCheck!I18</f>
        <v>0</v>
      </c>
      <c r="B21" s="425">
        <f t="shared" si="25"/>
        <v>-2</v>
      </c>
      <c r="C21" s="404">
        <f>RxnCheck!J18</f>
        <v>0</v>
      </c>
      <c r="D21" s="404">
        <f>RxnCheck!K18</f>
        <v>0</v>
      </c>
      <c r="E21" s="404">
        <f>GeneralInput!$C$15</f>
        <v>50</v>
      </c>
      <c r="F21" s="404">
        <v>415</v>
      </c>
      <c r="G21" s="14">
        <v>10</v>
      </c>
      <c r="H21" s="14">
        <v>75</v>
      </c>
      <c r="I21" s="426">
        <f t="shared" si="30"/>
        <v>-48</v>
      </c>
      <c r="J21" s="847">
        <f t="shared" si="0"/>
        <v>0</v>
      </c>
      <c r="K21" s="847">
        <f t="shared" si="1"/>
        <v>6400</v>
      </c>
      <c r="L21" s="700" t="str">
        <f t="shared" si="26"/>
        <v>-</v>
      </c>
      <c r="M21" s="14"/>
      <c r="N21" s="14"/>
      <c r="O21" s="440"/>
      <c r="P21" s="441"/>
      <c r="Q21" s="442"/>
      <c r="R21" s="443"/>
      <c r="S21" s="154"/>
      <c r="T21" s="444"/>
      <c r="U21" s="432">
        <f t="shared" si="2"/>
        <v>0</v>
      </c>
      <c r="V21" s="433" t="e">
        <f>IF(U21&gt;=N21, CONCATENATE("OK (",ROUND((U21/N21-1)*100,0),"%)"), "NOT OK")</f>
        <v>#DIV/0!</v>
      </c>
      <c r="W21" s="434">
        <f t="shared" si="4"/>
        <v>100</v>
      </c>
      <c r="X21" s="434">
        <f t="shared" si="5"/>
        <v>100</v>
      </c>
      <c r="Y21" s="435" t="str">
        <f t="shared" si="6"/>
        <v>NOT OK</v>
      </c>
      <c r="Z21" s="436" t="str">
        <f>IF((S21+T21)*2-4 = O21+Q21, "OK", "NOT-OK")</f>
        <v>NOT-OK</v>
      </c>
      <c r="AA21" s="437" t="e">
        <f>N21/C21/D21</f>
        <v>#DIV/0!</v>
      </c>
      <c r="AB21" s="437" t="e">
        <f>U21/C21/D21</f>
        <v>#DIV/0!</v>
      </c>
      <c r="AC21" s="438">
        <v>4</v>
      </c>
      <c r="AD21" s="858">
        <f t="shared" si="31"/>
        <v>10</v>
      </c>
      <c r="AE21" s="859">
        <f t="shared" si="11"/>
        <v>75</v>
      </c>
      <c r="AF21" s="424">
        <f>AC21*PI()/4*AD21^2*1000/AE21</f>
        <v>4188.7902047863909</v>
      </c>
      <c r="AG21" s="418" t="str">
        <f>IF(AF21&gt;=M21, "OK", "NOT OK")</f>
        <v>OK</v>
      </c>
      <c r="AH21" s="418" t="str">
        <f t="shared" si="14"/>
        <v>NOT-OK</v>
      </c>
      <c r="AJ21" s="782" t="e">
        <f t="shared" si="15"/>
        <v>#DIV/0!</v>
      </c>
      <c r="AK21" s="745"/>
      <c r="AL21" s="772" t="e">
        <f ca="1">GeneralInput!D103</f>
        <v>#N/A</v>
      </c>
      <c r="AM21" s="773" t="e">
        <f t="shared" ca="1" si="16"/>
        <v>#N/A</v>
      </c>
      <c r="AN21" s="773" t="e">
        <f t="shared" ca="1" si="17"/>
        <v>#N/A</v>
      </c>
      <c r="AO21" s="773" t="e">
        <f ca="1">AxialForceEQCase!G50</f>
        <v>#N/A</v>
      </c>
      <c r="AP21" s="772" t="e">
        <f t="shared" ca="1" si="32"/>
        <v>#N/A</v>
      </c>
      <c r="AQ21" s="773" t="e">
        <f t="shared" ca="1" si="33"/>
        <v>#N/A</v>
      </c>
      <c r="AR21" s="773" t="e">
        <f t="shared" ca="1" si="34"/>
        <v>#N/A</v>
      </c>
      <c r="AS21" s="773" t="e">
        <f t="shared" ca="1" si="35"/>
        <v>#N/A</v>
      </c>
      <c r="AT21" s="773" t="e">
        <f t="shared" ca="1" si="36"/>
        <v>#N/A</v>
      </c>
      <c r="AU21" s="774" t="e">
        <f t="shared" ca="1" si="23"/>
        <v>#N/A</v>
      </c>
      <c r="AV21" s="775"/>
      <c r="AW21" s="773" t="e">
        <f t="shared" ca="1" si="24"/>
        <v>#N/A</v>
      </c>
      <c r="AX21" s="775"/>
      <c r="AY21" s="776"/>
      <c r="AZ21" s="745"/>
      <c r="BA21" s="778">
        <f t="shared" si="27"/>
        <v>0</v>
      </c>
      <c r="BB21" s="779" t="e">
        <f>MAX(AO56:AP56)</f>
        <v>#DIV/0!</v>
      </c>
      <c r="BC21" s="745"/>
      <c r="BD21" s="780" t="e">
        <f t="shared" si="29"/>
        <v>#DIV/0!</v>
      </c>
    </row>
    <row r="22" spans="1:56" ht="16.5" hidden="1" customHeight="1" x14ac:dyDescent="0.25">
      <c r="A22" s="400">
        <f>RxnCheck!I19</f>
        <v>0</v>
      </c>
      <c r="B22" s="425">
        <f t="shared" si="25"/>
        <v>-3</v>
      </c>
      <c r="C22" s="404">
        <f>RxnCheck!J19</f>
        <v>0</v>
      </c>
      <c r="D22" s="404">
        <f>RxnCheck!K19</f>
        <v>0</v>
      </c>
      <c r="E22" s="404">
        <f>GeneralInput!$C$15</f>
        <v>50</v>
      </c>
      <c r="F22" s="404">
        <v>415</v>
      </c>
      <c r="G22" s="14">
        <v>10</v>
      </c>
      <c r="H22" s="14">
        <v>90</v>
      </c>
      <c r="I22" s="426">
        <f t="shared" si="30"/>
        <v>-40</v>
      </c>
      <c r="J22" s="847">
        <f t="shared" si="0"/>
        <v>0</v>
      </c>
      <c r="K22" s="847">
        <f t="shared" si="1"/>
        <v>6400</v>
      </c>
      <c r="L22" s="700" t="str">
        <f t="shared" si="26"/>
        <v>-</v>
      </c>
      <c r="M22" s="14"/>
      <c r="N22" s="14"/>
      <c r="O22" s="440"/>
      <c r="P22" s="441"/>
      <c r="Q22" s="442"/>
      <c r="R22" s="443"/>
      <c r="S22" s="154"/>
      <c r="T22" s="444"/>
      <c r="U22" s="432">
        <f t="shared" si="2"/>
        <v>0</v>
      </c>
      <c r="V22" s="433" t="e">
        <f>IF(U22&gt;=N22, CONCATENATE("OK (",ROUND((U22/N22-1)*100,0),"%)"), "NOT OK")</f>
        <v>#DIV/0!</v>
      </c>
      <c r="W22" s="434">
        <f t="shared" si="4"/>
        <v>100</v>
      </c>
      <c r="X22" s="434">
        <f t="shared" si="5"/>
        <v>100</v>
      </c>
      <c r="Y22" s="435" t="str">
        <f t="shared" si="6"/>
        <v>NOT OK</v>
      </c>
      <c r="Z22" s="436" t="str">
        <f>IF((S22+T22)*2-4 = O22+Q22, "OK", "NOT-OK")</f>
        <v>NOT-OK</v>
      </c>
      <c r="AA22" s="437" t="e">
        <f>N22/C22/D22</f>
        <v>#DIV/0!</v>
      </c>
      <c r="AB22" s="437" t="e">
        <f>U22/C22/D22</f>
        <v>#DIV/0!</v>
      </c>
      <c r="AC22" s="438">
        <v>4</v>
      </c>
      <c r="AD22" s="858">
        <f t="shared" si="31"/>
        <v>10</v>
      </c>
      <c r="AE22" s="859">
        <f t="shared" si="11"/>
        <v>90</v>
      </c>
      <c r="AF22" s="424">
        <f>AC22*PI()/4*AD22^2*1000/AE22</f>
        <v>3490.6585039886595</v>
      </c>
      <c r="AG22" s="418" t="str">
        <f>IF(AF22&gt;=M22, "OK", "NOT OK")</f>
        <v>OK</v>
      </c>
      <c r="AH22" s="418" t="str">
        <f t="shared" si="14"/>
        <v>NOT-OK</v>
      </c>
      <c r="AJ22" s="782" t="e">
        <f t="shared" si="15"/>
        <v>#DIV/0!</v>
      </c>
      <c r="AK22" s="745"/>
      <c r="AL22" s="772" t="e">
        <f ca="1">GeneralInput!D104</f>
        <v>#N/A</v>
      </c>
      <c r="AM22" s="773" t="e">
        <f t="shared" ca="1" si="16"/>
        <v>#N/A</v>
      </c>
      <c r="AN22" s="773" t="e">
        <f t="shared" ca="1" si="17"/>
        <v>#N/A</v>
      </c>
      <c r="AO22" s="773" t="e">
        <f ca="1">AxialForceEQCase!G51</f>
        <v>#N/A</v>
      </c>
      <c r="AP22" s="772" t="e">
        <f t="shared" ca="1" si="32"/>
        <v>#N/A</v>
      </c>
      <c r="AQ22" s="773" t="e">
        <f t="shared" ca="1" si="33"/>
        <v>#N/A</v>
      </c>
      <c r="AR22" s="773" t="e">
        <f t="shared" ca="1" si="34"/>
        <v>#N/A</v>
      </c>
      <c r="AS22" s="773" t="e">
        <f t="shared" ca="1" si="35"/>
        <v>#N/A</v>
      </c>
      <c r="AT22" s="773" t="e">
        <f t="shared" ca="1" si="36"/>
        <v>#N/A</v>
      </c>
      <c r="AU22" s="774" t="e">
        <f t="shared" ca="1" si="23"/>
        <v>#N/A</v>
      </c>
      <c r="AV22" s="775"/>
      <c r="AW22" s="773" t="e">
        <f t="shared" ca="1" si="24"/>
        <v>#N/A</v>
      </c>
      <c r="AX22" s="775"/>
      <c r="AY22" s="776"/>
      <c r="AZ22" s="745"/>
      <c r="BA22" s="778">
        <f t="shared" si="27"/>
        <v>0</v>
      </c>
      <c r="BB22" s="779" t="e">
        <f>MAX(AO57:AP57)</f>
        <v>#DIV/0!</v>
      </c>
      <c r="BC22" s="745"/>
      <c r="BD22" s="780" t="e">
        <f t="shared" si="29"/>
        <v>#DIV/0!</v>
      </c>
    </row>
    <row r="23" spans="1:56" ht="16.5" hidden="1" customHeight="1" x14ac:dyDescent="0.25">
      <c r="A23" s="400">
        <f>RxnCheck!I20</f>
        <v>0</v>
      </c>
      <c r="B23" s="425">
        <f t="shared" si="25"/>
        <v>-4</v>
      </c>
      <c r="C23" s="404">
        <f>RxnCheck!J20</f>
        <v>0</v>
      </c>
      <c r="D23" s="404">
        <f>RxnCheck!K20</f>
        <v>0</v>
      </c>
      <c r="E23" s="404">
        <f>GeneralInput!$C$15</f>
        <v>50</v>
      </c>
      <c r="F23" s="404">
        <v>415</v>
      </c>
      <c r="G23" s="14">
        <v>10</v>
      </c>
      <c r="H23" s="14">
        <v>90</v>
      </c>
      <c r="I23" s="426">
        <f t="shared" si="30"/>
        <v>-40</v>
      </c>
      <c r="J23" s="847">
        <f t="shared" si="0"/>
        <v>0</v>
      </c>
      <c r="K23" s="847">
        <f t="shared" si="1"/>
        <v>6400</v>
      </c>
      <c r="L23" s="700" t="str">
        <f t="shared" si="26"/>
        <v>-</v>
      </c>
      <c r="M23" s="14"/>
      <c r="N23" s="14"/>
      <c r="O23" s="440"/>
      <c r="P23" s="441"/>
      <c r="Q23" s="442"/>
      <c r="R23" s="443"/>
      <c r="S23" s="154"/>
      <c r="T23" s="444"/>
      <c r="U23" s="432">
        <f t="shared" si="2"/>
        <v>0</v>
      </c>
      <c r="V23" s="433" t="e">
        <f>IF(U23&gt;=N23, CONCATENATE("OK (",ROUND((U23/N23-1)*100,0),"%)"), "NOT OK")</f>
        <v>#DIV/0!</v>
      </c>
      <c r="W23" s="434">
        <f t="shared" si="4"/>
        <v>100</v>
      </c>
      <c r="X23" s="434">
        <f t="shared" si="5"/>
        <v>100</v>
      </c>
      <c r="Y23" s="435" t="str">
        <f t="shared" si="6"/>
        <v>NOT OK</v>
      </c>
      <c r="Z23" s="436" t="str">
        <f>IF((S23+T23)*2-4 = O23+Q23, "OK", "NOT-OK")</f>
        <v>NOT-OK</v>
      </c>
      <c r="AA23" s="437" t="e">
        <f>N23/C23/D23</f>
        <v>#DIV/0!</v>
      </c>
      <c r="AB23" s="437" t="e">
        <f>U23/C23/D23</f>
        <v>#DIV/0!</v>
      </c>
      <c r="AC23" s="438">
        <v>4</v>
      </c>
      <c r="AD23" s="858">
        <f t="shared" si="31"/>
        <v>10</v>
      </c>
      <c r="AE23" s="859">
        <f t="shared" si="11"/>
        <v>90</v>
      </c>
      <c r="AF23" s="424">
        <f>AC23*PI()/4*AD23^2*1000/AE23</f>
        <v>3490.6585039886595</v>
      </c>
      <c r="AG23" s="418" t="str">
        <f>IF(AF23&gt;=M23, "OK", "NOT OK")</f>
        <v>OK</v>
      </c>
      <c r="AH23" s="418" t="str">
        <f t="shared" si="14"/>
        <v>NOT-OK</v>
      </c>
      <c r="AJ23" s="782" t="e">
        <f t="shared" si="15"/>
        <v>#DIV/0!</v>
      </c>
      <c r="AK23" s="745"/>
      <c r="AL23" s="772" t="e">
        <f ca="1">GeneralInput!D105</f>
        <v>#N/A</v>
      </c>
      <c r="AM23" s="773" t="e">
        <f t="shared" ca="1" si="16"/>
        <v>#N/A</v>
      </c>
      <c r="AN23" s="773" t="e">
        <f t="shared" ca="1" si="17"/>
        <v>#N/A</v>
      </c>
      <c r="AO23" s="773" t="e">
        <f ca="1">AxialForceEQCase!G52</f>
        <v>#N/A</v>
      </c>
      <c r="AP23" s="772" t="e">
        <f t="shared" ca="1" si="32"/>
        <v>#N/A</v>
      </c>
      <c r="AQ23" s="773" t="e">
        <f t="shared" ca="1" si="33"/>
        <v>#N/A</v>
      </c>
      <c r="AR23" s="773" t="e">
        <f t="shared" ca="1" si="34"/>
        <v>#N/A</v>
      </c>
      <c r="AS23" s="773" t="e">
        <f t="shared" ca="1" si="35"/>
        <v>#N/A</v>
      </c>
      <c r="AT23" s="773" t="e">
        <f t="shared" ca="1" si="36"/>
        <v>#N/A</v>
      </c>
      <c r="AU23" s="774" t="e">
        <f t="shared" ca="1" si="23"/>
        <v>#N/A</v>
      </c>
      <c r="AV23" s="775"/>
      <c r="AW23" s="773" t="e">
        <f t="shared" ca="1" si="24"/>
        <v>#N/A</v>
      </c>
      <c r="AX23" s="775"/>
      <c r="AY23" s="776"/>
      <c r="AZ23" s="745"/>
      <c r="BA23" s="778">
        <f t="shared" si="27"/>
        <v>0</v>
      </c>
      <c r="BB23" s="779" t="e">
        <f>MAX(AO58:AP58)</f>
        <v>#DIV/0!</v>
      </c>
      <c r="BC23" s="745"/>
      <c r="BD23" s="780" t="e">
        <f t="shared" si="29"/>
        <v>#DIV/0!</v>
      </c>
    </row>
    <row r="24" spans="1:56" ht="16.5" hidden="1" customHeight="1" x14ac:dyDescent="0.25">
      <c r="A24" s="400">
        <f>RxnCheck!I21</f>
        <v>0</v>
      </c>
      <c r="B24" s="425">
        <f>B23-1</f>
        <v>-5</v>
      </c>
      <c r="C24" s="404">
        <f>RxnCheck!J21</f>
        <v>0</v>
      </c>
      <c r="D24" s="404">
        <f>RxnCheck!K21</f>
        <v>0</v>
      </c>
      <c r="E24" s="404">
        <f>GeneralInput!$C$15</f>
        <v>50</v>
      </c>
      <c r="F24" s="404">
        <v>415</v>
      </c>
      <c r="G24" s="14">
        <v>10</v>
      </c>
      <c r="H24" s="14">
        <v>100</v>
      </c>
      <c r="I24" s="426">
        <f t="shared" si="30"/>
        <v>-36</v>
      </c>
      <c r="J24" s="847">
        <f t="shared" si="0"/>
        <v>0</v>
      </c>
      <c r="K24" s="847">
        <f t="shared" si="1"/>
        <v>6400</v>
      </c>
      <c r="L24" s="700" t="str">
        <f t="shared" si="26"/>
        <v>-</v>
      </c>
      <c r="M24" s="14"/>
      <c r="N24" s="14"/>
      <c r="O24" s="440"/>
      <c r="P24" s="441"/>
      <c r="Q24" s="442"/>
      <c r="R24" s="443"/>
      <c r="S24" s="154"/>
      <c r="T24" s="444"/>
      <c r="U24" s="432">
        <f t="shared" si="2"/>
        <v>0</v>
      </c>
      <c r="V24" s="433" t="e">
        <f>IF(U24&gt;=N24, CONCATENATE("OK (",ROUND((U24/N24-1)*100,0),"%)"), "NOT OK")</f>
        <v>#DIV/0!</v>
      </c>
      <c r="W24" s="434">
        <f t="shared" si="4"/>
        <v>100</v>
      </c>
      <c r="X24" s="434">
        <f t="shared" si="5"/>
        <v>100</v>
      </c>
      <c r="Y24" s="435" t="str">
        <f t="shared" si="6"/>
        <v>NOT OK</v>
      </c>
      <c r="Z24" s="436" t="str">
        <f>IF((S24+T24)*2-4 = O24+Q24, "OK", "NOT-OK")</f>
        <v>NOT-OK</v>
      </c>
      <c r="AA24" s="437" t="e">
        <f>N24/C24/D24</f>
        <v>#DIV/0!</v>
      </c>
      <c r="AB24" s="437" t="e">
        <f>U24/C24/D24</f>
        <v>#DIV/0!</v>
      </c>
      <c r="AC24" s="438">
        <v>4</v>
      </c>
      <c r="AD24" s="858">
        <f t="shared" si="31"/>
        <v>10</v>
      </c>
      <c r="AE24" s="859">
        <f t="shared" si="11"/>
        <v>100</v>
      </c>
      <c r="AF24" s="424">
        <f>AC24*PI()/4*AD24^2*1000/AE24</f>
        <v>3141.5926535897934</v>
      </c>
      <c r="AG24" s="418" t="str">
        <f>IF(AF24&gt;=M24, "OK", "NOT OK")</f>
        <v>OK</v>
      </c>
      <c r="AH24" s="418" t="str">
        <f t="shared" si="14"/>
        <v>NOT-OK</v>
      </c>
      <c r="AJ24" s="782" t="e">
        <f t="shared" si="15"/>
        <v>#DIV/0!</v>
      </c>
      <c r="AK24" s="745"/>
      <c r="AL24" s="772" t="e">
        <f ca="1">GeneralInput!D106</f>
        <v>#N/A</v>
      </c>
      <c r="AM24" s="773" t="e">
        <f t="shared" ca="1" si="16"/>
        <v>#N/A</v>
      </c>
      <c r="AN24" s="773" t="e">
        <f t="shared" ca="1" si="17"/>
        <v>#N/A</v>
      </c>
      <c r="AO24" s="773" t="e">
        <f ca="1">AxialForceEQCase!G53</f>
        <v>#N/A</v>
      </c>
      <c r="AP24" s="772" t="e">
        <f t="shared" ca="1" si="32"/>
        <v>#N/A</v>
      </c>
      <c r="AQ24" s="773" t="e">
        <f t="shared" ca="1" si="33"/>
        <v>#N/A</v>
      </c>
      <c r="AR24" s="773" t="e">
        <f t="shared" ca="1" si="34"/>
        <v>#N/A</v>
      </c>
      <c r="AS24" s="773" t="e">
        <f t="shared" ca="1" si="35"/>
        <v>#N/A</v>
      </c>
      <c r="AT24" s="773" t="e">
        <f t="shared" ca="1" si="36"/>
        <v>#N/A</v>
      </c>
      <c r="AU24" s="774" t="e">
        <f t="shared" ca="1" si="23"/>
        <v>#N/A</v>
      </c>
      <c r="AV24" s="775"/>
      <c r="AW24" s="773" t="e">
        <f t="shared" ca="1" si="24"/>
        <v>#N/A</v>
      </c>
      <c r="AX24" s="775"/>
      <c r="AY24" s="776"/>
      <c r="AZ24" s="745"/>
      <c r="BA24" s="778">
        <f t="shared" si="27"/>
        <v>0</v>
      </c>
      <c r="BB24" s="779" t="e">
        <f>MAX(AO59:AP59)</f>
        <v>#DIV/0!</v>
      </c>
      <c r="BC24" s="745"/>
      <c r="BD24" s="780" t="e">
        <f t="shared" si="29"/>
        <v>#DIV/0!</v>
      </c>
    </row>
    <row r="25" spans="1:56" ht="16.5" hidden="1" customHeight="1" thickBot="1" x14ac:dyDescent="0.3">
      <c r="A25" s="400">
        <f>RxnCheck!I22</f>
        <v>0</v>
      </c>
      <c r="B25" s="425">
        <f>B24-1</f>
        <v>-6</v>
      </c>
      <c r="C25" s="404">
        <f>RxnCheck!J22</f>
        <v>0</v>
      </c>
      <c r="D25" s="404">
        <f>RxnCheck!K22</f>
        <v>0</v>
      </c>
      <c r="E25" s="404">
        <f>GeneralInput!$C$15</f>
        <v>50</v>
      </c>
      <c r="F25" s="404">
        <f>GeneralInput!$C$25</f>
        <v>500</v>
      </c>
      <c r="G25" s="14">
        <v>10</v>
      </c>
      <c r="H25" s="14">
        <v>100</v>
      </c>
      <c r="I25" s="426">
        <f t="shared" si="30"/>
        <v>-44</v>
      </c>
      <c r="J25" s="847">
        <f t="shared" si="0"/>
        <v>0</v>
      </c>
      <c r="K25" s="847">
        <f t="shared" si="1"/>
        <v>6400</v>
      </c>
      <c r="L25" s="700" t="str">
        <f t="shared" si="26"/>
        <v>-</v>
      </c>
      <c r="M25" s="14"/>
      <c r="N25" s="14"/>
      <c r="O25" s="946"/>
      <c r="P25" s="947"/>
      <c r="Q25" s="948"/>
      <c r="R25" s="949"/>
      <c r="S25" s="303"/>
      <c r="T25" s="950"/>
      <c r="U25" s="432">
        <f t="shared" si="2"/>
        <v>0</v>
      </c>
      <c r="V25" s="433" t="e">
        <f>IF(U25&gt;=N25, CONCATENATE("OK (",ROUND((U25/N25-1)*100,0),"%)"), "NOT OK")</f>
        <v>#DIV/0!</v>
      </c>
      <c r="W25" s="434">
        <f t="shared" si="4"/>
        <v>100</v>
      </c>
      <c r="X25" s="434">
        <f t="shared" si="5"/>
        <v>100</v>
      </c>
      <c r="Y25" s="435" t="str">
        <f t="shared" si="6"/>
        <v>NOT OK</v>
      </c>
      <c r="Z25" s="436" t="str">
        <f>IF((S25+T25)*2-4 = O25+Q25, "OK", "NOT-OK")</f>
        <v>NOT-OK</v>
      </c>
      <c r="AA25" s="437" t="e">
        <f>N25/C25/D25</f>
        <v>#DIV/0!</v>
      </c>
      <c r="AB25" s="437" t="e">
        <f>U25/C25/D25</f>
        <v>#DIV/0!</v>
      </c>
      <c r="AC25" s="438">
        <v>4</v>
      </c>
      <c r="AD25" s="858">
        <f t="shared" si="31"/>
        <v>10</v>
      </c>
      <c r="AE25" s="859">
        <f t="shared" si="11"/>
        <v>100</v>
      </c>
      <c r="AF25" s="424">
        <f>AC25*PI()/4*AD25^2*1000/AE25</f>
        <v>3141.5926535897934</v>
      </c>
      <c r="AG25" s="418" t="str">
        <f>IF(AF25&gt;=M25, "OK", "NOT OK")</f>
        <v>OK</v>
      </c>
      <c r="AH25" s="418" t="str">
        <f t="shared" si="14"/>
        <v>NOT-OK</v>
      </c>
      <c r="AJ25" s="782" t="e">
        <f t="shared" si="15"/>
        <v>#DIV/0!</v>
      </c>
      <c r="AK25" s="745"/>
      <c r="AL25" s="783" t="e">
        <f ca="1">GeneralInput!D107</f>
        <v>#N/A</v>
      </c>
      <c r="AM25" s="784" t="e">
        <f t="shared" ca="1" si="16"/>
        <v>#N/A</v>
      </c>
      <c r="AN25" s="784" t="e">
        <f t="shared" ca="1" si="17"/>
        <v>#N/A</v>
      </c>
      <c r="AO25" s="784" t="e">
        <f ca="1">AxialForceEQCase!G54</f>
        <v>#N/A</v>
      </c>
      <c r="AP25" s="783" t="e">
        <f t="shared" ca="1" si="32"/>
        <v>#N/A</v>
      </c>
      <c r="AQ25" s="784" t="e">
        <f t="shared" ca="1" si="33"/>
        <v>#N/A</v>
      </c>
      <c r="AR25" s="784" t="e">
        <f t="shared" ca="1" si="34"/>
        <v>#N/A</v>
      </c>
      <c r="AS25" s="784" t="e">
        <f t="shared" ca="1" si="35"/>
        <v>#N/A</v>
      </c>
      <c r="AT25" s="784" t="e">
        <f t="shared" ca="1" si="36"/>
        <v>#N/A</v>
      </c>
      <c r="AU25" s="785" t="e">
        <f t="shared" ca="1" si="23"/>
        <v>#N/A</v>
      </c>
      <c r="AV25" s="786"/>
      <c r="AW25" s="784" t="e">
        <f t="shared" ca="1" si="24"/>
        <v>#N/A</v>
      </c>
      <c r="AX25" s="786"/>
      <c r="AY25" s="787"/>
      <c r="AZ25" s="745"/>
      <c r="BA25" s="778">
        <f t="shared" si="27"/>
        <v>0</v>
      </c>
      <c r="BB25" s="779" t="e">
        <f>MAX(AO60:AP60)</f>
        <v>#DIV/0!</v>
      </c>
      <c r="BC25" s="745"/>
      <c r="BD25" s="780" t="e">
        <f t="shared" si="29"/>
        <v>#DIV/0!</v>
      </c>
    </row>
    <row r="26" spans="1:56" ht="16.5" customHeight="1" x14ac:dyDescent="0.25">
      <c r="C26" s="418"/>
      <c r="D26" s="418"/>
      <c r="E26" s="418"/>
      <c r="F26" s="418"/>
      <c r="G26" s="418"/>
      <c r="H26" s="418"/>
      <c r="I26" s="419"/>
      <c r="J26" s="420"/>
      <c r="K26" s="420"/>
      <c r="L26" s="700"/>
      <c r="U26" s="424"/>
      <c r="V26" s="421"/>
      <c r="W26" s="421"/>
      <c r="X26" s="421"/>
      <c r="Y26" s="421"/>
      <c r="Z26" s="418"/>
      <c r="AA26" s="1053"/>
      <c r="AB26" s="421"/>
      <c r="AC26" s="421"/>
      <c r="AD26" s="421"/>
      <c r="AE26" s="421"/>
      <c r="AF26" s="421"/>
      <c r="AG26" s="421"/>
      <c r="AH26" s="418"/>
      <c r="AJ26" s="745"/>
      <c r="AK26" s="745"/>
      <c r="AL26" s="745"/>
      <c r="AM26" s="745"/>
      <c r="AN26" s="745"/>
      <c r="AO26" s="745"/>
      <c r="AP26" s="745"/>
      <c r="AQ26" s="745"/>
      <c r="AR26" s="745"/>
      <c r="AS26" s="745"/>
      <c r="AT26" s="745"/>
      <c r="AU26" s="745"/>
      <c r="AV26" s="745"/>
      <c r="AW26" s="745"/>
      <c r="AX26" s="745"/>
      <c r="AY26" s="745"/>
      <c r="AZ26" s="745"/>
      <c r="BA26" s="778"/>
      <c r="BB26" s="779"/>
      <c r="BC26" s="745"/>
      <c r="BD26" s="780"/>
    </row>
    <row r="27" spans="1:56" ht="16.5" customHeight="1" x14ac:dyDescent="0.25">
      <c r="C27" s="418"/>
      <c r="D27" s="418"/>
      <c r="E27" s="418"/>
      <c r="F27" s="418"/>
      <c r="G27" s="418"/>
      <c r="H27" s="418"/>
      <c r="I27" s="419"/>
      <c r="J27" s="419"/>
      <c r="K27" s="420"/>
      <c r="U27" s="424"/>
      <c r="V27" s="421"/>
      <c r="W27" s="421"/>
      <c r="X27" s="421"/>
      <c r="Y27" s="421"/>
      <c r="Z27" s="418"/>
      <c r="AA27" s="1053"/>
      <c r="AB27" s="421"/>
      <c r="AC27" s="421"/>
      <c r="AD27" s="421"/>
      <c r="AE27" s="421"/>
      <c r="AF27" s="421"/>
      <c r="AG27" s="421"/>
      <c r="AH27" s="418"/>
      <c r="AJ27" s="745"/>
      <c r="AK27" s="745"/>
      <c r="AL27" s="745"/>
      <c r="AM27" s="745"/>
      <c r="AN27" s="746" t="s">
        <v>252</v>
      </c>
      <c r="AO27" s="745"/>
      <c r="AP27" s="745"/>
      <c r="AQ27" s="745"/>
      <c r="AR27" s="745"/>
      <c r="AS27" s="745"/>
      <c r="AT27" s="745"/>
      <c r="AU27" s="745"/>
      <c r="AV27" s="745"/>
      <c r="AW27" s="745"/>
      <c r="AX27" s="745"/>
      <c r="AY27" s="745"/>
      <c r="AZ27" s="745"/>
      <c r="BA27" s="745"/>
      <c r="BB27" s="745"/>
      <c r="BC27" s="745"/>
      <c r="BD27" s="745"/>
    </row>
    <row r="28" spans="1:56" ht="46.5" customHeight="1" x14ac:dyDescent="0.25">
      <c r="B28" s="411" t="s">
        <v>252</v>
      </c>
      <c r="C28" s="412"/>
      <c r="D28" s="412"/>
      <c r="E28" s="412"/>
      <c r="F28" s="412"/>
      <c r="G28" s="412"/>
      <c r="H28" s="412"/>
      <c r="I28" s="413"/>
      <c r="J28" s="414"/>
      <c r="K28" s="414"/>
      <c r="L28" s="869">
        <f ca="1">MIN(OFFSET(L31,0,0,RxnCheck!$C$13-1,1))</f>
        <v>0</v>
      </c>
      <c r="M28" s="415"/>
      <c r="N28" s="415"/>
      <c r="O28" s="415"/>
      <c r="P28" s="415"/>
      <c r="Q28" s="416" t="s">
        <v>252</v>
      </c>
      <c r="R28" s="415"/>
      <c r="S28" s="415"/>
      <c r="T28" s="415"/>
      <c r="U28" s="417"/>
      <c r="V28" s="415"/>
      <c r="W28" s="415"/>
      <c r="X28" s="415"/>
      <c r="Y28" s="415"/>
      <c r="Z28" s="412"/>
      <c r="AA28" s="1054"/>
      <c r="AB28" s="415"/>
      <c r="AC28" s="415"/>
      <c r="AD28" s="415"/>
      <c r="AE28" s="415"/>
      <c r="AF28" s="415"/>
      <c r="AG28" s="415"/>
      <c r="AH28" s="412"/>
      <c r="AJ28" s="745"/>
      <c r="AK28" s="745"/>
      <c r="AL28" s="899" t="str">
        <f>CONCATENATE($AL$8, "DL+",$AL$9,"LL")</f>
        <v>1DL+0.25LL</v>
      </c>
      <c r="AM28" s="825" t="s">
        <v>69</v>
      </c>
      <c r="AN28" s="825" t="s">
        <v>68</v>
      </c>
      <c r="AO28" s="826" t="s">
        <v>251</v>
      </c>
      <c r="AP28" s="788" t="s">
        <v>245</v>
      </c>
      <c r="AQ28" s="789" t="s">
        <v>246</v>
      </c>
      <c r="AR28" s="789" t="s">
        <v>247</v>
      </c>
      <c r="AS28" s="789" t="s">
        <v>248</v>
      </c>
      <c r="AT28" s="790" t="s">
        <v>249</v>
      </c>
      <c r="AU28" s="827" t="s">
        <v>231</v>
      </c>
      <c r="AV28" s="828" t="s">
        <v>232</v>
      </c>
      <c r="AW28" s="829" t="s">
        <v>233</v>
      </c>
      <c r="AX28" s="828" t="s">
        <v>234</v>
      </c>
      <c r="AY28" s="830" t="s">
        <v>235</v>
      </c>
      <c r="AZ28" s="831"/>
      <c r="BA28" s="832" t="s">
        <v>236</v>
      </c>
      <c r="BB28" s="833" t="s">
        <v>237</v>
      </c>
      <c r="BC28" s="833" t="s">
        <v>237</v>
      </c>
      <c r="BD28" s="754" t="s">
        <v>238</v>
      </c>
    </row>
    <row r="29" spans="1:56" ht="16.5" customHeight="1" thickBot="1" x14ac:dyDescent="0.3">
      <c r="B29" s="447"/>
      <c r="C29" s="418"/>
      <c r="D29" s="418"/>
      <c r="E29" s="418"/>
      <c r="F29" s="418"/>
      <c r="G29" s="418"/>
      <c r="H29" s="418"/>
      <c r="I29" s="419"/>
      <c r="J29" s="420"/>
      <c r="K29" s="420"/>
      <c r="Q29" s="449"/>
      <c r="U29" s="424"/>
      <c r="V29" s="421"/>
      <c r="W29" s="688"/>
      <c r="X29" s="688"/>
      <c r="Y29" s="688"/>
      <c r="Z29" s="436"/>
      <c r="AA29" s="1053"/>
      <c r="AB29" s="421"/>
      <c r="AC29" s="421"/>
      <c r="AD29" s="421"/>
      <c r="AE29" s="421"/>
      <c r="AF29" s="421"/>
      <c r="AG29" s="421"/>
      <c r="AH29" s="418"/>
      <c r="AJ29" s="745"/>
      <c r="AK29" s="745"/>
      <c r="AL29" s="751"/>
      <c r="AM29" s="752"/>
      <c r="AN29" s="752"/>
      <c r="AO29" s="752"/>
      <c r="AP29" s="791"/>
      <c r="AQ29" s="792"/>
      <c r="AR29" s="792"/>
      <c r="AS29" s="792"/>
      <c r="AT29" s="792"/>
      <c r="AU29" s="753"/>
      <c r="AV29" s="793"/>
      <c r="AW29" s="750"/>
      <c r="AX29" s="793"/>
      <c r="AY29" s="794"/>
      <c r="AZ29" s="745"/>
      <c r="BA29" s="759"/>
      <c r="BB29" s="745" t="s">
        <v>253</v>
      </c>
      <c r="BC29" s="745" t="s">
        <v>254</v>
      </c>
      <c r="BD29" s="762"/>
    </row>
    <row r="30" spans="1:56" ht="16.5" customHeight="1" x14ac:dyDescent="0.25">
      <c r="B30" s="425">
        <f>B14</f>
        <v>5</v>
      </c>
      <c r="C30" s="404">
        <f>RxnCheck!L11</f>
        <v>600</v>
      </c>
      <c r="D30" s="404">
        <f>RxnCheck!M11</f>
        <v>600</v>
      </c>
      <c r="E30" s="404">
        <f>GeneralInput!$C$15</f>
        <v>50</v>
      </c>
      <c r="F30" s="404">
        <v>500</v>
      </c>
      <c r="G30" s="14">
        <v>10</v>
      </c>
      <c r="H30" s="14">
        <v>100</v>
      </c>
      <c r="I30" s="426">
        <f t="shared" ref="I30:I41" si="37">IF(OR($J$8 = 2, $J$8 = 3, $J$8 = 4),ROUND(PI()/4*G30^2*F30/(0.18*H30*(J30/K30-1)*E30),0),"-")</f>
        <v>132</v>
      </c>
      <c r="J30" s="847">
        <f>IF(OR($J$8 = 2, $J$8 = 3, $J$8 = 4),C30*D30,"-")</f>
        <v>360000</v>
      </c>
      <c r="K30" s="847">
        <f>IF(OR($J$8 = 2, $J$8 = 3, $J$8 = 4),(C30-80)*(D30-2*$S$8),"-")</f>
        <v>270400</v>
      </c>
      <c r="M30" s="14">
        <v>2271</v>
      </c>
      <c r="N30" s="14">
        <v>2880</v>
      </c>
      <c r="O30" s="427">
        <v>12</v>
      </c>
      <c r="P30" s="428">
        <v>16</v>
      </c>
      <c r="Q30" s="429">
        <v>6</v>
      </c>
      <c r="R30" s="430">
        <v>12</v>
      </c>
      <c r="S30" s="156">
        <v>5</v>
      </c>
      <c r="T30" s="431">
        <v>6</v>
      </c>
      <c r="U30" s="432">
        <f>PI()/4*(O30*P30^2+Q30*R30^2)</f>
        <v>3091.3271711323564</v>
      </c>
      <c r="V30" s="433" t="str">
        <f>IF(U30&gt;=N30, CONCATENATE("OK (",ROUND((U30/N30-1)*100,0),"%)"), "NOT OK")</f>
        <v>OK (7%)</v>
      </c>
      <c r="W30" s="434">
        <f t="shared" ref="W30:W41" si="38">ROUND((C30 - 2*40 - 2* G30-2*0.5*P30) / (S30-1), 0)</f>
        <v>121</v>
      </c>
      <c r="X30" s="434">
        <f t="shared" ref="X30:X41" si="39">ROUND((D30 - 2*40 - 2* G30-2*0.5*R30) / (T30-1), 0)</f>
        <v>98</v>
      </c>
      <c r="Y30" s="855" t="str">
        <f>IF(OR($J$8 = 2, $J$8 = 3, $J$8 = 4),IF(I30&gt;=MAX(W30,X30), "OK", "NOT OK"), IF($J$8=1,IF(MAX(W30,X30)&lt;300, "OK", "NOT OK")))</f>
        <v>OK</v>
      </c>
      <c r="Z30" s="436" t="str">
        <f>IF((S30+T30)*2-4 = O30+Q30, "OK", "NOT-OK")</f>
        <v>OK</v>
      </c>
      <c r="AA30" s="437">
        <f>N30/C30/D30</f>
        <v>8.0000000000000002E-3</v>
      </c>
      <c r="AB30" s="437">
        <f>U30/C30/D30</f>
        <v>8.587019919812101E-3</v>
      </c>
      <c r="AC30" s="438">
        <v>4</v>
      </c>
      <c r="AD30" s="858">
        <v>10</v>
      </c>
      <c r="AE30" s="859">
        <f>H30</f>
        <v>100</v>
      </c>
      <c r="AF30" s="424">
        <f>AC30*PI()/4*AD30^2*1000/AE30</f>
        <v>3141.5926535897934</v>
      </c>
      <c r="AG30" s="418" t="str">
        <f>IF(AF30&gt;=M30, "OK", "NOT OK")</f>
        <v>OK</v>
      </c>
      <c r="AH30" s="418" t="str">
        <f>IF(AE30&lt;=MIN(C30,D30,16*MIN(P30, R30), 300), "OK", "NOT-OK")</f>
        <v>OK</v>
      </c>
      <c r="AJ30" s="771">
        <f>AC30*PI()*AD30^2/4/AE30/C30</f>
        <v>5.2359877559829881E-3</v>
      </c>
      <c r="AK30" s="745"/>
      <c r="AL30" s="772">
        <f ca="1">GeneralInput!E96</f>
        <v>745.98666666666668</v>
      </c>
      <c r="AM30" s="773">
        <f t="shared" ref="AM30:AM41" ca="1" si="40">$AL30*AM$11/($AL$8*$AM$11+$AL$9*$AN$11)</f>
        <v>665.33945945945948</v>
      </c>
      <c r="AN30" s="773">
        <f t="shared" ref="AN30:AN41" ca="1" si="41">$AL30*(AN$11)/($AL$8*$AM$11+$AL$9*$AN$11)</f>
        <v>322.58882882882881</v>
      </c>
      <c r="AO30" s="773">
        <f ca="1">AxialForceEQCase!H43</f>
        <v>-8.8431100434252716</v>
      </c>
      <c r="AP30" s="772">
        <f t="shared" ref="AP30:AP41" ca="1" si="42">1.5*(AM30+AN30)</f>
        <v>1481.8924324324325</v>
      </c>
      <c r="AQ30" s="773">
        <f t="shared" ref="AQ30:AQ35" ca="1" si="43">1.5*(AM30+AO30)</f>
        <v>984.74452412405117</v>
      </c>
      <c r="AR30" s="773">
        <f t="shared" ref="AR30:AR35" ca="1" si="44">1.5*(AM30-AO30)</f>
        <v>1011.2738542543273</v>
      </c>
      <c r="AS30" s="773">
        <f t="shared" ref="AS30:AS35" ca="1" si="45">1.2*(AM30+AN30+AO30)</f>
        <v>1174.9022138938356</v>
      </c>
      <c r="AT30" s="773">
        <f t="shared" ref="AT30:AT35" ca="1" si="46">1.2*(AM30+AN30-AO30)</f>
        <v>1196.1256779980563</v>
      </c>
      <c r="AU30" s="774">
        <f t="shared" ref="AU30:AU41" ca="1" si="47">MAX(AQ30,AR30,AS30,AT30)</f>
        <v>1196.1256779980563</v>
      </c>
      <c r="AV30" s="775"/>
      <c r="AW30" s="773">
        <f t="shared" ref="AW30:AW41" ca="1" si="48">MIN(AQ30,AR30,AS30,AT30)</f>
        <v>984.74452412405117</v>
      </c>
      <c r="AX30" s="775"/>
      <c r="AY30" s="776"/>
      <c r="AZ30" s="745"/>
      <c r="BA30" s="759"/>
      <c r="BB30" s="745"/>
      <c r="BC30" s="745"/>
      <c r="BD30" s="762"/>
    </row>
    <row r="31" spans="1:56" ht="16.5" customHeight="1" x14ac:dyDescent="0.25">
      <c r="B31" s="425">
        <f t="shared" ref="B31:B41" si="49">B15</f>
        <v>4</v>
      </c>
      <c r="C31" s="404">
        <f>RxnCheck!L12</f>
        <v>600</v>
      </c>
      <c r="D31" s="404">
        <f>RxnCheck!M12</f>
        <v>600</v>
      </c>
      <c r="E31" s="404">
        <f>GeneralInput!$C$15</f>
        <v>50</v>
      </c>
      <c r="F31" s="404">
        <v>500</v>
      </c>
      <c r="G31" s="14">
        <v>10</v>
      </c>
      <c r="H31" s="14">
        <v>100</v>
      </c>
      <c r="I31" s="426">
        <f t="shared" si="37"/>
        <v>132</v>
      </c>
      <c r="J31" s="847">
        <f t="shared" ref="J31:J41" si="50">IF(OR($J$8 = 2, $J$8 = 3, $J$8 = 4),C31*D31,"-")</f>
        <v>360000</v>
      </c>
      <c r="K31" s="847">
        <f t="shared" ref="K31:K41" si="51">IF(OR($J$8 = 2, $J$8 = 3, $J$8 = 4),(C31-80)*(D31-2*$S$8),"-")</f>
        <v>270400</v>
      </c>
      <c r="L31" s="700">
        <f t="shared" ref="L31:L41" si="52">IFERROR(BD31, "-")</f>
        <v>0</v>
      </c>
      <c r="M31" s="14">
        <v>1009</v>
      </c>
      <c r="N31" s="14">
        <v>2880</v>
      </c>
      <c r="O31" s="440">
        <v>12</v>
      </c>
      <c r="P31" s="441">
        <v>16</v>
      </c>
      <c r="Q31" s="442">
        <v>6</v>
      </c>
      <c r="R31" s="443">
        <v>12</v>
      </c>
      <c r="S31" s="154">
        <v>5</v>
      </c>
      <c r="T31" s="444">
        <v>6</v>
      </c>
      <c r="U31" s="432">
        <f t="shared" ref="U31:U41" si="53">PI()/4*(O31*P31^2+Q31*R31^2)</f>
        <v>3091.3271711323564</v>
      </c>
      <c r="V31" s="433" t="str">
        <f t="shared" ref="V31:V41" si="54">IF(U31&gt;=N31, CONCATENATE("OK (",ROUND((U31/N31-1)*100,0),"%)"), "NOT OK")</f>
        <v>OK (7%)</v>
      </c>
      <c r="W31" s="434">
        <f t="shared" si="38"/>
        <v>121</v>
      </c>
      <c r="X31" s="434">
        <f t="shared" si="39"/>
        <v>98</v>
      </c>
      <c r="Y31" s="435" t="str">
        <f t="shared" ref="Y31:Y41" si="55">IF(OR($J$8 = 2, $J$8 = 3, $J$8 = 4),IF(I31&gt;=MAX(W31,X31), "OK", "NOT OK"), IF($J$8=1,IF(MAX(W31,X31)&lt;300, "OK", "NOT OK")))</f>
        <v>OK</v>
      </c>
      <c r="Z31" s="436" t="str">
        <f t="shared" ref="Z31:Z41" si="56">IF((S31+T31)*2-4 = O31+Q31, "OK", "NOT-OK")</f>
        <v>OK</v>
      </c>
      <c r="AA31" s="437">
        <f t="shared" ref="AA31:AA41" si="57">N31/C31/D31</f>
        <v>8.0000000000000002E-3</v>
      </c>
      <c r="AB31" s="437">
        <f t="shared" ref="AB31:AB41" si="58">U31/C31/D31</f>
        <v>8.587019919812101E-3</v>
      </c>
      <c r="AC31" s="438">
        <v>4</v>
      </c>
      <c r="AD31" s="858">
        <f t="shared" ref="AD31:AD41" si="59">G31</f>
        <v>10</v>
      </c>
      <c r="AE31" s="859">
        <f t="shared" ref="AE31:AE41" si="60">H31</f>
        <v>100</v>
      </c>
      <c r="AF31" s="424">
        <f t="shared" ref="AF31:AF41" si="61">AC31*PI()/4*AD31^2*1000/AE31</f>
        <v>3141.5926535897934</v>
      </c>
      <c r="AG31" s="418" t="str">
        <f t="shared" ref="AG31:AG41" si="62">IF(AF31&gt;=M31, "OK", "NOT OK")</f>
        <v>OK</v>
      </c>
      <c r="AH31" s="418" t="str">
        <f t="shared" ref="AH31:AH41" si="63">IF(AE31&lt;=MIN(C31,D31,16*MIN(P31, R31), 300), "OK", "NOT-OK")</f>
        <v>OK</v>
      </c>
      <c r="AJ31" s="777">
        <f t="shared" ref="AJ31:AJ36" si="64">AC31*PI()*AD31^2/4/AE31/C31</f>
        <v>5.2359877559829881E-3</v>
      </c>
      <c r="AK31" s="745"/>
      <c r="AL31" s="772">
        <f ca="1">GeneralInput!E97</f>
        <v>1491.9733333333334</v>
      </c>
      <c r="AM31" s="773">
        <f t="shared" ca="1" si="40"/>
        <v>1330.678918918919</v>
      </c>
      <c r="AN31" s="773">
        <f t="shared" ca="1" si="41"/>
        <v>645.17765765765762</v>
      </c>
      <c r="AO31" s="773">
        <f ca="1">AxialForceEQCase!H44</f>
        <v>-32.273707249150412</v>
      </c>
      <c r="AP31" s="772">
        <f t="shared" ca="1" si="42"/>
        <v>2963.7848648648651</v>
      </c>
      <c r="AQ31" s="773">
        <f t="shared" ca="1" si="43"/>
        <v>1947.6078175046528</v>
      </c>
      <c r="AR31" s="773">
        <f t="shared" ca="1" si="44"/>
        <v>2044.4289392521041</v>
      </c>
      <c r="AS31" s="773">
        <f t="shared" ca="1" si="45"/>
        <v>2332.2994431929114</v>
      </c>
      <c r="AT31" s="773">
        <f t="shared" ca="1" si="46"/>
        <v>2409.7563405908722</v>
      </c>
      <c r="AU31" s="774">
        <f t="shared" ca="1" si="47"/>
        <v>2409.7563405908722</v>
      </c>
      <c r="AV31" s="775"/>
      <c r="AW31" s="773">
        <f t="shared" ca="1" si="48"/>
        <v>1947.6078175046528</v>
      </c>
      <c r="AX31" s="775"/>
      <c r="AY31" s="776"/>
      <c r="AZ31" s="745"/>
      <c r="BA31" s="778">
        <f t="shared" ref="BA31:BA41" si="65">AY30+AY31</f>
        <v>0</v>
      </c>
      <c r="BB31" s="779">
        <f t="shared" ref="BB31:BB36" si="66">AO50+AP66</f>
        <v>1090.2013581335032</v>
      </c>
      <c r="BC31" s="779">
        <f t="shared" ref="BC31:BC36" si="67">AP50+AO66</f>
        <v>1101.7042254323801</v>
      </c>
      <c r="BD31" s="780">
        <f t="shared" ref="BD31:BD36" si="68">BA31/MAX(BB31,BC31)</f>
        <v>0</v>
      </c>
    </row>
    <row r="32" spans="1:56" ht="16.5" customHeight="1" x14ac:dyDescent="0.25">
      <c r="B32" s="425">
        <f t="shared" si="49"/>
        <v>3</v>
      </c>
      <c r="C32" s="404">
        <f>RxnCheck!L13</f>
        <v>600</v>
      </c>
      <c r="D32" s="404">
        <f>RxnCheck!M13</f>
        <v>600</v>
      </c>
      <c r="E32" s="404">
        <f>GeneralInput!$C$15</f>
        <v>50</v>
      </c>
      <c r="F32" s="404">
        <v>500</v>
      </c>
      <c r="G32" s="14">
        <v>10</v>
      </c>
      <c r="H32" s="14">
        <v>100</v>
      </c>
      <c r="I32" s="426">
        <f t="shared" si="37"/>
        <v>132</v>
      </c>
      <c r="J32" s="847">
        <f t="shared" si="50"/>
        <v>360000</v>
      </c>
      <c r="K32" s="847">
        <f t="shared" si="51"/>
        <v>270400</v>
      </c>
      <c r="L32" s="700">
        <f t="shared" si="52"/>
        <v>0</v>
      </c>
      <c r="M32" s="14">
        <v>1335</v>
      </c>
      <c r="N32" s="14">
        <v>2880</v>
      </c>
      <c r="O32" s="440">
        <v>12</v>
      </c>
      <c r="P32" s="441">
        <v>16</v>
      </c>
      <c r="Q32" s="442">
        <v>6</v>
      </c>
      <c r="R32" s="443">
        <v>12</v>
      </c>
      <c r="S32" s="154">
        <v>5</v>
      </c>
      <c r="T32" s="444">
        <v>6</v>
      </c>
      <c r="U32" s="432">
        <f t="shared" si="53"/>
        <v>3091.3271711323564</v>
      </c>
      <c r="V32" s="433" t="str">
        <f t="shared" si="54"/>
        <v>OK (7%)</v>
      </c>
      <c r="W32" s="434">
        <f t="shared" si="38"/>
        <v>121</v>
      </c>
      <c r="X32" s="434">
        <f t="shared" si="39"/>
        <v>98</v>
      </c>
      <c r="Y32" s="435" t="str">
        <f t="shared" si="55"/>
        <v>OK</v>
      </c>
      <c r="Z32" s="436" t="str">
        <f t="shared" si="56"/>
        <v>OK</v>
      </c>
      <c r="AA32" s="437">
        <f t="shared" si="57"/>
        <v>8.0000000000000002E-3</v>
      </c>
      <c r="AB32" s="437">
        <f t="shared" si="58"/>
        <v>8.587019919812101E-3</v>
      </c>
      <c r="AC32" s="438">
        <v>4</v>
      </c>
      <c r="AD32" s="858">
        <f t="shared" si="59"/>
        <v>10</v>
      </c>
      <c r="AE32" s="859">
        <f t="shared" si="60"/>
        <v>100</v>
      </c>
      <c r="AF32" s="424">
        <f t="shared" si="61"/>
        <v>3141.5926535897934</v>
      </c>
      <c r="AG32" s="418" t="str">
        <f t="shared" si="62"/>
        <v>OK</v>
      </c>
      <c r="AH32" s="418" t="str">
        <f t="shared" si="63"/>
        <v>OK</v>
      </c>
      <c r="AJ32" s="777">
        <f t="shared" si="64"/>
        <v>5.2359877559829881E-3</v>
      </c>
      <c r="AK32" s="745"/>
      <c r="AL32" s="772">
        <f ca="1">GeneralInput!E98</f>
        <v>2237.96</v>
      </c>
      <c r="AM32" s="773">
        <f t="shared" ca="1" si="40"/>
        <v>1996.0183783783787</v>
      </c>
      <c r="AN32" s="773">
        <f t="shared" ca="1" si="41"/>
        <v>967.76648648648654</v>
      </c>
      <c r="AO32" s="773">
        <f ca="1">AxialForceEQCase!H45</f>
        <v>-64.760169206407298</v>
      </c>
      <c r="AP32" s="772">
        <f t="shared" ca="1" si="42"/>
        <v>4445.6772972972976</v>
      </c>
      <c r="AQ32" s="773">
        <f t="shared" ca="1" si="43"/>
        <v>2896.8873137579571</v>
      </c>
      <c r="AR32" s="773">
        <f t="shared" ca="1" si="44"/>
        <v>3091.1678213771788</v>
      </c>
      <c r="AS32" s="773">
        <f t="shared" ca="1" si="45"/>
        <v>3478.8296347901492</v>
      </c>
      <c r="AT32" s="773">
        <f t="shared" ca="1" si="46"/>
        <v>3634.2540408855266</v>
      </c>
      <c r="AU32" s="774">
        <f t="shared" ca="1" si="47"/>
        <v>3634.2540408855266</v>
      </c>
      <c r="AV32" s="775"/>
      <c r="AW32" s="773">
        <f t="shared" ca="1" si="48"/>
        <v>2896.8873137579571</v>
      </c>
      <c r="AX32" s="775"/>
      <c r="AY32" s="776"/>
      <c r="AZ32" s="745"/>
      <c r="BA32" s="778">
        <f t="shared" si="65"/>
        <v>0</v>
      </c>
      <c r="BB32" s="779">
        <f t="shared" si="66"/>
        <v>1276.8330084709405</v>
      </c>
      <c r="BC32" s="779">
        <f t="shared" si="67"/>
        <v>1276.8330084709405</v>
      </c>
      <c r="BD32" s="780">
        <f t="shared" si="68"/>
        <v>0</v>
      </c>
    </row>
    <row r="33" spans="2:61" ht="16.5" customHeight="1" x14ac:dyDescent="0.25">
      <c r="B33" s="425">
        <f t="shared" si="49"/>
        <v>2</v>
      </c>
      <c r="C33" s="404">
        <f>RxnCheck!L14</f>
        <v>600</v>
      </c>
      <c r="D33" s="404">
        <f>RxnCheck!M14</f>
        <v>600</v>
      </c>
      <c r="E33" s="404">
        <f>GeneralInput!$C$15</f>
        <v>50</v>
      </c>
      <c r="F33" s="404">
        <v>500</v>
      </c>
      <c r="G33" s="14">
        <v>10</v>
      </c>
      <c r="H33" s="14">
        <v>100</v>
      </c>
      <c r="I33" s="426">
        <f t="shared" si="37"/>
        <v>132</v>
      </c>
      <c r="J33" s="847">
        <f t="shared" si="50"/>
        <v>360000</v>
      </c>
      <c r="K33" s="847">
        <f t="shared" si="51"/>
        <v>270400</v>
      </c>
      <c r="L33" s="700">
        <f t="shared" si="52"/>
        <v>0</v>
      </c>
      <c r="M33" s="14">
        <v>1468</v>
      </c>
      <c r="N33" s="14">
        <v>5315</v>
      </c>
      <c r="O33" s="440">
        <v>12</v>
      </c>
      <c r="P33" s="441">
        <v>20</v>
      </c>
      <c r="Q33" s="442">
        <v>6</v>
      </c>
      <c r="R33" s="443">
        <v>20</v>
      </c>
      <c r="S33" s="154">
        <v>5</v>
      </c>
      <c r="T33" s="444">
        <v>6</v>
      </c>
      <c r="U33" s="432">
        <f t="shared" si="53"/>
        <v>5654.8667764616275</v>
      </c>
      <c r="V33" s="433" t="str">
        <f t="shared" si="54"/>
        <v>OK (6%)</v>
      </c>
      <c r="W33" s="434">
        <f t="shared" si="38"/>
        <v>120</v>
      </c>
      <c r="X33" s="434">
        <f t="shared" si="39"/>
        <v>96</v>
      </c>
      <c r="Y33" s="435" t="str">
        <f t="shared" si="55"/>
        <v>OK</v>
      </c>
      <c r="Z33" s="436" t="str">
        <f>IF((S33+T33)*2-4 = O33+Q33, "OK", "NOT-OK")</f>
        <v>OK</v>
      </c>
      <c r="AA33" s="437">
        <f t="shared" si="57"/>
        <v>1.4763888888888887E-2</v>
      </c>
      <c r="AB33" s="437">
        <f t="shared" si="58"/>
        <v>1.5707963267948967E-2</v>
      </c>
      <c r="AC33" s="438">
        <v>4</v>
      </c>
      <c r="AD33" s="858">
        <f t="shared" si="59"/>
        <v>10</v>
      </c>
      <c r="AE33" s="859">
        <f t="shared" si="60"/>
        <v>100</v>
      </c>
      <c r="AF33" s="424">
        <f t="shared" si="61"/>
        <v>3141.5926535897934</v>
      </c>
      <c r="AG33" s="418" t="str">
        <f t="shared" si="62"/>
        <v>OK</v>
      </c>
      <c r="AH33" s="418" t="str">
        <f t="shared" si="63"/>
        <v>OK</v>
      </c>
      <c r="AJ33" s="777">
        <f t="shared" si="64"/>
        <v>5.2359877559829881E-3</v>
      </c>
      <c r="AK33" s="745"/>
      <c r="AL33" s="772">
        <f ca="1">GeneralInput!E99</f>
        <v>2983.9466666666667</v>
      </c>
      <c r="AM33" s="773">
        <f t="shared" ca="1" si="40"/>
        <v>2661.3578378378379</v>
      </c>
      <c r="AN33" s="773">
        <f t="shared" ca="1" si="41"/>
        <v>1290.3553153153152</v>
      </c>
      <c r="AO33" s="773">
        <f ca="1">AxialForceEQCase!H46</f>
        <v>-102.10256038109419</v>
      </c>
      <c r="AP33" s="772">
        <f t="shared" ca="1" si="42"/>
        <v>5927.5697297297302</v>
      </c>
      <c r="AQ33" s="773">
        <f t="shared" ca="1" si="43"/>
        <v>3838.8829161851158</v>
      </c>
      <c r="AR33" s="773">
        <f t="shared" ca="1" si="44"/>
        <v>4145.1905973283974</v>
      </c>
      <c r="AS33" s="773">
        <f t="shared" ca="1" si="45"/>
        <v>4619.5327113264711</v>
      </c>
      <c r="AT33" s="773">
        <f t="shared" ca="1" si="46"/>
        <v>4864.5788562410962</v>
      </c>
      <c r="AU33" s="774">
        <f t="shared" ca="1" si="47"/>
        <v>4864.5788562410962</v>
      </c>
      <c r="AV33" s="775"/>
      <c r="AW33" s="773">
        <f t="shared" ca="1" si="48"/>
        <v>3838.8829161851158</v>
      </c>
      <c r="AX33" s="775"/>
      <c r="AY33" s="776"/>
      <c r="AZ33" s="745"/>
      <c r="BA33" s="778">
        <f t="shared" si="65"/>
        <v>0</v>
      </c>
      <c r="BB33" s="779">
        <f t="shared" si="66"/>
        <v>1351.5451791647797</v>
      </c>
      <c r="BC33" s="779">
        <f t="shared" si="67"/>
        <v>1351.5451791647797</v>
      </c>
      <c r="BD33" s="780">
        <f t="shared" si="68"/>
        <v>0</v>
      </c>
    </row>
    <row r="34" spans="2:61" ht="15.75" x14ac:dyDescent="0.25">
      <c r="B34" s="425">
        <f t="shared" si="49"/>
        <v>1</v>
      </c>
      <c r="C34" s="404">
        <f>RxnCheck!L15</f>
        <v>600</v>
      </c>
      <c r="D34" s="404">
        <f>RxnCheck!M15</f>
        <v>600</v>
      </c>
      <c r="E34" s="404">
        <f>GeneralInput!$C$15</f>
        <v>50</v>
      </c>
      <c r="F34" s="404">
        <v>500</v>
      </c>
      <c r="G34" s="14">
        <v>10</v>
      </c>
      <c r="H34" s="14">
        <v>100</v>
      </c>
      <c r="I34" s="426">
        <f t="shared" si="37"/>
        <v>132</v>
      </c>
      <c r="J34" s="847">
        <f t="shared" si="50"/>
        <v>360000</v>
      </c>
      <c r="K34" s="847">
        <f t="shared" si="51"/>
        <v>270400</v>
      </c>
      <c r="L34" s="700">
        <f t="shared" si="52"/>
        <v>0</v>
      </c>
      <c r="M34" s="14">
        <v>1211</v>
      </c>
      <c r="N34" s="14">
        <v>12068</v>
      </c>
      <c r="O34" s="440">
        <v>12</v>
      </c>
      <c r="P34" s="441">
        <v>32</v>
      </c>
      <c r="Q34" s="442">
        <v>6</v>
      </c>
      <c r="R34" s="443">
        <v>25</v>
      </c>
      <c r="S34" s="154">
        <v>5</v>
      </c>
      <c r="T34" s="444">
        <v>6</v>
      </c>
      <c r="U34" s="432">
        <f t="shared" si="53"/>
        <v>12596.215744568275</v>
      </c>
      <c r="V34" s="433" t="str">
        <f t="shared" si="54"/>
        <v>OK (4%)</v>
      </c>
      <c r="W34" s="434">
        <f t="shared" si="38"/>
        <v>117</v>
      </c>
      <c r="X34" s="434">
        <f t="shared" si="39"/>
        <v>95</v>
      </c>
      <c r="Y34" s="435" t="str">
        <f t="shared" si="55"/>
        <v>OK</v>
      </c>
      <c r="Z34" s="436" t="str">
        <f t="shared" si="56"/>
        <v>OK</v>
      </c>
      <c r="AA34" s="437">
        <f t="shared" si="57"/>
        <v>3.3522222222222224E-2</v>
      </c>
      <c r="AB34" s="437">
        <f t="shared" si="58"/>
        <v>3.4989488179356321E-2</v>
      </c>
      <c r="AC34" s="438">
        <v>4</v>
      </c>
      <c r="AD34" s="858">
        <f t="shared" si="59"/>
        <v>10</v>
      </c>
      <c r="AE34" s="859">
        <f t="shared" si="60"/>
        <v>100</v>
      </c>
      <c r="AF34" s="424">
        <f t="shared" si="61"/>
        <v>3141.5926535897934</v>
      </c>
      <c r="AG34" s="418" t="str">
        <f t="shared" si="62"/>
        <v>OK</v>
      </c>
      <c r="AH34" s="418" t="str">
        <f t="shared" si="63"/>
        <v>OK</v>
      </c>
      <c r="AJ34" s="777">
        <f t="shared" si="64"/>
        <v>5.2359877559829881E-3</v>
      </c>
      <c r="AK34" s="745"/>
      <c r="AL34" s="772">
        <f ca="1">GeneralInput!E100</f>
        <v>3735.3333333333335</v>
      </c>
      <c r="AM34" s="773">
        <f t="shared" ca="1" si="40"/>
        <v>3331.5135135135133</v>
      </c>
      <c r="AN34" s="773">
        <f t="shared" ca="1" si="41"/>
        <v>1615.2792792792793</v>
      </c>
      <c r="AO34" s="773">
        <f ca="1">AxialForceEQCase!H47</f>
        <v>-144.49640949095783</v>
      </c>
      <c r="AP34" s="772">
        <f t="shared" ca="1" si="42"/>
        <v>7420.1891891891883</v>
      </c>
      <c r="AQ34" s="773">
        <f t="shared" ca="1" si="43"/>
        <v>4780.525656033833</v>
      </c>
      <c r="AR34" s="773">
        <f t="shared" ca="1" si="44"/>
        <v>5214.0148845067069</v>
      </c>
      <c r="AS34" s="773">
        <f t="shared" ca="1" si="45"/>
        <v>5762.7556599622012</v>
      </c>
      <c r="AT34" s="773">
        <f t="shared" ca="1" si="46"/>
        <v>6109.5470427404989</v>
      </c>
      <c r="AU34" s="774">
        <f t="shared" ca="1" si="47"/>
        <v>6109.5470427404989</v>
      </c>
      <c r="AV34" s="775"/>
      <c r="AW34" s="773">
        <f t="shared" ca="1" si="48"/>
        <v>4780.525656033833</v>
      </c>
      <c r="AX34" s="775"/>
      <c r="AY34" s="776"/>
      <c r="AZ34" s="745"/>
      <c r="BA34" s="778">
        <f t="shared" si="65"/>
        <v>0</v>
      </c>
      <c r="BB34" s="779">
        <f t="shared" si="66"/>
        <v>1426.2645090715494</v>
      </c>
      <c r="BC34" s="779">
        <f t="shared" si="67"/>
        <v>1376.4563952756566</v>
      </c>
      <c r="BD34" s="780">
        <f t="shared" si="68"/>
        <v>0</v>
      </c>
    </row>
    <row r="35" spans="2:61" ht="16.5" hidden="1" customHeight="1" x14ac:dyDescent="0.25">
      <c r="B35" s="425">
        <f t="shared" si="49"/>
        <v>0</v>
      </c>
      <c r="C35" s="404">
        <f>RxnCheck!L16</f>
        <v>0</v>
      </c>
      <c r="D35" s="404">
        <f>RxnCheck!M16</f>
        <v>0</v>
      </c>
      <c r="E35" s="404">
        <f>GeneralInput!$C$15</f>
        <v>50</v>
      </c>
      <c r="F35" s="404">
        <v>415</v>
      </c>
      <c r="G35" s="14">
        <v>10</v>
      </c>
      <c r="H35" s="14">
        <v>100</v>
      </c>
      <c r="I35" s="426">
        <f t="shared" si="37"/>
        <v>-36</v>
      </c>
      <c r="J35" s="847">
        <f t="shared" si="50"/>
        <v>0</v>
      </c>
      <c r="K35" s="847">
        <f t="shared" si="51"/>
        <v>6400</v>
      </c>
      <c r="L35" s="700" t="str">
        <f t="shared" si="52"/>
        <v>-</v>
      </c>
      <c r="M35" s="14"/>
      <c r="N35" s="14"/>
      <c r="O35" s="440">
        <v>4</v>
      </c>
      <c r="P35" s="441">
        <v>20</v>
      </c>
      <c r="Q35" s="442">
        <v>16</v>
      </c>
      <c r="R35" s="443">
        <v>12</v>
      </c>
      <c r="S35" s="154">
        <v>6</v>
      </c>
      <c r="T35" s="444">
        <v>6</v>
      </c>
      <c r="U35" s="432">
        <f t="shared" si="53"/>
        <v>3066.1944299036381</v>
      </c>
      <c r="V35" s="433" t="e">
        <f t="shared" si="54"/>
        <v>#DIV/0!</v>
      </c>
      <c r="W35" s="434">
        <f t="shared" si="38"/>
        <v>-24</v>
      </c>
      <c r="X35" s="434">
        <f t="shared" si="39"/>
        <v>-22</v>
      </c>
      <c r="Y35" s="435" t="str">
        <f t="shared" si="55"/>
        <v>NOT OK</v>
      </c>
      <c r="Z35" s="436" t="str">
        <f t="shared" si="56"/>
        <v>OK</v>
      </c>
      <c r="AA35" s="437" t="e">
        <f t="shared" si="57"/>
        <v>#DIV/0!</v>
      </c>
      <c r="AB35" s="437" t="e">
        <f t="shared" si="58"/>
        <v>#DIV/0!</v>
      </c>
      <c r="AC35" s="438">
        <v>4</v>
      </c>
      <c r="AD35" s="858">
        <f t="shared" si="59"/>
        <v>10</v>
      </c>
      <c r="AE35" s="859">
        <f t="shared" si="60"/>
        <v>100</v>
      </c>
      <c r="AF35" s="424">
        <f t="shared" si="61"/>
        <v>3141.5926535897934</v>
      </c>
      <c r="AG35" s="418" t="str">
        <f t="shared" si="62"/>
        <v>OK</v>
      </c>
      <c r="AH35" s="418" t="str">
        <f t="shared" si="63"/>
        <v>NOT-OK</v>
      </c>
      <c r="AJ35" s="777" t="e">
        <f t="shared" si="64"/>
        <v>#DIV/0!</v>
      </c>
      <c r="AK35" s="745"/>
      <c r="AL35" s="772" t="e">
        <f ca="1">GeneralInput!E101</f>
        <v>#N/A</v>
      </c>
      <c r="AM35" s="773" t="e">
        <f t="shared" ca="1" si="40"/>
        <v>#N/A</v>
      </c>
      <c r="AN35" s="773" t="e">
        <f t="shared" ca="1" si="41"/>
        <v>#N/A</v>
      </c>
      <c r="AO35" s="773" t="e">
        <f ca="1">AxialForceEQCase!H48</f>
        <v>#N/A</v>
      </c>
      <c r="AP35" s="772" t="e">
        <f t="shared" ca="1" si="42"/>
        <v>#N/A</v>
      </c>
      <c r="AQ35" s="773" t="e">
        <f t="shared" ca="1" si="43"/>
        <v>#N/A</v>
      </c>
      <c r="AR35" s="773" t="e">
        <f t="shared" ca="1" si="44"/>
        <v>#N/A</v>
      </c>
      <c r="AS35" s="773" t="e">
        <f t="shared" ca="1" si="45"/>
        <v>#N/A</v>
      </c>
      <c r="AT35" s="773" t="e">
        <f t="shared" ca="1" si="46"/>
        <v>#N/A</v>
      </c>
      <c r="AU35" s="774" t="e">
        <f t="shared" ca="1" si="47"/>
        <v>#N/A</v>
      </c>
      <c r="AV35" s="775"/>
      <c r="AW35" s="773" t="e">
        <f t="shared" ca="1" si="48"/>
        <v>#N/A</v>
      </c>
      <c r="AX35" s="775"/>
      <c r="AY35" s="776"/>
      <c r="AZ35" s="745"/>
      <c r="BA35" s="778">
        <f t="shared" si="65"/>
        <v>0</v>
      </c>
      <c r="BB35" s="779" t="e">
        <f t="shared" si="66"/>
        <v>#DIV/0!</v>
      </c>
      <c r="BC35" s="779" t="e">
        <f t="shared" si="67"/>
        <v>#DIV/0!</v>
      </c>
      <c r="BD35" s="780" t="e">
        <f t="shared" si="68"/>
        <v>#DIV/0!</v>
      </c>
    </row>
    <row r="36" spans="2:61" ht="16.5" hidden="1" customHeight="1" x14ac:dyDescent="0.25">
      <c r="B36" s="425">
        <f t="shared" si="49"/>
        <v>-1</v>
      </c>
      <c r="C36" s="404">
        <f>RxnCheck!L17</f>
        <v>0</v>
      </c>
      <c r="D36" s="404">
        <f>RxnCheck!M17</f>
        <v>0</v>
      </c>
      <c r="E36" s="404">
        <f>GeneralInput!$C$15</f>
        <v>50</v>
      </c>
      <c r="F36" s="404">
        <v>415</v>
      </c>
      <c r="G36" s="14">
        <v>10</v>
      </c>
      <c r="H36" s="14">
        <v>100</v>
      </c>
      <c r="I36" s="426">
        <f t="shared" si="37"/>
        <v>-36</v>
      </c>
      <c r="J36" s="847">
        <f t="shared" si="50"/>
        <v>0</v>
      </c>
      <c r="K36" s="847">
        <f t="shared" si="51"/>
        <v>6400</v>
      </c>
      <c r="L36" s="700" t="str">
        <f t="shared" si="52"/>
        <v>-</v>
      </c>
      <c r="M36" s="14"/>
      <c r="N36" s="14"/>
      <c r="O36" s="440">
        <v>8</v>
      </c>
      <c r="P36" s="441">
        <v>20</v>
      </c>
      <c r="Q36" s="442">
        <v>12</v>
      </c>
      <c r="R36" s="443">
        <v>16</v>
      </c>
      <c r="S36" s="154">
        <v>6</v>
      </c>
      <c r="T36" s="444">
        <v>6</v>
      </c>
      <c r="U36" s="432">
        <f t="shared" si="53"/>
        <v>4926.0172808287953</v>
      </c>
      <c r="V36" s="433" t="e">
        <f t="shared" si="54"/>
        <v>#DIV/0!</v>
      </c>
      <c r="W36" s="434">
        <f t="shared" si="38"/>
        <v>-24</v>
      </c>
      <c r="X36" s="434">
        <f t="shared" si="39"/>
        <v>-23</v>
      </c>
      <c r="Y36" s="435" t="str">
        <f t="shared" si="55"/>
        <v>NOT OK</v>
      </c>
      <c r="Z36" s="436" t="str">
        <f t="shared" si="56"/>
        <v>OK</v>
      </c>
      <c r="AA36" s="437" t="e">
        <f t="shared" si="57"/>
        <v>#DIV/0!</v>
      </c>
      <c r="AB36" s="437" t="e">
        <f t="shared" si="58"/>
        <v>#DIV/0!</v>
      </c>
      <c r="AC36" s="438">
        <v>4</v>
      </c>
      <c r="AD36" s="858">
        <f t="shared" si="59"/>
        <v>10</v>
      </c>
      <c r="AE36" s="859">
        <f t="shared" si="60"/>
        <v>100</v>
      </c>
      <c r="AF36" s="424">
        <f t="shared" si="61"/>
        <v>3141.5926535897934</v>
      </c>
      <c r="AG36" s="418" t="str">
        <f t="shared" si="62"/>
        <v>OK</v>
      </c>
      <c r="AH36" s="418" t="str">
        <f t="shared" si="63"/>
        <v>NOT-OK</v>
      </c>
      <c r="AJ36" s="781" t="e">
        <f t="shared" si="64"/>
        <v>#DIV/0!</v>
      </c>
      <c r="AK36" s="745"/>
      <c r="AL36" s="772" t="e">
        <f ca="1">GeneralInput!E102</f>
        <v>#N/A</v>
      </c>
      <c r="AM36" s="773" t="e">
        <f t="shared" ca="1" si="40"/>
        <v>#N/A</v>
      </c>
      <c r="AN36" s="773" t="e">
        <f t="shared" ca="1" si="41"/>
        <v>#N/A</v>
      </c>
      <c r="AO36" s="773" t="e">
        <f ca="1">AxialForceEQCase!H49</f>
        <v>#N/A</v>
      </c>
      <c r="AP36" s="772" t="e">
        <f t="shared" ca="1" si="42"/>
        <v>#N/A</v>
      </c>
      <c r="AQ36" s="773" t="e">
        <f t="shared" ref="AQ36:AQ41" ca="1" si="69">1.5*(AM36+AO36)</f>
        <v>#N/A</v>
      </c>
      <c r="AR36" s="773" t="e">
        <f t="shared" ref="AR36:AR41" ca="1" si="70">1.5*(AM36-AO36)</f>
        <v>#N/A</v>
      </c>
      <c r="AS36" s="773" t="e">
        <f t="shared" ref="AS36:AS41" ca="1" si="71">1.2*(AM36+AN36+AO36)</f>
        <v>#N/A</v>
      </c>
      <c r="AT36" s="773" t="e">
        <f t="shared" ref="AT36:AT41" ca="1" si="72">1.2*(AM36+AN36-AO36)</f>
        <v>#N/A</v>
      </c>
      <c r="AU36" s="774" t="e">
        <f t="shared" ca="1" si="47"/>
        <v>#N/A</v>
      </c>
      <c r="AV36" s="775"/>
      <c r="AW36" s="773" t="e">
        <f t="shared" ca="1" si="48"/>
        <v>#N/A</v>
      </c>
      <c r="AX36" s="775"/>
      <c r="AY36" s="776"/>
      <c r="AZ36" s="745"/>
      <c r="BA36" s="778">
        <f t="shared" si="65"/>
        <v>0</v>
      </c>
      <c r="BB36" s="779" t="e">
        <f t="shared" si="66"/>
        <v>#DIV/0!</v>
      </c>
      <c r="BC36" s="779" t="e">
        <f t="shared" si="67"/>
        <v>#DIV/0!</v>
      </c>
      <c r="BD36" s="780" t="e">
        <f t="shared" si="68"/>
        <v>#DIV/0!</v>
      </c>
    </row>
    <row r="37" spans="2:61" ht="16.5" hidden="1" customHeight="1" x14ac:dyDescent="0.25">
      <c r="B37" s="425">
        <f t="shared" si="49"/>
        <v>-2</v>
      </c>
      <c r="C37" s="404">
        <f>RxnCheck!L18</f>
        <v>0</v>
      </c>
      <c r="D37" s="404">
        <f>RxnCheck!M18</f>
        <v>0</v>
      </c>
      <c r="E37" s="404">
        <f>GeneralInput!$C$15</f>
        <v>50</v>
      </c>
      <c r="F37" s="404">
        <v>415</v>
      </c>
      <c r="G37" s="14">
        <v>10</v>
      </c>
      <c r="H37" s="14">
        <v>100</v>
      </c>
      <c r="I37" s="426">
        <f t="shared" si="37"/>
        <v>-36</v>
      </c>
      <c r="J37" s="847">
        <f t="shared" si="50"/>
        <v>0</v>
      </c>
      <c r="K37" s="847">
        <f t="shared" si="51"/>
        <v>6400</v>
      </c>
      <c r="L37" s="700" t="str">
        <f t="shared" si="52"/>
        <v>-</v>
      </c>
      <c r="M37" s="14"/>
      <c r="N37" s="14"/>
      <c r="O37" s="440">
        <v>16</v>
      </c>
      <c r="P37" s="441">
        <v>25</v>
      </c>
      <c r="Q37" s="442">
        <v>4</v>
      </c>
      <c r="R37" s="443">
        <v>20</v>
      </c>
      <c r="S37" s="154">
        <v>6</v>
      </c>
      <c r="T37" s="444">
        <v>6</v>
      </c>
      <c r="U37" s="432">
        <f t="shared" si="53"/>
        <v>9110.6186954103996</v>
      </c>
      <c r="V37" s="433" t="e">
        <f t="shared" si="54"/>
        <v>#DIV/0!</v>
      </c>
      <c r="W37" s="434">
        <f t="shared" si="38"/>
        <v>-25</v>
      </c>
      <c r="X37" s="434">
        <f t="shared" si="39"/>
        <v>-24</v>
      </c>
      <c r="Y37" s="435" t="str">
        <f t="shared" si="55"/>
        <v>NOT OK</v>
      </c>
      <c r="Z37" s="436" t="str">
        <f t="shared" si="56"/>
        <v>OK</v>
      </c>
      <c r="AA37" s="437" t="e">
        <f t="shared" si="57"/>
        <v>#DIV/0!</v>
      </c>
      <c r="AB37" s="437" t="e">
        <f t="shared" si="58"/>
        <v>#DIV/0!</v>
      </c>
      <c r="AC37" s="438">
        <v>4</v>
      </c>
      <c r="AD37" s="858">
        <f t="shared" si="59"/>
        <v>10</v>
      </c>
      <c r="AE37" s="859">
        <f t="shared" si="60"/>
        <v>100</v>
      </c>
      <c r="AF37" s="424">
        <f t="shared" si="61"/>
        <v>3141.5926535897934</v>
      </c>
      <c r="AG37" s="418" t="str">
        <f t="shared" si="62"/>
        <v>OK</v>
      </c>
      <c r="AH37" s="418" t="str">
        <f t="shared" si="63"/>
        <v>NOT-OK</v>
      </c>
      <c r="AJ37" s="782"/>
      <c r="AK37" s="745"/>
      <c r="AL37" s="772" t="e">
        <f ca="1">GeneralInput!E103</f>
        <v>#N/A</v>
      </c>
      <c r="AM37" s="773" t="e">
        <f t="shared" ca="1" si="40"/>
        <v>#N/A</v>
      </c>
      <c r="AN37" s="773" t="e">
        <f t="shared" ca="1" si="41"/>
        <v>#N/A</v>
      </c>
      <c r="AO37" s="773" t="e">
        <f ca="1">AxialForceEQCase!H50</f>
        <v>#N/A</v>
      </c>
      <c r="AP37" s="772" t="e">
        <f t="shared" ca="1" si="42"/>
        <v>#N/A</v>
      </c>
      <c r="AQ37" s="773" t="e">
        <f t="shared" ca="1" si="69"/>
        <v>#N/A</v>
      </c>
      <c r="AR37" s="773" t="e">
        <f t="shared" ca="1" si="70"/>
        <v>#N/A</v>
      </c>
      <c r="AS37" s="773" t="e">
        <f t="shared" ca="1" si="71"/>
        <v>#N/A</v>
      </c>
      <c r="AT37" s="773" t="e">
        <f t="shared" ca="1" si="72"/>
        <v>#N/A</v>
      </c>
      <c r="AU37" s="774" t="e">
        <f t="shared" ca="1" si="47"/>
        <v>#N/A</v>
      </c>
      <c r="AV37" s="775"/>
      <c r="AW37" s="773" t="e">
        <f t="shared" ca="1" si="48"/>
        <v>#N/A</v>
      </c>
      <c r="AX37" s="775"/>
      <c r="AY37" s="776"/>
      <c r="AZ37" s="745"/>
      <c r="BA37" s="778">
        <f t="shared" si="65"/>
        <v>0</v>
      </c>
      <c r="BB37" s="779" t="e">
        <f>AO56+AP72</f>
        <v>#DIV/0!</v>
      </c>
      <c r="BC37" s="779" t="e">
        <f>AP56+AO72</f>
        <v>#DIV/0!</v>
      </c>
      <c r="BD37" s="780" t="e">
        <f>BA37/MAX(BB37,BC37)</f>
        <v>#DIV/0!</v>
      </c>
    </row>
    <row r="38" spans="2:61" ht="15.75" hidden="1" x14ac:dyDescent="0.25">
      <c r="B38" s="425">
        <f t="shared" si="49"/>
        <v>-3</v>
      </c>
      <c r="C38" s="404">
        <f>RxnCheck!L19</f>
        <v>0</v>
      </c>
      <c r="D38" s="404">
        <f>RxnCheck!M19</f>
        <v>0</v>
      </c>
      <c r="E38" s="404">
        <f>GeneralInput!$C$15</f>
        <v>50</v>
      </c>
      <c r="F38" s="404">
        <v>415</v>
      </c>
      <c r="G38" s="14">
        <v>10</v>
      </c>
      <c r="H38" s="14">
        <v>100</v>
      </c>
      <c r="I38" s="426">
        <f t="shared" si="37"/>
        <v>-36</v>
      </c>
      <c r="J38" s="847">
        <f t="shared" si="50"/>
        <v>0</v>
      </c>
      <c r="K38" s="847">
        <f t="shared" si="51"/>
        <v>6400</v>
      </c>
      <c r="L38" s="700" t="str">
        <f t="shared" si="52"/>
        <v>-</v>
      </c>
      <c r="M38" s="14"/>
      <c r="N38" s="14"/>
      <c r="O38" s="440">
        <v>4</v>
      </c>
      <c r="P38" s="441">
        <v>25</v>
      </c>
      <c r="Q38" s="442">
        <v>16</v>
      </c>
      <c r="R38" s="443">
        <v>20</v>
      </c>
      <c r="S38" s="154">
        <v>6</v>
      </c>
      <c r="T38" s="444">
        <v>6</v>
      </c>
      <c r="U38" s="432">
        <f t="shared" si="53"/>
        <v>6990.04365423729</v>
      </c>
      <c r="V38" s="433" t="e">
        <f t="shared" si="54"/>
        <v>#DIV/0!</v>
      </c>
      <c r="W38" s="434">
        <f t="shared" si="38"/>
        <v>-25</v>
      </c>
      <c r="X38" s="434">
        <f t="shared" si="39"/>
        <v>-24</v>
      </c>
      <c r="Y38" s="435" t="str">
        <f t="shared" si="55"/>
        <v>NOT OK</v>
      </c>
      <c r="Z38" s="436" t="str">
        <f t="shared" si="56"/>
        <v>OK</v>
      </c>
      <c r="AA38" s="437" t="e">
        <f t="shared" si="57"/>
        <v>#DIV/0!</v>
      </c>
      <c r="AB38" s="437" t="e">
        <f t="shared" si="58"/>
        <v>#DIV/0!</v>
      </c>
      <c r="AC38" s="438">
        <v>4</v>
      </c>
      <c r="AD38" s="858">
        <f t="shared" si="59"/>
        <v>10</v>
      </c>
      <c r="AE38" s="859">
        <f t="shared" si="60"/>
        <v>100</v>
      </c>
      <c r="AF38" s="424">
        <f t="shared" si="61"/>
        <v>3141.5926535897934</v>
      </c>
      <c r="AG38" s="418" t="str">
        <f t="shared" si="62"/>
        <v>OK</v>
      </c>
      <c r="AH38" s="418" t="str">
        <f t="shared" si="63"/>
        <v>NOT-OK</v>
      </c>
      <c r="AJ38" s="782"/>
      <c r="AK38" s="745"/>
      <c r="AL38" s="772" t="e">
        <f ca="1">GeneralInput!E104</f>
        <v>#N/A</v>
      </c>
      <c r="AM38" s="773" t="e">
        <f t="shared" ca="1" si="40"/>
        <v>#N/A</v>
      </c>
      <c r="AN38" s="773" t="e">
        <f t="shared" ca="1" si="41"/>
        <v>#N/A</v>
      </c>
      <c r="AO38" s="773" t="e">
        <f ca="1">AxialForceEQCase!H51</f>
        <v>#N/A</v>
      </c>
      <c r="AP38" s="772" t="e">
        <f t="shared" ca="1" si="42"/>
        <v>#N/A</v>
      </c>
      <c r="AQ38" s="773" t="e">
        <f t="shared" ca="1" si="69"/>
        <v>#N/A</v>
      </c>
      <c r="AR38" s="773" t="e">
        <f t="shared" ca="1" si="70"/>
        <v>#N/A</v>
      </c>
      <c r="AS38" s="773" t="e">
        <f t="shared" ca="1" si="71"/>
        <v>#N/A</v>
      </c>
      <c r="AT38" s="773" t="e">
        <f t="shared" ca="1" si="72"/>
        <v>#N/A</v>
      </c>
      <c r="AU38" s="774" t="e">
        <f t="shared" ca="1" si="47"/>
        <v>#N/A</v>
      </c>
      <c r="AV38" s="775"/>
      <c r="AW38" s="773" t="e">
        <f t="shared" ca="1" si="48"/>
        <v>#N/A</v>
      </c>
      <c r="AX38" s="775"/>
      <c r="AY38" s="776"/>
      <c r="AZ38" s="745"/>
      <c r="BA38" s="778">
        <f t="shared" si="65"/>
        <v>0</v>
      </c>
      <c r="BB38" s="779" t="e">
        <f>AO57+AP73</f>
        <v>#DIV/0!</v>
      </c>
      <c r="BC38" s="779" t="e">
        <f>AP57+AO73</f>
        <v>#DIV/0!</v>
      </c>
      <c r="BD38" s="780" t="e">
        <f>BA38/MAX(BB38,BC38)</f>
        <v>#DIV/0!</v>
      </c>
    </row>
    <row r="39" spans="2:61" ht="15.75" hidden="1" x14ac:dyDescent="0.25">
      <c r="B39" s="425">
        <f t="shared" si="49"/>
        <v>-4</v>
      </c>
      <c r="C39" s="404">
        <f>RxnCheck!L20</f>
        <v>0</v>
      </c>
      <c r="D39" s="404">
        <f>RxnCheck!M20</f>
        <v>0</v>
      </c>
      <c r="E39" s="404">
        <f>GeneralInput!$C$15</f>
        <v>50</v>
      </c>
      <c r="F39" s="404">
        <v>415</v>
      </c>
      <c r="G39" s="14">
        <v>10</v>
      </c>
      <c r="H39" s="14">
        <v>100</v>
      </c>
      <c r="I39" s="426">
        <f t="shared" si="37"/>
        <v>-36</v>
      </c>
      <c r="J39" s="847">
        <f t="shared" si="50"/>
        <v>0</v>
      </c>
      <c r="K39" s="847">
        <f t="shared" si="51"/>
        <v>6400</v>
      </c>
      <c r="L39" s="700" t="str">
        <f t="shared" si="52"/>
        <v>-</v>
      </c>
      <c r="M39" s="14"/>
      <c r="N39" s="14"/>
      <c r="O39" s="440">
        <v>16</v>
      </c>
      <c r="P39" s="441">
        <v>25</v>
      </c>
      <c r="Q39" s="442">
        <v>4</v>
      </c>
      <c r="R39" s="443">
        <v>20</v>
      </c>
      <c r="S39" s="154">
        <v>6</v>
      </c>
      <c r="T39" s="444">
        <v>6</v>
      </c>
      <c r="U39" s="432">
        <f t="shared" si="53"/>
        <v>9110.6186954103996</v>
      </c>
      <c r="V39" s="433" t="e">
        <f t="shared" si="54"/>
        <v>#DIV/0!</v>
      </c>
      <c r="W39" s="434">
        <f t="shared" si="38"/>
        <v>-25</v>
      </c>
      <c r="X39" s="434">
        <f t="shared" si="39"/>
        <v>-24</v>
      </c>
      <c r="Y39" s="435" t="str">
        <f t="shared" si="55"/>
        <v>NOT OK</v>
      </c>
      <c r="Z39" s="436" t="str">
        <f t="shared" si="56"/>
        <v>OK</v>
      </c>
      <c r="AA39" s="437" t="e">
        <f t="shared" si="57"/>
        <v>#DIV/0!</v>
      </c>
      <c r="AB39" s="437" t="e">
        <f t="shared" si="58"/>
        <v>#DIV/0!</v>
      </c>
      <c r="AC39" s="438">
        <v>4</v>
      </c>
      <c r="AD39" s="858">
        <f t="shared" si="59"/>
        <v>10</v>
      </c>
      <c r="AE39" s="859">
        <f t="shared" si="60"/>
        <v>100</v>
      </c>
      <c r="AF39" s="424">
        <f t="shared" si="61"/>
        <v>3141.5926535897934</v>
      </c>
      <c r="AG39" s="418" t="str">
        <f t="shared" si="62"/>
        <v>OK</v>
      </c>
      <c r="AH39" s="418" t="str">
        <f t="shared" si="63"/>
        <v>NOT-OK</v>
      </c>
      <c r="AJ39" s="782"/>
      <c r="AK39" s="745"/>
      <c r="AL39" s="772" t="e">
        <f ca="1">GeneralInput!E105</f>
        <v>#N/A</v>
      </c>
      <c r="AM39" s="773" t="e">
        <f t="shared" ca="1" si="40"/>
        <v>#N/A</v>
      </c>
      <c r="AN39" s="773" t="e">
        <f t="shared" ca="1" si="41"/>
        <v>#N/A</v>
      </c>
      <c r="AO39" s="773" t="e">
        <f ca="1">AxialForceEQCase!H52</f>
        <v>#N/A</v>
      </c>
      <c r="AP39" s="772" t="e">
        <f t="shared" ca="1" si="42"/>
        <v>#N/A</v>
      </c>
      <c r="AQ39" s="773" t="e">
        <f t="shared" ca="1" si="69"/>
        <v>#N/A</v>
      </c>
      <c r="AR39" s="773" t="e">
        <f t="shared" ca="1" si="70"/>
        <v>#N/A</v>
      </c>
      <c r="AS39" s="773" t="e">
        <f t="shared" ca="1" si="71"/>
        <v>#N/A</v>
      </c>
      <c r="AT39" s="773" t="e">
        <f t="shared" ca="1" si="72"/>
        <v>#N/A</v>
      </c>
      <c r="AU39" s="774" t="e">
        <f t="shared" ca="1" si="47"/>
        <v>#N/A</v>
      </c>
      <c r="AV39" s="775"/>
      <c r="AW39" s="773" t="e">
        <f t="shared" ca="1" si="48"/>
        <v>#N/A</v>
      </c>
      <c r="AX39" s="775"/>
      <c r="AY39" s="776"/>
      <c r="AZ39" s="745"/>
      <c r="BA39" s="778">
        <f t="shared" si="65"/>
        <v>0</v>
      </c>
      <c r="BB39" s="779" t="e">
        <f>AO58+AP74</f>
        <v>#DIV/0!</v>
      </c>
      <c r="BC39" s="779" t="e">
        <f>AP58+AO74</f>
        <v>#DIV/0!</v>
      </c>
      <c r="BD39" s="780" t="e">
        <f>BA39/MAX(BB39,BC39)</f>
        <v>#DIV/0!</v>
      </c>
    </row>
    <row r="40" spans="2:61" ht="15.75" hidden="1" x14ac:dyDescent="0.25">
      <c r="B40" s="425">
        <f t="shared" si="49"/>
        <v>-5</v>
      </c>
      <c r="C40" s="404">
        <f>RxnCheck!L21</f>
        <v>0</v>
      </c>
      <c r="D40" s="404">
        <f>RxnCheck!M21</f>
        <v>0</v>
      </c>
      <c r="E40" s="404">
        <f>GeneralInput!$C$15</f>
        <v>50</v>
      </c>
      <c r="F40" s="404">
        <v>415</v>
      </c>
      <c r="G40" s="14">
        <v>10</v>
      </c>
      <c r="H40" s="14">
        <v>100</v>
      </c>
      <c r="I40" s="426">
        <f t="shared" si="37"/>
        <v>-36</v>
      </c>
      <c r="J40" s="847">
        <f t="shared" si="50"/>
        <v>0</v>
      </c>
      <c r="K40" s="847">
        <f t="shared" si="51"/>
        <v>6400</v>
      </c>
      <c r="L40" s="700" t="str">
        <f t="shared" si="52"/>
        <v>-</v>
      </c>
      <c r="M40" s="14"/>
      <c r="N40" s="14"/>
      <c r="O40" s="440">
        <v>12</v>
      </c>
      <c r="P40" s="441">
        <v>32</v>
      </c>
      <c r="Q40" s="442">
        <v>8</v>
      </c>
      <c r="R40" s="443">
        <v>20</v>
      </c>
      <c r="S40" s="154">
        <v>6</v>
      </c>
      <c r="T40" s="444">
        <v>6</v>
      </c>
      <c r="U40" s="432">
        <f t="shared" si="53"/>
        <v>12164.24675469968</v>
      </c>
      <c r="V40" s="433" t="e">
        <f t="shared" si="54"/>
        <v>#DIV/0!</v>
      </c>
      <c r="W40" s="434">
        <f t="shared" si="38"/>
        <v>-26</v>
      </c>
      <c r="X40" s="434">
        <f t="shared" si="39"/>
        <v>-24</v>
      </c>
      <c r="Y40" s="435" t="str">
        <f t="shared" si="55"/>
        <v>NOT OK</v>
      </c>
      <c r="Z40" s="436" t="str">
        <f t="shared" si="56"/>
        <v>OK</v>
      </c>
      <c r="AA40" s="437" t="e">
        <f t="shared" si="57"/>
        <v>#DIV/0!</v>
      </c>
      <c r="AB40" s="437" t="e">
        <f t="shared" si="58"/>
        <v>#DIV/0!</v>
      </c>
      <c r="AC40" s="438">
        <v>4</v>
      </c>
      <c r="AD40" s="858">
        <f t="shared" si="59"/>
        <v>10</v>
      </c>
      <c r="AE40" s="859">
        <f t="shared" si="60"/>
        <v>100</v>
      </c>
      <c r="AF40" s="424">
        <f t="shared" si="61"/>
        <v>3141.5926535897934</v>
      </c>
      <c r="AG40" s="418" t="str">
        <f t="shared" si="62"/>
        <v>OK</v>
      </c>
      <c r="AH40" s="418" t="str">
        <f t="shared" si="63"/>
        <v>NOT-OK</v>
      </c>
      <c r="AJ40" s="782"/>
      <c r="AK40" s="745"/>
      <c r="AL40" s="772" t="e">
        <f ca="1">GeneralInput!E106</f>
        <v>#N/A</v>
      </c>
      <c r="AM40" s="773" t="e">
        <f t="shared" ca="1" si="40"/>
        <v>#N/A</v>
      </c>
      <c r="AN40" s="773" t="e">
        <f t="shared" ca="1" si="41"/>
        <v>#N/A</v>
      </c>
      <c r="AO40" s="773" t="e">
        <f ca="1">AxialForceEQCase!H53</f>
        <v>#N/A</v>
      </c>
      <c r="AP40" s="772" t="e">
        <f t="shared" ca="1" si="42"/>
        <v>#N/A</v>
      </c>
      <c r="AQ40" s="773" t="e">
        <f t="shared" ca="1" si="69"/>
        <v>#N/A</v>
      </c>
      <c r="AR40" s="773" t="e">
        <f t="shared" ca="1" si="70"/>
        <v>#N/A</v>
      </c>
      <c r="AS40" s="773" t="e">
        <f t="shared" ca="1" si="71"/>
        <v>#N/A</v>
      </c>
      <c r="AT40" s="773" t="e">
        <f t="shared" ca="1" si="72"/>
        <v>#N/A</v>
      </c>
      <c r="AU40" s="774" t="e">
        <f t="shared" ca="1" si="47"/>
        <v>#N/A</v>
      </c>
      <c r="AV40" s="775"/>
      <c r="AW40" s="773" t="e">
        <f t="shared" ca="1" si="48"/>
        <v>#N/A</v>
      </c>
      <c r="AX40" s="775"/>
      <c r="AY40" s="776"/>
      <c r="AZ40" s="745"/>
      <c r="BA40" s="778">
        <f t="shared" si="65"/>
        <v>0</v>
      </c>
      <c r="BB40" s="779" t="e">
        <f>AO59+AP75</f>
        <v>#DIV/0!</v>
      </c>
      <c r="BC40" s="779" t="e">
        <f>AP59+AO75</f>
        <v>#DIV/0!</v>
      </c>
      <c r="BD40" s="780" t="e">
        <f>BA40/MAX(BB40,BC40)</f>
        <v>#DIV/0!</v>
      </c>
    </row>
    <row r="41" spans="2:61" ht="16.5" hidden="1" thickBot="1" x14ac:dyDescent="0.3">
      <c r="B41" s="425">
        <f t="shared" si="49"/>
        <v>-6</v>
      </c>
      <c r="C41" s="404">
        <f>RxnCheck!L22</f>
        <v>0</v>
      </c>
      <c r="D41" s="404">
        <f>RxnCheck!M22</f>
        <v>0</v>
      </c>
      <c r="E41" s="404">
        <f>GeneralInput!$C$15</f>
        <v>50</v>
      </c>
      <c r="F41" s="404">
        <v>415</v>
      </c>
      <c r="G41" s="14">
        <v>10</v>
      </c>
      <c r="H41" s="14">
        <v>100</v>
      </c>
      <c r="I41" s="426">
        <f t="shared" si="37"/>
        <v>-36</v>
      </c>
      <c r="J41" s="847">
        <f t="shared" si="50"/>
        <v>0</v>
      </c>
      <c r="K41" s="847">
        <f t="shared" si="51"/>
        <v>6400</v>
      </c>
      <c r="L41" s="700" t="str">
        <f t="shared" si="52"/>
        <v>-</v>
      </c>
      <c r="M41" s="14"/>
      <c r="N41" s="14"/>
      <c r="O41" s="946">
        <v>12</v>
      </c>
      <c r="P41" s="947">
        <v>32</v>
      </c>
      <c r="Q41" s="948">
        <v>12</v>
      </c>
      <c r="R41" s="949">
        <v>25</v>
      </c>
      <c r="S41" s="303">
        <v>7</v>
      </c>
      <c r="T41" s="950">
        <v>7</v>
      </c>
      <c r="U41" s="432">
        <f t="shared" si="53"/>
        <v>15541.458857308706</v>
      </c>
      <c r="V41" s="433" t="e">
        <f t="shared" si="54"/>
        <v>#DIV/0!</v>
      </c>
      <c r="W41" s="434">
        <f t="shared" si="38"/>
        <v>-22</v>
      </c>
      <c r="X41" s="434">
        <f t="shared" si="39"/>
        <v>-21</v>
      </c>
      <c r="Y41" s="435" t="str">
        <f t="shared" si="55"/>
        <v>NOT OK</v>
      </c>
      <c r="Z41" s="436" t="str">
        <f t="shared" si="56"/>
        <v>OK</v>
      </c>
      <c r="AA41" s="437" t="e">
        <f t="shared" si="57"/>
        <v>#DIV/0!</v>
      </c>
      <c r="AB41" s="437" t="e">
        <f t="shared" si="58"/>
        <v>#DIV/0!</v>
      </c>
      <c r="AC41" s="438">
        <v>4</v>
      </c>
      <c r="AD41" s="858">
        <f t="shared" si="59"/>
        <v>10</v>
      </c>
      <c r="AE41" s="859">
        <f t="shared" si="60"/>
        <v>100</v>
      </c>
      <c r="AF41" s="424">
        <f t="shared" si="61"/>
        <v>3141.5926535897934</v>
      </c>
      <c r="AG41" s="418" t="str">
        <f t="shared" si="62"/>
        <v>OK</v>
      </c>
      <c r="AH41" s="418" t="str">
        <f t="shared" si="63"/>
        <v>NOT-OK</v>
      </c>
      <c r="AJ41" s="782"/>
      <c r="AK41" s="745"/>
      <c r="AL41" s="783" t="e">
        <f ca="1">GeneralInput!E107</f>
        <v>#N/A</v>
      </c>
      <c r="AM41" s="784" t="e">
        <f t="shared" ca="1" si="40"/>
        <v>#N/A</v>
      </c>
      <c r="AN41" s="784" t="e">
        <f t="shared" ca="1" si="41"/>
        <v>#N/A</v>
      </c>
      <c r="AO41" s="784" t="e">
        <f ca="1">AxialForceEQCase!H54</f>
        <v>#N/A</v>
      </c>
      <c r="AP41" s="783" t="e">
        <f t="shared" ca="1" si="42"/>
        <v>#N/A</v>
      </c>
      <c r="AQ41" s="784" t="e">
        <f t="shared" ca="1" si="69"/>
        <v>#N/A</v>
      </c>
      <c r="AR41" s="784" t="e">
        <f t="shared" ca="1" si="70"/>
        <v>#N/A</v>
      </c>
      <c r="AS41" s="784" t="e">
        <f t="shared" ca="1" si="71"/>
        <v>#N/A</v>
      </c>
      <c r="AT41" s="784" t="e">
        <f t="shared" ca="1" si="72"/>
        <v>#N/A</v>
      </c>
      <c r="AU41" s="785" t="e">
        <f t="shared" ca="1" si="47"/>
        <v>#N/A</v>
      </c>
      <c r="AV41" s="786"/>
      <c r="AW41" s="784" t="e">
        <f t="shared" ca="1" si="48"/>
        <v>#N/A</v>
      </c>
      <c r="AX41" s="786"/>
      <c r="AY41" s="787"/>
      <c r="AZ41" s="745"/>
      <c r="BA41" s="778">
        <f t="shared" si="65"/>
        <v>0</v>
      </c>
      <c r="BB41" s="779" t="e">
        <f>AO60+AP76</f>
        <v>#DIV/0!</v>
      </c>
      <c r="BC41" s="779" t="e">
        <f>AP60+AO76</f>
        <v>#DIV/0!</v>
      </c>
      <c r="BD41" s="780" t="e">
        <f>BA41/MAX(BB41,BC41)</f>
        <v>#DIV/0!</v>
      </c>
    </row>
    <row r="42" spans="2:61" ht="15" x14ac:dyDescent="0.2">
      <c r="M42" s="421"/>
      <c r="N42" s="421"/>
      <c r="O42" s="418"/>
      <c r="P42" s="422"/>
      <c r="Q42" s="418"/>
      <c r="R42" s="423"/>
      <c r="S42" s="421"/>
      <c r="T42" s="421"/>
      <c r="AJ42" s="745"/>
      <c r="AK42" s="745"/>
      <c r="AL42" s="745"/>
      <c r="AM42" s="745"/>
      <c r="AN42" s="745"/>
      <c r="AO42" s="745"/>
      <c r="AP42" s="745"/>
      <c r="AQ42" s="745"/>
      <c r="AR42" s="745"/>
      <c r="AS42" s="745"/>
      <c r="AT42" s="745"/>
      <c r="AU42" s="745"/>
      <c r="AV42" s="745"/>
      <c r="AW42" s="745"/>
      <c r="AX42" s="745"/>
      <c r="AY42" s="745"/>
      <c r="AZ42" s="745"/>
      <c r="BA42" s="778"/>
      <c r="BB42" s="779"/>
      <c r="BC42" s="779"/>
      <c r="BD42" s="780"/>
    </row>
    <row r="43" spans="2:61" ht="15" x14ac:dyDescent="0.2">
      <c r="AJ43" s="745"/>
      <c r="AK43" s="745"/>
      <c r="AL43" s="745"/>
      <c r="AM43" s="745"/>
      <c r="AN43" s="745"/>
      <c r="AO43" s="745"/>
      <c r="AP43" s="745"/>
      <c r="AQ43" s="745"/>
      <c r="AR43" s="745"/>
      <c r="AS43" s="745"/>
      <c r="AT43" s="745"/>
      <c r="AU43" s="745"/>
      <c r="AV43" s="745"/>
      <c r="AW43" s="745"/>
      <c r="AX43" s="745"/>
      <c r="AY43" s="745"/>
      <c r="AZ43" s="745"/>
      <c r="BA43" s="778"/>
      <c r="BB43" s="779"/>
      <c r="BC43" s="779"/>
      <c r="BD43" s="780"/>
    </row>
    <row r="44" spans="2:61" ht="21.75" customHeight="1" thickBot="1" x14ac:dyDescent="0.25">
      <c r="C44" s="451" t="s">
        <v>255</v>
      </c>
      <c r="P44" s="452"/>
      <c r="R44" s="447"/>
      <c r="AJ44" s="745"/>
      <c r="AK44" s="745"/>
      <c r="AL44" s="745"/>
      <c r="AM44" s="745"/>
      <c r="AN44" s="745"/>
      <c r="AO44" s="745"/>
      <c r="AP44" s="745"/>
      <c r="AQ44" s="745"/>
      <c r="AR44" s="745"/>
      <c r="AS44" s="745"/>
      <c r="AT44" s="745"/>
      <c r="AU44" s="745"/>
      <c r="AV44" s="745"/>
      <c r="AW44" s="745"/>
      <c r="AX44" s="745"/>
      <c r="AY44" s="745"/>
      <c r="AZ44" s="745"/>
      <c r="BA44" s="745"/>
      <c r="BB44" s="745"/>
      <c r="BC44" s="745"/>
      <c r="BD44" s="745"/>
    </row>
    <row r="45" spans="2:61" ht="60" x14ac:dyDescent="0.25">
      <c r="B45" s="402" t="s">
        <v>202</v>
      </c>
      <c r="C45" s="1081" t="s">
        <v>256</v>
      </c>
      <c r="D45" s="1082"/>
      <c r="E45" s="1069" t="s">
        <v>204</v>
      </c>
      <c r="F45" s="1069" t="s">
        <v>257</v>
      </c>
      <c r="G45" s="1027" t="s">
        <v>258</v>
      </c>
      <c r="H45" s="1027" t="s">
        <v>259</v>
      </c>
      <c r="I45" s="453" t="s">
        <v>260</v>
      </c>
      <c r="J45" s="1069" t="s">
        <v>212</v>
      </c>
      <c r="K45" s="1069" t="s">
        <v>261</v>
      </c>
      <c r="L45" s="1069" t="s">
        <v>262</v>
      </c>
      <c r="M45" s="454" t="s">
        <v>263</v>
      </c>
      <c r="N45" s="455"/>
      <c r="O45" s="456"/>
      <c r="P45" s="455"/>
      <c r="Q45" s="689" t="s">
        <v>217</v>
      </c>
      <c r="R45" s="689" t="s">
        <v>218</v>
      </c>
      <c r="S45" s="458" t="s">
        <v>264</v>
      </c>
      <c r="T45" s="459" t="s">
        <v>265</v>
      </c>
      <c r="U45" s="460"/>
      <c r="V45" s="461"/>
      <c r="W45" s="460"/>
      <c r="X45" s="689" t="s">
        <v>217</v>
      </c>
      <c r="Y45" s="689" t="s">
        <v>218</v>
      </c>
      <c r="Z45" s="458" t="s">
        <v>266</v>
      </c>
      <c r="AB45" s="459" t="s">
        <v>225</v>
      </c>
      <c r="AC45" s="462"/>
      <c r="AD45" s="462"/>
      <c r="AE45" s="462"/>
      <c r="AF45" s="457" t="s">
        <v>267</v>
      </c>
      <c r="AG45" s="458" t="s">
        <v>226</v>
      </c>
      <c r="AH45" s="448"/>
      <c r="AI45" s="448"/>
      <c r="AJ45" s="745"/>
      <c r="AK45" s="745"/>
      <c r="AL45" s="745"/>
      <c r="AM45" s="745"/>
      <c r="AN45" s="745"/>
      <c r="AO45" s="839" t="s">
        <v>268</v>
      </c>
      <c r="AP45" s="840" t="s">
        <v>269</v>
      </c>
      <c r="AQ45" s="750"/>
      <c r="AR45" s="744" t="s">
        <v>270</v>
      </c>
      <c r="AS45" s="742" t="s">
        <v>271</v>
      </c>
      <c r="AT45" s="742" t="s">
        <v>272</v>
      </c>
      <c r="AU45" s="742" t="s">
        <v>273</v>
      </c>
      <c r="AV45" s="742" t="s">
        <v>274</v>
      </c>
      <c r="AW45" s="742" t="s">
        <v>186</v>
      </c>
      <c r="AX45" s="742" t="s">
        <v>275</v>
      </c>
      <c r="AY45" s="742" t="s">
        <v>276</v>
      </c>
      <c r="AZ45" s="743" t="s">
        <v>277</v>
      </c>
      <c r="BA45" s="750"/>
      <c r="BB45" s="744" t="s">
        <v>273</v>
      </c>
      <c r="BC45" s="743" t="s">
        <v>277</v>
      </c>
      <c r="BD45" s="690"/>
      <c r="BG45" s="690"/>
      <c r="BH45" s="690"/>
      <c r="BI45" s="690"/>
    </row>
    <row r="46" spans="2:61" ht="38.25" x14ac:dyDescent="0.2">
      <c r="B46" s="463"/>
      <c r="C46" s="464" t="s">
        <v>278</v>
      </c>
      <c r="D46" s="464" t="s">
        <v>279</v>
      </c>
      <c r="E46" s="464" t="s">
        <v>241</v>
      </c>
      <c r="F46" s="464" t="s">
        <v>241</v>
      </c>
      <c r="G46" s="465"/>
      <c r="H46" s="463"/>
      <c r="I46" s="463"/>
      <c r="J46" s="464" t="s">
        <v>243</v>
      </c>
      <c r="K46" s="464" t="s">
        <v>242</v>
      </c>
      <c r="L46" s="464" t="s">
        <v>242</v>
      </c>
      <c r="M46" s="469"/>
      <c r="N46" s="421"/>
      <c r="O46" s="421"/>
      <c r="P46" s="421"/>
      <c r="Q46" s="691" t="s">
        <v>242</v>
      </c>
      <c r="R46" s="421"/>
      <c r="S46" s="466" t="s">
        <v>280</v>
      </c>
      <c r="T46" s="469"/>
      <c r="U46" s="421"/>
      <c r="V46" s="421"/>
      <c r="W46" s="421"/>
      <c r="X46" s="691" t="s">
        <v>242</v>
      </c>
      <c r="Y46" s="421"/>
      <c r="Z46" s="466" t="s">
        <v>280</v>
      </c>
      <c r="AB46" s="469"/>
      <c r="AC46" s="421"/>
      <c r="AD46" s="421"/>
      <c r="AE46" s="691" t="s">
        <v>243</v>
      </c>
      <c r="AF46" s="421"/>
      <c r="AG46" s="860" t="str">
        <f>IF(OR($J$8 = 2, $J$8 = 3, $J$8 = 4),"6.3.5 (IS 13920)", "26.5.1.5 (IS 456)")</f>
        <v>6.3.5 (IS 13920)</v>
      </c>
      <c r="AJ46" s="745"/>
      <c r="AK46" s="745"/>
      <c r="AL46" s="745"/>
      <c r="AM46" s="745"/>
      <c r="AN46" s="745"/>
      <c r="AO46" s="795" t="s">
        <v>281</v>
      </c>
      <c r="AP46" s="796" t="s">
        <v>281</v>
      </c>
      <c r="AQ46" s="797"/>
      <c r="AR46" s="795" t="s">
        <v>282</v>
      </c>
      <c r="AS46" s="798"/>
      <c r="AT46" s="798"/>
      <c r="AU46" s="798"/>
      <c r="AV46" s="798"/>
      <c r="AW46" s="798" t="s">
        <v>283</v>
      </c>
      <c r="AX46" s="797"/>
      <c r="AY46" s="797"/>
      <c r="AZ46" s="799"/>
      <c r="BA46" s="797"/>
      <c r="BB46" s="795"/>
      <c r="BC46" s="799"/>
      <c r="BD46" s="763"/>
      <c r="BG46" s="692"/>
    </row>
    <row r="47" spans="2:61" ht="16.5" customHeight="1" x14ac:dyDescent="0.25">
      <c r="B47" s="416" t="s">
        <v>284</v>
      </c>
      <c r="C47" s="415"/>
      <c r="D47" s="415"/>
      <c r="E47" s="415"/>
      <c r="F47" s="415"/>
      <c r="G47" s="415"/>
      <c r="H47" s="415"/>
      <c r="I47" s="415"/>
      <c r="J47" s="445"/>
      <c r="K47" s="445"/>
      <c r="L47" s="445"/>
      <c r="M47" s="467"/>
      <c r="N47" s="416" t="s">
        <v>284</v>
      </c>
      <c r="O47" s="416"/>
      <c r="P47" s="415"/>
      <c r="Q47" s="416"/>
      <c r="R47" s="415"/>
      <c r="S47" s="468"/>
      <c r="T47" s="467"/>
      <c r="U47" s="416"/>
      <c r="V47" s="416"/>
      <c r="W47" s="415"/>
      <c r="X47" s="415"/>
      <c r="Y47" s="415"/>
      <c r="Z47" s="468"/>
      <c r="AB47" s="467"/>
      <c r="AC47" s="416"/>
      <c r="AD47" s="415"/>
      <c r="AE47" s="415"/>
      <c r="AF47" s="415"/>
      <c r="AG47" s="693"/>
      <c r="AJ47" s="745"/>
      <c r="AK47" s="745"/>
      <c r="AL47" s="745"/>
      <c r="AM47" s="745"/>
      <c r="AN47" s="745"/>
      <c r="AO47" s="759"/>
      <c r="AP47" s="762"/>
      <c r="AQ47" s="745"/>
      <c r="AR47" s="759"/>
      <c r="AS47" s="800" t="s">
        <v>284</v>
      </c>
      <c r="AT47" s="745"/>
      <c r="AU47" s="745"/>
      <c r="AV47" s="745"/>
      <c r="AW47" s="745"/>
      <c r="AX47" s="745"/>
      <c r="AY47" s="745"/>
      <c r="AZ47" s="762"/>
      <c r="BA47" s="745"/>
      <c r="BB47" s="921" t="s">
        <v>285</v>
      </c>
      <c r="BC47" s="762"/>
      <c r="BD47" s="745"/>
    </row>
    <row r="48" spans="2:61" ht="16.5" customHeight="1" thickBot="1" x14ac:dyDescent="0.25">
      <c r="H48" s="421"/>
      <c r="I48" s="421"/>
      <c r="M48" s="670"/>
      <c r="S48" s="669"/>
      <c r="T48" s="670"/>
      <c r="V48" s="449"/>
      <c r="Z48" s="669"/>
      <c r="AB48" s="670"/>
      <c r="AG48" s="694"/>
      <c r="AJ48" s="745"/>
      <c r="AK48" s="745"/>
      <c r="AL48" s="745"/>
      <c r="AM48" s="745"/>
      <c r="AN48" s="745"/>
      <c r="AO48" s="759"/>
      <c r="AP48" s="762"/>
      <c r="AQ48" s="745"/>
      <c r="AR48" s="759"/>
      <c r="AS48" s="745"/>
      <c r="AT48" s="745"/>
      <c r="AU48" s="745"/>
      <c r="AV48" s="745"/>
      <c r="AW48" s="745"/>
      <c r="AX48" s="745"/>
      <c r="AY48" s="745"/>
      <c r="AZ48" s="762"/>
      <c r="BA48" s="745"/>
      <c r="BB48" s="801"/>
      <c r="BC48" s="799"/>
      <c r="BD48" s="745"/>
    </row>
    <row r="49" spans="2:61" s="448" customFormat="1" ht="16.5" customHeight="1" x14ac:dyDescent="0.25">
      <c r="B49" s="425">
        <f t="shared" ref="B49:B60" si="73">B30</f>
        <v>5</v>
      </c>
      <c r="C49" s="404">
        <f>RxnCheck!N11</f>
        <v>400</v>
      </c>
      <c r="D49" s="404">
        <f>RxnCheck!O11</f>
        <v>750</v>
      </c>
      <c r="E49" s="404">
        <f>GeneralInput!$C$17</f>
        <v>50</v>
      </c>
      <c r="F49" s="404">
        <f>GeneralInput!$C$23</f>
        <v>500</v>
      </c>
      <c r="G49" s="419">
        <v>2</v>
      </c>
      <c r="H49" s="419">
        <f>IF(OR($J$8 = 2, $J$8 = 3, $J$8 = 4),(C49 - 2*25 - 2*AC49 - 4*N49)/(4-1),"-")</f>
        <v>83.333333333333329</v>
      </c>
      <c r="I49" s="419">
        <f t="shared" ref="I49:I60" si="74">IF(OR($J$8 = 2, $J$8 = 3, $J$8 = 4),(C49 - 2*25 - 2*AC49 - T49*U49 - V49*W49)/(T49+V49-1),"-")</f>
        <v>76.666666666666671</v>
      </c>
      <c r="J49" s="14">
        <v>1947</v>
      </c>
      <c r="K49" s="29">
        <v>2049</v>
      </c>
      <c r="L49" s="922">
        <v>1654</v>
      </c>
      <c r="M49" s="427">
        <v>4</v>
      </c>
      <c r="N49" s="428">
        <v>20</v>
      </c>
      <c r="O49" s="429">
        <v>4</v>
      </c>
      <c r="P49" s="430">
        <v>16</v>
      </c>
      <c r="Q49" s="967">
        <f>PI()/4*(M49*N49^2+O49*P49^2)</f>
        <v>2060.8847807549041</v>
      </c>
      <c r="R49" s="470" t="str">
        <f t="shared" ref="R49:R60" si="75">IF(Q49&gt;=K49, CONCATENATE("OK (",ROUND((Q49/K49-1)*100,0),"%)"), "NOT OK")</f>
        <v>OK (1%)</v>
      </c>
      <c r="S49" s="471" t="str">
        <f>IF(AND((C49 - 2*25 - 2* AC49 - 2*0.5*N49) / (4-1)&lt;=$O$8, (C49 - 2*25 - 2*AC49 - 4*N49 )/(4-1) &gt;= MAX(N49,P49,20+5)), "OK", "NOT-OK")</f>
        <v>OK</v>
      </c>
      <c r="T49" s="427">
        <v>2</v>
      </c>
      <c r="U49" s="428">
        <v>25</v>
      </c>
      <c r="V49" s="429">
        <v>2</v>
      </c>
      <c r="W49" s="430">
        <v>25</v>
      </c>
      <c r="X49" s="955">
        <f t="shared" ref="X49:X59" si="76">PI()/4*(T49*U49^2+V49*W49^2)</f>
        <v>1963.4954084936207</v>
      </c>
      <c r="Y49" s="470" t="str">
        <f t="shared" ref="Y49:Y59" si="77">IF(X49&gt;=L49, CONCATENATE("OK (",ROUND((X49/L49-1)*100,0),"%)"), "NOT OK")</f>
        <v>OK (19%)</v>
      </c>
      <c r="Z49" s="471" t="str">
        <f t="shared" ref="Z49:Z59" si="78">IF(AND((C49 - 2*25 - 2* AC49 - 2*0.5*U49) / (T49+V49-1)&lt;=$O$8, (C49 - 2*25 - 2*AC49 - T49*U49 - V49*W49)/(T49+V49-1) &gt;= MAX(U49,W49,20+5)), "OK", "NOT-OK")</f>
        <v>OK</v>
      </c>
      <c r="AA49" s="951"/>
      <c r="AB49" s="472">
        <v>4</v>
      </c>
      <c r="AC49" s="473">
        <v>10</v>
      </c>
      <c r="AD49" s="970">
        <v>125</v>
      </c>
      <c r="AE49" s="924">
        <f>AB49*PI()/4*AC49^2*1000/AD49</f>
        <v>2513.2741228718346</v>
      </c>
      <c r="AF49" s="470" t="str">
        <f t="shared" ref="AF49:AF59" si="79">IF(AE49&gt;=J49, CONCATENATE("OK (",ROUND((AE49/J49-1)*100,0),"%)"), "NOT OK")</f>
        <v>OK (29%)</v>
      </c>
      <c r="AG49" s="866" t="str">
        <f t="shared" ref="AG49:AG60" si="80">IF(AD49&lt;MIN(0.25*(D49-25-AC49-N49),8*MIN(N49,P49)), "OK","NOT-OK")</f>
        <v>OK</v>
      </c>
      <c r="AH49" s="695"/>
      <c r="AI49" s="695"/>
      <c r="AJ49" s="771">
        <f t="shared" ref="AJ49:AJ60" si="81">AB49*PI()*AC49^2/4/AD49/C49</f>
        <v>6.2831853071795866E-3</v>
      </c>
      <c r="AK49" s="766"/>
      <c r="AL49" s="766"/>
      <c r="AM49" s="766"/>
      <c r="AN49" s="766"/>
      <c r="AO49" s="802">
        <f t="shared" ref="AO49:AO55" si="82">AZ49*C49*AR49^2/1000000</f>
        <v>553.2881050644487</v>
      </c>
      <c r="AP49" s="802">
        <f>AO49/2</f>
        <v>276.64405253222435</v>
      </c>
      <c r="AQ49" s="766"/>
      <c r="AR49" s="803">
        <f t="shared" ref="AR49:AR60" si="83">(D49- ($Q$8+AC49+N49/2))</f>
        <v>705</v>
      </c>
      <c r="AS49" s="804">
        <f t="shared" ref="AS49:AS55" si="84">Q49/C49/D49</f>
        <v>6.8696159358496798E-3</v>
      </c>
      <c r="AT49" s="804">
        <f t="shared" ref="AT49:AT55" si="85">X49/C49/D49</f>
        <v>6.5449846949787362E-3</v>
      </c>
      <c r="AU49" s="805" t="e">
        <f t="shared" ref="AU49:AU55" si="86">AS49-AT49*AW49/(0.87*F49)</f>
        <v>#VALUE!</v>
      </c>
      <c r="AV49" s="806">
        <f t="shared" ref="AV49:AV60" si="87">($Q$8+AC49+N49/2) / AR49</f>
        <v>6.3829787234042548E-2</v>
      </c>
      <c r="AW49" s="1010" t="s">
        <v>286</v>
      </c>
      <c r="AX49" s="808">
        <f t="shared" ref="AX49:AX55" si="88">(0.0035/(0.0055+0.87*F49/200000))</f>
        <v>0.45602605863192186</v>
      </c>
      <c r="AY49" s="804">
        <f t="shared" ref="AY49:AY55" si="89">(0.36*E49)/(0.87*F49)*AX49</f>
        <v>1.8870043805458835E-2</v>
      </c>
      <c r="AZ49" s="809">
        <f t="shared" ref="AZ49:AZ55" si="90">IF(AS49&lt;AY49,0.87*F49*AS49*(1-AS49*F49/E49), 0.87*F49*(AU49*(1-AU49*F49/E49)) + AT49*AW49*(1-AV49))</f>
        <v>2.7829993715831631</v>
      </c>
      <c r="BA49" s="766"/>
      <c r="BB49" s="810" t="e">
        <f t="shared" ref="BB49:BB55" si="91">AT49-AS49*AW49/(0.87*F49)</f>
        <v>#VALUE!</v>
      </c>
      <c r="BC49" s="809">
        <f t="shared" ref="BC49:BC55" si="92">IF(AT49&lt;AY49,0.87*F49*AT49*(1-AT49*F49/E49), 0.87*F49*(BB49*(1-BB49*F49/E49)) + AS49*AW49*(1-AV49))</f>
        <v>2.6607281550555992</v>
      </c>
      <c r="BD49" s="811"/>
      <c r="BH49" s="701"/>
      <c r="BI49" s="698"/>
    </row>
    <row r="50" spans="2:61" s="448" customFormat="1" ht="16.5" customHeight="1" x14ac:dyDescent="0.25">
      <c r="B50" s="425">
        <f t="shared" si="73"/>
        <v>4</v>
      </c>
      <c r="C50" s="404">
        <f>RxnCheck!N12</f>
        <v>400</v>
      </c>
      <c r="D50" s="404">
        <f>RxnCheck!O12</f>
        <v>750</v>
      </c>
      <c r="E50" s="404">
        <f>GeneralInput!$C$17</f>
        <v>50</v>
      </c>
      <c r="F50" s="404">
        <f>GeneralInput!$C$23</f>
        <v>500</v>
      </c>
      <c r="G50" s="419">
        <v>2</v>
      </c>
      <c r="H50" s="419">
        <f>IF(OR($J$8 = 2, $J$8 = 3, $J$8 = 4),(C50 - 2*25 - 2*AC50 - 4*N50)/(4-1),"-")</f>
        <v>76.666666666666671</v>
      </c>
      <c r="I50" s="419">
        <f t="shared" si="74"/>
        <v>80</v>
      </c>
      <c r="J50" s="14">
        <v>2074</v>
      </c>
      <c r="K50" s="14">
        <v>2605</v>
      </c>
      <c r="L50" s="922">
        <v>1569</v>
      </c>
      <c r="M50" s="440">
        <v>4</v>
      </c>
      <c r="N50" s="441">
        <v>25</v>
      </c>
      <c r="O50" s="442">
        <v>4</v>
      </c>
      <c r="P50" s="443">
        <v>16</v>
      </c>
      <c r="Q50" s="432">
        <f t="shared" ref="Q50:Q60" si="93">PI()/4*(M50*N50^2+O50*P50^2)</f>
        <v>2767.7431278126078</v>
      </c>
      <c r="R50" s="433" t="str">
        <f t="shared" si="75"/>
        <v>OK (6%)</v>
      </c>
      <c r="S50" s="474" t="str">
        <f>IF(AND((C50 - 2*25 - 2* AC50 - 2*0.5*N50) / (4-1)&lt;=$O$8, (C50 - 2*25 - 2*AC50 - 4*N50 )/(4-1) &gt;= MAX(N50,P50,20+5)), "OK", "NOT-OK")</f>
        <v>OK</v>
      </c>
      <c r="T50" s="440">
        <v>2</v>
      </c>
      <c r="U50" s="441">
        <v>25</v>
      </c>
      <c r="V50" s="442">
        <v>2</v>
      </c>
      <c r="W50" s="443">
        <v>20</v>
      </c>
      <c r="X50" s="740">
        <f t="shared" si="76"/>
        <v>1610.0662349647689</v>
      </c>
      <c r="Y50" s="433" t="str">
        <f t="shared" si="77"/>
        <v>OK (3%)</v>
      </c>
      <c r="Z50" s="474" t="str">
        <f t="shared" si="78"/>
        <v>OK</v>
      </c>
      <c r="AB50" s="475">
        <v>4</v>
      </c>
      <c r="AC50" s="476">
        <v>10</v>
      </c>
      <c r="AD50" s="971">
        <v>125</v>
      </c>
      <c r="AE50" s="424">
        <f t="shared" ref="AE50:AE60" si="94">AB50*PI()/4*AC50^2*1000/AD50</f>
        <v>2513.2741228718346</v>
      </c>
      <c r="AF50" s="433" t="str">
        <f t="shared" si="79"/>
        <v>OK (21%)</v>
      </c>
      <c r="AG50" s="477" t="str">
        <f t="shared" si="80"/>
        <v>OK</v>
      </c>
      <c r="AJ50" s="777">
        <f t="shared" si="81"/>
        <v>6.2831853071795866E-3</v>
      </c>
      <c r="AK50" s="766"/>
      <c r="AL50" s="766"/>
      <c r="AM50" s="766"/>
      <c r="AN50" s="766"/>
      <c r="AO50" s="776">
        <f t="shared" si="82"/>
        <v>719.13232722308408</v>
      </c>
      <c r="AP50" s="776">
        <f>AO50/2</f>
        <v>359.56616361154204</v>
      </c>
      <c r="AQ50" s="766"/>
      <c r="AR50" s="772">
        <f t="shared" si="83"/>
        <v>702.5</v>
      </c>
      <c r="AS50" s="811">
        <f t="shared" si="84"/>
        <v>9.2258104260420255E-3</v>
      </c>
      <c r="AT50" s="811">
        <f t="shared" si="85"/>
        <v>5.3668874498825625E-3</v>
      </c>
      <c r="AU50" s="812">
        <f t="shared" si="86"/>
        <v>9.2258104260420255E-3</v>
      </c>
      <c r="AV50" s="813">
        <f t="shared" si="87"/>
        <v>6.7615658362989328E-2</v>
      </c>
      <c r="AW50" s="814"/>
      <c r="AX50" s="815">
        <f t="shared" si="88"/>
        <v>0.45602605863192186</v>
      </c>
      <c r="AY50" s="811">
        <f t="shared" si="89"/>
        <v>1.8870043805458835E-2</v>
      </c>
      <c r="AZ50" s="780">
        <f t="shared" si="90"/>
        <v>3.6429747709531748</v>
      </c>
      <c r="BA50" s="766"/>
      <c r="BB50" s="816">
        <f t="shared" si="91"/>
        <v>5.3668874498825625E-3</v>
      </c>
      <c r="BC50" s="780">
        <f t="shared" si="92"/>
        <v>2.2093008987851896</v>
      </c>
      <c r="BD50" s="811"/>
      <c r="BH50" s="701"/>
      <c r="BI50" s="698"/>
    </row>
    <row r="51" spans="2:61" s="448" customFormat="1" ht="16.5" customHeight="1" x14ac:dyDescent="0.25">
      <c r="B51" s="425">
        <f t="shared" si="73"/>
        <v>3</v>
      </c>
      <c r="C51" s="404">
        <f>RxnCheck!N13</f>
        <v>400</v>
      </c>
      <c r="D51" s="404">
        <f>RxnCheck!O13</f>
        <v>750</v>
      </c>
      <c r="E51" s="404">
        <f>GeneralInput!$C$17</f>
        <v>50</v>
      </c>
      <c r="F51" s="404">
        <f>GeneralInput!$C$23</f>
        <v>500</v>
      </c>
      <c r="G51" s="419">
        <v>2</v>
      </c>
      <c r="H51" s="419">
        <f>IF(OR($J$8 = 2, $J$8 = 3, $J$8 = 4),(C51 - 2*25 - 2*AC51 - 4*N51)/(4-1),"-")</f>
        <v>76.666666666666671</v>
      </c>
      <c r="I51" s="419">
        <f t="shared" si="74"/>
        <v>76.666666666666671</v>
      </c>
      <c r="J51" s="14">
        <v>2326</v>
      </c>
      <c r="K51" s="14">
        <v>3230</v>
      </c>
      <c r="L51" s="922">
        <v>1615</v>
      </c>
      <c r="M51" s="440">
        <v>6</v>
      </c>
      <c r="N51" s="441">
        <v>25</v>
      </c>
      <c r="O51" s="442">
        <v>2</v>
      </c>
      <c r="P51" s="443">
        <v>16</v>
      </c>
      <c r="Q51" s="432">
        <f t="shared" si="93"/>
        <v>3347.3669723999246</v>
      </c>
      <c r="R51" s="433" t="str">
        <f t="shared" si="75"/>
        <v>OK (4%)</v>
      </c>
      <c r="S51" s="474" t="str">
        <f>IF(AND((C51 - 2*25 - 2* AC51 - 2*0.5*N51) / (4-1)&lt;=$O$8, (C51 - 2*25 - 2*AC51 - 4*N51 )/(4-1) &gt;= MAX(N51,P51,20+5)), "OK", "NOT-OK")</f>
        <v>OK</v>
      </c>
      <c r="T51" s="440">
        <v>2</v>
      </c>
      <c r="U51" s="441">
        <v>25</v>
      </c>
      <c r="V51" s="442">
        <v>2</v>
      </c>
      <c r="W51" s="443">
        <v>25</v>
      </c>
      <c r="X51" s="740">
        <f t="shared" si="76"/>
        <v>1963.4954084936207</v>
      </c>
      <c r="Y51" s="433" t="str">
        <f t="shared" si="77"/>
        <v>OK (22%)</v>
      </c>
      <c r="Z51" s="474" t="str">
        <f t="shared" si="78"/>
        <v>OK</v>
      </c>
      <c r="AB51" s="475">
        <v>4</v>
      </c>
      <c r="AC51" s="476">
        <v>10</v>
      </c>
      <c r="AD51" s="971">
        <v>125</v>
      </c>
      <c r="AE51" s="424">
        <f t="shared" si="94"/>
        <v>2513.2741228718346</v>
      </c>
      <c r="AF51" s="433" t="str">
        <f t="shared" si="79"/>
        <v>OK (8%)</v>
      </c>
      <c r="AG51" s="477" t="str">
        <f t="shared" si="80"/>
        <v>OK</v>
      </c>
      <c r="AJ51" s="777">
        <f t="shared" si="81"/>
        <v>6.2831853071795866E-3</v>
      </c>
      <c r="AK51" s="766"/>
      <c r="AL51" s="766"/>
      <c r="AM51" s="766"/>
      <c r="AN51" s="766"/>
      <c r="AO51" s="776">
        <f t="shared" si="82"/>
        <v>851.2220056472936</v>
      </c>
      <c r="AP51" s="776">
        <f>AO51/2</f>
        <v>425.6110028236468</v>
      </c>
      <c r="AQ51" s="766"/>
      <c r="AR51" s="772">
        <f t="shared" si="83"/>
        <v>702.5</v>
      </c>
      <c r="AS51" s="811">
        <f t="shared" si="84"/>
        <v>1.1157889907999747E-2</v>
      </c>
      <c r="AT51" s="811">
        <f t="shared" si="85"/>
        <v>6.5449846949787362E-3</v>
      </c>
      <c r="AU51" s="812">
        <f t="shared" si="86"/>
        <v>1.1157889907999747E-2</v>
      </c>
      <c r="AV51" s="813">
        <f t="shared" si="87"/>
        <v>6.7615658362989328E-2</v>
      </c>
      <c r="AW51" s="814"/>
      <c r="AX51" s="815">
        <f t="shared" si="88"/>
        <v>0.45602605863192186</v>
      </c>
      <c r="AY51" s="811">
        <f t="shared" si="89"/>
        <v>1.8870043805458835E-2</v>
      </c>
      <c r="AZ51" s="780">
        <f t="shared" si="90"/>
        <v>4.3121136036640548</v>
      </c>
      <c r="BA51" s="766"/>
      <c r="BB51" s="816">
        <f t="shared" si="91"/>
        <v>6.5449846949787362E-3</v>
      </c>
      <c r="BC51" s="780">
        <f t="shared" si="92"/>
        <v>2.6607281550555992</v>
      </c>
      <c r="BD51" s="811"/>
      <c r="BH51" s="701"/>
      <c r="BI51" s="698"/>
    </row>
    <row r="52" spans="2:61" s="448" customFormat="1" ht="16.5" customHeight="1" x14ac:dyDescent="0.25">
      <c r="B52" s="425">
        <f t="shared" si="73"/>
        <v>2</v>
      </c>
      <c r="C52" s="404">
        <f>RxnCheck!N14</f>
        <v>400</v>
      </c>
      <c r="D52" s="404">
        <f>RxnCheck!O14</f>
        <v>750</v>
      </c>
      <c r="E52" s="404">
        <f>GeneralInput!$C$17</f>
        <v>50</v>
      </c>
      <c r="F52" s="404">
        <f>GeneralInput!$C$23</f>
        <v>500</v>
      </c>
      <c r="G52" s="418">
        <v>2</v>
      </c>
      <c r="H52" s="419">
        <f>IF(OR($J$8 = 2, $J$8 = 3, $J$8 = 4),(C52 - 2*25 - 2*AC52 - 4*N52)/(4-1),"-")</f>
        <v>76.666666666666671</v>
      </c>
      <c r="I52" s="419">
        <f t="shared" si="74"/>
        <v>76.666666666666671</v>
      </c>
      <c r="J52" s="14">
        <v>2447</v>
      </c>
      <c r="K52" s="14">
        <v>3569</v>
      </c>
      <c r="L52" s="923">
        <v>1784</v>
      </c>
      <c r="M52" s="440">
        <v>6</v>
      </c>
      <c r="N52" s="441">
        <v>25</v>
      </c>
      <c r="O52" s="442">
        <v>2</v>
      </c>
      <c r="P52" s="443">
        <v>20</v>
      </c>
      <c r="Q52" s="432">
        <f t="shared" si="93"/>
        <v>3573.5616434583899</v>
      </c>
      <c r="R52" s="433" t="str">
        <f t="shared" si="75"/>
        <v>OK (0%)</v>
      </c>
      <c r="S52" s="474" t="str">
        <f>IF(AND((C52 - 2*25 - 2* AC52 - 2*0.5*N52) / (4-1)&lt;=$O$8, (C52 - 2*25 - 2*AC52 - 4*N52 )/(4-1) &gt;= MAX(N52,P52,20+5)), "OK", "NOT-OK")</f>
        <v>OK</v>
      </c>
      <c r="T52" s="440">
        <v>2</v>
      </c>
      <c r="U52" s="441">
        <v>25</v>
      </c>
      <c r="V52" s="442">
        <v>2</v>
      </c>
      <c r="W52" s="443">
        <v>25</v>
      </c>
      <c r="X52" s="740">
        <f t="shared" si="76"/>
        <v>1963.4954084936207</v>
      </c>
      <c r="Y52" s="433" t="str">
        <f t="shared" si="77"/>
        <v>OK (10%)</v>
      </c>
      <c r="Z52" s="474" t="str">
        <f t="shared" si="78"/>
        <v>OK</v>
      </c>
      <c r="AB52" s="1023">
        <v>4</v>
      </c>
      <c r="AC52" s="476">
        <v>10</v>
      </c>
      <c r="AD52" s="971">
        <v>125</v>
      </c>
      <c r="AE52" s="424">
        <f t="shared" si="94"/>
        <v>2513.2741228718346</v>
      </c>
      <c r="AF52" s="433" t="str">
        <f t="shared" si="79"/>
        <v>OK (3%)</v>
      </c>
      <c r="AG52" s="477" t="str">
        <f t="shared" si="80"/>
        <v>OK</v>
      </c>
      <c r="AJ52" s="777">
        <f t="shared" si="81"/>
        <v>6.2831853071795866E-3</v>
      </c>
      <c r="AK52" s="766"/>
      <c r="AL52" s="766"/>
      <c r="AM52" s="766"/>
      <c r="AN52" s="766"/>
      <c r="AO52" s="776">
        <f t="shared" si="82"/>
        <v>901.03011944318644</v>
      </c>
      <c r="AP52" s="776">
        <f>AO52/2</f>
        <v>450.51505972159322</v>
      </c>
      <c r="AQ52" s="766"/>
      <c r="AR52" s="772">
        <f t="shared" si="83"/>
        <v>702.5</v>
      </c>
      <c r="AS52" s="811">
        <f t="shared" si="84"/>
        <v>1.1911872144861299E-2</v>
      </c>
      <c r="AT52" s="811">
        <f t="shared" si="85"/>
        <v>6.5449846949787362E-3</v>
      </c>
      <c r="AU52" s="812">
        <f t="shared" si="86"/>
        <v>1.1911872144861299E-2</v>
      </c>
      <c r="AV52" s="813">
        <f t="shared" si="87"/>
        <v>6.7615658362989328E-2</v>
      </c>
      <c r="AW52" s="814"/>
      <c r="AX52" s="815">
        <f t="shared" si="88"/>
        <v>0.45602605863192186</v>
      </c>
      <c r="AY52" s="811">
        <f t="shared" si="89"/>
        <v>1.8870043805458835E-2</v>
      </c>
      <c r="AZ52" s="780">
        <f t="shared" si="90"/>
        <v>4.5644311467341421</v>
      </c>
      <c r="BA52" s="766"/>
      <c r="BB52" s="816">
        <f t="shared" si="91"/>
        <v>6.5449846949787362E-3</v>
      </c>
      <c r="BC52" s="780">
        <f t="shared" si="92"/>
        <v>2.6607281550555992</v>
      </c>
      <c r="BD52" s="811"/>
      <c r="BH52" s="701"/>
      <c r="BI52" s="698"/>
    </row>
    <row r="53" spans="2:61" s="448" customFormat="1" ht="16.5" customHeight="1" x14ac:dyDescent="0.25">
      <c r="B53" s="425">
        <f t="shared" si="73"/>
        <v>1</v>
      </c>
      <c r="C53" s="404">
        <f>RxnCheck!N15</f>
        <v>400</v>
      </c>
      <c r="D53" s="404">
        <f>RxnCheck!O15</f>
        <v>750</v>
      </c>
      <c r="E53" s="404">
        <f>GeneralInput!$C$17</f>
        <v>50</v>
      </c>
      <c r="F53" s="404">
        <f>GeneralInput!$C$23</f>
        <v>500</v>
      </c>
      <c r="G53" s="419">
        <v>2</v>
      </c>
      <c r="H53" s="419">
        <f>IF(OR($J$8 = 2, $J$8 = 3, $J$8 = 4),(C53 - 2*25 - 2*AC53 - 4*N53)/(4-1),"-")</f>
        <v>76.666666666666671</v>
      </c>
      <c r="I53" s="419">
        <f t="shared" si="74"/>
        <v>76.666666666666671</v>
      </c>
      <c r="J53" s="14">
        <v>2465</v>
      </c>
      <c r="K53" s="14">
        <v>3489</v>
      </c>
      <c r="L53" s="922">
        <v>1744</v>
      </c>
      <c r="M53" s="440">
        <v>6</v>
      </c>
      <c r="N53" s="441">
        <v>25</v>
      </c>
      <c r="O53" s="442">
        <v>2</v>
      </c>
      <c r="P53" s="443">
        <v>20</v>
      </c>
      <c r="Q53" s="432">
        <f t="shared" si="93"/>
        <v>3573.5616434583899</v>
      </c>
      <c r="R53" s="433" t="str">
        <f t="shared" si="75"/>
        <v>OK (2%)</v>
      </c>
      <c r="S53" s="474" t="str">
        <f>IF(AND((C53 - 2*25 - 2* AC53 - 2*0.5*N53) / (4-1)&lt;=$O$8, (C53 - 2*25 - 2*AC53 - 4*N53 )/(4-1) &gt;= MAX(N53,P53,20+5)), "OK", "NOT-OK")</f>
        <v>OK</v>
      </c>
      <c r="T53" s="440">
        <v>2</v>
      </c>
      <c r="U53" s="441">
        <v>25</v>
      </c>
      <c r="V53" s="442">
        <v>2</v>
      </c>
      <c r="W53" s="443">
        <v>25</v>
      </c>
      <c r="X53" s="740">
        <f t="shared" si="76"/>
        <v>1963.4954084936207</v>
      </c>
      <c r="Y53" s="433" t="str">
        <f t="shared" si="77"/>
        <v>OK (13%)</v>
      </c>
      <c r="Z53" s="474" t="str">
        <f t="shared" si="78"/>
        <v>OK</v>
      </c>
      <c r="AB53" s="475">
        <v>4</v>
      </c>
      <c r="AC53" s="476">
        <v>10</v>
      </c>
      <c r="AD53" s="971">
        <v>125</v>
      </c>
      <c r="AE53" s="424">
        <f t="shared" si="94"/>
        <v>2513.2741228718346</v>
      </c>
      <c r="AF53" s="433" t="str">
        <f t="shared" si="79"/>
        <v>OK (2%)</v>
      </c>
      <c r="AG53" s="477" t="str">
        <f t="shared" si="80"/>
        <v>OK</v>
      </c>
      <c r="AJ53" s="777">
        <f t="shared" si="81"/>
        <v>6.2831853071795866E-3</v>
      </c>
      <c r="AK53" s="766"/>
      <c r="AL53" s="766"/>
      <c r="AM53" s="766"/>
      <c r="AN53" s="766"/>
      <c r="AO53" s="776">
        <f t="shared" si="82"/>
        <v>901.03011944318644</v>
      </c>
      <c r="AP53" s="776">
        <f t="shared" ref="AP53:AP60" si="95">BC53*C53*AR53^2/1000000</f>
        <v>525.23438962836292</v>
      </c>
      <c r="AQ53" s="766"/>
      <c r="AR53" s="772">
        <f t="shared" si="83"/>
        <v>702.5</v>
      </c>
      <c r="AS53" s="811">
        <f t="shared" si="84"/>
        <v>1.1911872144861299E-2</v>
      </c>
      <c r="AT53" s="811">
        <f t="shared" si="85"/>
        <v>6.5449846949787362E-3</v>
      </c>
      <c r="AU53" s="812">
        <f t="shared" si="86"/>
        <v>1.1911872144861299E-2</v>
      </c>
      <c r="AV53" s="813">
        <f t="shared" si="87"/>
        <v>6.7615658362989328E-2</v>
      </c>
      <c r="AW53" s="814"/>
      <c r="AX53" s="815">
        <f t="shared" si="88"/>
        <v>0.45602605863192186</v>
      </c>
      <c r="AY53" s="811">
        <f t="shared" si="89"/>
        <v>1.8870043805458835E-2</v>
      </c>
      <c r="AZ53" s="780">
        <f t="shared" si="90"/>
        <v>4.5644311467341421</v>
      </c>
      <c r="BA53" s="766"/>
      <c r="BB53" s="816">
        <f t="shared" si="91"/>
        <v>6.5449846949787362E-3</v>
      </c>
      <c r="BC53" s="780">
        <f t="shared" si="92"/>
        <v>2.6607281550555992</v>
      </c>
      <c r="BD53" s="811"/>
      <c r="BH53" s="701"/>
      <c r="BI53" s="698"/>
    </row>
    <row r="54" spans="2:61" s="448" customFormat="1" ht="15.75" hidden="1" x14ac:dyDescent="0.25">
      <c r="B54" s="425">
        <f t="shared" si="73"/>
        <v>0</v>
      </c>
      <c r="C54" s="404">
        <f>RxnCheck!N16</f>
        <v>0</v>
      </c>
      <c r="D54" s="404">
        <f>RxnCheck!O16</f>
        <v>0</v>
      </c>
      <c r="E54" s="404">
        <f>GeneralInput!$C$17</f>
        <v>50</v>
      </c>
      <c r="F54" s="404">
        <f>GeneralInput!$C$23</f>
        <v>500</v>
      </c>
      <c r="G54" s="418"/>
      <c r="H54" s="419">
        <f t="shared" ref="H54:H60" si="96">IF(OR($J$8 = 2, $J$8 = 3, $J$8 = 4),(C54 - 2*25 - 2*AC54 - M54*N54 - O54*P54)/(M54+O54-1),"-")</f>
        <v>50</v>
      </c>
      <c r="I54" s="419">
        <f t="shared" si="74"/>
        <v>50</v>
      </c>
      <c r="J54" s="14"/>
      <c r="K54" s="14"/>
      <c r="L54" s="922"/>
      <c r="M54" s="440"/>
      <c r="N54" s="441"/>
      <c r="O54" s="442"/>
      <c r="P54" s="443"/>
      <c r="Q54" s="432"/>
      <c r="R54" s="433"/>
      <c r="S54" s="474" t="str">
        <f t="shared" ref="S54:S60" si="97">IF(AND((C54 - 2*25 - 2* AC54 - 2*0.5*N54) / (M54+O54-1)&lt;=$O$8, (C54 - 2*25 - 2*AC54 - M54*N54 - O54*P54)/(M54+O54-1) &gt;= MAX(N54,P54,20+5)), "OK", "NOT-OK")</f>
        <v>OK</v>
      </c>
      <c r="T54" s="440"/>
      <c r="U54" s="441"/>
      <c r="V54" s="442"/>
      <c r="W54" s="443"/>
      <c r="X54" s="740">
        <f t="shared" si="76"/>
        <v>0</v>
      </c>
      <c r="Y54" s="433" t="e">
        <f t="shared" si="77"/>
        <v>#DIV/0!</v>
      </c>
      <c r="Z54" s="474" t="str">
        <f t="shared" si="78"/>
        <v>OK</v>
      </c>
      <c r="AB54" s="475"/>
      <c r="AC54" s="476"/>
      <c r="AD54" s="971"/>
      <c r="AE54" s="424" t="e">
        <f t="shared" si="94"/>
        <v>#DIV/0!</v>
      </c>
      <c r="AF54" s="433" t="e">
        <f t="shared" si="79"/>
        <v>#DIV/0!</v>
      </c>
      <c r="AG54" s="477" t="str">
        <f t="shared" si="80"/>
        <v>NOT-OK</v>
      </c>
      <c r="AJ54" s="777" t="e">
        <f t="shared" si="81"/>
        <v>#DIV/0!</v>
      </c>
      <c r="AK54" s="766"/>
      <c r="AL54" s="766"/>
      <c r="AM54" s="766"/>
      <c r="AN54" s="766"/>
      <c r="AO54" s="776" t="e">
        <f t="shared" si="82"/>
        <v>#DIV/0!</v>
      </c>
      <c r="AP54" s="776" t="e">
        <f t="shared" si="95"/>
        <v>#DIV/0!</v>
      </c>
      <c r="AQ54" s="766"/>
      <c r="AR54" s="772">
        <f t="shared" si="83"/>
        <v>-25</v>
      </c>
      <c r="AS54" s="811" t="e">
        <f t="shared" si="84"/>
        <v>#DIV/0!</v>
      </c>
      <c r="AT54" s="811" t="e">
        <f t="shared" si="85"/>
        <v>#DIV/0!</v>
      </c>
      <c r="AU54" s="812" t="e">
        <f t="shared" si="86"/>
        <v>#DIV/0!</v>
      </c>
      <c r="AV54" s="813">
        <f t="shared" si="87"/>
        <v>-1</v>
      </c>
      <c r="AW54" s="814"/>
      <c r="AX54" s="815">
        <f t="shared" si="88"/>
        <v>0.45602605863192186</v>
      </c>
      <c r="AY54" s="811">
        <f t="shared" si="89"/>
        <v>1.8870043805458835E-2</v>
      </c>
      <c r="AZ54" s="780" t="e">
        <f t="shared" si="90"/>
        <v>#DIV/0!</v>
      </c>
      <c r="BA54" s="766"/>
      <c r="BB54" s="816" t="e">
        <f t="shared" si="91"/>
        <v>#DIV/0!</v>
      </c>
      <c r="BC54" s="780" t="e">
        <f t="shared" si="92"/>
        <v>#DIV/0!</v>
      </c>
      <c r="BD54" s="811"/>
      <c r="BH54" s="701"/>
      <c r="BI54" s="698"/>
    </row>
    <row r="55" spans="2:61" s="448" customFormat="1" ht="15.75" hidden="1" x14ac:dyDescent="0.25">
      <c r="B55" s="425">
        <f t="shared" si="73"/>
        <v>-1</v>
      </c>
      <c r="C55" s="404">
        <f>RxnCheck!N17</f>
        <v>0</v>
      </c>
      <c r="D55" s="404">
        <f>RxnCheck!O17</f>
        <v>0</v>
      </c>
      <c r="E55" s="404">
        <f>GeneralInput!$C$17</f>
        <v>50</v>
      </c>
      <c r="F55" s="404">
        <f>GeneralInput!$C$23</f>
        <v>500</v>
      </c>
      <c r="G55" s="418"/>
      <c r="H55" s="419">
        <f t="shared" si="96"/>
        <v>50</v>
      </c>
      <c r="I55" s="419">
        <f t="shared" si="74"/>
        <v>50</v>
      </c>
      <c r="J55" s="14"/>
      <c r="K55" s="14"/>
      <c r="L55" s="922"/>
      <c r="M55" s="440"/>
      <c r="N55" s="441"/>
      <c r="O55" s="442"/>
      <c r="P55" s="443"/>
      <c r="Q55" s="432"/>
      <c r="R55" s="433"/>
      <c r="S55" s="474" t="str">
        <f t="shared" si="97"/>
        <v>OK</v>
      </c>
      <c r="T55" s="440"/>
      <c r="U55" s="441"/>
      <c r="V55" s="442"/>
      <c r="W55" s="443"/>
      <c r="X55" s="740">
        <f t="shared" si="76"/>
        <v>0</v>
      </c>
      <c r="Y55" s="433" t="e">
        <f t="shared" si="77"/>
        <v>#DIV/0!</v>
      </c>
      <c r="Z55" s="474" t="str">
        <f t="shared" si="78"/>
        <v>OK</v>
      </c>
      <c r="AB55" s="475"/>
      <c r="AC55" s="476"/>
      <c r="AD55" s="971"/>
      <c r="AE55" s="424" t="e">
        <f t="shared" si="94"/>
        <v>#DIV/0!</v>
      </c>
      <c r="AF55" s="433" t="e">
        <f t="shared" si="79"/>
        <v>#DIV/0!</v>
      </c>
      <c r="AG55" s="477" t="str">
        <f t="shared" si="80"/>
        <v>NOT-OK</v>
      </c>
      <c r="AJ55" s="781" t="e">
        <f t="shared" si="81"/>
        <v>#DIV/0!</v>
      </c>
      <c r="AK55" s="766"/>
      <c r="AL55" s="766"/>
      <c r="AM55" s="766"/>
      <c r="AN55" s="766"/>
      <c r="AO55" s="787" t="e">
        <f t="shared" si="82"/>
        <v>#DIV/0!</v>
      </c>
      <c r="AP55" s="787" t="e">
        <f t="shared" si="95"/>
        <v>#DIV/0!</v>
      </c>
      <c r="AQ55" s="766"/>
      <c r="AR55" s="783">
        <f t="shared" si="83"/>
        <v>-25</v>
      </c>
      <c r="AS55" s="817" t="e">
        <f t="shared" si="84"/>
        <v>#DIV/0!</v>
      </c>
      <c r="AT55" s="817" t="e">
        <f t="shared" si="85"/>
        <v>#DIV/0!</v>
      </c>
      <c r="AU55" s="818" t="e">
        <f t="shared" si="86"/>
        <v>#DIV/0!</v>
      </c>
      <c r="AV55" s="819">
        <f t="shared" si="87"/>
        <v>-1</v>
      </c>
      <c r="AW55" s="820"/>
      <c r="AX55" s="821">
        <f t="shared" si="88"/>
        <v>0.45602605863192186</v>
      </c>
      <c r="AY55" s="817">
        <f t="shared" si="89"/>
        <v>1.8870043805458835E-2</v>
      </c>
      <c r="AZ55" s="822" t="e">
        <f t="shared" si="90"/>
        <v>#DIV/0!</v>
      </c>
      <c r="BA55" s="766"/>
      <c r="BB55" s="823" t="e">
        <f t="shared" si="91"/>
        <v>#DIV/0!</v>
      </c>
      <c r="BC55" s="822" t="e">
        <f t="shared" si="92"/>
        <v>#DIV/0!</v>
      </c>
      <c r="BD55" s="811"/>
      <c r="BH55" s="701"/>
      <c r="BI55" s="698"/>
    </row>
    <row r="56" spans="2:61" s="448" customFormat="1" ht="15.75" hidden="1" x14ac:dyDescent="0.25">
      <c r="B56" s="425">
        <f t="shared" si="73"/>
        <v>-2</v>
      </c>
      <c r="C56" s="404">
        <f>RxnCheck!N18</f>
        <v>0</v>
      </c>
      <c r="D56" s="404">
        <f>RxnCheck!O18</f>
        <v>0</v>
      </c>
      <c r="E56" s="404">
        <f>GeneralInput!$C$17</f>
        <v>50</v>
      </c>
      <c r="F56" s="404">
        <f>GeneralInput!$C$23</f>
        <v>500</v>
      </c>
      <c r="G56" s="418"/>
      <c r="H56" s="419">
        <f t="shared" si="96"/>
        <v>50</v>
      </c>
      <c r="I56" s="419">
        <f t="shared" si="74"/>
        <v>50</v>
      </c>
      <c r="J56" s="14"/>
      <c r="K56" s="14"/>
      <c r="L56" s="922"/>
      <c r="M56" s="440"/>
      <c r="N56" s="441"/>
      <c r="O56" s="442"/>
      <c r="P56" s="443"/>
      <c r="Q56" s="432">
        <f t="shared" si="93"/>
        <v>0</v>
      </c>
      <c r="R56" s="433" t="e">
        <f t="shared" si="75"/>
        <v>#DIV/0!</v>
      </c>
      <c r="S56" s="474" t="str">
        <f t="shared" si="97"/>
        <v>OK</v>
      </c>
      <c r="T56" s="440"/>
      <c r="U56" s="441"/>
      <c r="V56" s="442"/>
      <c r="W56" s="443"/>
      <c r="X56" s="740">
        <f t="shared" si="76"/>
        <v>0</v>
      </c>
      <c r="Y56" s="433" t="e">
        <f t="shared" si="77"/>
        <v>#DIV/0!</v>
      </c>
      <c r="Z56" s="474" t="str">
        <f t="shared" si="78"/>
        <v>OK</v>
      </c>
      <c r="AB56" s="475"/>
      <c r="AC56" s="476"/>
      <c r="AD56" s="971"/>
      <c r="AE56" s="424" t="e">
        <f t="shared" si="94"/>
        <v>#DIV/0!</v>
      </c>
      <c r="AF56" s="433" t="e">
        <f t="shared" si="79"/>
        <v>#DIV/0!</v>
      </c>
      <c r="AG56" s="477" t="str">
        <f t="shared" si="80"/>
        <v>NOT-OK</v>
      </c>
      <c r="AJ56" s="782" t="e">
        <f t="shared" si="81"/>
        <v>#DIV/0!</v>
      </c>
      <c r="AK56" s="766"/>
      <c r="AL56" s="766"/>
      <c r="AM56" s="766"/>
      <c r="AN56" s="766"/>
      <c r="AO56" s="776" t="e">
        <f>AZ56*C56*AR56^2/1000000</f>
        <v>#DIV/0!</v>
      </c>
      <c r="AP56" s="776" t="e">
        <f t="shared" si="95"/>
        <v>#DIV/0!</v>
      </c>
      <c r="AQ56" s="766"/>
      <c r="AR56" s="773">
        <f t="shared" si="83"/>
        <v>-25</v>
      </c>
      <c r="AS56" s="811" t="e">
        <f>Q56/C56/D56</f>
        <v>#DIV/0!</v>
      </c>
      <c r="AT56" s="811" t="e">
        <f>X56/C56/D56</f>
        <v>#DIV/0!</v>
      </c>
      <c r="AU56" s="812" t="e">
        <f>AS56-AT56*AW56/(0.87*F56)</f>
        <v>#DIV/0!</v>
      </c>
      <c r="AV56" s="813">
        <f t="shared" si="87"/>
        <v>-1</v>
      </c>
      <c r="AW56" s="814"/>
      <c r="AX56" s="815">
        <f>(0.0035/(0.0055+0.87*F56/200000))</f>
        <v>0.45602605863192186</v>
      </c>
      <c r="AY56" s="811">
        <f>(0.36*E56)/(0.87*F56)*AX56</f>
        <v>1.8870043805458835E-2</v>
      </c>
      <c r="AZ56" s="813" t="e">
        <f>IF(AS56&lt;AY56,0.87*F56*AS56*(1-AS56*F56/E56), 0.87*F56*(AU56*(1-AU56*F56/E56)) + AT56*AW56*(1-AV56))</f>
        <v>#DIV/0!</v>
      </c>
      <c r="BA56" s="766"/>
      <c r="BB56" s="812" t="e">
        <f>AT56-AS56*AW56/(0.87*F56)</f>
        <v>#DIV/0!</v>
      </c>
      <c r="BC56" s="813" t="e">
        <f>IF(AT56&lt;AY56,0.87*F56*AT56*(1-AT56*F56/E56), 0.87*F56*(BB56*(1-BB56*F56/E56)) + AS56*AW56*(1-AV56))</f>
        <v>#DIV/0!</v>
      </c>
      <c r="BD56" s="811"/>
      <c r="BH56" s="701"/>
      <c r="BI56" s="698"/>
    </row>
    <row r="57" spans="2:61" s="448" customFormat="1" ht="15.75" hidden="1" x14ac:dyDescent="0.25">
      <c r="B57" s="425">
        <f t="shared" si="73"/>
        <v>-3</v>
      </c>
      <c r="C57" s="404">
        <f>RxnCheck!N19</f>
        <v>0</v>
      </c>
      <c r="D57" s="404">
        <f>RxnCheck!O19</f>
        <v>0</v>
      </c>
      <c r="E57" s="404">
        <f>GeneralInput!$C$17</f>
        <v>50</v>
      </c>
      <c r="F57" s="404">
        <f>GeneralInput!$C$23</f>
        <v>500</v>
      </c>
      <c r="G57" s="418"/>
      <c r="H57" s="419">
        <f t="shared" si="96"/>
        <v>50</v>
      </c>
      <c r="I57" s="419">
        <f t="shared" si="74"/>
        <v>50</v>
      </c>
      <c r="J57" s="14"/>
      <c r="K57" s="14"/>
      <c r="L57" s="923"/>
      <c r="M57" s="440"/>
      <c r="N57" s="441"/>
      <c r="O57" s="442"/>
      <c r="P57" s="443"/>
      <c r="Q57" s="432">
        <f t="shared" si="93"/>
        <v>0</v>
      </c>
      <c r="R57" s="433" t="e">
        <f t="shared" si="75"/>
        <v>#DIV/0!</v>
      </c>
      <c r="S57" s="474" t="str">
        <f t="shared" si="97"/>
        <v>OK</v>
      </c>
      <c r="T57" s="440"/>
      <c r="U57" s="441"/>
      <c r="V57" s="442"/>
      <c r="W57" s="443"/>
      <c r="X57" s="740">
        <f t="shared" si="76"/>
        <v>0</v>
      </c>
      <c r="Y57" s="433" t="e">
        <f t="shared" si="77"/>
        <v>#DIV/0!</v>
      </c>
      <c r="Z57" s="474" t="str">
        <f t="shared" si="78"/>
        <v>OK</v>
      </c>
      <c r="AB57" s="475"/>
      <c r="AC57" s="476"/>
      <c r="AD57" s="971"/>
      <c r="AE57" s="424" t="e">
        <f t="shared" si="94"/>
        <v>#DIV/0!</v>
      </c>
      <c r="AF57" s="433" t="e">
        <f t="shared" si="79"/>
        <v>#DIV/0!</v>
      </c>
      <c r="AG57" s="477" t="str">
        <f t="shared" si="80"/>
        <v>NOT-OK</v>
      </c>
      <c r="AJ57" s="782" t="e">
        <f t="shared" si="81"/>
        <v>#DIV/0!</v>
      </c>
      <c r="AK57" s="766"/>
      <c r="AL57" s="766"/>
      <c r="AM57" s="766"/>
      <c r="AN57" s="766"/>
      <c r="AO57" s="776" t="e">
        <f>AZ57*C57*AR57^2/1000000</f>
        <v>#DIV/0!</v>
      </c>
      <c r="AP57" s="776" t="e">
        <f t="shared" si="95"/>
        <v>#DIV/0!</v>
      </c>
      <c r="AQ57" s="766"/>
      <c r="AR57" s="773">
        <f t="shared" si="83"/>
        <v>-25</v>
      </c>
      <c r="AS57" s="811" t="e">
        <f>Q57/C57/D57</f>
        <v>#DIV/0!</v>
      </c>
      <c r="AT57" s="811" t="e">
        <f>X57/C57/D57</f>
        <v>#DIV/0!</v>
      </c>
      <c r="AU57" s="812" t="e">
        <f>AS57-AT57*AW57/(0.87*F57)</f>
        <v>#DIV/0!</v>
      </c>
      <c r="AV57" s="813">
        <f t="shared" si="87"/>
        <v>-1</v>
      </c>
      <c r="AW57" s="814"/>
      <c r="AX57" s="815">
        <f>(0.0035/(0.0055+0.87*F57/200000))</f>
        <v>0.45602605863192186</v>
      </c>
      <c r="AY57" s="811">
        <f>(0.36*E57)/(0.87*F57)*AX57</f>
        <v>1.8870043805458835E-2</v>
      </c>
      <c r="AZ57" s="813" t="e">
        <f>IF(AS57&lt;AY57,0.87*F57*AS57*(1-AS57*F57/E57), 0.87*F57*(AU57*(1-AU57*F57/E57)) + AT57*AW57*(1-AV57))</f>
        <v>#DIV/0!</v>
      </c>
      <c r="BA57" s="766"/>
      <c r="BB57" s="812" t="e">
        <f>AT57-AS57*AW57/(0.87*F57)</f>
        <v>#DIV/0!</v>
      </c>
      <c r="BC57" s="813" t="e">
        <f>IF(AT57&lt;AY57,0.87*F57*AT57*(1-AT57*F57/E57), 0.87*F57*(BB57*(1-BB57*F57/E57)) + AS57*AW57*(1-AV57))</f>
        <v>#DIV/0!</v>
      </c>
      <c r="BD57" s="811"/>
      <c r="BH57" s="701"/>
      <c r="BI57" s="698"/>
    </row>
    <row r="58" spans="2:61" s="448" customFormat="1" ht="15.75" hidden="1" x14ac:dyDescent="0.25">
      <c r="B58" s="425">
        <f t="shared" si="73"/>
        <v>-4</v>
      </c>
      <c r="C58" s="404">
        <f>RxnCheck!N20</f>
        <v>0</v>
      </c>
      <c r="D58" s="404">
        <f>RxnCheck!O20</f>
        <v>0</v>
      </c>
      <c r="E58" s="404">
        <f>GeneralInput!$C$17</f>
        <v>50</v>
      </c>
      <c r="F58" s="404">
        <f>GeneralInput!$C$23</f>
        <v>500</v>
      </c>
      <c r="G58" s="418"/>
      <c r="H58" s="419">
        <f t="shared" si="96"/>
        <v>50</v>
      </c>
      <c r="I58" s="419">
        <f t="shared" si="74"/>
        <v>50</v>
      </c>
      <c r="J58" s="14"/>
      <c r="K58" s="14"/>
      <c r="L58" s="922"/>
      <c r="M58" s="440"/>
      <c r="N58" s="441"/>
      <c r="O58" s="442"/>
      <c r="P58" s="443"/>
      <c r="Q58" s="432">
        <f t="shared" si="93"/>
        <v>0</v>
      </c>
      <c r="R58" s="433" t="e">
        <f t="shared" si="75"/>
        <v>#DIV/0!</v>
      </c>
      <c r="S58" s="474" t="str">
        <f t="shared" si="97"/>
        <v>OK</v>
      </c>
      <c r="T58" s="440"/>
      <c r="U58" s="441"/>
      <c r="V58" s="442"/>
      <c r="W58" s="443"/>
      <c r="X58" s="740">
        <f t="shared" si="76"/>
        <v>0</v>
      </c>
      <c r="Y58" s="433" t="e">
        <f t="shared" si="77"/>
        <v>#DIV/0!</v>
      </c>
      <c r="Z58" s="474" t="str">
        <f t="shared" si="78"/>
        <v>OK</v>
      </c>
      <c r="AB58" s="475"/>
      <c r="AC58" s="476"/>
      <c r="AD58" s="971"/>
      <c r="AE58" s="424" t="e">
        <f t="shared" si="94"/>
        <v>#DIV/0!</v>
      </c>
      <c r="AF58" s="433" t="e">
        <f t="shared" si="79"/>
        <v>#DIV/0!</v>
      </c>
      <c r="AG58" s="477" t="str">
        <f t="shared" si="80"/>
        <v>NOT-OK</v>
      </c>
      <c r="AJ58" s="782" t="e">
        <f t="shared" si="81"/>
        <v>#DIV/0!</v>
      </c>
      <c r="AK58" s="766"/>
      <c r="AL58" s="766"/>
      <c r="AM58" s="766"/>
      <c r="AN58" s="766"/>
      <c r="AO58" s="776" t="e">
        <f>AZ58*C58*AR58^2/1000000</f>
        <v>#DIV/0!</v>
      </c>
      <c r="AP58" s="776" t="e">
        <f t="shared" si="95"/>
        <v>#DIV/0!</v>
      </c>
      <c r="AQ58" s="766"/>
      <c r="AR58" s="773">
        <f t="shared" si="83"/>
        <v>-25</v>
      </c>
      <c r="AS58" s="811" t="e">
        <f>Q58/C58/D58</f>
        <v>#DIV/0!</v>
      </c>
      <c r="AT58" s="811" t="e">
        <f>X58/C58/D58</f>
        <v>#DIV/0!</v>
      </c>
      <c r="AU58" s="812" t="e">
        <f>AS58-AT58*AW58/(0.87*F58)</f>
        <v>#DIV/0!</v>
      </c>
      <c r="AV58" s="813">
        <f t="shared" si="87"/>
        <v>-1</v>
      </c>
      <c r="AW58" s="814"/>
      <c r="AX58" s="815">
        <f>(0.0035/(0.0055+0.87*F58/200000))</f>
        <v>0.45602605863192186</v>
      </c>
      <c r="AY58" s="811">
        <f>(0.36*E58)/(0.87*F58)*AX58</f>
        <v>1.8870043805458835E-2</v>
      </c>
      <c r="AZ58" s="813" t="e">
        <f>IF(AS58&lt;AY58,0.87*F58*AS58*(1-AS58*F58/E58), 0.87*F58*(AU58*(1-AU58*F58/E58)) + AT58*AW58*(1-AV58))</f>
        <v>#DIV/0!</v>
      </c>
      <c r="BA58" s="766"/>
      <c r="BB58" s="812" t="e">
        <f>AT58-AS58*AW58/(0.87*F58)</f>
        <v>#DIV/0!</v>
      </c>
      <c r="BC58" s="813" t="e">
        <f>IF(AT58&lt;AY58,0.87*F58*AT58*(1-AT58*F58/E58), 0.87*F58*(BB58*(1-BB58*F58/E58)) + AS58*AW58*(1-AV58))</f>
        <v>#DIV/0!</v>
      </c>
      <c r="BD58" s="811"/>
      <c r="BH58" s="701"/>
      <c r="BI58" s="698"/>
    </row>
    <row r="59" spans="2:61" s="448" customFormat="1" ht="15.75" hidden="1" x14ac:dyDescent="0.25">
      <c r="B59" s="425">
        <f t="shared" si="73"/>
        <v>-5</v>
      </c>
      <c r="C59" s="404">
        <f>RxnCheck!N21</f>
        <v>0</v>
      </c>
      <c r="D59" s="404">
        <f>RxnCheck!O21</f>
        <v>0</v>
      </c>
      <c r="E59" s="404">
        <f>GeneralInput!$C$17</f>
        <v>50</v>
      </c>
      <c r="F59" s="404">
        <f>GeneralInput!$C$23</f>
        <v>500</v>
      </c>
      <c r="G59" s="418"/>
      <c r="H59" s="419">
        <f t="shared" si="96"/>
        <v>50</v>
      </c>
      <c r="I59" s="419">
        <f t="shared" si="74"/>
        <v>50</v>
      </c>
      <c r="J59" s="14"/>
      <c r="K59" s="14"/>
      <c r="L59" s="922"/>
      <c r="M59" s="440"/>
      <c r="N59" s="441"/>
      <c r="O59" s="442"/>
      <c r="P59" s="443"/>
      <c r="Q59" s="432">
        <f t="shared" si="93"/>
        <v>0</v>
      </c>
      <c r="R59" s="433" t="e">
        <f t="shared" si="75"/>
        <v>#DIV/0!</v>
      </c>
      <c r="S59" s="474" t="str">
        <f t="shared" si="97"/>
        <v>OK</v>
      </c>
      <c r="T59" s="440"/>
      <c r="U59" s="441"/>
      <c r="V59" s="442"/>
      <c r="W59" s="443"/>
      <c r="X59" s="740">
        <f t="shared" si="76"/>
        <v>0</v>
      </c>
      <c r="Y59" s="433" t="e">
        <f t="shared" si="77"/>
        <v>#DIV/0!</v>
      </c>
      <c r="Z59" s="474" t="str">
        <f t="shared" si="78"/>
        <v>OK</v>
      </c>
      <c r="AB59" s="475"/>
      <c r="AC59" s="476"/>
      <c r="AD59" s="972"/>
      <c r="AE59" s="424" t="e">
        <f t="shared" si="94"/>
        <v>#DIV/0!</v>
      </c>
      <c r="AF59" s="433" t="e">
        <f t="shared" si="79"/>
        <v>#DIV/0!</v>
      </c>
      <c r="AG59" s="477" t="str">
        <f t="shared" si="80"/>
        <v>NOT-OK</v>
      </c>
      <c r="AJ59" s="782" t="e">
        <f t="shared" si="81"/>
        <v>#DIV/0!</v>
      </c>
      <c r="AK59" s="766"/>
      <c r="AL59" s="766"/>
      <c r="AM59" s="766"/>
      <c r="AN59" s="766"/>
      <c r="AO59" s="776" t="e">
        <f>AZ59*C59*AR59^2/1000000</f>
        <v>#DIV/0!</v>
      </c>
      <c r="AP59" s="776" t="e">
        <f t="shared" si="95"/>
        <v>#DIV/0!</v>
      </c>
      <c r="AQ59" s="766"/>
      <c r="AR59" s="773">
        <f t="shared" si="83"/>
        <v>-25</v>
      </c>
      <c r="AS59" s="811" t="e">
        <f>Q59/C59/D59</f>
        <v>#DIV/0!</v>
      </c>
      <c r="AT59" s="811" t="e">
        <f>X59/C59/D59</f>
        <v>#DIV/0!</v>
      </c>
      <c r="AU59" s="812" t="e">
        <f>AS59-AT59*AW59/(0.87*F59)</f>
        <v>#DIV/0!</v>
      </c>
      <c r="AV59" s="813">
        <f t="shared" si="87"/>
        <v>-1</v>
      </c>
      <c r="AW59" s="814"/>
      <c r="AX59" s="815">
        <f>(0.0035/(0.0055+0.87*F59/200000))</f>
        <v>0.45602605863192186</v>
      </c>
      <c r="AY59" s="811">
        <f>(0.36*E59)/(0.87*F59)*AX59</f>
        <v>1.8870043805458835E-2</v>
      </c>
      <c r="AZ59" s="813" t="e">
        <f>IF(AS59&lt;AY59,0.87*F59*AS59*(1-AS59*F59/E59), 0.87*F59*(AU59*(1-AU59*F59/E59)) + AT59*AW59*(1-AV59))</f>
        <v>#DIV/0!</v>
      </c>
      <c r="BA59" s="766"/>
      <c r="BB59" s="812" t="e">
        <f>AT59-AS59*AW59/(0.87*F59)</f>
        <v>#DIV/0!</v>
      </c>
      <c r="BC59" s="813" t="e">
        <f>IF(AT59&lt;AY59,0.87*F59*AT59*(1-AT59*F59/E59), 0.87*F59*(BB59*(1-BB59*F59/E59)) + AS59*AW59*(1-AV59))</f>
        <v>#DIV/0!</v>
      </c>
      <c r="BD59" s="811"/>
      <c r="BH59" s="701"/>
      <c r="BI59" s="698"/>
    </row>
    <row r="60" spans="2:61" s="448" customFormat="1" ht="16.5" hidden="1" thickBot="1" x14ac:dyDescent="0.3">
      <c r="B60" s="425">
        <f t="shared" si="73"/>
        <v>-6</v>
      </c>
      <c r="C60" s="404">
        <f>RxnCheck!N22</f>
        <v>0</v>
      </c>
      <c r="D60" s="404">
        <f>RxnCheck!O22</f>
        <v>0</v>
      </c>
      <c r="E60" s="404">
        <f>GeneralInput!$C$17</f>
        <v>50</v>
      </c>
      <c r="F60" s="404">
        <f>GeneralInput!$C$23</f>
        <v>500</v>
      </c>
      <c r="G60" s="418"/>
      <c r="H60" s="419">
        <f t="shared" si="96"/>
        <v>50</v>
      </c>
      <c r="I60" s="419">
        <f t="shared" si="74"/>
        <v>50</v>
      </c>
      <c r="J60" s="14"/>
      <c r="K60" s="29"/>
      <c r="L60" s="922"/>
      <c r="M60" s="946"/>
      <c r="N60" s="947"/>
      <c r="O60" s="948"/>
      <c r="P60" s="949"/>
      <c r="Q60" s="968">
        <f t="shared" si="93"/>
        <v>0</v>
      </c>
      <c r="R60" s="969" t="e">
        <f t="shared" si="75"/>
        <v>#DIV/0!</v>
      </c>
      <c r="S60" s="474" t="str">
        <f t="shared" si="97"/>
        <v>OK</v>
      </c>
      <c r="T60" s="946"/>
      <c r="U60" s="947"/>
      <c r="V60" s="948"/>
      <c r="W60" s="949"/>
      <c r="X60" s="740">
        <f>PI()/4*(T60*U60^2+V60*W60^2)</f>
        <v>0</v>
      </c>
      <c r="Y60" s="433" t="e">
        <f>IF(X60&gt;=L60, CONCATENATE("OK (",ROUND((X60/L60-1)*100,0),"%)"), "NOT OK")</f>
        <v>#DIV/0!</v>
      </c>
      <c r="Z60" s="474" t="str">
        <f>IF(AND((C60 - 2*25 - 2* AC60 - M60*N60 - O60*P60) / (T60+V60-1)&lt;=$O$8, (C60 - 2*25 - 2*AC60 - T60*U60 - V60*W60)/(T60+V60-1) &gt;= MAX(U60,W60,20+5)), "OK", "NOT-OK")</f>
        <v>OK</v>
      </c>
      <c r="AB60" s="973"/>
      <c r="AC60" s="974"/>
      <c r="AD60" s="975"/>
      <c r="AE60" s="424" t="e">
        <f t="shared" si="94"/>
        <v>#DIV/0!</v>
      </c>
      <c r="AF60" s="433" t="e">
        <f>IF(AE60&gt;=J60, CONCATENATE("OK (",ROUND((AE60/J60-1)*100,0),"%)"), "NOT OK")</f>
        <v>#DIV/0!</v>
      </c>
      <c r="AG60" s="477" t="str">
        <f t="shared" si="80"/>
        <v>NOT-OK</v>
      </c>
      <c r="AJ60" s="782" t="e">
        <f t="shared" si="81"/>
        <v>#DIV/0!</v>
      </c>
      <c r="AK60" s="766"/>
      <c r="AL60" s="766"/>
      <c r="AM60" s="766"/>
      <c r="AN60" s="766"/>
      <c r="AO60" s="776" t="e">
        <f>AZ60*C60*AR60^2/1000000</f>
        <v>#DIV/0!</v>
      </c>
      <c r="AP60" s="776" t="e">
        <f t="shared" si="95"/>
        <v>#DIV/0!</v>
      </c>
      <c r="AQ60" s="766"/>
      <c r="AR60" s="773">
        <f t="shared" si="83"/>
        <v>-25</v>
      </c>
      <c r="AS60" s="811" t="e">
        <f>Q60/C60/D60</f>
        <v>#DIV/0!</v>
      </c>
      <c r="AT60" s="811" t="e">
        <f>X60/C60/D60</f>
        <v>#DIV/0!</v>
      </c>
      <c r="AU60" s="812" t="e">
        <f>AS60-AT60*AW60/(0.87*F60)</f>
        <v>#DIV/0!</v>
      </c>
      <c r="AV60" s="813">
        <f t="shared" si="87"/>
        <v>-1</v>
      </c>
      <c r="AW60" s="814"/>
      <c r="AX60" s="815">
        <f>(0.0035/(0.0055+0.87*F60/200000))</f>
        <v>0.45602605863192186</v>
      </c>
      <c r="AY60" s="811">
        <f>(0.36*E60)/(0.87*F60)*AX60</f>
        <v>1.8870043805458835E-2</v>
      </c>
      <c r="AZ60" s="813" t="e">
        <f>IF(AS60&lt;AY60,0.87*F60*AS60*(1-AS60*F60/E60), 0.87*F60*(AU60*(1-AU60*F60/E60)) + AT60*AW60*(1-AV60))</f>
        <v>#DIV/0!</v>
      </c>
      <c r="BA60" s="766"/>
      <c r="BB60" s="812" t="e">
        <f>AT60-AS60*AW60/(0.87*F60)</f>
        <v>#DIV/0!</v>
      </c>
      <c r="BC60" s="813" t="e">
        <f>IF(AT60&lt;AY60,0.87*F60*AT60*(1-AT60*F60/E60), 0.87*F60*(BB60*(1-BB60*F60/E60)) + AS60*AW60*(1-AV60))</f>
        <v>#DIV/0!</v>
      </c>
      <c r="BD60" s="811"/>
      <c r="BH60" s="701"/>
      <c r="BI60" s="698"/>
    </row>
    <row r="61" spans="2:61" s="448" customFormat="1" ht="16.5" customHeight="1" thickBot="1" x14ac:dyDescent="0.25">
      <c r="B61" s="400"/>
      <c r="C61" s="400"/>
      <c r="D61" s="400"/>
      <c r="E61" s="400"/>
      <c r="F61" s="418"/>
      <c r="G61" s="418"/>
      <c r="H61" s="418"/>
      <c r="I61" s="418"/>
      <c r="J61" s="400"/>
      <c r="K61" s="400"/>
      <c r="L61" s="400"/>
      <c r="M61" s="400"/>
      <c r="N61" s="400"/>
      <c r="O61" s="400"/>
      <c r="P61" s="400"/>
      <c r="Q61" s="400"/>
      <c r="R61" s="400"/>
      <c r="S61" s="953"/>
      <c r="T61" s="400"/>
      <c r="U61" s="400"/>
      <c r="V61" s="400"/>
      <c r="W61" s="400"/>
      <c r="X61" s="954"/>
      <c r="Y61" s="952"/>
      <c r="Z61" s="953"/>
      <c r="AA61" s="925"/>
      <c r="AB61" s="400"/>
      <c r="AC61" s="400"/>
      <c r="AD61" s="400"/>
      <c r="AE61" s="737"/>
      <c r="AF61" s="737"/>
      <c r="AG61" s="738"/>
      <c r="AJ61" s="766"/>
      <c r="AK61" s="766"/>
      <c r="AL61" s="766"/>
      <c r="AM61" s="766"/>
      <c r="AN61" s="766"/>
      <c r="AO61" s="773"/>
      <c r="AP61" s="773"/>
      <c r="AQ61" s="766"/>
      <c r="AR61" s="766"/>
      <c r="AS61" s="811"/>
      <c r="AT61" s="811"/>
      <c r="AU61" s="766"/>
      <c r="AV61" s="766"/>
      <c r="AW61" s="814"/>
      <c r="AX61" s="766"/>
      <c r="AY61" s="766"/>
      <c r="AZ61" s="766"/>
      <c r="BA61" s="766"/>
      <c r="BB61" s="766"/>
      <c r="BC61" s="766"/>
      <c r="BD61" s="811"/>
    </row>
    <row r="62" spans="2:61" s="448" customFormat="1" ht="16.5" customHeight="1" x14ac:dyDescent="0.2">
      <c r="B62" s="400"/>
      <c r="C62" s="400"/>
      <c r="D62" s="400"/>
      <c r="E62" s="400"/>
      <c r="F62" s="418"/>
      <c r="G62" s="418"/>
      <c r="H62" s="418"/>
      <c r="I62" s="418"/>
      <c r="J62" s="400"/>
      <c r="K62" s="400"/>
      <c r="L62" s="400"/>
      <c r="M62" s="400"/>
      <c r="N62" s="400"/>
      <c r="O62" s="400"/>
      <c r="P62" s="400"/>
      <c r="Q62" s="400"/>
      <c r="R62" s="400"/>
      <c r="S62" s="418"/>
      <c r="T62" s="400"/>
      <c r="U62" s="400"/>
      <c r="V62" s="400"/>
      <c r="W62" s="400"/>
      <c r="X62" s="418"/>
      <c r="Y62" s="418"/>
      <c r="Z62" s="418"/>
      <c r="AB62" s="400"/>
      <c r="AC62" s="400"/>
      <c r="AD62" s="400"/>
      <c r="AE62" s="400"/>
      <c r="AF62" s="400"/>
      <c r="AG62" s="400"/>
      <c r="AJ62" s="766"/>
      <c r="AK62" s="766"/>
      <c r="AL62" s="766"/>
      <c r="AM62" s="766"/>
      <c r="AN62" s="766"/>
      <c r="AO62" s="773"/>
      <c r="AP62" s="773"/>
      <c r="AQ62" s="766"/>
      <c r="AR62" s="766"/>
      <c r="AS62" s="811"/>
      <c r="AT62" s="811"/>
      <c r="AU62" s="766"/>
      <c r="AV62" s="766"/>
      <c r="AW62" s="814"/>
      <c r="AX62" s="766"/>
      <c r="AY62" s="766"/>
      <c r="AZ62" s="766"/>
      <c r="BA62" s="766"/>
      <c r="BB62" s="766"/>
      <c r="BC62" s="766"/>
      <c r="BD62" s="766"/>
    </row>
    <row r="63" spans="2:61" s="448" customFormat="1" ht="16.5" customHeight="1" x14ac:dyDescent="0.25">
      <c r="B63" s="411" t="s">
        <v>287</v>
      </c>
      <c r="C63" s="415"/>
      <c r="D63" s="415"/>
      <c r="E63" s="415"/>
      <c r="F63" s="415"/>
      <c r="G63" s="415"/>
      <c r="H63" s="415"/>
      <c r="I63" s="415"/>
      <c r="J63" s="445"/>
      <c r="K63" s="445"/>
      <c r="L63" s="445"/>
      <c r="M63" s="415"/>
      <c r="N63" s="416" t="s">
        <v>288</v>
      </c>
      <c r="O63" s="416"/>
      <c r="P63" s="415"/>
      <c r="Q63" s="416"/>
      <c r="R63" s="415"/>
      <c r="S63" s="415"/>
      <c r="T63" s="415"/>
      <c r="U63" s="416"/>
      <c r="V63" s="416"/>
      <c r="W63" s="415"/>
      <c r="X63" s="415"/>
      <c r="Y63" s="415"/>
      <c r="Z63" s="415"/>
      <c r="AB63" s="415"/>
      <c r="AC63" s="416"/>
      <c r="AD63" s="415"/>
      <c r="AE63" s="415"/>
      <c r="AF63" s="415"/>
      <c r="AG63" s="412"/>
      <c r="AJ63" s="766"/>
      <c r="AK63" s="766"/>
      <c r="AL63" s="766"/>
      <c r="AM63" s="766"/>
      <c r="AN63" s="766"/>
      <c r="AO63" s="773"/>
      <c r="AP63" s="773"/>
      <c r="AQ63" s="766"/>
      <c r="AR63" s="766"/>
      <c r="AS63" s="800" t="s">
        <v>288</v>
      </c>
      <c r="AT63" s="811"/>
      <c r="AU63" s="766"/>
      <c r="AV63" s="766"/>
      <c r="AW63" s="814"/>
      <c r="AX63" s="766"/>
      <c r="AY63" s="766"/>
      <c r="AZ63" s="766"/>
      <c r="BA63" s="766"/>
      <c r="BB63" s="766"/>
      <c r="BC63" s="766"/>
      <c r="BD63" s="766"/>
    </row>
    <row r="64" spans="2:61" s="448" customFormat="1" ht="16.5" customHeight="1" thickBot="1" x14ac:dyDescent="0.25">
      <c r="B64" s="447"/>
      <c r="C64" s="400"/>
      <c r="D64" s="400"/>
      <c r="E64" s="400"/>
      <c r="F64" s="421"/>
      <c r="G64" s="421"/>
      <c r="H64" s="421"/>
      <c r="I64" s="421"/>
      <c r="J64" s="400"/>
      <c r="K64" s="400"/>
      <c r="L64" s="400"/>
      <c r="M64" s="737" t="s">
        <v>289</v>
      </c>
      <c r="N64" s="737"/>
      <c r="O64" s="737" t="s">
        <v>290</v>
      </c>
      <c r="P64" s="737"/>
      <c r="Q64" s="737"/>
      <c r="R64" s="737"/>
      <c r="S64" s="421"/>
      <c r="T64" s="737"/>
      <c r="U64" s="737"/>
      <c r="V64" s="958"/>
      <c r="W64" s="737"/>
      <c r="X64" s="421"/>
      <c r="Y64" s="421"/>
      <c r="Z64" s="421"/>
      <c r="AB64" s="737"/>
      <c r="AC64" s="737"/>
      <c r="AD64" s="737"/>
      <c r="AE64" s="400"/>
      <c r="AF64" s="400"/>
      <c r="AJ64" s="766"/>
      <c r="AK64" s="766"/>
      <c r="AL64" s="766"/>
      <c r="AM64" s="766"/>
      <c r="AN64" s="766"/>
      <c r="AO64" s="773"/>
      <c r="AP64" s="773"/>
      <c r="AQ64" s="766"/>
      <c r="AR64" s="766"/>
      <c r="AS64" s="811"/>
      <c r="AT64" s="811"/>
      <c r="AU64" s="766"/>
      <c r="AV64" s="766"/>
      <c r="AW64" s="814"/>
      <c r="AX64" s="766"/>
      <c r="AY64" s="766"/>
      <c r="AZ64" s="766"/>
      <c r="BA64" s="766"/>
      <c r="BB64" s="766"/>
      <c r="BC64" s="766"/>
      <c r="BD64" s="766"/>
    </row>
    <row r="65" spans="2:56" s="448" customFormat="1" ht="16.5" customHeight="1" x14ac:dyDescent="0.25">
      <c r="B65" s="425">
        <f>B49</f>
        <v>5</v>
      </c>
      <c r="C65" s="404">
        <f>RxnCheck!P11</f>
        <v>400</v>
      </c>
      <c r="D65" s="404">
        <f>RxnCheck!Q11</f>
        <v>750</v>
      </c>
      <c r="E65" s="404">
        <f>GeneralInput!$C$17</f>
        <v>50</v>
      </c>
      <c r="F65" s="404">
        <f>GeneralInput!$C$23</f>
        <v>500</v>
      </c>
      <c r="G65" s="419">
        <v>2</v>
      </c>
      <c r="H65" s="419">
        <f>IF(OR($J$8 = 2, $J$8 = 3, $J$8 = 4),(C65 - 2*25 - 2*AC65 - 4*N65)/(4-1),"-")</f>
        <v>83.333333333333329</v>
      </c>
      <c r="I65" s="419">
        <f t="shared" ref="I65:I76" si="98">IF(OR($J$8 = 2, $J$8 = 3, $J$8 = 4),(C65 - 2*25 - 2*AC65 - T65*U65 - V65*W65)/(T65+V65-1),"-")</f>
        <v>80</v>
      </c>
      <c r="J65" s="14">
        <v>1746</v>
      </c>
      <c r="K65" s="14">
        <v>1957</v>
      </c>
      <c r="L65" s="14">
        <v>1511</v>
      </c>
      <c r="M65" s="440">
        <v>4</v>
      </c>
      <c r="N65" s="441">
        <v>20</v>
      </c>
      <c r="O65" s="442">
        <v>4</v>
      </c>
      <c r="P65" s="443">
        <v>16</v>
      </c>
      <c r="Q65" s="432">
        <f>PI()/4*(M65*N65^2+O65*P65^2)</f>
        <v>2060.8847807549041</v>
      </c>
      <c r="R65" s="433" t="str">
        <f>IF(Q65&gt;=K65, CONCATENATE("OK (",ROUND((Q65/K65-1)*100,0),"%)"), "NOT OK")</f>
        <v>OK (5%)</v>
      </c>
      <c r="S65" s="471" t="str">
        <f>IF(AND((C65 - 2*25 - 2* AC65 - 2*0.5*N65) / (4-1)&lt;=$O$8, (C65 - 2*25 - 2*AC65 - 4*N65)/(4-1) &gt;= MAX(N65,P65,20+5)), "OK", "NOT-OK")</f>
        <v>OK</v>
      </c>
      <c r="T65" s="440">
        <v>2</v>
      </c>
      <c r="U65" s="441">
        <v>25</v>
      </c>
      <c r="V65" s="442">
        <v>2</v>
      </c>
      <c r="W65" s="443">
        <v>20</v>
      </c>
      <c r="X65" s="955">
        <f t="shared" ref="X65:X75" si="99">PI()/4*(T65*U65^2+V65*W65^2)</f>
        <v>1610.0662349647689</v>
      </c>
      <c r="Y65" s="470" t="str">
        <f t="shared" ref="Y65:Y75" si="100">IF(X65&gt;=L65, CONCATENATE("OK (",ROUND((X65/L65-1)*100,0),"%)"), "NOT OK")</f>
        <v>OK (7%)</v>
      </c>
      <c r="Z65" s="471" t="str">
        <f t="shared" ref="Z65:Z75" si="101">IF(AND((C65 - 2*25 - 2* AC65 - 2*0.5*U65) / (T65+V65-1)&lt;=$O$8, (C65 - 2*25 - 2*AC65 - T65*U65 - V65*W65)/(T65+V65-1) &gt;= MAX(U65,W65,20+5)), "OK", "NOT-OK")</f>
        <v>OK</v>
      </c>
      <c r="AA65" s="957"/>
      <c r="AB65" s="976">
        <v>4</v>
      </c>
      <c r="AC65" s="977">
        <v>10</v>
      </c>
      <c r="AD65" s="978">
        <v>150</v>
      </c>
      <c r="AE65" s="924">
        <f>AB65*PI()/4*AC65^2*1000/AD65</f>
        <v>2094.3951023931954</v>
      </c>
      <c r="AF65" s="470" t="str">
        <f t="shared" ref="AF65:AF75" si="102">IF(AE65&gt;=J65, CONCATENATE("OK (",ROUND((AE65/J65-1)*100,0),"%)"), "NOT OK")</f>
        <v>OK (20%)</v>
      </c>
      <c r="AG65" s="866" t="str">
        <f t="shared" ref="AG65:AG76" si="103">IF(AD65&lt;MIN(0.25*(D65-25-AC65-N65),8*MIN(N65,P65)), "OK","NOT-OK")</f>
        <v>NOT-OK</v>
      </c>
      <c r="AJ65" s="771">
        <f t="shared" ref="AJ65:AJ76" si="104">AB65*PI()*AC65^2/4/AD65/C65</f>
        <v>5.235987755982989E-3</v>
      </c>
      <c r="AK65" s="766"/>
      <c r="AL65" s="766"/>
      <c r="AM65" s="766"/>
      <c r="AN65" s="766"/>
      <c r="AO65" s="802">
        <f t="shared" ref="AO65:AO70" si="105">AZ65*C65*AR65^2/1000000</f>
        <v>553.2881050644487</v>
      </c>
      <c r="AP65" s="802">
        <f>AO65/2</f>
        <v>276.64405253222435</v>
      </c>
      <c r="AQ65" s="766"/>
      <c r="AR65" s="803">
        <f t="shared" ref="AR65:AR76" si="106">(D65- ($Q$8+AC65+N65/2))</f>
        <v>705</v>
      </c>
      <c r="AS65" s="804">
        <f t="shared" ref="AS65:AS70" si="107">Q65/C65/D65</f>
        <v>6.8696159358496798E-3</v>
      </c>
      <c r="AT65" s="804">
        <f t="shared" ref="AT65:AT70" si="108">X65/C65/D65</f>
        <v>5.3668874498825625E-3</v>
      </c>
      <c r="AU65" s="805">
        <f t="shared" ref="AU65:AU70" si="109">AS65-AT65*AW65/(0.87*F65)</f>
        <v>6.8696159358496798E-3</v>
      </c>
      <c r="AV65" s="806">
        <f t="shared" ref="AV65:AV76" si="110">($Q$8+AC65+N65/2) / AR65</f>
        <v>6.3829787234042548E-2</v>
      </c>
      <c r="AW65" s="807"/>
      <c r="AX65" s="808">
        <f t="shared" ref="AX65:AX70" si="111">(0.0035/(0.0055+0.87*F65/200000))</f>
        <v>0.45602605863192186</v>
      </c>
      <c r="AY65" s="804">
        <f t="shared" ref="AY65:AY70" si="112">(0.36*E65)/(0.87*F65)*AX65</f>
        <v>1.8870043805458835E-2</v>
      </c>
      <c r="AZ65" s="809">
        <f t="shared" ref="AZ65:AZ70" si="113">IF(AS65&lt;AY65,0.87*F65*AS65*(1-AS65*F65/E65), 0.87*F65*(AU65*(1-AU65*F65/E65)) + AT65*AW65*(1-AV65))</f>
        <v>2.7829993715831631</v>
      </c>
      <c r="BA65" s="766"/>
      <c r="BB65" s="810">
        <f t="shared" ref="BB65:BB70" si="114">AT65-AS65*AW65/(0.87*F65)</f>
        <v>5.3668874498825625E-3</v>
      </c>
      <c r="BC65" s="809">
        <f t="shared" ref="BC65:BC70" si="115">IF(AT65&lt;AY65,0.87*F65*AT65*(1-AT65*F65/E65), 0.87*F65*(BB65*(1-BB65*F65/E65)) + AS65*AW65*(1-AV65))</f>
        <v>2.2093008987851896</v>
      </c>
      <c r="BD65" s="766"/>
    </row>
    <row r="66" spans="2:56" s="448" customFormat="1" ht="16.5" customHeight="1" x14ac:dyDescent="0.25">
      <c r="B66" s="425">
        <f t="shared" ref="B66:B76" si="116">B50</f>
        <v>4</v>
      </c>
      <c r="C66" s="404">
        <f>RxnCheck!P12</f>
        <v>400</v>
      </c>
      <c r="D66" s="404">
        <f>RxnCheck!Q12</f>
        <v>750</v>
      </c>
      <c r="E66" s="404">
        <f>GeneralInput!$C$17</f>
        <v>50</v>
      </c>
      <c r="F66" s="404">
        <f>GeneralInput!$C$23</f>
        <v>500</v>
      </c>
      <c r="G66" s="419">
        <v>2</v>
      </c>
      <c r="H66" s="419">
        <f>IF(OR($J$8 = 2, $J$8 = 3, $J$8 = 4),(C66 - 2*25 - 2*AC66 - 4*N66)/(4-1),"-")</f>
        <v>76.666666666666671</v>
      </c>
      <c r="I66" s="419">
        <f t="shared" si="98"/>
        <v>80</v>
      </c>
      <c r="J66" s="14">
        <v>1947</v>
      </c>
      <c r="K66" s="14">
        <v>2592</v>
      </c>
      <c r="L66" s="14">
        <v>1530</v>
      </c>
      <c r="M66" s="440">
        <v>2</v>
      </c>
      <c r="N66" s="441">
        <v>25</v>
      </c>
      <c r="O66" s="442">
        <v>6</v>
      </c>
      <c r="P66" s="443">
        <v>20</v>
      </c>
      <c r="Q66" s="432">
        <f>PI()/4*(M66*N66^2+O66*P66^2)</f>
        <v>2866.7032964006862</v>
      </c>
      <c r="R66" s="433" t="str">
        <f>IF(Q66&gt;=K66, CONCATENATE("OK (",ROUND((Q66/K66-1)*100,0),"%)"), "NOT OK")</f>
        <v>OK (11%)</v>
      </c>
      <c r="S66" s="474" t="str">
        <f>IF(AND((C66 - 2*25 - 2* AC66 - 2*0.5*N66) / (4-1)&lt;=$O$8, (C66 - 2*25 - 2*AC66 - 4*N66)/(4-1) &gt;= MAX(N66,P66,20+5)), "OK", "NOT-OK")</f>
        <v>OK</v>
      </c>
      <c r="T66" s="440">
        <v>2</v>
      </c>
      <c r="U66" s="441">
        <v>25</v>
      </c>
      <c r="V66" s="442">
        <v>2</v>
      </c>
      <c r="W66" s="443">
        <v>20</v>
      </c>
      <c r="X66" s="740">
        <f t="shared" si="99"/>
        <v>1610.0662349647689</v>
      </c>
      <c r="Y66" s="433" t="str">
        <f t="shared" si="100"/>
        <v>OK (5%)</v>
      </c>
      <c r="Z66" s="474" t="str">
        <f t="shared" si="101"/>
        <v>OK</v>
      </c>
      <c r="AA66" s="694"/>
      <c r="AB66" s="475">
        <v>4</v>
      </c>
      <c r="AC66" s="476">
        <v>10</v>
      </c>
      <c r="AD66" s="478">
        <v>125</v>
      </c>
      <c r="AE66" s="424">
        <f t="shared" ref="AE66:AE76" si="117">AB66*PI()/4*AC66^2*1000/AD66</f>
        <v>2513.2741228718346</v>
      </c>
      <c r="AF66" s="433" t="str">
        <f t="shared" si="102"/>
        <v>OK (29%)</v>
      </c>
      <c r="AG66" s="477" t="str">
        <f t="shared" si="103"/>
        <v>OK</v>
      </c>
      <c r="AJ66" s="777">
        <f t="shared" si="104"/>
        <v>6.2831853071795866E-3</v>
      </c>
      <c r="AK66" s="766"/>
      <c r="AL66" s="766"/>
      <c r="AM66" s="766"/>
      <c r="AN66" s="766"/>
      <c r="AO66" s="776">
        <f t="shared" si="105"/>
        <v>742.13806182083795</v>
      </c>
      <c r="AP66" s="776">
        <f>AO66/2</f>
        <v>371.06903091041897</v>
      </c>
      <c r="AQ66" s="766"/>
      <c r="AR66" s="772">
        <f t="shared" si="106"/>
        <v>702.5</v>
      </c>
      <c r="AS66" s="811">
        <f t="shared" si="107"/>
        <v>9.555677654668953E-3</v>
      </c>
      <c r="AT66" s="811">
        <f t="shared" si="108"/>
        <v>5.3668874498825625E-3</v>
      </c>
      <c r="AU66" s="812">
        <f t="shared" si="109"/>
        <v>9.555677654668953E-3</v>
      </c>
      <c r="AV66" s="813">
        <f t="shared" si="110"/>
        <v>6.7615658362989328E-2</v>
      </c>
      <c r="AW66" s="814"/>
      <c r="AX66" s="815">
        <f t="shared" si="111"/>
        <v>0.45602605863192186</v>
      </c>
      <c r="AY66" s="811">
        <f t="shared" si="112"/>
        <v>1.8870043805458835E-2</v>
      </c>
      <c r="AZ66" s="780">
        <f t="shared" si="113"/>
        <v>3.759517036617257</v>
      </c>
      <c r="BA66" s="766"/>
      <c r="BB66" s="816">
        <f t="shared" si="114"/>
        <v>5.3668874498825625E-3</v>
      </c>
      <c r="BC66" s="780">
        <f t="shared" si="115"/>
        <v>2.2093008987851896</v>
      </c>
      <c r="BD66" s="766"/>
    </row>
    <row r="67" spans="2:56" s="448" customFormat="1" ht="16.5" customHeight="1" x14ac:dyDescent="0.25">
      <c r="B67" s="425">
        <f t="shared" si="116"/>
        <v>3</v>
      </c>
      <c r="C67" s="404">
        <f>RxnCheck!P13</f>
        <v>400</v>
      </c>
      <c r="D67" s="404">
        <f>RxnCheck!Q13</f>
        <v>750</v>
      </c>
      <c r="E67" s="404">
        <f>GeneralInput!$C$17</f>
        <v>50</v>
      </c>
      <c r="F67" s="404">
        <f>GeneralInput!$C$23</f>
        <v>500</v>
      </c>
      <c r="G67" s="419">
        <v>2</v>
      </c>
      <c r="H67" s="419">
        <f>IF(OR($J$8 = 2, $J$8 = 3, $J$8 = 4),(C67 - 2*25 - 2*AC67 - 4*N67)/(4-1),"-")</f>
        <v>76.666666666666671</v>
      </c>
      <c r="I67" s="419">
        <f t="shared" si="98"/>
        <v>80</v>
      </c>
      <c r="J67" s="14">
        <v>2122</v>
      </c>
      <c r="K67" s="14">
        <v>3170</v>
      </c>
      <c r="L67" s="14">
        <v>1585</v>
      </c>
      <c r="M67" s="440">
        <v>6</v>
      </c>
      <c r="N67" s="441">
        <v>25</v>
      </c>
      <c r="O67" s="442">
        <v>2</v>
      </c>
      <c r="P67" s="443">
        <v>16</v>
      </c>
      <c r="Q67" s="432">
        <f>PI()/4*(M67*N67^2+O67*P67^2)</f>
        <v>3347.3669723999246</v>
      </c>
      <c r="R67" s="433" t="str">
        <f>IF(Q67&gt;=K67, CONCATENATE("OK (",ROUND((Q67/K67-1)*100,0),"%)"), "NOT OK")</f>
        <v>OK (6%)</v>
      </c>
      <c r="S67" s="474" t="str">
        <f>IF(AND((C67 - 2*25 - 2* AC67 - 2*0.5*N67) / (4-1)&lt;=$O$8, (C67 - 2*25 - 2*AC67 - 4*N67)/(4-1) &gt;= MAX(N67,P67,20+5)), "OK", "NOT-OK")</f>
        <v>OK</v>
      </c>
      <c r="T67" s="440">
        <v>2</v>
      </c>
      <c r="U67" s="441">
        <v>25</v>
      </c>
      <c r="V67" s="442">
        <v>2</v>
      </c>
      <c r="W67" s="443">
        <v>20</v>
      </c>
      <c r="X67" s="740">
        <f t="shared" si="99"/>
        <v>1610.0662349647689</v>
      </c>
      <c r="Y67" s="433" t="str">
        <f t="shared" si="100"/>
        <v>OK (2%)</v>
      </c>
      <c r="Z67" s="474" t="str">
        <f t="shared" si="101"/>
        <v>OK</v>
      </c>
      <c r="AA67" s="694"/>
      <c r="AB67" s="475">
        <v>4</v>
      </c>
      <c r="AC67" s="476">
        <v>10</v>
      </c>
      <c r="AD67" s="478">
        <v>125</v>
      </c>
      <c r="AE67" s="424">
        <f t="shared" si="117"/>
        <v>2513.2741228718346</v>
      </c>
      <c r="AF67" s="433" t="str">
        <f t="shared" si="102"/>
        <v>OK (18%)</v>
      </c>
      <c r="AG67" s="477" t="str">
        <f t="shared" si="103"/>
        <v>OK</v>
      </c>
      <c r="AJ67" s="777">
        <f t="shared" si="104"/>
        <v>6.2831853071795866E-3</v>
      </c>
      <c r="AK67" s="766"/>
      <c r="AL67" s="766"/>
      <c r="AM67" s="766"/>
      <c r="AN67" s="766"/>
      <c r="AO67" s="776">
        <f t="shared" si="105"/>
        <v>851.2220056472936</v>
      </c>
      <c r="AP67" s="776">
        <f>AO67/2</f>
        <v>425.6110028236468</v>
      </c>
      <c r="AQ67" s="766"/>
      <c r="AR67" s="772">
        <f t="shared" si="106"/>
        <v>702.5</v>
      </c>
      <c r="AS67" s="811">
        <f t="shared" si="107"/>
        <v>1.1157889907999747E-2</v>
      </c>
      <c r="AT67" s="811">
        <f t="shared" si="108"/>
        <v>5.3668874498825625E-3</v>
      </c>
      <c r="AU67" s="812">
        <f t="shared" si="109"/>
        <v>1.1157889907999747E-2</v>
      </c>
      <c r="AV67" s="813">
        <f t="shared" si="110"/>
        <v>6.7615658362989328E-2</v>
      </c>
      <c r="AW67" s="814"/>
      <c r="AX67" s="815">
        <f t="shared" si="111"/>
        <v>0.45602605863192186</v>
      </c>
      <c r="AY67" s="811">
        <f t="shared" si="112"/>
        <v>1.8870043805458835E-2</v>
      </c>
      <c r="AZ67" s="780">
        <f t="shared" si="113"/>
        <v>4.3121136036640548</v>
      </c>
      <c r="BA67" s="766"/>
      <c r="BB67" s="816">
        <f t="shared" si="114"/>
        <v>5.3668874498825625E-3</v>
      </c>
      <c r="BC67" s="780">
        <f t="shared" si="115"/>
        <v>2.2093008987851896</v>
      </c>
      <c r="BD67" s="766"/>
    </row>
    <row r="68" spans="2:56" s="448" customFormat="1" ht="16.5" customHeight="1" x14ac:dyDescent="0.25">
      <c r="B68" s="425">
        <f t="shared" si="116"/>
        <v>2</v>
      </c>
      <c r="C68" s="404">
        <f>RxnCheck!P14</f>
        <v>400</v>
      </c>
      <c r="D68" s="404">
        <f>RxnCheck!Q14</f>
        <v>750</v>
      </c>
      <c r="E68" s="404">
        <f>GeneralInput!$C$17</f>
        <v>50</v>
      </c>
      <c r="F68" s="404">
        <f>GeneralInput!$C$23</f>
        <v>500</v>
      </c>
      <c r="G68" s="418">
        <v>2</v>
      </c>
      <c r="H68" s="419">
        <f>IF(OR($J$8 = 2, $J$8 = 3, $J$8 = 4),(C68 - 2*25 - 2*AC68 - 4*N68)/(4-1),"-")</f>
        <v>76.666666666666671</v>
      </c>
      <c r="I68" s="419">
        <f t="shared" si="98"/>
        <v>76.666666666666671</v>
      </c>
      <c r="J68" s="14">
        <v>2213</v>
      </c>
      <c r="K68" s="14">
        <v>3482</v>
      </c>
      <c r="L68" s="14">
        <v>1741</v>
      </c>
      <c r="M68" s="440">
        <v>6</v>
      </c>
      <c r="N68" s="441">
        <v>25</v>
      </c>
      <c r="O68" s="442">
        <v>2</v>
      </c>
      <c r="P68" s="443">
        <v>20</v>
      </c>
      <c r="Q68" s="432">
        <f>PI()/4*(M68*N68^2+O68*P68^2)</f>
        <v>3573.5616434583899</v>
      </c>
      <c r="R68" s="433" t="str">
        <f>IF(Q68&gt;=K68, CONCATENATE("OK (",ROUND((Q68/K68-1)*100,0),"%)"), "NOT OK")</f>
        <v>OK (3%)</v>
      </c>
      <c r="S68" s="474" t="str">
        <f>IF(AND((C68 - 2*25 - 2* AC68 - 2*0.5*N68) / (4-1)&lt;=$O$8, (C68 - 2*25 - 2*AC68 - 4*N68)/(4-1) &gt;= MAX(N68,P68,20+5)), "OK", "NOT-OK")</f>
        <v>OK</v>
      </c>
      <c r="T68" s="440">
        <v>2</v>
      </c>
      <c r="U68" s="441">
        <v>25</v>
      </c>
      <c r="V68" s="442">
        <v>2</v>
      </c>
      <c r="W68" s="443">
        <v>25</v>
      </c>
      <c r="X68" s="740">
        <f t="shared" si="99"/>
        <v>1963.4954084936207</v>
      </c>
      <c r="Y68" s="433" t="str">
        <f t="shared" si="100"/>
        <v>OK (13%)</v>
      </c>
      <c r="Z68" s="474" t="str">
        <f t="shared" si="101"/>
        <v>OK</v>
      </c>
      <c r="AA68" s="694"/>
      <c r="AB68" s="1023">
        <v>4</v>
      </c>
      <c r="AC68" s="476">
        <v>10</v>
      </c>
      <c r="AD68" s="478">
        <v>125</v>
      </c>
      <c r="AE68" s="424">
        <f t="shared" si="117"/>
        <v>2513.2741228718346</v>
      </c>
      <c r="AF68" s="433" t="str">
        <f t="shared" si="102"/>
        <v>OK (14%)</v>
      </c>
      <c r="AG68" s="477" t="str">
        <f t="shared" si="103"/>
        <v>OK</v>
      </c>
      <c r="AJ68" s="777">
        <f t="shared" si="104"/>
        <v>6.2831853071795866E-3</v>
      </c>
      <c r="AK68" s="766"/>
      <c r="AL68" s="766"/>
      <c r="AM68" s="766"/>
      <c r="AN68" s="766"/>
      <c r="AO68" s="776">
        <f t="shared" si="105"/>
        <v>901.03011944318644</v>
      </c>
      <c r="AP68" s="776">
        <f>AO68/2</f>
        <v>450.51505972159322</v>
      </c>
      <c r="AQ68" s="766"/>
      <c r="AR68" s="772">
        <f t="shared" si="106"/>
        <v>702.5</v>
      </c>
      <c r="AS68" s="811">
        <f t="shared" si="107"/>
        <v>1.1911872144861299E-2</v>
      </c>
      <c r="AT68" s="811">
        <f t="shared" si="108"/>
        <v>6.5449846949787362E-3</v>
      </c>
      <c r="AU68" s="812">
        <f t="shared" si="109"/>
        <v>1.1911872144861299E-2</v>
      </c>
      <c r="AV68" s="813">
        <f t="shared" si="110"/>
        <v>6.7615658362989328E-2</v>
      </c>
      <c r="AW68" s="814"/>
      <c r="AX68" s="815">
        <f t="shared" si="111"/>
        <v>0.45602605863192186</v>
      </c>
      <c r="AY68" s="811">
        <f t="shared" si="112"/>
        <v>1.8870043805458835E-2</v>
      </c>
      <c r="AZ68" s="780">
        <f t="shared" si="113"/>
        <v>4.5644311467341421</v>
      </c>
      <c r="BA68" s="766"/>
      <c r="BB68" s="816">
        <f t="shared" si="114"/>
        <v>6.5449846949787362E-3</v>
      </c>
      <c r="BC68" s="780">
        <f t="shared" si="115"/>
        <v>2.6607281550555992</v>
      </c>
      <c r="BD68" s="766"/>
    </row>
    <row r="69" spans="2:56" s="448" customFormat="1" ht="16.5" thickBot="1" x14ac:dyDescent="0.3">
      <c r="B69" s="425">
        <f t="shared" si="116"/>
        <v>1</v>
      </c>
      <c r="C69" s="404">
        <f>RxnCheck!P15</f>
        <v>400</v>
      </c>
      <c r="D69" s="404">
        <f>RxnCheck!Q15</f>
        <v>750</v>
      </c>
      <c r="E69" s="404">
        <f>GeneralInput!$C$17</f>
        <v>50</v>
      </c>
      <c r="F69" s="404">
        <f>GeneralInput!$C$23</f>
        <v>500</v>
      </c>
      <c r="G69" s="418">
        <v>2</v>
      </c>
      <c r="H69" s="419">
        <f>IF(OR($J$8 = 2, $J$8 = 3, $J$8 = 4),(C69 - 2*25 - 2*AC69 - 4*N69)/(4-1),"-")</f>
        <v>76.666666666666671</v>
      </c>
      <c r="I69" s="419">
        <f t="shared" si="98"/>
        <v>76.666666666666671</v>
      </c>
      <c r="J69" s="14">
        <v>2169</v>
      </c>
      <c r="K69" s="14">
        <v>3331</v>
      </c>
      <c r="L69" s="14">
        <v>1666</v>
      </c>
      <c r="M69" s="440">
        <v>6</v>
      </c>
      <c r="N69" s="441">
        <v>25</v>
      </c>
      <c r="O69" s="442">
        <v>2</v>
      </c>
      <c r="P69" s="443">
        <v>16</v>
      </c>
      <c r="Q69" s="432">
        <f>PI()/4*(M69*N69^2+O69*P69^2)</f>
        <v>3347.3669723999246</v>
      </c>
      <c r="R69" s="433" t="str">
        <f>IF(Q69&gt;=K69, CONCATENATE("OK (",ROUND((Q69/K69-1)*100,0),"%)"), "NOT OK")</f>
        <v>OK (0%)</v>
      </c>
      <c r="S69" s="1055" t="str">
        <f>IF(AND((C69 - 2*25 - 2* AC69 - 2*0.5*N69) / (4-1)&lt;=$O$8, (C69 - 2*25 - 2*AC69 - 4*N69)/(4-1) &gt;= MAX(N69,P69,20+5)), "OK", "NOT-OK")</f>
        <v>OK</v>
      </c>
      <c r="T69" s="440">
        <v>2</v>
      </c>
      <c r="U69" s="441">
        <v>25</v>
      </c>
      <c r="V69" s="442">
        <v>2</v>
      </c>
      <c r="W69" s="443">
        <v>25</v>
      </c>
      <c r="X69" s="740">
        <f t="shared" si="99"/>
        <v>1963.4954084936207</v>
      </c>
      <c r="Y69" s="433" t="str">
        <f t="shared" si="100"/>
        <v>OK (18%)</v>
      </c>
      <c r="Z69" s="474" t="str">
        <f t="shared" si="101"/>
        <v>OK</v>
      </c>
      <c r="AA69" s="694"/>
      <c r="AB69" s="1023">
        <v>4</v>
      </c>
      <c r="AC69" s="476">
        <v>10</v>
      </c>
      <c r="AD69" s="478">
        <v>125</v>
      </c>
      <c r="AE69" s="424">
        <f t="shared" si="117"/>
        <v>2513.2741228718346</v>
      </c>
      <c r="AF69" s="433" t="str">
        <f t="shared" si="102"/>
        <v>OK (16%)</v>
      </c>
      <c r="AG69" s="477" t="str">
        <f t="shared" si="103"/>
        <v>OK</v>
      </c>
      <c r="AJ69" s="777">
        <f t="shared" si="104"/>
        <v>6.2831853071795866E-3</v>
      </c>
      <c r="AK69" s="766"/>
      <c r="AL69" s="766"/>
      <c r="AM69" s="766"/>
      <c r="AN69" s="766"/>
      <c r="AO69" s="776">
        <f t="shared" si="105"/>
        <v>851.2220056472936</v>
      </c>
      <c r="AP69" s="776">
        <f t="shared" ref="AP69:AP76" si="118">BC69*C69*AR69^2/1000000</f>
        <v>525.23438962836292</v>
      </c>
      <c r="AQ69" s="766"/>
      <c r="AR69" s="772">
        <f t="shared" si="106"/>
        <v>702.5</v>
      </c>
      <c r="AS69" s="811">
        <f t="shared" si="107"/>
        <v>1.1157889907999747E-2</v>
      </c>
      <c r="AT69" s="811">
        <f t="shared" si="108"/>
        <v>6.5449846949787362E-3</v>
      </c>
      <c r="AU69" s="812">
        <f t="shared" si="109"/>
        <v>1.1157889907999747E-2</v>
      </c>
      <c r="AV69" s="813">
        <f t="shared" si="110"/>
        <v>6.7615658362989328E-2</v>
      </c>
      <c r="AW69" s="814"/>
      <c r="AX69" s="815">
        <f t="shared" si="111"/>
        <v>0.45602605863192186</v>
      </c>
      <c r="AY69" s="811">
        <f t="shared" si="112"/>
        <v>1.8870043805458835E-2</v>
      </c>
      <c r="AZ69" s="780">
        <f t="shared" si="113"/>
        <v>4.3121136036640548</v>
      </c>
      <c r="BA69" s="766"/>
      <c r="BB69" s="816">
        <f t="shared" si="114"/>
        <v>6.5449846949787362E-3</v>
      </c>
      <c r="BC69" s="780">
        <f t="shared" si="115"/>
        <v>2.6607281550555992</v>
      </c>
      <c r="BD69" s="766"/>
    </row>
    <row r="70" spans="2:56" s="448" customFormat="1" ht="16.5" hidden="1" thickBot="1" x14ac:dyDescent="0.3">
      <c r="B70" s="425">
        <f t="shared" si="116"/>
        <v>0</v>
      </c>
      <c r="C70" s="404">
        <f>RxnCheck!P16</f>
        <v>0</v>
      </c>
      <c r="D70" s="404">
        <f>RxnCheck!Q16</f>
        <v>0</v>
      </c>
      <c r="E70" s="404">
        <f>GeneralInput!$C$17</f>
        <v>50</v>
      </c>
      <c r="F70" s="404">
        <f>GeneralInput!$C$23</f>
        <v>500</v>
      </c>
      <c r="G70" s="418"/>
      <c r="H70" s="419">
        <f t="shared" ref="H70:H76" si="119">IF(OR($J$8 = 2, $J$8 = 3, $J$8 = 4),(C70 - 2*25 - 2*AC70 - M70*N70 - O70*P70)/(M70+O70-1),"-")</f>
        <v>-81</v>
      </c>
      <c r="I70" s="419">
        <f t="shared" si="98"/>
        <v>66</v>
      </c>
      <c r="J70" s="14"/>
      <c r="K70" s="14"/>
      <c r="L70" s="14"/>
      <c r="M70" s="440">
        <v>3</v>
      </c>
      <c r="N70" s="441">
        <v>32</v>
      </c>
      <c r="O70" s="442"/>
      <c r="P70" s="443"/>
      <c r="Q70" s="740">
        <f t="shared" ref="Q70:Q75" si="120">PI()/4*(M70*N70^2+O70*P70^2)</f>
        <v>2412.7431579569611</v>
      </c>
      <c r="R70" s="433" t="e">
        <f t="shared" ref="R70:R75" si="121">IF(Q70&gt;=K70, CONCATENATE("OK (",ROUND((Q70/K70-1)*100,0),"%)"), "NOT OK")</f>
        <v>#DIV/0!</v>
      </c>
      <c r="S70" s="471" t="str">
        <f t="shared" ref="S70:S76" si="122">IF(AND((C70 - 2*25 - 2* AC70 - 2*0.5*N70) / (M70+O70-1)&lt;=$O$8, (C70 - 2*25 - 2*AC70 - M70*N70 - O70*P70)/(M70+O70-1) &gt;= MAX(N70,P70,20+5)), "OK", "NOT-OK")</f>
        <v>NOT-OK</v>
      </c>
      <c r="T70" s="440"/>
      <c r="U70" s="441"/>
      <c r="V70" s="442"/>
      <c r="W70" s="443"/>
      <c r="X70" s="740">
        <f t="shared" si="99"/>
        <v>0</v>
      </c>
      <c r="Y70" s="433" t="e">
        <f t="shared" si="100"/>
        <v>#DIV/0!</v>
      </c>
      <c r="Z70" s="474" t="str">
        <f t="shared" si="101"/>
        <v>OK</v>
      </c>
      <c r="AA70" s="694"/>
      <c r="AB70" s="956">
        <v>4</v>
      </c>
      <c r="AC70" s="476">
        <v>8</v>
      </c>
      <c r="AD70" s="478">
        <v>150</v>
      </c>
      <c r="AE70" s="424">
        <f t="shared" si="117"/>
        <v>1340.4128655316449</v>
      </c>
      <c r="AF70" s="433" t="e">
        <f t="shared" si="102"/>
        <v>#DIV/0!</v>
      </c>
      <c r="AG70" s="477" t="str">
        <f t="shared" si="103"/>
        <v>NOT-OK</v>
      </c>
      <c r="AJ70" s="777" t="e">
        <f t="shared" si="104"/>
        <v>#DIV/0!</v>
      </c>
      <c r="AK70" s="766"/>
      <c r="AL70" s="766"/>
      <c r="AM70" s="766"/>
      <c r="AN70" s="766"/>
      <c r="AO70" s="776" t="e">
        <f t="shared" si="105"/>
        <v>#DIV/0!</v>
      </c>
      <c r="AP70" s="776" t="e">
        <f t="shared" si="118"/>
        <v>#DIV/0!</v>
      </c>
      <c r="AQ70" s="766"/>
      <c r="AR70" s="772">
        <f t="shared" si="106"/>
        <v>-49</v>
      </c>
      <c r="AS70" s="811" t="e">
        <f t="shared" si="107"/>
        <v>#DIV/0!</v>
      </c>
      <c r="AT70" s="811" t="e">
        <f t="shared" si="108"/>
        <v>#DIV/0!</v>
      </c>
      <c r="AU70" s="812" t="e">
        <f t="shared" si="109"/>
        <v>#DIV/0!</v>
      </c>
      <c r="AV70" s="813">
        <f t="shared" si="110"/>
        <v>-1</v>
      </c>
      <c r="AW70" s="814"/>
      <c r="AX70" s="815">
        <f t="shared" si="111"/>
        <v>0.45602605863192186</v>
      </c>
      <c r="AY70" s="811">
        <f t="shared" si="112"/>
        <v>1.8870043805458835E-2</v>
      </c>
      <c r="AZ70" s="780" t="e">
        <f t="shared" si="113"/>
        <v>#DIV/0!</v>
      </c>
      <c r="BA70" s="766"/>
      <c r="BB70" s="816" t="e">
        <f t="shared" si="114"/>
        <v>#DIV/0!</v>
      </c>
      <c r="BC70" s="780" t="e">
        <f t="shared" si="115"/>
        <v>#DIV/0!</v>
      </c>
      <c r="BD70" s="766"/>
    </row>
    <row r="71" spans="2:56" s="448" customFormat="1" ht="16.5" hidden="1" thickBot="1" x14ac:dyDescent="0.3">
      <c r="B71" s="425">
        <f t="shared" si="116"/>
        <v>-1</v>
      </c>
      <c r="C71" s="404">
        <f>RxnCheck!P17</f>
        <v>0</v>
      </c>
      <c r="D71" s="404">
        <f>RxnCheck!Q17</f>
        <v>0</v>
      </c>
      <c r="E71" s="404">
        <f>GeneralInput!$C$17</f>
        <v>50</v>
      </c>
      <c r="F71" s="404">
        <f>GeneralInput!$C$23</f>
        <v>500</v>
      </c>
      <c r="G71" s="418"/>
      <c r="H71" s="419">
        <f t="shared" si="119"/>
        <v>-47.5</v>
      </c>
      <c r="I71" s="419">
        <f t="shared" si="98"/>
        <v>66</v>
      </c>
      <c r="J71" s="14"/>
      <c r="K71" s="14"/>
      <c r="L71" s="14"/>
      <c r="M71" s="440">
        <v>2</v>
      </c>
      <c r="N71" s="441">
        <v>32</v>
      </c>
      <c r="O71" s="442">
        <v>3</v>
      </c>
      <c r="P71" s="443">
        <v>20</v>
      </c>
      <c r="Q71" s="740">
        <f t="shared" si="120"/>
        <v>2550.973234714912</v>
      </c>
      <c r="R71" s="433" t="e">
        <f t="shared" si="121"/>
        <v>#DIV/0!</v>
      </c>
      <c r="S71" s="471" t="str">
        <f t="shared" si="122"/>
        <v>NOT-OK</v>
      </c>
      <c r="T71" s="440"/>
      <c r="U71" s="441"/>
      <c r="V71" s="442"/>
      <c r="W71" s="443"/>
      <c r="X71" s="740">
        <f t="shared" si="99"/>
        <v>0</v>
      </c>
      <c r="Y71" s="433" t="e">
        <f t="shared" si="100"/>
        <v>#DIV/0!</v>
      </c>
      <c r="Z71" s="474" t="str">
        <f t="shared" si="101"/>
        <v>OK</v>
      </c>
      <c r="AA71" s="694"/>
      <c r="AB71" s="956">
        <v>4</v>
      </c>
      <c r="AC71" s="476">
        <v>8</v>
      </c>
      <c r="AD71" s="478">
        <v>150</v>
      </c>
      <c r="AE71" s="424">
        <f t="shared" si="117"/>
        <v>1340.4128655316449</v>
      </c>
      <c r="AF71" s="433" t="e">
        <f t="shared" si="102"/>
        <v>#DIV/0!</v>
      </c>
      <c r="AG71" s="477" t="str">
        <f t="shared" si="103"/>
        <v>NOT-OK</v>
      </c>
      <c r="AJ71" s="781" t="e">
        <f t="shared" si="104"/>
        <v>#DIV/0!</v>
      </c>
      <c r="AK71" s="766"/>
      <c r="AL71" s="766"/>
      <c r="AM71" s="766"/>
      <c r="AN71" s="766"/>
      <c r="AO71" s="787" t="e">
        <f t="shared" ref="AO71:AO76" si="123">AZ71*C71*AR71^2/1000000</f>
        <v>#DIV/0!</v>
      </c>
      <c r="AP71" s="787" t="e">
        <f t="shared" si="118"/>
        <v>#DIV/0!</v>
      </c>
      <c r="AQ71" s="766"/>
      <c r="AR71" s="783">
        <f t="shared" si="106"/>
        <v>-49</v>
      </c>
      <c r="AS71" s="817" t="e">
        <f t="shared" ref="AS71:AS76" si="124">Q71/C71/D71</f>
        <v>#DIV/0!</v>
      </c>
      <c r="AT71" s="817" t="e">
        <f t="shared" ref="AT71:AT76" si="125">X71/C71/D71</f>
        <v>#DIV/0!</v>
      </c>
      <c r="AU71" s="818" t="e">
        <f t="shared" ref="AU71:AU76" si="126">AS71-AT71*AW71/(0.87*F71)</f>
        <v>#DIV/0!</v>
      </c>
      <c r="AV71" s="819">
        <f t="shared" si="110"/>
        <v>-1</v>
      </c>
      <c r="AW71" s="820"/>
      <c r="AX71" s="821">
        <f t="shared" ref="AX71:AX76" si="127">(0.0035/(0.0055+0.87*F71/200000))</f>
        <v>0.45602605863192186</v>
      </c>
      <c r="AY71" s="817">
        <f t="shared" ref="AY71:AY76" si="128">(0.36*E71)/(0.87*F71)*AX71</f>
        <v>1.8870043805458835E-2</v>
      </c>
      <c r="AZ71" s="822" t="e">
        <f t="shared" ref="AZ71:AZ76" si="129">IF(AS71&lt;AY71,0.87*F71*AS71*(1-AS71*F71/E71), 0.87*F71*(AU71*(1-AU71*F71/E71)) + AT71*AW71*(1-AV71))</f>
        <v>#DIV/0!</v>
      </c>
      <c r="BA71" s="766"/>
      <c r="BB71" s="823" t="e">
        <f t="shared" ref="BB71:BB76" si="130">AT71-AS71*AW71/(0.87*F71)</f>
        <v>#DIV/0!</v>
      </c>
      <c r="BC71" s="822" t="e">
        <f t="shared" ref="BC71:BC76" si="131">IF(AT71&lt;AY71,0.87*F71*AT71*(1-AT71*F71/E71), 0.87*F71*(BB71*(1-BB71*F71/E71)) + AS71*AW71*(1-AV71))</f>
        <v>#DIV/0!</v>
      </c>
      <c r="BD71" s="766"/>
    </row>
    <row r="72" spans="2:56" s="448" customFormat="1" ht="15.75" hidden="1" thickBot="1" x14ac:dyDescent="0.3">
      <c r="B72" s="425">
        <f t="shared" si="116"/>
        <v>-2</v>
      </c>
      <c r="C72" s="404">
        <f>RxnCheck!P18</f>
        <v>0</v>
      </c>
      <c r="D72" s="404">
        <f>RxnCheck!Q18</f>
        <v>0</v>
      </c>
      <c r="E72" s="404">
        <f>GeneralInput!$C$17</f>
        <v>50</v>
      </c>
      <c r="F72" s="404">
        <f>GeneralInput!$C$23</f>
        <v>500</v>
      </c>
      <c r="G72" s="418"/>
      <c r="H72" s="419">
        <f t="shared" si="119"/>
        <v>-47.5</v>
      </c>
      <c r="I72" s="419">
        <f t="shared" si="98"/>
        <v>66</v>
      </c>
      <c r="J72" s="14"/>
      <c r="K72" s="14"/>
      <c r="L72" s="14"/>
      <c r="M72" s="440">
        <v>2</v>
      </c>
      <c r="N72" s="441">
        <v>32</v>
      </c>
      <c r="O72" s="442">
        <v>3</v>
      </c>
      <c r="P72" s="443">
        <v>20</v>
      </c>
      <c r="Q72" s="740">
        <f t="shared" si="120"/>
        <v>2550.973234714912</v>
      </c>
      <c r="R72" s="433" t="e">
        <f t="shared" si="121"/>
        <v>#DIV/0!</v>
      </c>
      <c r="S72" s="471" t="str">
        <f t="shared" si="122"/>
        <v>NOT-OK</v>
      </c>
      <c r="T72" s="440"/>
      <c r="U72" s="441"/>
      <c r="V72" s="442"/>
      <c r="W72" s="443"/>
      <c r="X72" s="740">
        <f t="shared" si="99"/>
        <v>0</v>
      </c>
      <c r="Y72" s="433" t="e">
        <f t="shared" si="100"/>
        <v>#DIV/0!</v>
      </c>
      <c r="Z72" s="474" t="str">
        <f t="shared" si="101"/>
        <v>OK</v>
      </c>
      <c r="AA72" s="694"/>
      <c r="AB72" s="956">
        <v>4</v>
      </c>
      <c r="AC72" s="476">
        <v>8</v>
      </c>
      <c r="AD72" s="478">
        <v>140</v>
      </c>
      <c r="AE72" s="424">
        <f t="shared" si="117"/>
        <v>1436.1566416410483</v>
      </c>
      <c r="AF72" s="433" t="e">
        <f t="shared" si="102"/>
        <v>#DIV/0!</v>
      </c>
      <c r="AG72" s="477" t="str">
        <f t="shared" si="103"/>
        <v>NOT-OK</v>
      </c>
      <c r="AJ72" s="439" t="e">
        <f t="shared" si="104"/>
        <v>#DIV/0!</v>
      </c>
      <c r="AO72" s="727" t="e">
        <f t="shared" si="123"/>
        <v>#DIV/0!</v>
      </c>
      <c r="AP72" s="727" t="e">
        <f t="shared" si="118"/>
        <v>#DIV/0!</v>
      </c>
      <c r="AR72" s="697">
        <f t="shared" si="106"/>
        <v>-49</v>
      </c>
      <c r="AS72" s="698" t="e">
        <f t="shared" si="124"/>
        <v>#DIV/0!</v>
      </c>
      <c r="AT72" s="698" t="e">
        <f t="shared" si="125"/>
        <v>#DIV/0!</v>
      </c>
      <c r="AU72" s="699" t="e">
        <f t="shared" si="126"/>
        <v>#DIV/0!</v>
      </c>
      <c r="AV72" s="700">
        <f t="shared" si="110"/>
        <v>-1</v>
      </c>
      <c r="AW72" s="696"/>
      <c r="AX72" s="701">
        <f t="shared" si="127"/>
        <v>0.45602605863192186</v>
      </c>
      <c r="AY72" s="698">
        <f t="shared" si="128"/>
        <v>1.8870043805458835E-2</v>
      </c>
      <c r="AZ72" s="700" t="e">
        <f t="shared" si="129"/>
        <v>#DIV/0!</v>
      </c>
      <c r="BB72" s="699" t="e">
        <f t="shared" si="130"/>
        <v>#DIV/0!</v>
      </c>
      <c r="BC72" s="700" t="e">
        <f t="shared" si="131"/>
        <v>#DIV/0!</v>
      </c>
    </row>
    <row r="73" spans="2:56" s="448" customFormat="1" ht="15.75" hidden="1" thickBot="1" x14ac:dyDescent="0.3">
      <c r="B73" s="425">
        <f t="shared" si="116"/>
        <v>-3</v>
      </c>
      <c r="C73" s="404">
        <f>RxnCheck!P19</f>
        <v>0</v>
      </c>
      <c r="D73" s="404">
        <f>RxnCheck!Q19</f>
        <v>0</v>
      </c>
      <c r="E73" s="404">
        <f>GeneralInput!$C$17</f>
        <v>50</v>
      </c>
      <c r="F73" s="404">
        <f>GeneralInput!$C$23</f>
        <v>500</v>
      </c>
      <c r="G73" s="418"/>
      <c r="H73" s="419">
        <f t="shared" si="119"/>
        <v>-47.5</v>
      </c>
      <c r="I73" s="419">
        <f t="shared" si="98"/>
        <v>66</v>
      </c>
      <c r="J73" s="14"/>
      <c r="K73" s="14"/>
      <c r="L73" s="14"/>
      <c r="M73" s="440">
        <v>2</v>
      </c>
      <c r="N73" s="441">
        <v>32</v>
      </c>
      <c r="O73" s="442">
        <v>3</v>
      </c>
      <c r="P73" s="443">
        <v>20</v>
      </c>
      <c r="Q73" s="740">
        <f t="shared" si="120"/>
        <v>2550.973234714912</v>
      </c>
      <c r="R73" s="433" t="e">
        <f t="shared" si="121"/>
        <v>#DIV/0!</v>
      </c>
      <c r="S73" s="471" t="str">
        <f t="shared" si="122"/>
        <v>NOT-OK</v>
      </c>
      <c r="T73" s="440"/>
      <c r="U73" s="441"/>
      <c r="V73" s="442"/>
      <c r="W73" s="443"/>
      <c r="X73" s="740">
        <f t="shared" si="99"/>
        <v>0</v>
      </c>
      <c r="Y73" s="433" t="e">
        <f t="shared" si="100"/>
        <v>#DIV/0!</v>
      </c>
      <c r="Z73" s="474" t="str">
        <f t="shared" si="101"/>
        <v>OK</v>
      </c>
      <c r="AA73" s="694"/>
      <c r="AB73" s="956">
        <v>4</v>
      </c>
      <c r="AC73" s="476">
        <v>8</v>
      </c>
      <c r="AD73" s="478">
        <v>140</v>
      </c>
      <c r="AE73" s="424">
        <f t="shared" si="117"/>
        <v>1436.1566416410483</v>
      </c>
      <c r="AF73" s="433" t="e">
        <f t="shared" si="102"/>
        <v>#DIV/0!</v>
      </c>
      <c r="AG73" s="477" t="str">
        <f t="shared" si="103"/>
        <v>NOT-OK</v>
      </c>
      <c r="AJ73" s="439" t="e">
        <f t="shared" si="104"/>
        <v>#DIV/0!</v>
      </c>
      <c r="AO73" s="727" t="e">
        <f t="shared" si="123"/>
        <v>#DIV/0!</v>
      </c>
      <c r="AP73" s="727" t="e">
        <f t="shared" si="118"/>
        <v>#DIV/0!</v>
      </c>
      <c r="AR73" s="697">
        <f t="shared" si="106"/>
        <v>-49</v>
      </c>
      <c r="AS73" s="698" t="e">
        <f t="shared" si="124"/>
        <v>#DIV/0!</v>
      </c>
      <c r="AT73" s="698" t="e">
        <f t="shared" si="125"/>
        <v>#DIV/0!</v>
      </c>
      <c r="AU73" s="699" t="e">
        <f t="shared" si="126"/>
        <v>#DIV/0!</v>
      </c>
      <c r="AV73" s="700">
        <f t="shared" si="110"/>
        <v>-1</v>
      </c>
      <c r="AW73" s="696"/>
      <c r="AX73" s="701">
        <f t="shared" si="127"/>
        <v>0.45602605863192186</v>
      </c>
      <c r="AY73" s="698">
        <f t="shared" si="128"/>
        <v>1.8870043805458835E-2</v>
      </c>
      <c r="AZ73" s="700" t="e">
        <f t="shared" si="129"/>
        <v>#DIV/0!</v>
      </c>
      <c r="BB73" s="699" t="e">
        <f t="shared" si="130"/>
        <v>#DIV/0!</v>
      </c>
      <c r="BC73" s="700" t="e">
        <f t="shared" si="131"/>
        <v>#DIV/0!</v>
      </c>
    </row>
    <row r="74" spans="2:56" s="448" customFormat="1" ht="15.75" hidden="1" thickBot="1" x14ac:dyDescent="0.3">
      <c r="B74" s="425">
        <f t="shared" si="116"/>
        <v>-4</v>
      </c>
      <c r="C74" s="404">
        <f>RxnCheck!P20</f>
        <v>0</v>
      </c>
      <c r="D74" s="404">
        <f>RxnCheck!Q20</f>
        <v>0</v>
      </c>
      <c r="E74" s="404">
        <f>GeneralInput!$C$17</f>
        <v>50</v>
      </c>
      <c r="F74" s="404">
        <f>GeneralInput!$C$23</f>
        <v>500</v>
      </c>
      <c r="G74" s="418"/>
      <c r="H74" s="419">
        <f t="shared" si="119"/>
        <v>-47.5</v>
      </c>
      <c r="I74" s="419">
        <f t="shared" si="98"/>
        <v>66</v>
      </c>
      <c r="J74" s="14"/>
      <c r="K74" s="14"/>
      <c r="L74" s="29"/>
      <c r="M74" s="440">
        <v>2</v>
      </c>
      <c r="N74" s="441">
        <v>32</v>
      </c>
      <c r="O74" s="442">
        <v>3</v>
      </c>
      <c r="P74" s="443">
        <v>20</v>
      </c>
      <c r="Q74" s="740">
        <f t="shared" si="120"/>
        <v>2550.973234714912</v>
      </c>
      <c r="R74" s="433" t="e">
        <f t="shared" si="121"/>
        <v>#DIV/0!</v>
      </c>
      <c r="S74" s="471" t="str">
        <f t="shared" si="122"/>
        <v>NOT-OK</v>
      </c>
      <c r="T74" s="440"/>
      <c r="U74" s="441"/>
      <c r="V74" s="442"/>
      <c r="W74" s="443"/>
      <c r="X74" s="740">
        <f t="shared" si="99"/>
        <v>0</v>
      </c>
      <c r="Y74" s="433" t="e">
        <f t="shared" si="100"/>
        <v>#DIV/0!</v>
      </c>
      <c r="Z74" s="474" t="str">
        <f t="shared" si="101"/>
        <v>OK</v>
      </c>
      <c r="AA74" s="694"/>
      <c r="AB74" s="956">
        <v>4</v>
      </c>
      <c r="AC74" s="476">
        <v>8</v>
      </c>
      <c r="AD74" s="478">
        <v>140</v>
      </c>
      <c r="AE74" s="424">
        <f t="shared" si="117"/>
        <v>1436.1566416410483</v>
      </c>
      <c r="AF74" s="433" t="e">
        <f t="shared" si="102"/>
        <v>#DIV/0!</v>
      </c>
      <c r="AG74" s="477" t="str">
        <f t="shared" si="103"/>
        <v>NOT-OK</v>
      </c>
      <c r="AJ74" s="439" t="e">
        <f t="shared" si="104"/>
        <v>#DIV/0!</v>
      </c>
      <c r="AO74" s="727" t="e">
        <f t="shared" si="123"/>
        <v>#DIV/0!</v>
      </c>
      <c r="AP74" s="727" t="e">
        <f t="shared" si="118"/>
        <v>#DIV/0!</v>
      </c>
      <c r="AR74" s="697">
        <f t="shared" si="106"/>
        <v>-49</v>
      </c>
      <c r="AS74" s="698" t="e">
        <f t="shared" si="124"/>
        <v>#DIV/0!</v>
      </c>
      <c r="AT74" s="698" t="e">
        <f t="shared" si="125"/>
        <v>#DIV/0!</v>
      </c>
      <c r="AU74" s="699" t="e">
        <f t="shared" si="126"/>
        <v>#DIV/0!</v>
      </c>
      <c r="AV74" s="700">
        <f t="shared" si="110"/>
        <v>-1</v>
      </c>
      <c r="AW74" s="696"/>
      <c r="AX74" s="701">
        <f t="shared" si="127"/>
        <v>0.45602605863192186</v>
      </c>
      <c r="AY74" s="698">
        <f t="shared" si="128"/>
        <v>1.8870043805458835E-2</v>
      </c>
      <c r="AZ74" s="700" t="e">
        <f t="shared" si="129"/>
        <v>#DIV/0!</v>
      </c>
      <c r="BB74" s="699" t="e">
        <f t="shared" si="130"/>
        <v>#DIV/0!</v>
      </c>
      <c r="BC74" s="700" t="e">
        <f t="shared" si="131"/>
        <v>#DIV/0!</v>
      </c>
    </row>
    <row r="75" spans="2:56" s="448" customFormat="1" ht="15.75" hidden="1" thickBot="1" x14ac:dyDescent="0.3">
      <c r="B75" s="425">
        <f t="shared" si="116"/>
        <v>-5</v>
      </c>
      <c r="C75" s="404">
        <f>RxnCheck!P21</f>
        <v>0</v>
      </c>
      <c r="D75" s="404">
        <f>RxnCheck!Q21</f>
        <v>0</v>
      </c>
      <c r="E75" s="404">
        <f>GeneralInput!$C$17</f>
        <v>50</v>
      </c>
      <c r="F75" s="404">
        <f>GeneralInput!$C$23</f>
        <v>500</v>
      </c>
      <c r="G75" s="418"/>
      <c r="H75" s="419">
        <f t="shared" si="119"/>
        <v>-47.5</v>
      </c>
      <c r="I75" s="419">
        <f t="shared" si="98"/>
        <v>66</v>
      </c>
      <c r="J75" s="14"/>
      <c r="K75" s="14"/>
      <c r="L75" s="14"/>
      <c r="M75" s="440">
        <v>2</v>
      </c>
      <c r="N75" s="441">
        <v>32</v>
      </c>
      <c r="O75" s="442">
        <v>3</v>
      </c>
      <c r="P75" s="443">
        <v>20</v>
      </c>
      <c r="Q75" s="740">
        <f t="shared" si="120"/>
        <v>2550.973234714912</v>
      </c>
      <c r="R75" s="433" t="e">
        <f t="shared" si="121"/>
        <v>#DIV/0!</v>
      </c>
      <c r="S75" s="471" t="str">
        <f t="shared" si="122"/>
        <v>NOT-OK</v>
      </c>
      <c r="T75" s="440"/>
      <c r="U75" s="441"/>
      <c r="V75" s="442"/>
      <c r="W75" s="443"/>
      <c r="X75" s="740">
        <f t="shared" si="99"/>
        <v>0</v>
      </c>
      <c r="Y75" s="433" t="e">
        <f t="shared" si="100"/>
        <v>#DIV/0!</v>
      </c>
      <c r="Z75" s="474" t="str">
        <f t="shared" si="101"/>
        <v>OK</v>
      </c>
      <c r="AA75" s="694"/>
      <c r="AB75" s="956">
        <v>4</v>
      </c>
      <c r="AC75" s="476">
        <v>8</v>
      </c>
      <c r="AD75" s="478">
        <v>140</v>
      </c>
      <c r="AE75" s="424">
        <f t="shared" si="117"/>
        <v>1436.1566416410483</v>
      </c>
      <c r="AF75" s="433" t="e">
        <f t="shared" si="102"/>
        <v>#DIV/0!</v>
      </c>
      <c r="AG75" s="477" t="str">
        <f t="shared" si="103"/>
        <v>NOT-OK</v>
      </c>
      <c r="AJ75" s="439" t="e">
        <f t="shared" si="104"/>
        <v>#DIV/0!</v>
      </c>
      <c r="AO75" s="727" t="e">
        <f t="shared" si="123"/>
        <v>#DIV/0!</v>
      </c>
      <c r="AP75" s="727" t="e">
        <f t="shared" si="118"/>
        <v>#DIV/0!</v>
      </c>
      <c r="AR75" s="697">
        <f t="shared" si="106"/>
        <v>-49</v>
      </c>
      <c r="AS75" s="698" t="e">
        <f t="shared" si="124"/>
        <v>#DIV/0!</v>
      </c>
      <c r="AT75" s="698" t="e">
        <f t="shared" si="125"/>
        <v>#DIV/0!</v>
      </c>
      <c r="AU75" s="699" t="e">
        <f t="shared" si="126"/>
        <v>#DIV/0!</v>
      </c>
      <c r="AV75" s="700">
        <f t="shared" si="110"/>
        <v>-1</v>
      </c>
      <c r="AW75" s="696"/>
      <c r="AX75" s="701">
        <f t="shared" si="127"/>
        <v>0.45602605863192186</v>
      </c>
      <c r="AY75" s="698">
        <f t="shared" si="128"/>
        <v>1.8870043805458835E-2</v>
      </c>
      <c r="AZ75" s="700" t="e">
        <f t="shared" si="129"/>
        <v>#DIV/0!</v>
      </c>
      <c r="BB75" s="699" t="e">
        <f t="shared" si="130"/>
        <v>#DIV/0!</v>
      </c>
      <c r="BC75" s="700" t="e">
        <f t="shared" si="131"/>
        <v>#DIV/0!</v>
      </c>
    </row>
    <row r="76" spans="2:56" s="448" customFormat="1" ht="15" hidden="1" x14ac:dyDescent="0.25">
      <c r="B76" s="425">
        <f t="shared" si="116"/>
        <v>-6</v>
      </c>
      <c r="C76" s="404">
        <f>RxnCheck!P22</f>
        <v>0</v>
      </c>
      <c r="D76" s="404">
        <f>RxnCheck!Q22</f>
        <v>0</v>
      </c>
      <c r="E76" s="404">
        <f>GeneralInput!$C$17</f>
        <v>50</v>
      </c>
      <c r="F76" s="404">
        <f>GeneralInput!$C$23</f>
        <v>500</v>
      </c>
      <c r="G76" s="418"/>
      <c r="H76" s="419">
        <f t="shared" si="119"/>
        <v>-81</v>
      </c>
      <c r="I76" s="419">
        <f t="shared" si="98"/>
        <v>66</v>
      </c>
      <c r="J76" s="14"/>
      <c r="K76" s="14"/>
      <c r="L76" s="14"/>
      <c r="M76" s="440">
        <v>3</v>
      </c>
      <c r="N76" s="441">
        <v>32</v>
      </c>
      <c r="O76" s="442"/>
      <c r="P76" s="443"/>
      <c r="Q76" s="740">
        <f>PI()/4*(M76*N76^2+O76*P76^2)</f>
        <v>2412.7431579569611</v>
      </c>
      <c r="R76" s="433" t="e">
        <f>IF(Q76&gt;=K76, CONCATENATE("OK (",ROUND((Q76/K76-1)*100,0),"%)"), "NOT OK")</f>
        <v>#DIV/0!</v>
      </c>
      <c r="S76" s="471" t="str">
        <f t="shared" si="122"/>
        <v>NOT-OK</v>
      </c>
      <c r="T76" s="440"/>
      <c r="U76" s="441"/>
      <c r="V76" s="442"/>
      <c r="W76" s="443"/>
      <c r="X76" s="740">
        <f>PI()/4*(T76*U76^2+V76*W76^2)</f>
        <v>0</v>
      </c>
      <c r="Y76" s="433" t="e">
        <f>IF(X76&gt;=L76, CONCATENATE("OK (",ROUND((X76/L76-1)*100,0),"%)"), "NOT OK")</f>
        <v>#DIV/0!</v>
      </c>
      <c r="Z76" s="474" t="str">
        <f>IF(AND((C76 - 2*25 - 2* AC76 - M76*N76 - O76*P76) / (T76+V76-1)&lt;=$O$8, (C76 - 2*25 - 2*AC76 - T76*U76 - V76*W76)/(T76+V76-1) &gt;= MAX(U76,W76,20+5)), "OK", "NOT-OK")</f>
        <v>NOT-OK</v>
      </c>
      <c r="AA76" s="694"/>
      <c r="AB76" s="960">
        <v>4</v>
      </c>
      <c r="AC76" s="959">
        <v>8</v>
      </c>
      <c r="AD76" s="961">
        <v>150</v>
      </c>
      <c r="AE76" s="424">
        <f t="shared" si="117"/>
        <v>1340.4128655316449</v>
      </c>
      <c r="AF76" s="433" t="e">
        <f>IF(AE76&gt;=J76, CONCATENATE("OK (",ROUND((AE76/J76-1)*100,0),"%)"), "NOT OK")</f>
        <v>#DIV/0!</v>
      </c>
      <c r="AG76" s="477" t="str">
        <f t="shared" si="103"/>
        <v>NOT-OK</v>
      </c>
      <c r="AJ76" s="439" t="e">
        <f t="shared" si="104"/>
        <v>#DIV/0!</v>
      </c>
      <c r="AO76" s="727" t="e">
        <f t="shared" si="123"/>
        <v>#DIV/0!</v>
      </c>
      <c r="AP76" s="727" t="e">
        <f t="shared" si="118"/>
        <v>#DIV/0!</v>
      </c>
      <c r="AR76" s="697">
        <f t="shared" si="106"/>
        <v>-49</v>
      </c>
      <c r="AS76" s="698" t="e">
        <f t="shared" si="124"/>
        <v>#DIV/0!</v>
      </c>
      <c r="AT76" s="698" t="e">
        <f t="shared" si="125"/>
        <v>#DIV/0!</v>
      </c>
      <c r="AU76" s="699" t="e">
        <f t="shared" si="126"/>
        <v>#DIV/0!</v>
      </c>
      <c r="AV76" s="700">
        <f t="shared" si="110"/>
        <v>-1</v>
      </c>
      <c r="AW76" s="696"/>
      <c r="AX76" s="701">
        <f t="shared" si="127"/>
        <v>0.45602605863192186</v>
      </c>
      <c r="AY76" s="698">
        <f t="shared" si="128"/>
        <v>1.8870043805458835E-2</v>
      </c>
      <c r="AZ76" s="700" t="e">
        <f t="shared" si="129"/>
        <v>#DIV/0!</v>
      </c>
      <c r="BB76" s="699" t="e">
        <f t="shared" si="130"/>
        <v>#DIV/0!</v>
      </c>
      <c r="BC76" s="700" t="e">
        <f t="shared" si="131"/>
        <v>#DIV/0!</v>
      </c>
    </row>
    <row r="77" spans="2:56" ht="15" thickBot="1" x14ac:dyDescent="0.25">
      <c r="C77" s="418"/>
      <c r="D77" s="418"/>
      <c r="E77" s="418"/>
      <c r="J77" s="418"/>
      <c r="K77" s="418"/>
      <c r="L77" s="418"/>
      <c r="M77" s="954"/>
      <c r="N77" s="952"/>
      <c r="O77" s="952"/>
      <c r="P77" s="952"/>
      <c r="Q77" s="735"/>
      <c r="R77" s="737"/>
      <c r="S77" s="737"/>
      <c r="T77" s="954"/>
      <c r="U77" s="952"/>
      <c r="V77" s="952"/>
      <c r="W77" s="952"/>
      <c r="X77" s="735"/>
      <c r="Y77" s="737"/>
      <c r="Z77" s="738"/>
      <c r="AA77" s="738"/>
      <c r="AB77" s="952"/>
      <c r="AC77" s="952"/>
      <c r="AD77" s="953"/>
      <c r="AE77" s="952"/>
      <c r="AF77" s="952"/>
      <c r="AG77" s="953"/>
      <c r="AV77" s="687"/>
    </row>
    <row r="80" spans="2:56" ht="15.75" x14ac:dyDescent="0.25">
      <c r="L80" s="730"/>
    </row>
    <row r="81" spans="5:32" x14ac:dyDescent="0.2">
      <c r="M81" s="479"/>
      <c r="N81" s="479"/>
      <c r="U81" s="479"/>
      <c r="AB81" s="479"/>
    </row>
    <row r="82" spans="5:32" ht="16.5" thickBot="1" x14ac:dyDescent="0.3">
      <c r="L82" s="730" t="s">
        <v>291</v>
      </c>
    </row>
    <row r="83" spans="5:32" x14ac:dyDescent="0.2">
      <c r="E83" s="400" t="s">
        <v>292</v>
      </c>
      <c r="F83" s="400" t="s">
        <v>293</v>
      </c>
      <c r="G83" s="400" t="s">
        <v>294</v>
      </c>
      <c r="H83" s="400" t="s">
        <v>293</v>
      </c>
      <c r="I83" s="400" t="s">
        <v>294</v>
      </c>
      <c r="J83" s="400" t="s">
        <v>295</v>
      </c>
      <c r="M83" s="731">
        <f>K49</f>
        <v>2049</v>
      </c>
      <c r="N83" s="732">
        <f t="array" ref="N83">MIN(IF($J$84:$J$328&lt;M83,999999,$J$84:$J$328-M83))</f>
        <v>11.880000000000109</v>
      </c>
      <c r="O83" s="733">
        <f t="shared" ref="O83:O88" si="132">INDEX($F$84:$I$328,MATCH(M83+N83,$J$84:$J$328,0),1)</f>
        <v>1</v>
      </c>
      <c r="P83" s="733">
        <f t="shared" ref="P83:P88" si="133">INDEX($F$84:$I$328,MATCH(M83+N83,$J$84:$J$328,0),2)</f>
        <v>32</v>
      </c>
      <c r="Q83" s="733">
        <f t="shared" ref="Q83:Q88" si="134">INDEX($F$84:$I$328,MATCH(M83+N83,$J$84:$J$328,0),3)</f>
        <v>4</v>
      </c>
      <c r="R83" s="733">
        <f t="shared" ref="R83:R88" si="135">INDEX($F$84:$I$328,MATCH(M83+N83,$J$84:$J$328,0),4)</f>
        <v>20</v>
      </c>
      <c r="S83" s="734"/>
      <c r="T83" s="733">
        <f>K50</f>
        <v>2605</v>
      </c>
      <c r="U83" s="732">
        <f t="array" ref="U83">MIN(IF($J$84:$J$328&lt;T83,999999,$J$84:$J$328-T83))</f>
        <v>50.429999999999836</v>
      </c>
      <c r="V83" s="733">
        <f t="shared" ref="V83:V88" si="136">INDEX($F$84:$I$328,MATCH(T83+U83,$J$84:$J$328,0),1)</f>
        <v>5</v>
      </c>
      <c r="W83" s="733">
        <f t="shared" ref="W83:W88" si="137">INDEX($F$84:$I$328,MATCH(T83+U83,$J$84:$J$328,0),2)</f>
        <v>25</v>
      </c>
      <c r="X83" s="733">
        <f t="shared" ref="X83:X88" si="138">INDEX($F$84:$I$328,MATCH(T83+U83,$J$84:$J$328,0),3)</f>
        <v>1</v>
      </c>
      <c r="Y83" s="733">
        <f t="shared" ref="Y83:Y88" si="139">INDEX($F$84:$I$328,MATCH(T83+U83,$J$84:$J$328,0),4)</f>
        <v>16</v>
      </c>
      <c r="Z83" s="733"/>
      <c r="AA83" s="739">
        <f>K51</f>
        <v>3230</v>
      </c>
      <c r="AB83" s="732">
        <f t="array" ref="AB83">MIN(IF($J$84:$J$328&lt;AA83,999999,$J$84:$J$328-AA83))</f>
        <v>28.619999999999891</v>
      </c>
      <c r="AC83" s="733">
        <f t="shared" ref="AC83:AC88" si="140">INDEX($F$84:$I$328,MATCH(AA83+AB83,$J$84:$J$328,0),1)</f>
        <v>1</v>
      </c>
      <c r="AD83" s="733">
        <f t="shared" ref="AD83:AD88" si="141">INDEX($F$84:$I$328,MATCH(AA83+AB83,$J$84:$J$328,0),2)</f>
        <v>32</v>
      </c>
      <c r="AE83" s="733">
        <f t="shared" ref="AE83:AE88" si="142">INDEX($F$84:$I$328,MATCH(AA83+AB83,$J$84:$J$328,0),3)</f>
        <v>5</v>
      </c>
      <c r="AF83" s="734">
        <f t="shared" ref="AF83:AF88" si="143">INDEX($F$84:$I$328,MATCH(AA83+AB83,$J$84:$J$328,0),4)</f>
        <v>25</v>
      </c>
    </row>
    <row r="84" spans="5:32" x14ac:dyDescent="0.2">
      <c r="E84" s="400">
        <v>1</v>
      </c>
      <c r="F84" s="400">
        <v>1</v>
      </c>
      <c r="G84" s="400">
        <v>32</v>
      </c>
      <c r="H84" s="400">
        <v>1</v>
      </c>
      <c r="I84" s="400">
        <v>25</v>
      </c>
      <c r="J84" s="479">
        <f t="shared" ref="J84:J147" si="144">ROUND(PI()/4*(F84*G84^2+H84*I84^2),2)</f>
        <v>1295.1199999999999</v>
      </c>
      <c r="M84" s="670">
        <f>M83</f>
        <v>2049</v>
      </c>
      <c r="N84" s="479">
        <f t="array" ref="N84">MIN(IF($J$84:$J$328&lt;M84+ROUNDUP(N83,0),999999,$J$84:$J$328-M84))</f>
        <v>12.670000000000073</v>
      </c>
      <c r="O84" s="400">
        <f t="shared" si="132"/>
        <v>1</v>
      </c>
      <c r="P84" s="400">
        <f t="shared" si="133"/>
        <v>25</v>
      </c>
      <c r="Q84" s="400">
        <f t="shared" si="134"/>
        <v>5</v>
      </c>
      <c r="R84" s="400">
        <f t="shared" si="135"/>
        <v>20</v>
      </c>
      <c r="S84" s="669"/>
      <c r="T84" s="400">
        <f>T83</f>
        <v>2605</v>
      </c>
      <c r="U84" s="479">
        <f t="array" ref="U84">MIN(IF($J$84:$J$328&lt;T84+ROUNDUP(U83,0),999999,$J$84:$J$328-T84))</f>
        <v>73.989999999999782</v>
      </c>
      <c r="V84" s="400">
        <f t="shared" si="136"/>
        <v>3</v>
      </c>
      <c r="W84" s="400">
        <f t="shared" si="137"/>
        <v>25</v>
      </c>
      <c r="X84" s="400">
        <f t="shared" si="138"/>
        <v>6</v>
      </c>
      <c r="Y84" s="400">
        <f t="shared" si="139"/>
        <v>16</v>
      </c>
      <c r="AA84" s="670">
        <f>AA83</f>
        <v>3230</v>
      </c>
      <c r="AB84" s="479">
        <f t="array" ref="AB84">MIN(IF($J$84:$J$328&lt;AA84+ROUNDUP(AB83,0),999999,$J$84:$J$328-AA84))</f>
        <v>29.400000000000091</v>
      </c>
      <c r="AC84" s="400">
        <f t="shared" si="140"/>
        <v>6</v>
      </c>
      <c r="AD84" s="400">
        <f t="shared" si="141"/>
        <v>25</v>
      </c>
      <c r="AE84" s="400">
        <f t="shared" si="142"/>
        <v>1</v>
      </c>
      <c r="AF84" s="669">
        <f t="shared" si="143"/>
        <v>20</v>
      </c>
    </row>
    <row r="85" spans="5:32" x14ac:dyDescent="0.2">
      <c r="E85" s="400">
        <v>2</v>
      </c>
      <c r="F85" s="400">
        <v>1</v>
      </c>
      <c r="G85" s="400">
        <v>32</v>
      </c>
      <c r="H85" s="400">
        <v>2</v>
      </c>
      <c r="I85" s="400">
        <v>25</v>
      </c>
      <c r="J85" s="479">
        <f t="shared" si="144"/>
        <v>1786</v>
      </c>
      <c r="M85" s="670">
        <f>M84</f>
        <v>2049</v>
      </c>
      <c r="N85" s="479">
        <f t="array" ref="N85">MIN(IF($J$84:$J$328&lt;M85+ROUNDUP(N84,0),999999,$J$84:$J$328-M85))</f>
        <v>26.809999999999945</v>
      </c>
      <c r="O85" s="400">
        <f t="shared" si="132"/>
        <v>3</v>
      </c>
      <c r="P85" s="400">
        <f t="shared" si="133"/>
        <v>25</v>
      </c>
      <c r="Q85" s="400">
        <f t="shared" si="134"/>
        <v>3</v>
      </c>
      <c r="R85" s="400">
        <f t="shared" si="135"/>
        <v>16</v>
      </c>
      <c r="S85" s="669"/>
      <c r="T85" s="400">
        <f>T84</f>
        <v>2605</v>
      </c>
      <c r="U85" s="479">
        <f t="array" ref="U85">MIN(IF($J$84:$J$328&lt;T85+ROUNDUP(U84,0),999999,$J$84:$J$328-T85))</f>
        <v>84.199999999999818</v>
      </c>
      <c r="V85" s="400">
        <f t="shared" si="136"/>
        <v>1</v>
      </c>
      <c r="W85" s="400">
        <f t="shared" si="137"/>
        <v>32</v>
      </c>
      <c r="X85" s="400">
        <f t="shared" si="138"/>
        <v>6</v>
      </c>
      <c r="Y85" s="400">
        <f t="shared" si="139"/>
        <v>20</v>
      </c>
      <c r="AA85" s="670">
        <f>AA84</f>
        <v>3230</v>
      </c>
      <c r="AB85" s="479">
        <f t="array" ref="AB85">MIN(IF($J$84:$J$328&lt;AA85+ROUNDUP(AB84,0),999999,$J$84:$J$328-AA85))</f>
        <v>117.36999999999989</v>
      </c>
      <c r="AC85" s="400">
        <f t="shared" si="140"/>
        <v>6</v>
      </c>
      <c r="AD85" s="400">
        <f t="shared" si="141"/>
        <v>25</v>
      </c>
      <c r="AE85" s="400">
        <f t="shared" si="142"/>
        <v>2</v>
      </c>
      <c r="AF85" s="669">
        <f t="shared" si="143"/>
        <v>16</v>
      </c>
    </row>
    <row r="86" spans="5:32" x14ac:dyDescent="0.2">
      <c r="E86" s="400">
        <v>3</v>
      </c>
      <c r="F86" s="400">
        <v>1</v>
      </c>
      <c r="G86" s="400">
        <v>32</v>
      </c>
      <c r="H86" s="400">
        <v>3</v>
      </c>
      <c r="I86" s="400">
        <v>25</v>
      </c>
      <c r="J86" s="479">
        <f t="shared" si="144"/>
        <v>2276.87</v>
      </c>
      <c r="M86" s="670">
        <f>M85</f>
        <v>2049</v>
      </c>
      <c r="N86" s="479">
        <f t="array" ref="N86">MIN(IF($J$84:$J$328&lt;M86+ROUNDUP(N85,0),999999,$J$84:$J$328-M86))</f>
        <v>37.019999999999982</v>
      </c>
      <c r="O86" s="400">
        <f t="shared" si="132"/>
        <v>6</v>
      </c>
      <c r="P86" s="400">
        <f t="shared" si="133"/>
        <v>20</v>
      </c>
      <c r="Q86" s="400">
        <f t="shared" si="134"/>
        <v>1</v>
      </c>
      <c r="R86" s="400">
        <f t="shared" si="135"/>
        <v>16</v>
      </c>
      <c r="S86" s="669"/>
      <c r="T86" s="400">
        <f>T85</f>
        <v>2605</v>
      </c>
      <c r="U86" s="479">
        <f t="array" ref="U86">MIN(IF($J$84:$J$328&lt;T86+ROUNDUP(U85,0),999999,$J$84:$J$328-T86))</f>
        <v>121.90000000000009</v>
      </c>
      <c r="V86" s="400">
        <f t="shared" si="136"/>
        <v>3</v>
      </c>
      <c r="W86" s="400">
        <f t="shared" si="137"/>
        <v>32</v>
      </c>
      <c r="X86" s="400">
        <f t="shared" si="138"/>
        <v>1</v>
      </c>
      <c r="Y86" s="400">
        <f t="shared" si="139"/>
        <v>20</v>
      </c>
      <c r="AA86" s="670">
        <f>AA85</f>
        <v>3230</v>
      </c>
      <c r="AB86" s="479">
        <f t="array" ref="AB86">MIN(IF($J$84:$J$328&lt;AA86+ROUNDUP(AB85,0),999999,$J$84:$J$328-AA86))</f>
        <v>125.2199999999998</v>
      </c>
      <c r="AC86" s="400">
        <f t="shared" si="140"/>
        <v>3</v>
      </c>
      <c r="AD86" s="400">
        <f t="shared" si="141"/>
        <v>32</v>
      </c>
      <c r="AE86" s="400">
        <f t="shared" si="142"/>
        <v>3</v>
      </c>
      <c r="AF86" s="669">
        <f t="shared" si="143"/>
        <v>20</v>
      </c>
    </row>
    <row r="87" spans="5:32" x14ac:dyDescent="0.2">
      <c r="E87" s="400">
        <v>4</v>
      </c>
      <c r="F87" s="400">
        <v>1</v>
      </c>
      <c r="G87" s="400">
        <v>32</v>
      </c>
      <c r="H87" s="400">
        <v>4</v>
      </c>
      <c r="I87" s="400">
        <v>25</v>
      </c>
      <c r="J87" s="479">
        <f t="shared" si="144"/>
        <v>2767.74</v>
      </c>
      <c r="M87" s="670">
        <f>M86</f>
        <v>2049</v>
      </c>
      <c r="N87" s="479">
        <f t="array" ref="N87">MIN(IF($J$84:$J$328&lt;M87+ROUNDUP(N86,0),999999,$J$84:$J$328-M87))</f>
        <v>50.369999999999891</v>
      </c>
      <c r="O87" s="400">
        <f t="shared" si="132"/>
        <v>2</v>
      </c>
      <c r="P87" s="400">
        <f t="shared" si="133"/>
        <v>32</v>
      </c>
      <c r="Q87" s="400">
        <f t="shared" si="134"/>
        <v>1</v>
      </c>
      <c r="R87" s="400">
        <f t="shared" si="135"/>
        <v>25</v>
      </c>
      <c r="S87" s="669"/>
      <c r="T87" s="400">
        <f>T86</f>
        <v>2605</v>
      </c>
      <c r="U87" s="479">
        <f t="array" ref="U87">MIN(IF($J$84:$J$328&lt;T87+ROUNDUP(U86,0),999999,$J$84:$J$328-T87))</f>
        <v>124.26000000000022</v>
      </c>
      <c r="V87" s="400">
        <f t="shared" si="136"/>
        <v>3</v>
      </c>
      <c r="W87" s="400">
        <f t="shared" si="137"/>
        <v>25</v>
      </c>
      <c r="X87" s="400">
        <f t="shared" si="138"/>
        <v>4</v>
      </c>
      <c r="Y87" s="400">
        <f t="shared" si="139"/>
        <v>20</v>
      </c>
      <c r="AA87" s="670">
        <f>AA86</f>
        <v>3230</v>
      </c>
      <c r="AB87" s="479">
        <f t="array" ref="AB87">MIN(IF($J$84:$J$328&lt;AA87+ROUNDUP(AB86,0),999999,$J$84:$J$328-AA87))</f>
        <v>127.57999999999993</v>
      </c>
      <c r="AC87" s="400">
        <f t="shared" si="140"/>
        <v>3</v>
      </c>
      <c r="AD87" s="400">
        <f t="shared" si="141"/>
        <v>25</v>
      </c>
      <c r="AE87" s="400">
        <f t="shared" si="142"/>
        <v>6</v>
      </c>
      <c r="AF87" s="669">
        <f t="shared" si="143"/>
        <v>20</v>
      </c>
    </row>
    <row r="88" spans="5:32" ht="13.5" thickBot="1" x14ac:dyDescent="0.25">
      <c r="E88" s="400">
        <v>5</v>
      </c>
      <c r="F88" s="400">
        <v>1</v>
      </c>
      <c r="G88" s="400">
        <v>32</v>
      </c>
      <c r="H88" s="400">
        <v>5</v>
      </c>
      <c r="I88" s="400">
        <v>25</v>
      </c>
      <c r="J88" s="479">
        <f t="shared" si="144"/>
        <v>3258.62</v>
      </c>
      <c r="M88" s="735">
        <f>M87</f>
        <v>2049</v>
      </c>
      <c r="N88" s="736">
        <f t="array" ref="N88">MIN(IF($J$84:$J$328&lt;M88+ROUNDUP(N87,0),999999,$J$84:$J$328-M88))</f>
        <v>51.940000000000055</v>
      </c>
      <c r="O88" s="737">
        <f t="shared" si="132"/>
        <v>3</v>
      </c>
      <c r="P88" s="737">
        <f t="shared" si="133"/>
        <v>25</v>
      </c>
      <c r="Q88" s="737">
        <f t="shared" si="134"/>
        <v>2</v>
      </c>
      <c r="R88" s="737">
        <f t="shared" si="135"/>
        <v>20</v>
      </c>
      <c r="S88" s="738"/>
      <c r="T88" s="737">
        <f>T87</f>
        <v>2605</v>
      </c>
      <c r="U88" s="736">
        <f t="array" ref="U88">MIN(IF($J$84:$J$328&lt;T88+ROUNDUP(U87,0),999999,$J$84:$J$328-T88))</f>
        <v>162.73999999999978</v>
      </c>
      <c r="V88" s="737">
        <f t="shared" si="136"/>
        <v>1</v>
      </c>
      <c r="W88" s="737">
        <f t="shared" si="137"/>
        <v>32</v>
      </c>
      <c r="X88" s="737">
        <f t="shared" si="138"/>
        <v>4</v>
      </c>
      <c r="Y88" s="737">
        <f t="shared" si="139"/>
        <v>25</v>
      </c>
      <c r="Z88" s="737"/>
      <c r="AA88" s="735">
        <f>AA87</f>
        <v>3230</v>
      </c>
      <c r="AB88" s="736">
        <f t="array" ref="AB88">MIN(IF($J$84:$J$328&lt;AA88+ROUNDUP(AB87,0),999999,$J$84:$J$328-AA88))</f>
        <v>164.48999999999978</v>
      </c>
      <c r="AC88" s="737">
        <f t="shared" si="140"/>
        <v>3</v>
      </c>
      <c r="AD88" s="737">
        <f t="shared" si="141"/>
        <v>32</v>
      </c>
      <c r="AE88" s="737">
        <f t="shared" si="142"/>
        <v>2</v>
      </c>
      <c r="AF88" s="738">
        <f t="shared" si="143"/>
        <v>25</v>
      </c>
    </row>
    <row r="89" spans="5:32" ht="13.5" thickBot="1" x14ac:dyDescent="0.25">
      <c r="E89" s="400">
        <v>6</v>
      </c>
      <c r="F89" s="400">
        <v>1</v>
      </c>
      <c r="G89" s="400">
        <v>32</v>
      </c>
      <c r="H89" s="400">
        <v>6</v>
      </c>
      <c r="I89" s="400">
        <v>25</v>
      </c>
      <c r="J89" s="479">
        <f t="shared" si="144"/>
        <v>3749.49</v>
      </c>
    </row>
    <row r="90" spans="5:32" x14ac:dyDescent="0.2">
      <c r="E90" s="400">
        <v>7</v>
      </c>
      <c r="F90" s="400">
        <v>1</v>
      </c>
      <c r="G90" s="400">
        <v>32</v>
      </c>
      <c r="H90" s="400">
        <v>7</v>
      </c>
      <c r="I90" s="400">
        <v>25</v>
      </c>
      <c r="J90" s="479">
        <f t="shared" si="144"/>
        <v>4240.3599999999997</v>
      </c>
      <c r="M90" s="739">
        <f>K52</f>
        <v>3569</v>
      </c>
      <c r="N90" s="732">
        <f t="array" ref="N90">MIN(IF($J$84:$J$328&lt;M90,999999,$J$84:$J$328-M90))</f>
        <v>2.9899999999997817</v>
      </c>
      <c r="O90" s="733">
        <f t="shared" ref="O90:O95" si="145">INDEX($F$84:$I$328,MATCH(M90+N90,$J$84:$J$328,0),1)</f>
        <v>2</v>
      </c>
      <c r="P90" s="733">
        <f t="shared" ref="P90:P95" si="146">INDEX($F$84:$I$328,MATCH(M90+N90,$J$84:$J$328,0),2)</f>
        <v>32</v>
      </c>
      <c r="Q90" s="733">
        <f t="shared" ref="Q90:Q95" si="147">INDEX($F$84:$I$328,MATCH(M90+N90,$J$84:$J$328,0),3)</f>
        <v>4</v>
      </c>
      <c r="R90" s="733">
        <f t="shared" ref="R90:R95" si="148">INDEX($F$84:$I$328,MATCH(M90+N90,$J$84:$J$328,0),4)</f>
        <v>25</v>
      </c>
      <c r="S90" s="734"/>
      <c r="T90" s="739">
        <f>K53</f>
        <v>3489</v>
      </c>
      <c r="U90" s="732">
        <f t="array" ref="U90">MIN(IF($J$84:$J$328&lt;T90,999999,$J$84:$J$328-T90))</f>
        <v>4.4499999999998181</v>
      </c>
      <c r="V90" s="733">
        <f t="shared" ref="V90:V95" si="149">INDEX($F$84:$I$328,MATCH(T90+U90,$J$84:$J$328,0),1)</f>
        <v>2</v>
      </c>
      <c r="W90" s="733">
        <f t="shared" ref="W90:W95" si="150">INDEX($F$84:$I$328,MATCH(T90+U90,$J$84:$J$328,0),2)</f>
        <v>32</v>
      </c>
      <c r="X90" s="733">
        <f t="shared" ref="X90:X95" si="151">INDEX($F$84:$I$328,MATCH(T90+U90,$J$84:$J$328,0),3)</f>
        <v>6</v>
      </c>
      <c r="Y90" s="733">
        <f t="shared" ref="Y90:Y95" si="152">INDEX($F$84:$I$328,MATCH(T90+U90,$J$84:$J$328,0),4)</f>
        <v>20</v>
      </c>
      <c r="Z90" s="734"/>
      <c r="AA90" s="733">
        <f>K54</f>
        <v>0</v>
      </c>
      <c r="AB90" s="732">
        <f t="array" ref="AB90">MIN(IF($J$84:$J$328&lt;AA90,999999,$J$84:$J$328-AA90))</f>
        <v>515.22</v>
      </c>
      <c r="AC90" s="733">
        <f t="shared" ref="AC90:AC95" si="153">INDEX($F$84:$I$328,MATCH(AA90+AB90,$J$84:$J$328,0),1)</f>
        <v>1</v>
      </c>
      <c r="AD90" s="733">
        <f t="shared" ref="AD90:AD95" si="154">INDEX($F$84:$I$328,MATCH(AA90+AB90,$J$84:$J$328,0),2)</f>
        <v>20</v>
      </c>
      <c r="AE90" s="733">
        <f t="shared" ref="AE90:AE95" si="155">INDEX($F$84:$I$328,MATCH(AA90+AB90,$J$84:$J$328,0),3)</f>
        <v>1</v>
      </c>
      <c r="AF90" s="734">
        <f t="shared" ref="AF90:AF95" si="156">INDEX($F$84:$I$328,MATCH(AA90+AB90,$J$84:$J$328,0),4)</f>
        <v>16</v>
      </c>
    </row>
    <row r="91" spans="5:32" x14ac:dyDescent="0.2">
      <c r="E91" s="400">
        <v>8</v>
      </c>
      <c r="F91" s="400">
        <v>2</v>
      </c>
      <c r="G91" s="400">
        <v>32</v>
      </c>
      <c r="H91" s="400">
        <v>0</v>
      </c>
      <c r="I91" s="400">
        <v>25</v>
      </c>
      <c r="J91" s="479">
        <f t="shared" si="144"/>
        <v>1608.5</v>
      </c>
      <c r="M91" s="670">
        <f>M90</f>
        <v>3569</v>
      </c>
      <c r="N91" s="479">
        <f t="array" ref="N91">MIN(IF($J$84:$J$328&lt;M91+ROUNDUP(N90,0),999999,$J$84:$J$328-M91))</f>
        <v>4.5599999999999454</v>
      </c>
      <c r="O91" s="400">
        <f t="shared" si="145"/>
        <v>6</v>
      </c>
      <c r="P91" s="400">
        <f t="shared" si="146"/>
        <v>25</v>
      </c>
      <c r="Q91" s="400">
        <f t="shared" si="147"/>
        <v>2</v>
      </c>
      <c r="R91" s="400">
        <f t="shared" si="148"/>
        <v>20</v>
      </c>
      <c r="S91" s="669"/>
      <c r="T91" s="670">
        <f>T90</f>
        <v>3489</v>
      </c>
      <c r="U91" s="479">
        <f t="array" ref="U91">MIN(IF($J$84:$J$328&lt;T91+ROUNDUP(U90,0),999999,$J$84:$J$328-T91))</f>
        <v>42.150000000000091</v>
      </c>
      <c r="V91" s="400">
        <f t="shared" si="149"/>
        <v>4</v>
      </c>
      <c r="W91" s="400">
        <f t="shared" si="150"/>
        <v>32</v>
      </c>
      <c r="X91" s="400">
        <f t="shared" si="151"/>
        <v>1</v>
      </c>
      <c r="Y91" s="400">
        <f t="shared" si="152"/>
        <v>20</v>
      </c>
      <c r="Z91" s="669"/>
      <c r="AA91" s="400">
        <f>AA90</f>
        <v>0</v>
      </c>
      <c r="AB91" s="479">
        <f t="array" ref="AB91">MIN(IF($J$84:$J$328&lt;AA91+ROUNDUP(AB90,0),999999,$J$84:$J$328-AA91))</f>
        <v>628.32000000000005</v>
      </c>
      <c r="AC91" s="400">
        <f t="shared" si="153"/>
        <v>2</v>
      </c>
      <c r="AD91" s="400">
        <f t="shared" si="154"/>
        <v>20</v>
      </c>
      <c r="AE91" s="400">
        <f t="shared" si="155"/>
        <v>0</v>
      </c>
      <c r="AF91" s="669">
        <f t="shared" si="156"/>
        <v>16</v>
      </c>
    </row>
    <row r="92" spans="5:32" x14ac:dyDescent="0.2">
      <c r="E92" s="400">
        <v>9</v>
      </c>
      <c r="F92" s="400">
        <v>2</v>
      </c>
      <c r="G92" s="400">
        <v>32</v>
      </c>
      <c r="H92" s="400">
        <v>1</v>
      </c>
      <c r="I92" s="400">
        <v>25</v>
      </c>
      <c r="J92" s="479">
        <f t="shared" si="144"/>
        <v>2099.37</v>
      </c>
      <c r="M92" s="670">
        <f>M91</f>
        <v>3569</v>
      </c>
      <c r="N92" s="479">
        <f t="array" ref="N92">MIN(IF($J$84:$J$328&lt;M92+ROUNDUP(N91,0),999999,$J$84:$J$328-M92))</f>
        <v>68.179999999999836</v>
      </c>
      <c r="O92" s="400">
        <f t="shared" si="145"/>
        <v>7</v>
      </c>
      <c r="P92" s="400">
        <f t="shared" si="146"/>
        <v>25</v>
      </c>
      <c r="Q92" s="400">
        <f t="shared" si="147"/>
        <v>1</v>
      </c>
      <c r="R92" s="400">
        <f t="shared" si="148"/>
        <v>16</v>
      </c>
      <c r="S92" s="669"/>
      <c r="T92" s="670">
        <f>T91</f>
        <v>3489</v>
      </c>
      <c r="U92" s="479">
        <f t="array" ref="U92">MIN(IF($J$84:$J$328&lt;T92+ROUNDUP(U91,0),999999,$J$84:$J$328-T92))</f>
        <v>45.289999999999964</v>
      </c>
      <c r="V92" s="400">
        <f t="shared" si="149"/>
        <v>4</v>
      </c>
      <c r="W92" s="400">
        <f t="shared" si="150"/>
        <v>25</v>
      </c>
      <c r="X92" s="400">
        <f t="shared" si="151"/>
        <v>5</v>
      </c>
      <c r="Y92" s="400">
        <f t="shared" si="152"/>
        <v>20</v>
      </c>
      <c r="Z92" s="669"/>
      <c r="AA92" s="400">
        <f>AA91</f>
        <v>0</v>
      </c>
      <c r="AB92" s="479">
        <f t="array" ref="AB92">MIN(IF($J$84:$J$328&lt;AA92+ROUNDUP(AB91,0),999999,$J$84:$J$328-AA92))</f>
        <v>691.94</v>
      </c>
      <c r="AC92" s="400">
        <f t="shared" si="153"/>
        <v>1</v>
      </c>
      <c r="AD92" s="400">
        <f t="shared" si="154"/>
        <v>25</v>
      </c>
      <c r="AE92" s="400">
        <f t="shared" si="155"/>
        <v>1</v>
      </c>
      <c r="AF92" s="669">
        <f t="shared" si="156"/>
        <v>16</v>
      </c>
    </row>
    <row r="93" spans="5:32" x14ac:dyDescent="0.2">
      <c r="E93" s="400">
        <v>10</v>
      </c>
      <c r="F93" s="400">
        <v>2</v>
      </c>
      <c r="G93" s="400">
        <v>32</v>
      </c>
      <c r="H93" s="400">
        <v>2</v>
      </c>
      <c r="I93" s="400">
        <v>25</v>
      </c>
      <c r="J93" s="479">
        <f t="shared" si="144"/>
        <v>2590.2399999999998</v>
      </c>
      <c r="M93" s="670">
        <f>M92</f>
        <v>3569</v>
      </c>
      <c r="N93" s="479">
        <f t="array" ref="N93">MIN(IF($J$84:$J$328&lt;M93+ROUNDUP(N92,0),999999,$J$84:$J$328-M93))</f>
        <v>91.739999999999782</v>
      </c>
      <c r="O93" s="400">
        <f t="shared" si="145"/>
        <v>5</v>
      </c>
      <c r="P93" s="400">
        <f t="shared" si="146"/>
        <v>25</v>
      </c>
      <c r="Q93" s="400">
        <f t="shared" si="147"/>
        <v>6</v>
      </c>
      <c r="R93" s="400">
        <f t="shared" si="148"/>
        <v>16</v>
      </c>
      <c r="S93" s="669"/>
      <c r="T93" s="670">
        <f>T92</f>
        <v>3489</v>
      </c>
      <c r="U93" s="479">
        <f t="array" ref="U93">MIN(IF($J$84:$J$328&lt;T93+ROUNDUP(U92,0),999999,$J$84:$J$328-T93))</f>
        <v>59.429999999999836</v>
      </c>
      <c r="V93" s="400">
        <f t="shared" si="149"/>
        <v>6</v>
      </c>
      <c r="W93" s="400">
        <f t="shared" si="150"/>
        <v>25</v>
      </c>
      <c r="X93" s="400">
        <f t="shared" si="151"/>
        <v>3</v>
      </c>
      <c r="Y93" s="400">
        <f t="shared" si="152"/>
        <v>16</v>
      </c>
      <c r="Z93" s="669"/>
      <c r="AA93" s="400">
        <f>AA92</f>
        <v>0</v>
      </c>
      <c r="AB93" s="479">
        <f t="array" ref="AB93">MIN(IF($J$84:$J$328&lt;AA93+ROUNDUP(AB92,0),999999,$J$84:$J$328-AA93))</f>
        <v>716.28</v>
      </c>
      <c r="AC93" s="400">
        <f t="shared" si="153"/>
        <v>1</v>
      </c>
      <c r="AD93" s="400">
        <f t="shared" si="154"/>
        <v>20</v>
      </c>
      <c r="AE93" s="400">
        <f t="shared" si="155"/>
        <v>2</v>
      </c>
      <c r="AF93" s="669">
        <f t="shared" si="156"/>
        <v>16</v>
      </c>
    </row>
    <row r="94" spans="5:32" x14ac:dyDescent="0.2">
      <c r="E94" s="400">
        <v>11</v>
      </c>
      <c r="F94" s="400">
        <v>2</v>
      </c>
      <c r="G94" s="400">
        <v>32</v>
      </c>
      <c r="H94" s="400">
        <v>3</v>
      </c>
      <c r="I94" s="400">
        <v>25</v>
      </c>
      <c r="J94" s="479">
        <f t="shared" si="144"/>
        <v>3081.12</v>
      </c>
      <c r="M94" s="670">
        <f>M93</f>
        <v>3569</v>
      </c>
      <c r="N94" s="479">
        <f t="array" ref="N94">MIN(IF($J$84:$J$328&lt;M94+ROUNDUP(N93,0),999999,$J$84:$J$328-M94))</f>
        <v>100.38000000000011</v>
      </c>
      <c r="O94" s="400">
        <f t="shared" si="145"/>
        <v>3</v>
      </c>
      <c r="P94" s="400">
        <f t="shared" si="146"/>
        <v>32</v>
      </c>
      <c r="Q94" s="400">
        <f t="shared" si="147"/>
        <v>4</v>
      </c>
      <c r="R94" s="400">
        <f t="shared" si="148"/>
        <v>20</v>
      </c>
      <c r="S94" s="669"/>
      <c r="T94" s="670">
        <f>T93</f>
        <v>3489</v>
      </c>
      <c r="U94" s="479">
        <f t="array" ref="U94">MIN(IF($J$84:$J$328&lt;T94+ROUNDUP(U93,0),999999,$J$84:$J$328-T94))</f>
        <v>82.989999999999782</v>
      </c>
      <c r="V94" s="400">
        <f t="shared" si="149"/>
        <v>2</v>
      </c>
      <c r="W94" s="400">
        <f t="shared" si="150"/>
        <v>32</v>
      </c>
      <c r="X94" s="400">
        <f t="shared" si="151"/>
        <v>4</v>
      </c>
      <c r="Y94" s="400">
        <f t="shared" si="152"/>
        <v>25</v>
      </c>
      <c r="Z94" s="669"/>
      <c r="AA94" s="400">
        <f>AA93</f>
        <v>0</v>
      </c>
      <c r="AB94" s="479">
        <f t="array" ref="AB94">MIN(IF($J$84:$J$328&lt;AA94+ROUNDUP(AB93,0),999999,$J$84:$J$328-AA94))</f>
        <v>805.03</v>
      </c>
      <c r="AC94" s="400">
        <f t="shared" si="153"/>
        <v>1</v>
      </c>
      <c r="AD94" s="400">
        <f t="shared" si="154"/>
        <v>25</v>
      </c>
      <c r="AE94" s="400">
        <f t="shared" si="155"/>
        <v>1</v>
      </c>
      <c r="AF94" s="669">
        <f t="shared" si="156"/>
        <v>20</v>
      </c>
    </row>
    <row r="95" spans="5:32" ht="13.5" thickBot="1" x14ac:dyDescent="0.25">
      <c r="E95" s="400">
        <v>12</v>
      </c>
      <c r="F95" s="400">
        <v>2</v>
      </c>
      <c r="G95" s="400">
        <v>32</v>
      </c>
      <c r="H95" s="400">
        <v>4</v>
      </c>
      <c r="I95" s="400">
        <v>25</v>
      </c>
      <c r="J95" s="479">
        <f t="shared" si="144"/>
        <v>3571.99</v>
      </c>
      <c r="M95" s="735">
        <f>M94</f>
        <v>3569</v>
      </c>
      <c r="N95" s="736">
        <f t="array" ref="N95">MIN(IF($J$84:$J$328&lt;M95+ROUNDUP(N94,0),999999,$J$84:$J$328-M95))</f>
        <v>138.86000000000013</v>
      </c>
      <c r="O95" s="737">
        <f t="shared" si="145"/>
        <v>4</v>
      </c>
      <c r="P95" s="737">
        <f t="shared" si="146"/>
        <v>32</v>
      </c>
      <c r="Q95" s="737">
        <f t="shared" si="147"/>
        <v>1</v>
      </c>
      <c r="R95" s="737">
        <f t="shared" si="148"/>
        <v>25</v>
      </c>
      <c r="S95" s="738"/>
      <c r="T95" s="735">
        <f>T94</f>
        <v>3489</v>
      </c>
      <c r="U95" s="736">
        <f t="array" ref="U95">MIN(IF($J$84:$J$328&lt;T95+ROUNDUP(U94,0),999999,$J$84:$J$328-T95))</f>
        <v>84.559999999999945</v>
      </c>
      <c r="V95" s="737">
        <f t="shared" si="149"/>
        <v>6</v>
      </c>
      <c r="W95" s="737">
        <f t="shared" si="150"/>
        <v>25</v>
      </c>
      <c r="X95" s="737">
        <f t="shared" si="151"/>
        <v>2</v>
      </c>
      <c r="Y95" s="737">
        <f t="shared" si="152"/>
        <v>20</v>
      </c>
      <c r="Z95" s="738"/>
      <c r="AA95" s="737">
        <f>AA94</f>
        <v>0</v>
      </c>
      <c r="AB95" s="736">
        <f t="array" ref="AB95">MIN(IF($J$84:$J$328&lt;AA95+ROUNDUP(AB94,0),999999,$J$84:$J$328-AA95))</f>
        <v>829.38</v>
      </c>
      <c r="AC95" s="737">
        <f t="shared" si="153"/>
        <v>2</v>
      </c>
      <c r="AD95" s="737">
        <f t="shared" si="154"/>
        <v>20</v>
      </c>
      <c r="AE95" s="737">
        <f t="shared" si="155"/>
        <v>1</v>
      </c>
      <c r="AF95" s="738">
        <f t="shared" si="156"/>
        <v>16</v>
      </c>
    </row>
    <row r="96" spans="5:32" ht="13.5" thickBot="1" x14ac:dyDescent="0.25">
      <c r="E96" s="400">
        <v>13</v>
      </c>
      <c r="F96" s="400">
        <v>2</v>
      </c>
      <c r="G96" s="400">
        <v>32</v>
      </c>
      <c r="H96" s="400">
        <v>5</v>
      </c>
      <c r="I96" s="400">
        <v>25</v>
      </c>
      <c r="J96" s="479">
        <f t="shared" si="144"/>
        <v>4062.86</v>
      </c>
    </row>
    <row r="97" spans="5:32" x14ac:dyDescent="0.2">
      <c r="E97" s="400">
        <v>14</v>
      </c>
      <c r="F97" s="400">
        <v>2</v>
      </c>
      <c r="G97" s="400">
        <v>32</v>
      </c>
      <c r="H97" s="400">
        <v>6</v>
      </c>
      <c r="I97" s="400">
        <v>25</v>
      </c>
      <c r="J97" s="479">
        <f t="shared" si="144"/>
        <v>4553.74</v>
      </c>
      <c r="M97" s="731">
        <f>K55</f>
        <v>0</v>
      </c>
      <c r="N97" s="732">
        <f t="array" ref="N97">MIN(IF($J$84:$J$328&lt;M97,999999,$J$84:$J$328-M97))</f>
        <v>515.22</v>
      </c>
      <c r="O97" s="733">
        <f t="shared" ref="O97:O102" si="157">INDEX($F$84:$I$328,MATCH(M97+N97,$J$84:$J$328,0),1)</f>
        <v>1</v>
      </c>
      <c r="P97" s="733">
        <f t="shared" ref="P97:P102" si="158">INDEX($F$84:$I$328,MATCH(M97+N97,$J$84:$J$328,0),2)</f>
        <v>20</v>
      </c>
      <c r="Q97" s="733">
        <f t="shared" ref="Q97:Q102" si="159">INDEX($F$84:$I$328,MATCH(M97+N97,$J$84:$J$328,0),3)</f>
        <v>1</v>
      </c>
      <c r="R97" s="733">
        <f t="shared" ref="R97:R102" si="160">INDEX($F$84:$I$328,MATCH(M97+N97,$J$84:$J$328,0),4)</f>
        <v>16</v>
      </c>
      <c r="S97" s="733"/>
      <c r="T97" s="739">
        <f>K56</f>
        <v>0</v>
      </c>
      <c r="U97" s="732">
        <f t="array" ref="U97">MIN(IF($J$84:$J$328&lt;T97,999999,$J$84:$J$328-T97))</f>
        <v>515.22</v>
      </c>
      <c r="V97" s="733">
        <f t="shared" ref="V97:V102" si="161">INDEX($F$84:$I$328,MATCH(T97+U97,$J$84:$J$328,0),1)</f>
        <v>1</v>
      </c>
      <c r="W97" s="733">
        <f t="shared" ref="W97:W102" si="162">INDEX($F$84:$I$328,MATCH(T97+U97,$J$84:$J$328,0),2)</f>
        <v>20</v>
      </c>
      <c r="X97" s="733">
        <f t="shared" ref="X97:X102" si="163">INDEX($F$84:$I$328,MATCH(T97+U97,$J$84:$J$328,0),3)</f>
        <v>1</v>
      </c>
      <c r="Y97" s="733">
        <f t="shared" ref="Y97:Y102" si="164">INDEX($F$84:$I$328,MATCH(T97+U97,$J$84:$J$328,0),4)</f>
        <v>16</v>
      </c>
      <c r="Z97" s="734"/>
      <c r="AA97" s="733">
        <f>K57</f>
        <v>0</v>
      </c>
      <c r="AB97" s="732">
        <f t="array" ref="AB97">MIN(IF($J$84:$J$328&lt;AA97,999999,$J$84:$J$328-AA97))</f>
        <v>515.22</v>
      </c>
      <c r="AC97" s="733">
        <f t="shared" ref="AC97:AC102" si="165">INDEX($F$84:$I$328,MATCH(AA97+AB97,$J$84:$J$328,0),1)</f>
        <v>1</v>
      </c>
      <c r="AD97" s="733">
        <f t="shared" ref="AD97:AD102" si="166">INDEX($F$84:$I$328,MATCH(AA97+AB97,$J$84:$J$328,0),2)</f>
        <v>20</v>
      </c>
      <c r="AE97" s="733">
        <f t="shared" ref="AE97:AE102" si="167">INDEX($F$84:$I$328,MATCH(AA97+AB97,$J$84:$J$328,0),3)</f>
        <v>1</v>
      </c>
      <c r="AF97" s="734">
        <f t="shared" ref="AF97:AF102" si="168">INDEX($F$84:$I$328,MATCH(AA97+AB97,$J$84:$J$328,0),4)</f>
        <v>16</v>
      </c>
    </row>
    <row r="98" spans="5:32" x14ac:dyDescent="0.2">
      <c r="E98" s="400">
        <v>15</v>
      </c>
      <c r="F98" s="400">
        <v>3</v>
      </c>
      <c r="G98" s="400">
        <v>32</v>
      </c>
      <c r="H98" s="400">
        <v>0</v>
      </c>
      <c r="I98" s="400">
        <v>25</v>
      </c>
      <c r="J98" s="479">
        <f t="shared" si="144"/>
        <v>2412.7399999999998</v>
      </c>
      <c r="M98" s="670">
        <f>M97</f>
        <v>0</v>
      </c>
      <c r="N98" s="479">
        <f t="array" ref="N98">MIN(IF($J$84:$J$328&lt;M98+ROUNDUP(N97,0),999999,$J$84:$J$328-M98))</f>
        <v>628.32000000000005</v>
      </c>
      <c r="O98" s="400">
        <f t="shared" si="157"/>
        <v>2</v>
      </c>
      <c r="P98" s="400">
        <f t="shared" si="158"/>
        <v>20</v>
      </c>
      <c r="Q98" s="400">
        <f t="shared" si="159"/>
        <v>0</v>
      </c>
      <c r="R98" s="400">
        <f t="shared" si="160"/>
        <v>16</v>
      </c>
      <c r="T98" s="670">
        <f>T97</f>
        <v>0</v>
      </c>
      <c r="U98" s="479">
        <f t="array" ref="U98">MIN(IF($J$84:$J$328&lt;T98+ROUNDUP(U97,0),999999,$J$84:$J$328-T98))</f>
        <v>628.32000000000005</v>
      </c>
      <c r="V98" s="400">
        <f t="shared" si="161"/>
        <v>2</v>
      </c>
      <c r="W98" s="400">
        <f t="shared" si="162"/>
        <v>20</v>
      </c>
      <c r="X98" s="400">
        <f t="shared" si="163"/>
        <v>0</v>
      </c>
      <c r="Y98" s="400">
        <f t="shared" si="164"/>
        <v>16</v>
      </c>
      <c r="Z98" s="669"/>
      <c r="AA98" s="400">
        <f>AA97</f>
        <v>0</v>
      </c>
      <c r="AB98" s="479">
        <f t="array" ref="AB98">MIN(IF($J$84:$J$328&lt;AA98+ROUNDUP(AB97,0),999999,$J$84:$J$328-AA98))</f>
        <v>628.32000000000005</v>
      </c>
      <c r="AC98" s="400">
        <f t="shared" si="165"/>
        <v>2</v>
      </c>
      <c r="AD98" s="400">
        <f t="shared" si="166"/>
        <v>20</v>
      </c>
      <c r="AE98" s="400">
        <f t="shared" si="167"/>
        <v>0</v>
      </c>
      <c r="AF98" s="669">
        <f t="shared" si="168"/>
        <v>16</v>
      </c>
    </row>
    <row r="99" spans="5:32" x14ac:dyDescent="0.2">
      <c r="E99" s="400">
        <v>16</v>
      </c>
      <c r="F99" s="400">
        <v>3</v>
      </c>
      <c r="G99" s="400">
        <v>32</v>
      </c>
      <c r="H99" s="400">
        <v>1</v>
      </c>
      <c r="I99" s="400">
        <v>25</v>
      </c>
      <c r="J99" s="479">
        <f t="shared" si="144"/>
        <v>2903.62</v>
      </c>
      <c r="M99" s="670">
        <f>M98</f>
        <v>0</v>
      </c>
      <c r="N99" s="479">
        <f t="array" ref="N99">MIN(IF($J$84:$J$328&lt;M99+ROUNDUP(N98,0),999999,$J$84:$J$328-M99))</f>
        <v>691.94</v>
      </c>
      <c r="O99" s="400">
        <f t="shared" si="157"/>
        <v>1</v>
      </c>
      <c r="P99" s="400">
        <f t="shared" si="158"/>
        <v>25</v>
      </c>
      <c r="Q99" s="400">
        <f t="shared" si="159"/>
        <v>1</v>
      </c>
      <c r="R99" s="400">
        <f t="shared" si="160"/>
        <v>16</v>
      </c>
      <c r="T99" s="670">
        <f>T98</f>
        <v>0</v>
      </c>
      <c r="U99" s="479">
        <f t="array" ref="U99">MIN(IF($J$84:$J$328&lt;T99+ROUNDUP(U98,0),999999,$J$84:$J$328-T99))</f>
        <v>691.94</v>
      </c>
      <c r="V99" s="400">
        <f t="shared" si="161"/>
        <v>1</v>
      </c>
      <c r="W99" s="400">
        <f t="shared" si="162"/>
        <v>25</v>
      </c>
      <c r="X99" s="400">
        <f t="shared" si="163"/>
        <v>1</v>
      </c>
      <c r="Y99" s="400">
        <f t="shared" si="164"/>
        <v>16</v>
      </c>
      <c r="Z99" s="669"/>
      <c r="AA99" s="400">
        <f>AA98</f>
        <v>0</v>
      </c>
      <c r="AB99" s="479">
        <f t="array" ref="AB99">MIN(IF($J$84:$J$328&lt;AA99+ROUNDUP(AB98,0),999999,$J$84:$J$328-AA99))</f>
        <v>691.94</v>
      </c>
      <c r="AC99" s="400">
        <f t="shared" si="165"/>
        <v>1</v>
      </c>
      <c r="AD99" s="400">
        <f t="shared" si="166"/>
        <v>25</v>
      </c>
      <c r="AE99" s="400">
        <f t="shared" si="167"/>
        <v>1</v>
      </c>
      <c r="AF99" s="669">
        <f t="shared" si="168"/>
        <v>16</v>
      </c>
    </row>
    <row r="100" spans="5:32" x14ac:dyDescent="0.2">
      <c r="E100" s="400">
        <v>17</v>
      </c>
      <c r="F100" s="400">
        <v>3</v>
      </c>
      <c r="G100" s="400">
        <v>32</v>
      </c>
      <c r="H100" s="400">
        <v>2</v>
      </c>
      <c r="I100" s="400">
        <v>25</v>
      </c>
      <c r="J100" s="479">
        <f t="shared" si="144"/>
        <v>3394.49</v>
      </c>
      <c r="M100" s="670">
        <f>M99</f>
        <v>0</v>
      </c>
      <c r="N100" s="479">
        <f t="array" ref="N100">MIN(IF($J$84:$J$328&lt;M100+ROUNDUP(N99,0),999999,$J$84:$J$328-M100))</f>
        <v>716.28</v>
      </c>
      <c r="O100" s="400">
        <f t="shared" si="157"/>
        <v>1</v>
      </c>
      <c r="P100" s="400">
        <f t="shared" si="158"/>
        <v>20</v>
      </c>
      <c r="Q100" s="400">
        <f t="shared" si="159"/>
        <v>2</v>
      </c>
      <c r="R100" s="400">
        <f t="shared" si="160"/>
        <v>16</v>
      </c>
      <c r="T100" s="670">
        <f>T99</f>
        <v>0</v>
      </c>
      <c r="U100" s="479">
        <f t="array" ref="U100">MIN(IF($J$84:$J$328&lt;T100+ROUNDUP(U99,0),999999,$J$84:$J$328-T100))</f>
        <v>716.28</v>
      </c>
      <c r="V100" s="400">
        <f t="shared" si="161"/>
        <v>1</v>
      </c>
      <c r="W100" s="400">
        <f t="shared" si="162"/>
        <v>20</v>
      </c>
      <c r="X100" s="400">
        <f t="shared" si="163"/>
        <v>2</v>
      </c>
      <c r="Y100" s="400">
        <f t="shared" si="164"/>
        <v>16</v>
      </c>
      <c r="Z100" s="669"/>
      <c r="AA100" s="400">
        <f>AA99</f>
        <v>0</v>
      </c>
      <c r="AB100" s="479">
        <f t="array" ref="AB100">MIN(IF($J$84:$J$328&lt;AA100+ROUNDUP(AB99,0),999999,$J$84:$J$328-AA100))</f>
        <v>716.28</v>
      </c>
      <c r="AC100" s="400">
        <f t="shared" si="165"/>
        <v>1</v>
      </c>
      <c r="AD100" s="400">
        <f t="shared" si="166"/>
        <v>20</v>
      </c>
      <c r="AE100" s="400">
        <f t="shared" si="167"/>
        <v>2</v>
      </c>
      <c r="AF100" s="669">
        <f t="shared" si="168"/>
        <v>16</v>
      </c>
    </row>
    <row r="101" spans="5:32" x14ac:dyDescent="0.2">
      <c r="E101" s="400">
        <v>18</v>
      </c>
      <c r="F101" s="400">
        <v>3</v>
      </c>
      <c r="G101" s="400">
        <v>32</v>
      </c>
      <c r="H101" s="400">
        <v>3</v>
      </c>
      <c r="I101" s="400">
        <v>25</v>
      </c>
      <c r="J101" s="479">
        <f t="shared" si="144"/>
        <v>3885.36</v>
      </c>
      <c r="M101" s="670">
        <f>M100</f>
        <v>0</v>
      </c>
      <c r="N101" s="479">
        <f t="array" ref="N101">MIN(IF($J$84:$J$328&lt;M101+ROUNDUP(N100,0),999999,$J$84:$J$328-M101))</f>
        <v>805.03</v>
      </c>
      <c r="O101" s="400">
        <f t="shared" si="157"/>
        <v>1</v>
      </c>
      <c r="P101" s="400">
        <f t="shared" si="158"/>
        <v>25</v>
      </c>
      <c r="Q101" s="400">
        <f t="shared" si="159"/>
        <v>1</v>
      </c>
      <c r="R101" s="400">
        <f t="shared" si="160"/>
        <v>20</v>
      </c>
      <c r="T101" s="670">
        <f>T100</f>
        <v>0</v>
      </c>
      <c r="U101" s="479">
        <f t="array" ref="U101">MIN(IF($J$84:$J$328&lt;T101+ROUNDUP(U100,0),999999,$J$84:$J$328-T101))</f>
        <v>805.03</v>
      </c>
      <c r="V101" s="400">
        <f t="shared" si="161"/>
        <v>1</v>
      </c>
      <c r="W101" s="400">
        <f t="shared" si="162"/>
        <v>25</v>
      </c>
      <c r="X101" s="400">
        <f t="shared" si="163"/>
        <v>1</v>
      </c>
      <c r="Y101" s="400">
        <f t="shared" si="164"/>
        <v>20</v>
      </c>
      <c r="Z101" s="669"/>
      <c r="AA101" s="400">
        <f>AA100</f>
        <v>0</v>
      </c>
      <c r="AB101" s="479">
        <f t="array" ref="AB101">MIN(IF($J$84:$J$328&lt;AA101+ROUNDUP(AB100,0),999999,$J$84:$J$328-AA101))</f>
        <v>805.03</v>
      </c>
      <c r="AC101" s="400">
        <f t="shared" si="165"/>
        <v>1</v>
      </c>
      <c r="AD101" s="400">
        <f t="shared" si="166"/>
        <v>25</v>
      </c>
      <c r="AE101" s="400">
        <f t="shared" si="167"/>
        <v>1</v>
      </c>
      <c r="AF101" s="669">
        <f t="shared" si="168"/>
        <v>20</v>
      </c>
    </row>
    <row r="102" spans="5:32" ht="13.5" thickBot="1" x14ac:dyDescent="0.25">
      <c r="E102" s="400">
        <v>19</v>
      </c>
      <c r="F102" s="400">
        <v>3</v>
      </c>
      <c r="G102" s="400">
        <v>32</v>
      </c>
      <c r="H102" s="400">
        <v>4</v>
      </c>
      <c r="I102" s="400">
        <v>25</v>
      </c>
      <c r="J102" s="479">
        <f t="shared" si="144"/>
        <v>4376.24</v>
      </c>
      <c r="M102" s="735">
        <f>M101</f>
        <v>0</v>
      </c>
      <c r="N102" s="736">
        <f t="array" ref="N102">MIN(IF($J$84:$J$328&lt;M102+ROUNDUP(N101,0),999999,$J$84:$J$328-M102))</f>
        <v>829.38</v>
      </c>
      <c r="O102" s="737">
        <f t="shared" si="157"/>
        <v>2</v>
      </c>
      <c r="P102" s="737">
        <f t="shared" si="158"/>
        <v>20</v>
      </c>
      <c r="Q102" s="737">
        <f t="shared" si="159"/>
        <v>1</v>
      </c>
      <c r="R102" s="737">
        <f t="shared" si="160"/>
        <v>16</v>
      </c>
      <c r="S102" s="737"/>
      <c r="T102" s="735">
        <f>T101</f>
        <v>0</v>
      </c>
      <c r="U102" s="736">
        <f t="array" ref="U102">MIN(IF($J$84:$J$328&lt;T102+ROUNDUP(U101,0),999999,$J$84:$J$328-T102))</f>
        <v>829.38</v>
      </c>
      <c r="V102" s="737">
        <f t="shared" si="161"/>
        <v>2</v>
      </c>
      <c r="W102" s="737">
        <f t="shared" si="162"/>
        <v>20</v>
      </c>
      <c r="X102" s="737">
        <f t="shared" si="163"/>
        <v>1</v>
      </c>
      <c r="Y102" s="737">
        <f t="shared" si="164"/>
        <v>16</v>
      </c>
      <c r="Z102" s="738"/>
      <c r="AA102" s="737">
        <f>AA101</f>
        <v>0</v>
      </c>
      <c r="AB102" s="736">
        <f t="array" ref="AB102">MIN(IF($J$84:$J$328&lt;AA102+ROUNDUP(AB101,0),999999,$J$84:$J$328-AA102))</f>
        <v>829.38</v>
      </c>
      <c r="AC102" s="737">
        <f t="shared" si="165"/>
        <v>2</v>
      </c>
      <c r="AD102" s="737">
        <f t="shared" si="166"/>
        <v>20</v>
      </c>
      <c r="AE102" s="737">
        <f t="shared" si="167"/>
        <v>1</v>
      </c>
      <c r="AF102" s="738">
        <f t="shared" si="168"/>
        <v>16</v>
      </c>
    </row>
    <row r="103" spans="5:32" ht="13.5" thickBot="1" x14ac:dyDescent="0.25">
      <c r="E103" s="400">
        <v>20</v>
      </c>
      <c r="F103" s="400">
        <v>3</v>
      </c>
      <c r="G103" s="400">
        <v>32</v>
      </c>
      <c r="H103" s="400">
        <v>5</v>
      </c>
      <c r="I103" s="400">
        <v>25</v>
      </c>
      <c r="J103" s="479">
        <f t="shared" si="144"/>
        <v>4867.1099999999997</v>
      </c>
    </row>
    <row r="104" spans="5:32" x14ac:dyDescent="0.2">
      <c r="E104" s="400">
        <v>21</v>
      </c>
      <c r="F104" s="400">
        <v>3</v>
      </c>
      <c r="G104" s="400">
        <v>32</v>
      </c>
      <c r="H104" s="400">
        <v>6</v>
      </c>
      <c r="I104" s="400">
        <v>25</v>
      </c>
      <c r="J104" s="479">
        <f t="shared" si="144"/>
        <v>5357.99</v>
      </c>
      <c r="M104" s="739">
        <f>K58</f>
        <v>0</v>
      </c>
      <c r="N104" s="732">
        <f t="array" ref="N104">MIN(IF($J$84:$J$328&lt;M104,999999,$J$84:$J$328-M104))</f>
        <v>515.22</v>
      </c>
      <c r="O104" s="733">
        <f t="shared" ref="O104:O109" si="169">INDEX($F$84:$I$328,MATCH(M104+N104,$J$84:$J$328,0),1)</f>
        <v>1</v>
      </c>
      <c r="P104" s="733">
        <f t="shared" ref="P104:P109" si="170">INDEX($F$84:$I$328,MATCH(M104+N104,$J$84:$J$328,0),2)</f>
        <v>20</v>
      </c>
      <c r="Q104" s="733">
        <f t="shared" ref="Q104:Q109" si="171">INDEX($F$84:$I$328,MATCH(M104+N104,$J$84:$J$328,0),3)</f>
        <v>1</v>
      </c>
      <c r="R104" s="733">
        <f t="shared" ref="R104:R109" si="172">INDEX($F$84:$I$328,MATCH(M104+N104,$J$84:$J$328,0),4)</f>
        <v>16</v>
      </c>
      <c r="S104" s="733"/>
      <c r="T104" s="739">
        <f>K59</f>
        <v>0</v>
      </c>
      <c r="U104" s="732">
        <f t="array" ref="U104">MIN(IF($J$84:$J$328&lt;T104,999999,$J$84:$J$328-T104))</f>
        <v>515.22</v>
      </c>
      <c r="V104" s="733">
        <f t="shared" ref="V104:V109" si="173">INDEX($F$84:$I$328,MATCH(T104+U104,$J$84:$J$328,0),1)</f>
        <v>1</v>
      </c>
      <c r="W104" s="733">
        <f t="shared" ref="W104:W109" si="174">INDEX($F$84:$I$328,MATCH(T104+U104,$J$84:$J$328,0),2)</f>
        <v>20</v>
      </c>
      <c r="X104" s="733">
        <f t="shared" ref="X104:X109" si="175">INDEX($F$84:$I$328,MATCH(T104+U104,$J$84:$J$328,0),3)</f>
        <v>1</v>
      </c>
      <c r="Y104" s="733">
        <f t="shared" ref="Y104:Y109" si="176">INDEX($F$84:$I$328,MATCH(T104+U104,$J$84:$J$328,0),4)</f>
        <v>16</v>
      </c>
      <c r="Z104" s="734"/>
      <c r="AA104" s="732">
        <f>K60</f>
        <v>0</v>
      </c>
      <c r="AB104" s="732">
        <f t="array" ref="AB104">MIN(IF($J$84:$J$328&lt;AA104,999999,$J$84:$J$328-AA104))</f>
        <v>515.22</v>
      </c>
      <c r="AC104" s="733">
        <f t="shared" ref="AC104:AC109" si="177">INDEX($F$84:$I$328,MATCH(AA104+AB104,$J$84:$J$328,0),1)</f>
        <v>1</v>
      </c>
      <c r="AD104" s="733">
        <f t="shared" ref="AD104:AD109" si="178">INDEX($F$84:$I$328,MATCH(AA104+AB104,$J$84:$J$328,0),2)</f>
        <v>20</v>
      </c>
      <c r="AE104" s="733">
        <f t="shared" ref="AE104:AE109" si="179">INDEX($F$84:$I$328,MATCH(AA104+AB104,$J$84:$J$328,0),3)</f>
        <v>1</v>
      </c>
      <c r="AF104" s="734">
        <f t="shared" ref="AF104:AF109" si="180">INDEX($F$84:$I$328,MATCH(AA104+AB104,$J$84:$J$328,0),4)</f>
        <v>16</v>
      </c>
    </row>
    <row r="105" spans="5:32" x14ac:dyDescent="0.2">
      <c r="E105" s="400">
        <v>22</v>
      </c>
      <c r="F105" s="400">
        <v>4</v>
      </c>
      <c r="G105" s="400">
        <v>32</v>
      </c>
      <c r="H105" s="400">
        <v>0</v>
      </c>
      <c r="I105" s="400">
        <v>25</v>
      </c>
      <c r="J105" s="479">
        <f t="shared" si="144"/>
        <v>3216.99</v>
      </c>
      <c r="M105" s="670">
        <f>M104</f>
        <v>0</v>
      </c>
      <c r="N105" s="479">
        <f t="array" ref="N105">MIN(IF($J$84:$J$328&lt;M105+ROUNDUP(N104,0),999999,$J$84:$J$328-M105))</f>
        <v>628.32000000000005</v>
      </c>
      <c r="O105" s="400">
        <f t="shared" si="169"/>
        <v>2</v>
      </c>
      <c r="P105" s="400">
        <f t="shared" si="170"/>
        <v>20</v>
      </c>
      <c r="Q105" s="400">
        <f t="shared" si="171"/>
        <v>0</v>
      </c>
      <c r="R105" s="400">
        <f t="shared" si="172"/>
        <v>16</v>
      </c>
      <c r="T105" s="670">
        <f>T104</f>
        <v>0</v>
      </c>
      <c r="U105" s="479">
        <f t="array" ref="U105">MIN(IF($J$84:$J$328&lt;T105+ROUNDUP(U104,0),999999,$J$84:$J$328-T105))</f>
        <v>628.32000000000005</v>
      </c>
      <c r="V105" s="400">
        <f t="shared" si="173"/>
        <v>2</v>
      </c>
      <c r="W105" s="400">
        <f t="shared" si="174"/>
        <v>20</v>
      </c>
      <c r="X105" s="400">
        <f t="shared" si="175"/>
        <v>0</v>
      </c>
      <c r="Y105" s="400">
        <f t="shared" si="176"/>
        <v>16</v>
      </c>
      <c r="Z105" s="669"/>
      <c r="AA105" s="400">
        <f>AA104</f>
        <v>0</v>
      </c>
      <c r="AB105" s="479">
        <f t="array" ref="AB105">MIN(IF($J$84:$J$328&lt;AA105+ROUNDUP(AB104,0),999999,$J$84:$J$328-AA105))</f>
        <v>628.32000000000005</v>
      </c>
      <c r="AC105" s="400">
        <f t="shared" si="177"/>
        <v>2</v>
      </c>
      <c r="AD105" s="400">
        <f t="shared" si="178"/>
        <v>20</v>
      </c>
      <c r="AE105" s="400">
        <f t="shared" si="179"/>
        <v>0</v>
      </c>
      <c r="AF105" s="669">
        <f t="shared" si="180"/>
        <v>16</v>
      </c>
    </row>
    <row r="106" spans="5:32" x14ac:dyDescent="0.2">
      <c r="E106" s="400">
        <v>23</v>
      </c>
      <c r="F106" s="400">
        <v>4</v>
      </c>
      <c r="G106" s="400">
        <v>32</v>
      </c>
      <c r="H106" s="400">
        <v>1</v>
      </c>
      <c r="I106" s="400">
        <v>25</v>
      </c>
      <c r="J106" s="479">
        <f t="shared" si="144"/>
        <v>3707.86</v>
      </c>
      <c r="M106" s="670">
        <f>M105</f>
        <v>0</v>
      </c>
      <c r="N106" s="479">
        <f t="array" ref="N106">MIN(IF($J$84:$J$328&lt;M106+ROUNDUP(N105,0),999999,$J$84:$J$328-M106))</f>
        <v>691.94</v>
      </c>
      <c r="O106" s="400">
        <f t="shared" si="169"/>
        <v>1</v>
      </c>
      <c r="P106" s="400">
        <f t="shared" si="170"/>
        <v>25</v>
      </c>
      <c r="Q106" s="400">
        <f t="shared" si="171"/>
        <v>1</v>
      </c>
      <c r="R106" s="400">
        <f t="shared" si="172"/>
        <v>16</v>
      </c>
      <c r="T106" s="670">
        <f>T105</f>
        <v>0</v>
      </c>
      <c r="U106" s="479">
        <f t="array" ref="U106">MIN(IF($J$84:$J$328&lt;T106+ROUNDUP(U105,0),999999,$J$84:$J$328-T106))</f>
        <v>691.94</v>
      </c>
      <c r="V106" s="400">
        <f t="shared" si="173"/>
        <v>1</v>
      </c>
      <c r="W106" s="400">
        <f t="shared" si="174"/>
        <v>25</v>
      </c>
      <c r="X106" s="400">
        <f t="shared" si="175"/>
        <v>1</v>
      </c>
      <c r="Y106" s="400">
        <f t="shared" si="176"/>
        <v>16</v>
      </c>
      <c r="Z106" s="669"/>
      <c r="AA106" s="400">
        <f>AA105</f>
        <v>0</v>
      </c>
      <c r="AB106" s="479">
        <f t="array" ref="AB106">MIN(IF($J$84:$J$328&lt;AA106+ROUNDUP(AB105,0),999999,$J$84:$J$328-AA106))</f>
        <v>691.94</v>
      </c>
      <c r="AC106" s="400">
        <f t="shared" si="177"/>
        <v>1</v>
      </c>
      <c r="AD106" s="400">
        <f t="shared" si="178"/>
        <v>25</v>
      </c>
      <c r="AE106" s="400">
        <f t="shared" si="179"/>
        <v>1</v>
      </c>
      <c r="AF106" s="669">
        <f t="shared" si="180"/>
        <v>16</v>
      </c>
    </row>
    <row r="107" spans="5:32" x14ac:dyDescent="0.2">
      <c r="E107" s="400">
        <v>24</v>
      </c>
      <c r="F107" s="400">
        <v>4</v>
      </c>
      <c r="G107" s="400">
        <v>32</v>
      </c>
      <c r="H107" s="400">
        <v>2</v>
      </c>
      <c r="I107" s="400">
        <v>25</v>
      </c>
      <c r="J107" s="479">
        <f t="shared" si="144"/>
        <v>4198.74</v>
      </c>
      <c r="M107" s="670">
        <f>M106</f>
        <v>0</v>
      </c>
      <c r="N107" s="479">
        <f t="array" ref="N107">MIN(IF($J$84:$J$328&lt;M107+ROUNDUP(N106,0),999999,$J$84:$J$328-M107))</f>
        <v>716.28</v>
      </c>
      <c r="O107" s="400">
        <f t="shared" si="169"/>
        <v>1</v>
      </c>
      <c r="P107" s="400">
        <f t="shared" si="170"/>
        <v>20</v>
      </c>
      <c r="Q107" s="400">
        <f t="shared" si="171"/>
        <v>2</v>
      </c>
      <c r="R107" s="400">
        <f t="shared" si="172"/>
        <v>16</v>
      </c>
      <c r="T107" s="670">
        <f>T106</f>
        <v>0</v>
      </c>
      <c r="U107" s="479">
        <f t="array" ref="U107">MIN(IF($J$84:$J$328&lt;T107+ROUNDUP(U106,0),999999,$J$84:$J$328-T107))</f>
        <v>716.28</v>
      </c>
      <c r="V107" s="400">
        <f t="shared" si="173"/>
        <v>1</v>
      </c>
      <c r="W107" s="400">
        <f t="shared" si="174"/>
        <v>20</v>
      </c>
      <c r="X107" s="400">
        <f t="shared" si="175"/>
        <v>2</v>
      </c>
      <c r="Y107" s="400">
        <f t="shared" si="176"/>
        <v>16</v>
      </c>
      <c r="Z107" s="669"/>
      <c r="AA107" s="400">
        <f>AA106</f>
        <v>0</v>
      </c>
      <c r="AB107" s="479">
        <f t="array" ref="AB107">MIN(IF($J$84:$J$328&lt;AA107+ROUNDUP(AB106,0),999999,$J$84:$J$328-AA107))</f>
        <v>716.28</v>
      </c>
      <c r="AC107" s="400">
        <f t="shared" si="177"/>
        <v>1</v>
      </c>
      <c r="AD107" s="400">
        <f t="shared" si="178"/>
        <v>20</v>
      </c>
      <c r="AE107" s="400">
        <f t="shared" si="179"/>
        <v>2</v>
      </c>
      <c r="AF107" s="669">
        <f t="shared" si="180"/>
        <v>16</v>
      </c>
    </row>
    <row r="108" spans="5:32" x14ac:dyDescent="0.2">
      <c r="E108" s="400">
        <v>25</v>
      </c>
      <c r="F108" s="400">
        <v>4</v>
      </c>
      <c r="G108" s="400">
        <v>32</v>
      </c>
      <c r="H108" s="400">
        <v>3</v>
      </c>
      <c r="I108" s="400">
        <v>25</v>
      </c>
      <c r="J108" s="479">
        <f t="shared" si="144"/>
        <v>4689.6099999999997</v>
      </c>
      <c r="M108" s="670">
        <f>M107</f>
        <v>0</v>
      </c>
      <c r="N108" s="479">
        <f t="array" ref="N108">MIN(IF($J$84:$J$328&lt;M108+ROUNDUP(N107,0),999999,$J$84:$J$328-M108))</f>
        <v>805.03</v>
      </c>
      <c r="O108" s="400">
        <f t="shared" si="169"/>
        <v>1</v>
      </c>
      <c r="P108" s="400">
        <f t="shared" si="170"/>
        <v>25</v>
      </c>
      <c r="Q108" s="400">
        <f t="shared" si="171"/>
        <v>1</v>
      </c>
      <c r="R108" s="400">
        <f t="shared" si="172"/>
        <v>20</v>
      </c>
      <c r="T108" s="670">
        <f>T107</f>
        <v>0</v>
      </c>
      <c r="U108" s="479">
        <f t="array" ref="U108">MIN(IF($J$84:$J$328&lt;T108+ROUNDUP(U107,0),999999,$J$84:$J$328-T108))</f>
        <v>805.03</v>
      </c>
      <c r="V108" s="400">
        <f t="shared" si="173"/>
        <v>1</v>
      </c>
      <c r="W108" s="400">
        <f t="shared" si="174"/>
        <v>25</v>
      </c>
      <c r="X108" s="400">
        <f t="shared" si="175"/>
        <v>1</v>
      </c>
      <c r="Y108" s="400">
        <f t="shared" si="176"/>
        <v>20</v>
      </c>
      <c r="Z108" s="669"/>
      <c r="AA108" s="400">
        <f>AA107</f>
        <v>0</v>
      </c>
      <c r="AB108" s="479">
        <f t="array" ref="AB108">MIN(IF($J$84:$J$328&lt;AA108+ROUNDUP(AB107,0),999999,$J$84:$J$328-AA108))</f>
        <v>805.03</v>
      </c>
      <c r="AC108" s="400">
        <f t="shared" si="177"/>
        <v>1</v>
      </c>
      <c r="AD108" s="400">
        <f t="shared" si="178"/>
        <v>25</v>
      </c>
      <c r="AE108" s="400">
        <f t="shared" si="179"/>
        <v>1</v>
      </c>
      <c r="AF108" s="669">
        <f t="shared" si="180"/>
        <v>20</v>
      </c>
    </row>
    <row r="109" spans="5:32" ht="13.5" thickBot="1" x14ac:dyDescent="0.25">
      <c r="E109" s="400">
        <v>26</v>
      </c>
      <c r="F109" s="400">
        <v>4</v>
      </c>
      <c r="G109" s="400">
        <v>32</v>
      </c>
      <c r="H109" s="400">
        <v>4</v>
      </c>
      <c r="I109" s="400">
        <v>25</v>
      </c>
      <c r="J109" s="479">
        <f t="shared" si="144"/>
        <v>5180.49</v>
      </c>
      <c r="M109" s="735">
        <f>M108</f>
        <v>0</v>
      </c>
      <c r="N109" s="736">
        <f t="array" ref="N109">MIN(IF($J$84:$J$328&lt;M109+ROUNDUP(N108,0),999999,$J$84:$J$328-M109))</f>
        <v>829.38</v>
      </c>
      <c r="O109" s="737">
        <f t="shared" si="169"/>
        <v>2</v>
      </c>
      <c r="P109" s="737">
        <f t="shared" si="170"/>
        <v>20</v>
      </c>
      <c r="Q109" s="737">
        <f t="shared" si="171"/>
        <v>1</v>
      </c>
      <c r="R109" s="737">
        <f t="shared" si="172"/>
        <v>16</v>
      </c>
      <c r="S109" s="737"/>
      <c r="T109" s="735">
        <f>T108</f>
        <v>0</v>
      </c>
      <c r="U109" s="736">
        <f t="array" ref="U109">MIN(IF($J$84:$J$328&lt;T109+ROUNDUP(U108,0),999999,$J$84:$J$328-T109))</f>
        <v>829.38</v>
      </c>
      <c r="V109" s="737">
        <f t="shared" si="173"/>
        <v>2</v>
      </c>
      <c r="W109" s="737">
        <f t="shared" si="174"/>
        <v>20</v>
      </c>
      <c r="X109" s="737">
        <f t="shared" si="175"/>
        <v>1</v>
      </c>
      <c r="Y109" s="737">
        <f t="shared" si="176"/>
        <v>16</v>
      </c>
      <c r="Z109" s="738"/>
      <c r="AA109" s="737">
        <f>AA108</f>
        <v>0</v>
      </c>
      <c r="AB109" s="736">
        <f t="array" ref="AB109">MIN(IF($J$84:$J$328&lt;AA109+ROUNDUP(AB108,0),999999,$J$84:$J$328-AA109))</f>
        <v>829.38</v>
      </c>
      <c r="AC109" s="737">
        <f t="shared" si="177"/>
        <v>2</v>
      </c>
      <c r="AD109" s="737">
        <f t="shared" si="178"/>
        <v>20</v>
      </c>
      <c r="AE109" s="737">
        <f t="shared" si="179"/>
        <v>1</v>
      </c>
      <c r="AF109" s="738">
        <f t="shared" si="180"/>
        <v>16</v>
      </c>
    </row>
    <row r="110" spans="5:32" x14ac:dyDescent="0.2">
      <c r="E110" s="400">
        <v>27</v>
      </c>
      <c r="F110" s="400">
        <v>4</v>
      </c>
      <c r="G110" s="400">
        <v>32</v>
      </c>
      <c r="H110" s="400">
        <v>5</v>
      </c>
      <c r="I110" s="400">
        <v>25</v>
      </c>
      <c r="J110" s="479">
        <f t="shared" si="144"/>
        <v>5671.36</v>
      </c>
    </row>
    <row r="111" spans="5:32" x14ac:dyDescent="0.2">
      <c r="E111" s="400">
        <v>28</v>
      </c>
      <c r="F111" s="400">
        <v>4</v>
      </c>
      <c r="G111" s="400">
        <v>32</v>
      </c>
      <c r="H111" s="400">
        <v>6</v>
      </c>
      <c r="I111" s="400">
        <v>25</v>
      </c>
      <c r="J111" s="479">
        <f t="shared" si="144"/>
        <v>6162.23</v>
      </c>
    </row>
    <row r="112" spans="5:32" ht="16.5" thickBot="1" x14ac:dyDescent="0.3">
      <c r="E112" s="400">
        <v>29</v>
      </c>
      <c r="F112" s="400">
        <v>5</v>
      </c>
      <c r="G112" s="400">
        <v>32</v>
      </c>
      <c r="H112" s="400">
        <v>0</v>
      </c>
      <c r="I112" s="400">
        <v>25</v>
      </c>
      <c r="J112" s="479">
        <f t="shared" si="144"/>
        <v>4021.24</v>
      </c>
      <c r="L112" s="730" t="s">
        <v>296</v>
      </c>
    </row>
    <row r="113" spans="5:32" x14ac:dyDescent="0.2">
      <c r="E113" s="400">
        <v>30</v>
      </c>
      <c r="F113" s="400">
        <v>5</v>
      </c>
      <c r="G113" s="400">
        <v>32</v>
      </c>
      <c r="H113" s="400">
        <v>1</v>
      </c>
      <c r="I113" s="400">
        <v>25</v>
      </c>
      <c r="J113" s="479">
        <f t="shared" si="144"/>
        <v>4512.1099999999997</v>
      </c>
      <c r="M113" s="731">
        <f>L49</f>
        <v>1654</v>
      </c>
      <c r="N113" s="732">
        <f t="array" ref="N113">MIN(IF($J$84:$J$328&lt;M113,999999,$J$84:$J$328-M113))</f>
        <v>4.7599999999999909</v>
      </c>
      <c r="O113" s="733">
        <f t="shared" ref="O113:O118" si="181">INDEX($F$84:$I$328,MATCH(M113+N113,$J$84:$J$328,0),1)</f>
        <v>4</v>
      </c>
      <c r="P113" s="733">
        <f t="shared" ref="P113:P118" si="182">INDEX($F$84:$I$328,MATCH(M113+N113,$J$84:$J$328,0),2)</f>
        <v>20</v>
      </c>
      <c r="Q113" s="733">
        <f t="shared" ref="Q113:Q118" si="183">INDEX($F$84:$I$328,MATCH(M113+N113,$J$84:$J$328,0),3)</f>
        <v>2</v>
      </c>
      <c r="R113" s="733">
        <f t="shared" ref="R113:R118" si="184">INDEX($F$84:$I$328,MATCH(M113+N113,$J$84:$J$328,0),4)</f>
        <v>16</v>
      </c>
      <c r="S113" s="733"/>
      <c r="T113" s="739">
        <f>L50</f>
        <v>1569</v>
      </c>
      <c r="U113" s="732">
        <f t="array" ref="U113">MIN(IF($J$84:$J$328&lt;T113,999999,$J$84:$J$328-T113))</f>
        <v>1.7999999999999545</v>
      </c>
      <c r="V113" s="733">
        <f t="shared" ref="V113:V118" si="185">INDEX($F$84:$I$328,MATCH(T113+U113,$J$84:$J$328,0),1)</f>
        <v>5</v>
      </c>
      <c r="W113" s="733">
        <f t="shared" ref="W113:W118" si="186">INDEX($F$84:$I$328,MATCH(T113+U113,$J$84:$J$328,0),2)</f>
        <v>20</v>
      </c>
      <c r="X113" s="733">
        <f t="shared" ref="X113:X118" si="187">INDEX($F$84:$I$328,MATCH(T113+U113,$J$84:$J$328,0),3)</f>
        <v>0</v>
      </c>
      <c r="Y113" s="733">
        <f t="shared" ref="Y113:Y118" si="188">INDEX($F$84:$I$328,MATCH(T113+U113,$J$84:$J$328,0),4)</f>
        <v>16</v>
      </c>
      <c r="Z113" s="734"/>
      <c r="AA113" s="733">
        <f>L51</f>
        <v>1615</v>
      </c>
      <c r="AB113" s="732">
        <f t="array" ref="AB113">MIN(IF($J$84:$J$328&lt;AA113,999999,$J$84:$J$328-AA113))</f>
        <v>18.630000000000109</v>
      </c>
      <c r="AC113" s="733">
        <f t="shared" ref="AC113:AC118" si="189">INDEX($F$84:$I$328,MATCH(AA113+AB113,$J$84:$J$328,0),1)</f>
        <v>2</v>
      </c>
      <c r="AD113" s="733">
        <f t="shared" ref="AD113:AD118" si="190">INDEX($F$84:$I$328,MATCH(AA113+AB113,$J$84:$J$328,0),2)</f>
        <v>20</v>
      </c>
      <c r="AE113" s="733">
        <f t="shared" ref="AE113:AE118" si="191">INDEX($F$84:$I$328,MATCH(AA113+AB113,$J$84:$J$328,0),3)</f>
        <v>5</v>
      </c>
      <c r="AF113" s="734">
        <f t="shared" ref="AF113:AF118" si="192">INDEX($F$84:$I$328,MATCH(AA113+AB113,$J$84:$J$328,0),4)</f>
        <v>16</v>
      </c>
    </row>
    <row r="114" spans="5:32" x14ac:dyDescent="0.2">
      <c r="E114" s="400">
        <v>31</v>
      </c>
      <c r="F114" s="400">
        <v>5</v>
      </c>
      <c r="G114" s="400">
        <v>32</v>
      </c>
      <c r="H114" s="400">
        <v>2</v>
      </c>
      <c r="I114" s="400">
        <v>25</v>
      </c>
      <c r="J114" s="479">
        <f t="shared" si="144"/>
        <v>5002.99</v>
      </c>
      <c r="M114" s="670">
        <f>M113</f>
        <v>1654</v>
      </c>
      <c r="N114" s="479">
        <f t="array" ref="N114">MIN(IF($J$84:$J$328&lt;M114+ROUNDUP(N113,0),999999,$J$84:$J$328-M114))</f>
        <v>19.680000000000064</v>
      </c>
      <c r="O114" s="400">
        <f t="shared" si="181"/>
        <v>3</v>
      </c>
      <c r="P114" s="400">
        <f t="shared" si="182"/>
        <v>25</v>
      </c>
      <c r="Q114" s="400">
        <f t="shared" si="183"/>
        <v>1</v>
      </c>
      <c r="R114" s="400">
        <f t="shared" si="184"/>
        <v>16</v>
      </c>
      <c r="T114" s="670">
        <f>T113</f>
        <v>1569</v>
      </c>
      <c r="U114" s="479">
        <f t="array" ref="U114">MIN(IF($J$84:$J$328&lt;T114+ROUNDUP(U113,0),999999,$J$84:$J$328-T114))</f>
        <v>15.930000000000064</v>
      </c>
      <c r="V114" s="400">
        <f t="shared" si="185"/>
        <v>2</v>
      </c>
      <c r="W114" s="400">
        <f t="shared" si="186"/>
        <v>25</v>
      </c>
      <c r="X114" s="400">
        <f t="shared" si="187"/>
        <v>3</v>
      </c>
      <c r="Y114" s="400">
        <f t="shared" si="188"/>
        <v>16</v>
      </c>
      <c r="Z114" s="669"/>
      <c r="AA114" s="400">
        <f>AA113</f>
        <v>1615</v>
      </c>
      <c r="AB114" s="479">
        <f t="array" ref="AB114">MIN(IF($J$84:$J$328&lt;AA114+ROUNDUP(AB113,0),999999,$J$84:$J$328-AA114))</f>
        <v>43.759999999999991</v>
      </c>
      <c r="AC114" s="400">
        <f t="shared" si="189"/>
        <v>4</v>
      </c>
      <c r="AD114" s="400">
        <f t="shared" si="190"/>
        <v>20</v>
      </c>
      <c r="AE114" s="400">
        <f t="shared" si="191"/>
        <v>2</v>
      </c>
      <c r="AF114" s="669">
        <f t="shared" si="192"/>
        <v>16</v>
      </c>
    </row>
    <row r="115" spans="5:32" x14ac:dyDescent="0.2">
      <c r="E115" s="400">
        <v>32</v>
      </c>
      <c r="F115" s="400">
        <v>5</v>
      </c>
      <c r="G115" s="400">
        <v>32</v>
      </c>
      <c r="H115" s="400">
        <v>3</v>
      </c>
      <c r="I115" s="400">
        <v>25</v>
      </c>
      <c r="J115" s="479">
        <f t="shared" si="144"/>
        <v>5493.86</v>
      </c>
      <c r="M115" s="670">
        <f>M114</f>
        <v>1654</v>
      </c>
      <c r="N115" s="479">
        <f t="array" ref="N115">MIN(IF($J$84:$J$328&lt;M115+ROUNDUP(N114,0),999999,$J$84:$J$328-M115))</f>
        <v>43.25</v>
      </c>
      <c r="O115" s="400">
        <f t="shared" si="181"/>
        <v>1</v>
      </c>
      <c r="P115" s="400">
        <f t="shared" si="182"/>
        <v>25</v>
      </c>
      <c r="Q115" s="400">
        <f t="shared" si="183"/>
        <v>6</v>
      </c>
      <c r="R115" s="400">
        <f t="shared" si="184"/>
        <v>16</v>
      </c>
      <c r="T115" s="670">
        <f>T114</f>
        <v>1569</v>
      </c>
      <c r="U115" s="479">
        <f t="array" ref="U115">MIN(IF($J$84:$J$328&lt;T115+ROUNDUP(U114,0),999999,$J$84:$J$328-T115))</f>
        <v>39.5</v>
      </c>
      <c r="V115" s="400">
        <f t="shared" si="185"/>
        <v>2</v>
      </c>
      <c r="W115" s="400">
        <f t="shared" si="186"/>
        <v>32</v>
      </c>
      <c r="X115" s="400">
        <f t="shared" si="187"/>
        <v>0</v>
      </c>
      <c r="Y115" s="400">
        <f t="shared" si="188"/>
        <v>25</v>
      </c>
      <c r="Z115" s="669"/>
      <c r="AA115" s="400">
        <f>AA114</f>
        <v>1615</v>
      </c>
      <c r="AB115" s="479">
        <f t="array" ref="AB115">MIN(IF($J$84:$J$328&lt;AA115+ROUNDUP(AB114,0),999999,$J$84:$J$328-AA115))</f>
        <v>58.680000000000064</v>
      </c>
      <c r="AC115" s="400">
        <f t="shared" si="189"/>
        <v>3</v>
      </c>
      <c r="AD115" s="400">
        <f t="shared" si="190"/>
        <v>25</v>
      </c>
      <c r="AE115" s="400">
        <f t="shared" si="191"/>
        <v>1</v>
      </c>
      <c r="AF115" s="669">
        <f t="shared" si="192"/>
        <v>16</v>
      </c>
    </row>
    <row r="116" spans="5:32" x14ac:dyDescent="0.2">
      <c r="E116" s="400">
        <v>33</v>
      </c>
      <c r="F116" s="400">
        <v>5</v>
      </c>
      <c r="G116" s="400">
        <v>32</v>
      </c>
      <c r="H116" s="400">
        <v>4</v>
      </c>
      <c r="I116" s="400">
        <v>25</v>
      </c>
      <c r="J116" s="479">
        <f t="shared" si="144"/>
        <v>5984.73</v>
      </c>
      <c r="M116" s="670">
        <f>M115</f>
        <v>1654</v>
      </c>
      <c r="N116" s="479">
        <f t="array" ref="N116">MIN(IF($J$84:$J$328&lt;M116+ROUNDUP(N115,0),999999,$J$84:$J$328-M116))</f>
        <v>67.589999999999918</v>
      </c>
      <c r="O116" s="400">
        <f t="shared" si="181"/>
        <v>1</v>
      </c>
      <c r="P116" s="400">
        <f t="shared" si="182"/>
        <v>20</v>
      </c>
      <c r="Q116" s="400">
        <f t="shared" si="183"/>
        <v>7</v>
      </c>
      <c r="R116" s="400">
        <f t="shared" si="184"/>
        <v>16</v>
      </c>
      <c r="T116" s="670">
        <f>T115</f>
        <v>1569</v>
      </c>
      <c r="U116" s="479">
        <f t="array" ref="U116">MIN(IF($J$84:$J$328&lt;T116+ROUNDUP(U115,0),999999,$J$84:$J$328-T116))</f>
        <v>41.069999999999936</v>
      </c>
      <c r="V116" s="400">
        <f t="shared" si="185"/>
        <v>2</v>
      </c>
      <c r="W116" s="400">
        <f t="shared" si="186"/>
        <v>25</v>
      </c>
      <c r="X116" s="400">
        <f t="shared" si="187"/>
        <v>2</v>
      </c>
      <c r="Y116" s="400">
        <f t="shared" si="188"/>
        <v>20</v>
      </c>
      <c r="Z116" s="669"/>
      <c r="AA116" s="400">
        <f>AA115</f>
        <v>1615</v>
      </c>
      <c r="AB116" s="479">
        <f t="array" ref="AB116">MIN(IF($J$84:$J$328&lt;AA116+ROUNDUP(AB115,0),999999,$J$84:$J$328-AA116))</f>
        <v>82.25</v>
      </c>
      <c r="AC116" s="400">
        <f t="shared" si="189"/>
        <v>1</v>
      </c>
      <c r="AD116" s="400">
        <f t="shared" si="190"/>
        <v>25</v>
      </c>
      <c r="AE116" s="400">
        <f t="shared" si="191"/>
        <v>6</v>
      </c>
      <c r="AF116" s="669">
        <f t="shared" si="192"/>
        <v>16</v>
      </c>
    </row>
    <row r="117" spans="5:32" x14ac:dyDescent="0.2">
      <c r="E117" s="400">
        <v>34</v>
      </c>
      <c r="F117" s="400">
        <v>5</v>
      </c>
      <c r="G117" s="400">
        <v>32</v>
      </c>
      <c r="H117" s="400">
        <v>5</v>
      </c>
      <c r="I117" s="400">
        <v>25</v>
      </c>
      <c r="J117" s="479">
        <f t="shared" si="144"/>
        <v>6475.61</v>
      </c>
      <c r="M117" s="670">
        <f>M116</f>
        <v>1654</v>
      </c>
      <c r="N117" s="479">
        <f t="array" ref="N117">MIN(IF($J$84:$J$328&lt;M117+ROUNDUP(N116,0),999999,$J$84:$J$328-M117))</f>
        <v>92.730000000000018</v>
      </c>
      <c r="O117" s="400">
        <f t="shared" si="181"/>
        <v>1</v>
      </c>
      <c r="P117" s="400">
        <f t="shared" si="182"/>
        <v>32</v>
      </c>
      <c r="Q117" s="400">
        <f t="shared" si="183"/>
        <v>3</v>
      </c>
      <c r="R117" s="400">
        <f t="shared" si="184"/>
        <v>20</v>
      </c>
      <c r="T117" s="670">
        <f>T116</f>
        <v>1569</v>
      </c>
      <c r="U117" s="479">
        <f t="array" ref="U117">MIN(IF($J$84:$J$328&lt;T117+ROUNDUP(U116,0),999999,$J$84:$J$328-T117))</f>
        <v>64.630000000000109</v>
      </c>
      <c r="V117" s="400">
        <f t="shared" si="185"/>
        <v>2</v>
      </c>
      <c r="W117" s="400">
        <f t="shared" si="186"/>
        <v>20</v>
      </c>
      <c r="X117" s="400">
        <f t="shared" si="187"/>
        <v>5</v>
      </c>
      <c r="Y117" s="400">
        <f t="shared" si="188"/>
        <v>16</v>
      </c>
      <c r="Z117" s="669"/>
      <c r="AA117" s="400">
        <f>AA116</f>
        <v>1615</v>
      </c>
      <c r="AB117" s="479">
        <f t="array" ref="AB117">MIN(IF($J$84:$J$328&lt;AA117+ROUNDUP(AB116,0),999999,$J$84:$J$328-AA117))</f>
        <v>106.58999999999992</v>
      </c>
      <c r="AC117" s="400">
        <f t="shared" si="189"/>
        <v>1</v>
      </c>
      <c r="AD117" s="400">
        <f t="shared" si="190"/>
        <v>20</v>
      </c>
      <c r="AE117" s="400">
        <f t="shared" si="191"/>
        <v>7</v>
      </c>
      <c r="AF117" s="669">
        <f t="shared" si="192"/>
        <v>16</v>
      </c>
    </row>
    <row r="118" spans="5:32" ht="13.5" thickBot="1" x14ac:dyDescent="0.25">
      <c r="E118" s="400">
        <v>35</v>
      </c>
      <c r="F118" s="400">
        <v>5</v>
      </c>
      <c r="G118" s="400">
        <v>32</v>
      </c>
      <c r="H118" s="400">
        <v>6</v>
      </c>
      <c r="I118" s="400">
        <v>25</v>
      </c>
      <c r="J118" s="479">
        <f t="shared" si="144"/>
        <v>6966.48</v>
      </c>
      <c r="M118" s="735">
        <f>M117</f>
        <v>1654</v>
      </c>
      <c r="N118" s="736">
        <f t="array" ref="N118">MIN(IF($J$84:$J$328&lt;M118+ROUNDUP(N117,0),999999,$J$84:$J$328-M118))</f>
        <v>93.509999999999991</v>
      </c>
      <c r="O118" s="737">
        <f t="shared" si="181"/>
        <v>1</v>
      </c>
      <c r="P118" s="737">
        <f t="shared" si="182"/>
        <v>25</v>
      </c>
      <c r="Q118" s="737">
        <f t="shared" si="183"/>
        <v>4</v>
      </c>
      <c r="R118" s="737">
        <f t="shared" si="184"/>
        <v>20</v>
      </c>
      <c r="S118" s="737"/>
      <c r="T118" s="735">
        <f>T117</f>
        <v>1569</v>
      </c>
      <c r="U118" s="736">
        <f t="array" ref="U118">MIN(IF($J$84:$J$328&lt;T118+ROUNDUP(U117,0),999999,$J$84:$J$328-T118))</f>
        <v>89.759999999999991</v>
      </c>
      <c r="V118" s="737">
        <f t="shared" si="185"/>
        <v>4</v>
      </c>
      <c r="W118" s="737">
        <f t="shared" si="186"/>
        <v>20</v>
      </c>
      <c r="X118" s="737">
        <f t="shared" si="187"/>
        <v>2</v>
      </c>
      <c r="Y118" s="737">
        <f t="shared" si="188"/>
        <v>16</v>
      </c>
      <c r="Z118" s="738"/>
      <c r="AA118" s="737">
        <f>AA117</f>
        <v>1615</v>
      </c>
      <c r="AB118" s="736">
        <f t="array" ref="AB118">MIN(IF($J$84:$J$328&lt;AA118+ROUNDUP(AB117,0),999999,$J$84:$J$328-AA118))</f>
        <v>131.73000000000002</v>
      </c>
      <c r="AC118" s="737">
        <f t="shared" si="189"/>
        <v>1</v>
      </c>
      <c r="AD118" s="737">
        <f t="shared" si="190"/>
        <v>32</v>
      </c>
      <c r="AE118" s="737">
        <f t="shared" si="191"/>
        <v>3</v>
      </c>
      <c r="AF118" s="738">
        <f t="shared" si="192"/>
        <v>20</v>
      </c>
    </row>
    <row r="119" spans="5:32" ht="13.5" thickBot="1" x14ac:dyDescent="0.25">
      <c r="E119" s="400">
        <v>36</v>
      </c>
      <c r="F119" s="400">
        <v>6</v>
      </c>
      <c r="G119" s="400">
        <v>32</v>
      </c>
      <c r="H119" s="400">
        <v>0</v>
      </c>
      <c r="I119" s="400">
        <v>25</v>
      </c>
      <c r="J119" s="479">
        <f t="shared" si="144"/>
        <v>4825.49</v>
      </c>
    </row>
    <row r="120" spans="5:32" x14ac:dyDescent="0.2">
      <c r="E120" s="400">
        <v>37</v>
      </c>
      <c r="F120" s="400">
        <v>6</v>
      </c>
      <c r="G120" s="400">
        <v>32</v>
      </c>
      <c r="H120" s="400">
        <v>1</v>
      </c>
      <c r="I120" s="400">
        <v>25</v>
      </c>
      <c r="J120" s="479">
        <f t="shared" si="144"/>
        <v>5316.36</v>
      </c>
      <c r="M120" s="731">
        <f>L52</f>
        <v>1784</v>
      </c>
      <c r="N120" s="732">
        <f t="array" ref="N120">MIN(IF($J$84:$J$328&lt;M120,999999,$J$84:$J$328-M120))</f>
        <v>2</v>
      </c>
      <c r="O120" s="733">
        <f t="shared" ref="O120:O125" si="193">INDEX($F$84:$I$328,MATCH(M120+N120,$J$84:$J$328,0),1)</f>
        <v>1</v>
      </c>
      <c r="P120" s="733">
        <f t="shared" ref="P120:P125" si="194">INDEX($F$84:$I$328,MATCH(M120+N120,$J$84:$J$328,0),2)</f>
        <v>32</v>
      </c>
      <c r="Q120" s="733">
        <f t="shared" ref="Q120:Q125" si="195">INDEX($F$84:$I$328,MATCH(M120+N120,$J$84:$J$328,0),3)</f>
        <v>2</v>
      </c>
      <c r="R120" s="733">
        <f t="shared" ref="R120:R125" si="196">INDEX($F$84:$I$328,MATCH(M120+N120,$J$84:$J$328,0),4)</f>
        <v>25</v>
      </c>
      <c r="S120" s="733"/>
      <c r="T120" s="739">
        <f>L53</f>
        <v>1744</v>
      </c>
      <c r="U120" s="732">
        <f t="array" ref="U120">MIN(IF($J$84:$J$328&lt;T120,999999,$J$84:$J$328-T120))</f>
        <v>2.7300000000000182</v>
      </c>
      <c r="V120" s="733">
        <f t="shared" ref="V120:V125" si="197">INDEX($F$84:$I$328,MATCH(T120+U120,$J$84:$J$328,0),1)</f>
        <v>1</v>
      </c>
      <c r="W120" s="733">
        <f t="shared" ref="W120:W125" si="198">INDEX($F$84:$I$328,MATCH(T120+U120,$J$84:$J$328,0),2)</f>
        <v>32</v>
      </c>
      <c r="X120" s="733">
        <f t="shared" ref="X120:X125" si="199">INDEX($F$84:$I$328,MATCH(T120+U120,$J$84:$J$328,0),3)</f>
        <v>3</v>
      </c>
      <c r="Y120" s="733">
        <f t="shared" ref="Y120:Y125" si="200">INDEX($F$84:$I$328,MATCH(T120+U120,$J$84:$J$328,0),4)</f>
        <v>20</v>
      </c>
      <c r="Z120" s="734"/>
      <c r="AA120" s="733">
        <f>L54</f>
        <v>0</v>
      </c>
      <c r="AB120" s="732">
        <f t="array" ref="AB120">MIN(IF($J$84:$J$328&lt;AA120,999999,$J$84:$J$328-AA120))</f>
        <v>515.22</v>
      </c>
      <c r="AC120" s="733">
        <f t="shared" ref="AC120:AC125" si="201">INDEX($F$84:$I$328,MATCH(AA120+AB120,$J$84:$J$328,0),1)</f>
        <v>1</v>
      </c>
      <c r="AD120" s="733">
        <f t="shared" ref="AD120:AD125" si="202">INDEX($F$84:$I$328,MATCH(AA120+AB120,$J$84:$J$328,0),2)</f>
        <v>20</v>
      </c>
      <c r="AE120" s="733">
        <f t="shared" ref="AE120:AE125" si="203">INDEX($F$84:$I$328,MATCH(AA120+AB120,$J$84:$J$328,0),3)</f>
        <v>1</v>
      </c>
      <c r="AF120" s="734">
        <f t="shared" ref="AF120:AF125" si="204">INDEX($F$84:$I$328,MATCH(AA120+AB120,$J$84:$J$328,0),4)</f>
        <v>16</v>
      </c>
    </row>
    <row r="121" spans="5:32" x14ac:dyDescent="0.2">
      <c r="E121" s="400">
        <v>38</v>
      </c>
      <c r="F121" s="400">
        <v>6</v>
      </c>
      <c r="G121" s="400">
        <v>32</v>
      </c>
      <c r="H121" s="400">
        <v>2</v>
      </c>
      <c r="I121" s="400">
        <v>25</v>
      </c>
      <c r="J121" s="479">
        <f t="shared" si="144"/>
        <v>5807.23</v>
      </c>
      <c r="M121" s="670">
        <f>M120</f>
        <v>1784</v>
      </c>
      <c r="N121" s="479">
        <f t="array" ref="N121">MIN(IF($J$84:$J$328&lt;M121+ROUNDUP(N120,0),999999,$J$84:$J$328-M121))</f>
        <v>2</v>
      </c>
      <c r="O121" s="400">
        <f t="shared" si="193"/>
        <v>1</v>
      </c>
      <c r="P121" s="400">
        <f t="shared" si="194"/>
        <v>32</v>
      </c>
      <c r="Q121" s="400">
        <f t="shared" si="195"/>
        <v>2</v>
      </c>
      <c r="R121" s="400">
        <f t="shared" si="196"/>
        <v>25</v>
      </c>
      <c r="T121" s="670">
        <f>T120</f>
        <v>1744</v>
      </c>
      <c r="U121" s="479">
        <f t="array" ref="U121">MIN(IF($J$84:$J$328&lt;T121+ROUNDUP(U120,0),999999,$J$84:$J$328-T121))</f>
        <v>3.5099999999999909</v>
      </c>
      <c r="V121" s="400">
        <f t="shared" si="197"/>
        <v>1</v>
      </c>
      <c r="W121" s="400">
        <f t="shared" si="198"/>
        <v>25</v>
      </c>
      <c r="X121" s="400">
        <f t="shared" si="199"/>
        <v>4</v>
      </c>
      <c r="Y121" s="400">
        <f t="shared" si="200"/>
        <v>20</v>
      </c>
      <c r="Z121" s="669"/>
      <c r="AA121" s="400">
        <f>AA120</f>
        <v>0</v>
      </c>
      <c r="AB121" s="479">
        <f t="array" ref="AB121">MIN(IF($J$84:$J$328&lt;AA121+ROUNDUP(AB120,0),999999,$J$84:$J$328-AA121))</f>
        <v>628.32000000000005</v>
      </c>
      <c r="AC121" s="400">
        <f t="shared" si="201"/>
        <v>2</v>
      </c>
      <c r="AD121" s="400">
        <f t="shared" si="202"/>
        <v>20</v>
      </c>
      <c r="AE121" s="400">
        <f t="shared" si="203"/>
        <v>0</v>
      </c>
      <c r="AF121" s="669">
        <f t="shared" si="204"/>
        <v>16</v>
      </c>
    </row>
    <row r="122" spans="5:32" x14ac:dyDescent="0.2">
      <c r="E122" s="400">
        <v>39</v>
      </c>
      <c r="F122" s="400">
        <v>6</v>
      </c>
      <c r="G122" s="400">
        <v>32</v>
      </c>
      <c r="H122" s="400">
        <v>3</v>
      </c>
      <c r="I122" s="400">
        <v>25</v>
      </c>
      <c r="J122" s="479">
        <f t="shared" si="144"/>
        <v>6298.11</v>
      </c>
      <c r="M122" s="670">
        <f>M121</f>
        <v>1784</v>
      </c>
      <c r="N122" s="479">
        <f t="array" ref="N122">MIN(IF($J$84:$J$328&lt;M122+ROUNDUP(N121,0),999999,$J$84:$J$328-M122))</f>
        <v>2</v>
      </c>
      <c r="O122" s="400">
        <f t="shared" si="193"/>
        <v>1</v>
      </c>
      <c r="P122" s="400">
        <f t="shared" si="194"/>
        <v>32</v>
      </c>
      <c r="Q122" s="400">
        <f t="shared" si="195"/>
        <v>2</v>
      </c>
      <c r="R122" s="400">
        <f t="shared" si="196"/>
        <v>25</v>
      </c>
      <c r="T122" s="670">
        <f>T121</f>
        <v>1744</v>
      </c>
      <c r="U122" s="479">
        <f t="array" ref="U122">MIN(IF($J$84:$J$328&lt;T122+ROUNDUP(U121,0),999999,$J$84:$J$328-T122))</f>
        <v>27.8599999999999</v>
      </c>
      <c r="V122" s="400">
        <f t="shared" si="197"/>
        <v>5</v>
      </c>
      <c r="W122" s="400">
        <f t="shared" si="198"/>
        <v>20</v>
      </c>
      <c r="X122" s="400">
        <f t="shared" si="199"/>
        <v>1</v>
      </c>
      <c r="Y122" s="400">
        <f t="shared" si="200"/>
        <v>16</v>
      </c>
      <c r="Z122" s="669"/>
      <c r="AA122" s="400">
        <f>AA121</f>
        <v>0</v>
      </c>
      <c r="AB122" s="479">
        <f t="array" ref="AB122">MIN(IF($J$84:$J$328&lt;AA122+ROUNDUP(AB121,0),999999,$J$84:$J$328-AA122))</f>
        <v>691.94</v>
      </c>
      <c r="AC122" s="400">
        <f t="shared" si="201"/>
        <v>1</v>
      </c>
      <c r="AD122" s="400">
        <f t="shared" si="202"/>
        <v>25</v>
      </c>
      <c r="AE122" s="400">
        <f t="shared" si="203"/>
        <v>1</v>
      </c>
      <c r="AF122" s="669">
        <f t="shared" si="204"/>
        <v>16</v>
      </c>
    </row>
    <row r="123" spans="5:32" x14ac:dyDescent="0.2">
      <c r="E123" s="400">
        <v>40</v>
      </c>
      <c r="F123" s="400">
        <v>6</v>
      </c>
      <c r="G123" s="400">
        <v>32</v>
      </c>
      <c r="H123" s="400">
        <v>4</v>
      </c>
      <c r="I123" s="400">
        <v>25</v>
      </c>
      <c r="J123" s="479">
        <f t="shared" si="144"/>
        <v>6788.98</v>
      </c>
      <c r="M123" s="670">
        <f>M122</f>
        <v>1784</v>
      </c>
      <c r="N123" s="479">
        <f t="array" ref="N123">MIN(IF($J$84:$J$328&lt;M123+ROUNDUP(N122,0),999999,$J$84:$J$328-M123))</f>
        <v>2</v>
      </c>
      <c r="O123" s="400">
        <f t="shared" si="193"/>
        <v>1</v>
      </c>
      <c r="P123" s="400">
        <f t="shared" si="194"/>
        <v>32</v>
      </c>
      <c r="Q123" s="400">
        <f t="shared" si="195"/>
        <v>2</v>
      </c>
      <c r="R123" s="400">
        <f t="shared" si="196"/>
        <v>25</v>
      </c>
      <c r="T123" s="670">
        <f>T122</f>
        <v>1744</v>
      </c>
      <c r="U123" s="479">
        <f t="array" ref="U123">MIN(IF($J$84:$J$328&lt;T123+ROUNDUP(U122,0),999999,$J$84:$J$328-T123))</f>
        <v>42</v>
      </c>
      <c r="V123" s="400">
        <f t="shared" si="197"/>
        <v>1</v>
      </c>
      <c r="W123" s="400">
        <f t="shared" si="198"/>
        <v>32</v>
      </c>
      <c r="X123" s="400">
        <f t="shared" si="199"/>
        <v>2</v>
      </c>
      <c r="Y123" s="400">
        <f t="shared" si="200"/>
        <v>25</v>
      </c>
      <c r="Z123" s="669"/>
      <c r="AA123" s="400">
        <f>AA122</f>
        <v>0</v>
      </c>
      <c r="AB123" s="479">
        <f t="array" ref="AB123">MIN(IF($J$84:$J$328&lt;AA123+ROUNDUP(AB122,0),999999,$J$84:$J$328-AA123))</f>
        <v>716.28</v>
      </c>
      <c r="AC123" s="400">
        <f t="shared" si="201"/>
        <v>1</v>
      </c>
      <c r="AD123" s="400">
        <f t="shared" si="202"/>
        <v>20</v>
      </c>
      <c r="AE123" s="400">
        <f t="shared" si="203"/>
        <v>2</v>
      </c>
      <c r="AF123" s="669">
        <f t="shared" si="204"/>
        <v>16</v>
      </c>
    </row>
    <row r="124" spans="5:32" x14ac:dyDescent="0.2">
      <c r="E124" s="400">
        <v>41</v>
      </c>
      <c r="F124" s="400">
        <v>6</v>
      </c>
      <c r="G124" s="400">
        <v>32</v>
      </c>
      <c r="H124" s="400">
        <v>5</v>
      </c>
      <c r="I124" s="400">
        <v>25</v>
      </c>
      <c r="J124" s="479">
        <f t="shared" si="144"/>
        <v>7279.86</v>
      </c>
      <c r="M124" s="670">
        <f>M123</f>
        <v>1784</v>
      </c>
      <c r="N124" s="479">
        <f t="array" ref="N124">MIN(IF($J$84:$J$328&lt;M124+ROUNDUP(N123,0),999999,$J$84:$J$328-M124))</f>
        <v>2</v>
      </c>
      <c r="O124" s="400">
        <f t="shared" si="193"/>
        <v>1</v>
      </c>
      <c r="P124" s="400">
        <f t="shared" si="194"/>
        <v>32</v>
      </c>
      <c r="Q124" s="400">
        <f t="shared" si="195"/>
        <v>2</v>
      </c>
      <c r="R124" s="400">
        <f t="shared" si="196"/>
        <v>25</v>
      </c>
      <c r="T124" s="670">
        <f>T123</f>
        <v>1744</v>
      </c>
      <c r="U124" s="479">
        <f t="array" ref="U124">MIN(IF($J$84:$J$328&lt;T124+ROUNDUP(U123,0),999999,$J$84:$J$328-T124))</f>
        <v>42</v>
      </c>
      <c r="V124" s="400">
        <f t="shared" si="197"/>
        <v>1</v>
      </c>
      <c r="W124" s="400">
        <f t="shared" si="198"/>
        <v>32</v>
      </c>
      <c r="X124" s="400">
        <f t="shared" si="199"/>
        <v>2</v>
      </c>
      <c r="Y124" s="400">
        <f t="shared" si="200"/>
        <v>25</v>
      </c>
      <c r="Z124" s="669"/>
      <c r="AA124" s="400">
        <f>AA123</f>
        <v>0</v>
      </c>
      <c r="AB124" s="479">
        <f t="array" ref="AB124">MIN(IF($J$84:$J$328&lt;AA124+ROUNDUP(AB123,0),999999,$J$84:$J$328-AA124))</f>
        <v>805.03</v>
      </c>
      <c r="AC124" s="400">
        <f t="shared" si="201"/>
        <v>1</v>
      </c>
      <c r="AD124" s="400">
        <f t="shared" si="202"/>
        <v>25</v>
      </c>
      <c r="AE124" s="400">
        <f t="shared" si="203"/>
        <v>1</v>
      </c>
      <c r="AF124" s="669">
        <f t="shared" si="204"/>
        <v>20</v>
      </c>
    </row>
    <row r="125" spans="5:32" ht="13.5" thickBot="1" x14ac:dyDescent="0.25">
      <c r="E125" s="400">
        <v>42</v>
      </c>
      <c r="F125" s="400">
        <v>6</v>
      </c>
      <c r="G125" s="400">
        <v>32</v>
      </c>
      <c r="H125" s="400">
        <v>6</v>
      </c>
      <c r="I125" s="400">
        <v>25</v>
      </c>
      <c r="J125" s="479">
        <f t="shared" si="144"/>
        <v>7770.73</v>
      </c>
      <c r="M125" s="735">
        <f>M124</f>
        <v>1784</v>
      </c>
      <c r="N125" s="736">
        <f t="array" ref="N125">MIN(IF($J$84:$J$328&lt;M125+ROUNDUP(N124,0),999999,$J$84:$J$328-M125))</f>
        <v>2</v>
      </c>
      <c r="O125" s="737">
        <f t="shared" si="193"/>
        <v>1</v>
      </c>
      <c r="P125" s="737">
        <f t="shared" si="194"/>
        <v>32</v>
      </c>
      <c r="Q125" s="737">
        <f t="shared" si="195"/>
        <v>2</v>
      </c>
      <c r="R125" s="737">
        <f t="shared" si="196"/>
        <v>25</v>
      </c>
      <c r="S125" s="737"/>
      <c r="T125" s="735">
        <f>T124</f>
        <v>1744</v>
      </c>
      <c r="U125" s="736">
        <f t="array" ref="U125">MIN(IF($J$84:$J$328&lt;T125+ROUNDUP(U124,0),999999,$J$84:$J$328-T125))</f>
        <v>42</v>
      </c>
      <c r="V125" s="737">
        <f t="shared" si="197"/>
        <v>1</v>
      </c>
      <c r="W125" s="737">
        <f t="shared" si="198"/>
        <v>32</v>
      </c>
      <c r="X125" s="737">
        <f t="shared" si="199"/>
        <v>2</v>
      </c>
      <c r="Y125" s="737">
        <f t="shared" si="200"/>
        <v>25</v>
      </c>
      <c r="Z125" s="738"/>
      <c r="AA125" s="737">
        <f>AA124</f>
        <v>0</v>
      </c>
      <c r="AB125" s="736">
        <f t="array" ref="AB125">MIN(IF($J$84:$J$328&lt;AA125+ROUNDUP(AB124,0),999999,$J$84:$J$328-AA125))</f>
        <v>829.38</v>
      </c>
      <c r="AC125" s="737">
        <f t="shared" si="201"/>
        <v>2</v>
      </c>
      <c r="AD125" s="737">
        <f t="shared" si="202"/>
        <v>20</v>
      </c>
      <c r="AE125" s="737">
        <f t="shared" si="203"/>
        <v>1</v>
      </c>
      <c r="AF125" s="738">
        <f t="shared" si="204"/>
        <v>16</v>
      </c>
    </row>
    <row r="126" spans="5:32" ht="13.5" thickBot="1" x14ac:dyDescent="0.25">
      <c r="E126" s="400">
        <v>43</v>
      </c>
      <c r="F126" s="400">
        <v>7</v>
      </c>
      <c r="G126" s="400">
        <v>32</v>
      </c>
      <c r="H126" s="400">
        <v>0</v>
      </c>
      <c r="I126" s="400">
        <v>25</v>
      </c>
      <c r="J126" s="479">
        <f t="shared" si="144"/>
        <v>5629.73</v>
      </c>
    </row>
    <row r="127" spans="5:32" x14ac:dyDescent="0.2">
      <c r="E127" s="400">
        <v>44</v>
      </c>
      <c r="F127" s="400">
        <v>7</v>
      </c>
      <c r="G127" s="400">
        <v>32</v>
      </c>
      <c r="H127" s="400">
        <v>1</v>
      </c>
      <c r="I127" s="400">
        <v>25</v>
      </c>
      <c r="J127" s="479">
        <f t="shared" si="144"/>
        <v>6120.61</v>
      </c>
      <c r="M127" s="731">
        <f>L55</f>
        <v>0</v>
      </c>
      <c r="N127" s="732">
        <f t="array" ref="N127">MIN(IF($J$84:$J$328&lt;M127,999999,$J$84:$J$328-M127))</f>
        <v>515.22</v>
      </c>
      <c r="O127" s="733">
        <f t="shared" ref="O127:O132" si="205">INDEX($F$84:$I$328,MATCH(M127+N127,$J$84:$J$328,0),1)</f>
        <v>1</v>
      </c>
      <c r="P127" s="733">
        <f t="shared" ref="P127:P132" si="206">INDEX($F$84:$I$328,MATCH(M127+N127,$J$84:$J$328,0),2)</f>
        <v>20</v>
      </c>
      <c r="Q127" s="733">
        <f t="shared" ref="Q127:Q132" si="207">INDEX($F$84:$I$328,MATCH(M127+N127,$J$84:$J$328,0),3)</f>
        <v>1</v>
      </c>
      <c r="R127" s="733">
        <f t="shared" ref="R127:R132" si="208">INDEX($F$84:$I$328,MATCH(M127+N127,$J$84:$J$328,0),4)</f>
        <v>16</v>
      </c>
      <c r="S127" s="733"/>
      <c r="T127" s="739">
        <f>L56</f>
        <v>0</v>
      </c>
      <c r="U127" s="732">
        <f t="array" ref="U127">MIN(IF($J$84:$J$328&lt;T127,999999,$J$84:$J$328-T127))</f>
        <v>515.22</v>
      </c>
      <c r="V127" s="733">
        <f t="shared" ref="V127:V132" si="209">INDEX($F$84:$I$328,MATCH(T127+U127,$J$84:$J$328,0),1)</f>
        <v>1</v>
      </c>
      <c r="W127" s="733">
        <f t="shared" ref="W127:W132" si="210">INDEX($F$84:$I$328,MATCH(T127+U127,$J$84:$J$328,0),2)</f>
        <v>20</v>
      </c>
      <c r="X127" s="733">
        <f t="shared" ref="X127:X132" si="211">INDEX($F$84:$I$328,MATCH(T127+U127,$J$84:$J$328,0),3)</f>
        <v>1</v>
      </c>
      <c r="Y127" s="733">
        <f t="shared" ref="Y127:Y132" si="212">INDEX($F$84:$I$328,MATCH(T127+U127,$J$84:$J$328,0),4)</f>
        <v>16</v>
      </c>
      <c r="Z127" s="734"/>
      <c r="AA127" s="732">
        <f>L57</f>
        <v>0</v>
      </c>
      <c r="AB127" s="732">
        <f t="array" ref="AB127">MIN(IF($J$84:$J$328&lt;AA127,999999,$J$84:$J$328-AA127))</f>
        <v>515.22</v>
      </c>
      <c r="AC127" s="733">
        <f t="shared" ref="AC127:AC132" si="213">INDEX($F$84:$I$328,MATCH(AA127+AB127,$J$84:$J$328,0),1)</f>
        <v>1</v>
      </c>
      <c r="AD127" s="733">
        <f t="shared" ref="AD127:AD132" si="214">INDEX($F$84:$I$328,MATCH(AA127+AB127,$J$84:$J$328,0),2)</f>
        <v>20</v>
      </c>
      <c r="AE127" s="733">
        <f t="shared" ref="AE127:AE132" si="215">INDEX($F$84:$I$328,MATCH(AA127+AB127,$J$84:$J$328,0),3)</f>
        <v>1</v>
      </c>
      <c r="AF127" s="734">
        <f t="shared" ref="AF127:AF132" si="216">INDEX($F$84:$I$328,MATCH(AA127+AB127,$J$84:$J$328,0),4)</f>
        <v>16</v>
      </c>
    </row>
    <row r="128" spans="5:32" x14ac:dyDescent="0.2">
      <c r="E128" s="400">
        <v>45</v>
      </c>
      <c r="F128" s="400">
        <v>7</v>
      </c>
      <c r="G128" s="400">
        <v>32</v>
      </c>
      <c r="H128" s="400">
        <v>2</v>
      </c>
      <c r="I128" s="400">
        <v>25</v>
      </c>
      <c r="J128" s="479">
        <f t="shared" si="144"/>
        <v>6611.48</v>
      </c>
      <c r="M128" s="670">
        <f>M127</f>
        <v>0</v>
      </c>
      <c r="N128" s="479">
        <f t="array" ref="N128">MIN(IF($J$84:$J$328&lt;M128+ROUNDUP(N127,0),999999,$J$84:$J$328-M128))</f>
        <v>628.32000000000005</v>
      </c>
      <c r="O128" s="400">
        <f t="shared" si="205"/>
        <v>2</v>
      </c>
      <c r="P128" s="400">
        <f t="shared" si="206"/>
        <v>20</v>
      </c>
      <c r="Q128" s="400">
        <f t="shared" si="207"/>
        <v>0</v>
      </c>
      <c r="R128" s="400">
        <f t="shared" si="208"/>
        <v>16</v>
      </c>
      <c r="T128" s="670">
        <f>T127</f>
        <v>0</v>
      </c>
      <c r="U128" s="479">
        <f t="array" ref="U128">MIN(IF($J$84:$J$328&lt;T128+ROUNDUP(U127,0),999999,$J$84:$J$328-T128))</f>
        <v>628.32000000000005</v>
      </c>
      <c r="V128" s="400">
        <f t="shared" si="209"/>
        <v>2</v>
      </c>
      <c r="W128" s="400">
        <f t="shared" si="210"/>
        <v>20</v>
      </c>
      <c r="X128" s="400">
        <f t="shared" si="211"/>
        <v>0</v>
      </c>
      <c r="Y128" s="400">
        <f t="shared" si="212"/>
        <v>16</v>
      </c>
      <c r="Z128" s="669"/>
      <c r="AA128" s="400">
        <f>AA127</f>
        <v>0</v>
      </c>
      <c r="AB128" s="479">
        <f t="array" ref="AB128">MIN(IF($J$84:$J$328&lt;AA128+ROUNDUP(AB127,0),999999,$J$84:$J$328-AA128))</f>
        <v>628.32000000000005</v>
      </c>
      <c r="AC128" s="400">
        <f t="shared" si="213"/>
        <v>2</v>
      </c>
      <c r="AD128" s="400">
        <f t="shared" si="214"/>
        <v>20</v>
      </c>
      <c r="AE128" s="400">
        <f t="shared" si="215"/>
        <v>0</v>
      </c>
      <c r="AF128" s="669">
        <f t="shared" si="216"/>
        <v>16</v>
      </c>
    </row>
    <row r="129" spans="5:32" x14ac:dyDescent="0.2">
      <c r="E129" s="400">
        <v>46</v>
      </c>
      <c r="F129" s="400">
        <v>7</v>
      </c>
      <c r="G129" s="400">
        <v>32</v>
      </c>
      <c r="H129" s="400">
        <v>3</v>
      </c>
      <c r="I129" s="400">
        <v>25</v>
      </c>
      <c r="J129" s="479">
        <f t="shared" si="144"/>
        <v>7102.36</v>
      </c>
      <c r="M129" s="670">
        <f>M128</f>
        <v>0</v>
      </c>
      <c r="N129" s="479">
        <f t="array" ref="N129">MIN(IF($J$84:$J$328&lt;M129+ROUNDUP(N128,0),999999,$J$84:$J$328-M129))</f>
        <v>691.94</v>
      </c>
      <c r="O129" s="400">
        <f t="shared" si="205"/>
        <v>1</v>
      </c>
      <c r="P129" s="400">
        <f t="shared" si="206"/>
        <v>25</v>
      </c>
      <c r="Q129" s="400">
        <f t="shared" si="207"/>
        <v>1</v>
      </c>
      <c r="R129" s="400">
        <f t="shared" si="208"/>
        <v>16</v>
      </c>
      <c r="T129" s="670">
        <f>T128</f>
        <v>0</v>
      </c>
      <c r="U129" s="479">
        <f t="array" ref="U129">MIN(IF($J$84:$J$328&lt;T129+ROUNDUP(U128,0),999999,$J$84:$J$328-T129))</f>
        <v>691.94</v>
      </c>
      <c r="V129" s="400">
        <f t="shared" si="209"/>
        <v>1</v>
      </c>
      <c r="W129" s="400">
        <f t="shared" si="210"/>
        <v>25</v>
      </c>
      <c r="X129" s="400">
        <f t="shared" si="211"/>
        <v>1</v>
      </c>
      <c r="Y129" s="400">
        <f t="shared" si="212"/>
        <v>16</v>
      </c>
      <c r="Z129" s="669"/>
      <c r="AA129" s="400">
        <f>AA128</f>
        <v>0</v>
      </c>
      <c r="AB129" s="479">
        <f t="array" ref="AB129">MIN(IF($J$84:$J$328&lt;AA129+ROUNDUP(AB128,0),999999,$J$84:$J$328-AA129))</f>
        <v>691.94</v>
      </c>
      <c r="AC129" s="400">
        <f t="shared" si="213"/>
        <v>1</v>
      </c>
      <c r="AD129" s="400">
        <f t="shared" si="214"/>
        <v>25</v>
      </c>
      <c r="AE129" s="400">
        <f t="shared" si="215"/>
        <v>1</v>
      </c>
      <c r="AF129" s="669">
        <f t="shared" si="216"/>
        <v>16</v>
      </c>
    </row>
    <row r="130" spans="5:32" x14ac:dyDescent="0.2">
      <c r="E130" s="400">
        <v>47</v>
      </c>
      <c r="F130" s="400">
        <v>7</v>
      </c>
      <c r="G130" s="400">
        <v>32</v>
      </c>
      <c r="H130" s="400">
        <v>4</v>
      </c>
      <c r="I130" s="400">
        <v>25</v>
      </c>
      <c r="J130" s="479">
        <f t="shared" si="144"/>
        <v>7593.23</v>
      </c>
      <c r="M130" s="670">
        <f>M129</f>
        <v>0</v>
      </c>
      <c r="N130" s="479">
        <f t="array" ref="N130">MIN(IF($J$84:$J$328&lt;M130+ROUNDUP(N129,0),999999,$J$84:$J$328-M130))</f>
        <v>716.28</v>
      </c>
      <c r="O130" s="400">
        <f t="shared" si="205"/>
        <v>1</v>
      </c>
      <c r="P130" s="400">
        <f t="shared" si="206"/>
        <v>20</v>
      </c>
      <c r="Q130" s="400">
        <f t="shared" si="207"/>
        <v>2</v>
      </c>
      <c r="R130" s="400">
        <f t="shared" si="208"/>
        <v>16</v>
      </c>
      <c r="T130" s="670">
        <f>T129</f>
        <v>0</v>
      </c>
      <c r="U130" s="479">
        <f t="array" ref="U130">MIN(IF($J$84:$J$328&lt;T130+ROUNDUP(U129,0),999999,$J$84:$J$328-T130))</f>
        <v>716.28</v>
      </c>
      <c r="V130" s="400">
        <f t="shared" si="209"/>
        <v>1</v>
      </c>
      <c r="W130" s="400">
        <f t="shared" si="210"/>
        <v>20</v>
      </c>
      <c r="X130" s="400">
        <f t="shared" si="211"/>
        <v>2</v>
      </c>
      <c r="Y130" s="400">
        <f t="shared" si="212"/>
        <v>16</v>
      </c>
      <c r="Z130" s="669"/>
      <c r="AA130" s="400">
        <f>AA129</f>
        <v>0</v>
      </c>
      <c r="AB130" s="479">
        <f t="array" ref="AB130">MIN(IF($J$84:$J$328&lt;AA130+ROUNDUP(AB129,0),999999,$J$84:$J$328-AA130))</f>
        <v>716.28</v>
      </c>
      <c r="AC130" s="400">
        <f t="shared" si="213"/>
        <v>1</v>
      </c>
      <c r="AD130" s="400">
        <f t="shared" si="214"/>
        <v>20</v>
      </c>
      <c r="AE130" s="400">
        <f t="shared" si="215"/>
        <v>2</v>
      </c>
      <c r="AF130" s="669">
        <f t="shared" si="216"/>
        <v>16</v>
      </c>
    </row>
    <row r="131" spans="5:32" x14ac:dyDescent="0.2">
      <c r="E131" s="400">
        <v>48</v>
      </c>
      <c r="F131" s="400">
        <v>7</v>
      </c>
      <c r="G131" s="400">
        <v>32</v>
      </c>
      <c r="H131" s="400">
        <v>5</v>
      </c>
      <c r="I131" s="400">
        <v>25</v>
      </c>
      <c r="J131" s="479">
        <f t="shared" si="144"/>
        <v>8084.1</v>
      </c>
      <c r="M131" s="670">
        <f>M130</f>
        <v>0</v>
      </c>
      <c r="N131" s="479">
        <f t="array" ref="N131">MIN(IF($J$84:$J$328&lt;M131+ROUNDUP(N130,0),999999,$J$84:$J$328-M131))</f>
        <v>805.03</v>
      </c>
      <c r="O131" s="400">
        <f t="shared" si="205"/>
        <v>1</v>
      </c>
      <c r="P131" s="400">
        <f t="shared" si="206"/>
        <v>25</v>
      </c>
      <c r="Q131" s="400">
        <f t="shared" si="207"/>
        <v>1</v>
      </c>
      <c r="R131" s="400">
        <f t="shared" si="208"/>
        <v>20</v>
      </c>
      <c r="T131" s="670">
        <f>T130</f>
        <v>0</v>
      </c>
      <c r="U131" s="479">
        <f t="array" ref="U131">MIN(IF($J$84:$J$328&lt;T131+ROUNDUP(U130,0),999999,$J$84:$J$328-T131))</f>
        <v>805.03</v>
      </c>
      <c r="V131" s="400">
        <f t="shared" si="209"/>
        <v>1</v>
      </c>
      <c r="W131" s="400">
        <f t="shared" si="210"/>
        <v>25</v>
      </c>
      <c r="X131" s="400">
        <f t="shared" si="211"/>
        <v>1</v>
      </c>
      <c r="Y131" s="400">
        <f t="shared" si="212"/>
        <v>20</v>
      </c>
      <c r="Z131" s="669"/>
      <c r="AA131" s="400">
        <f>AA130</f>
        <v>0</v>
      </c>
      <c r="AB131" s="479">
        <f t="array" ref="AB131">MIN(IF($J$84:$J$328&lt;AA131+ROUNDUP(AB130,0),999999,$J$84:$J$328-AA131))</f>
        <v>805.03</v>
      </c>
      <c r="AC131" s="400">
        <f t="shared" si="213"/>
        <v>1</v>
      </c>
      <c r="AD131" s="400">
        <f t="shared" si="214"/>
        <v>25</v>
      </c>
      <c r="AE131" s="400">
        <f t="shared" si="215"/>
        <v>1</v>
      </c>
      <c r="AF131" s="669">
        <f t="shared" si="216"/>
        <v>20</v>
      </c>
    </row>
    <row r="132" spans="5:32" ht="13.5" thickBot="1" x14ac:dyDescent="0.25">
      <c r="E132" s="400">
        <v>49</v>
      </c>
      <c r="F132" s="400">
        <v>7</v>
      </c>
      <c r="G132" s="400">
        <v>32</v>
      </c>
      <c r="H132" s="400">
        <v>6</v>
      </c>
      <c r="I132" s="400">
        <v>25</v>
      </c>
      <c r="J132" s="479">
        <f t="shared" si="144"/>
        <v>8574.98</v>
      </c>
      <c r="M132" s="735">
        <f>M131</f>
        <v>0</v>
      </c>
      <c r="N132" s="736">
        <f t="array" ref="N132">MIN(IF($J$84:$J$328&lt;M132+ROUNDUP(N131,0),999999,$J$84:$J$328-M132))</f>
        <v>829.38</v>
      </c>
      <c r="O132" s="737">
        <f t="shared" si="205"/>
        <v>2</v>
      </c>
      <c r="P132" s="737">
        <f t="shared" si="206"/>
        <v>20</v>
      </c>
      <c r="Q132" s="737">
        <f t="shared" si="207"/>
        <v>1</v>
      </c>
      <c r="R132" s="737">
        <f t="shared" si="208"/>
        <v>16</v>
      </c>
      <c r="S132" s="737"/>
      <c r="T132" s="735">
        <f>T131</f>
        <v>0</v>
      </c>
      <c r="U132" s="736">
        <f t="array" ref="U132">MIN(IF($J$84:$J$328&lt;T132+ROUNDUP(U131,0),999999,$J$84:$J$328-T132))</f>
        <v>829.38</v>
      </c>
      <c r="V132" s="737">
        <f t="shared" si="209"/>
        <v>2</v>
      </c>
      <c r="W132" s="737">
        <f t="shared" si="210"/>
        <v>20</v>
      </c>
      <c r="X132" s="737">
        <f t="shared" si="211"/>
        <v>1</v>
      </c>
      <c r="Y132" s="737">
        <f t="shared" si="212"/>
        <v>16</v>
      </c>
      <c r="Z132" s="738"/>
      <c r="AA132" s="737">
        <f>AA131</f>
        <v>0</v>
      </c>
      <c r="AB132" s="736">
        <f t="array" ref="AB132">MIN(IF($J$84:$J$328&lt;AA132+ROUNDUP(AB131,0),999999,$J$84:$J$328-AA132))</f>
        <v>829.38</v>
      </c>
      <c r="AC132" s="737">
        <f t="shared" si="213"/>
        <v>2</v>
      </c>
      <c r="AD132" s="737">
        <f t="shared" si="214"/>
        <v>20</v>
      </c>
      <c r="AE132" s="737">
        <f t="shared" si="215"/>
        <v>1</v>
      </c>
      <c r="AF132" s="738">
        <f t="shared" si="216"/>
        <v>16</v>
      </c>
    </row>
    <row r="133" spans="5:32" ht="13.5" thickBot="1" x14ac:dyDescent="0.25">
      <c r="E133" s="400">
        <v>50</v>
      </c>
      <c r="F133" s="400">
        <v>1</v>
      </c>
      <c r="G133" s="400">
        <v>32</v>
      </c>
      <c r="H133" s="400">
        <v>1</v>
      </c>
      <c r="I133" s="400">
        <v>20</v>
      </c>
      <c r="J133" s="479">
        <f t="shared" si="144"/>
        <v>1118.4100000000001</v>
      </c>
    </row>
    <row r="134" spans="5:32" x14ac:dyDescent="0.2">
      <c r="E134" s="400">
        <v>51</v>
      </c>
      <c r="F134" s="400">
        <v>1</v>
      </c>
      <c r="G134" s="400">
        <v>32</v>
      </c>
      <c r="H134" s="400">
        <v>2</v>
      </c>
      <c r="I134" s="400">
        <v>20</v>
      </c>
      <c r="J134" s="479">
        <f t="shared" si="144"/>
        <v>1432.57</v>
      </c>
      <c r="M134" s="739">
        <f>L58</f>
        <v>0</v>
      </c>
      <c r="N134" s="732">
        <f t="array" ref="N134">MIN(IF($J$84:$J$328&lt;M134,999999,$J$84:$J$328-M134))</f>
        <v>515.22</v>
      </c>
      <c r="O134" s="733">
        <f t="shared" ref="O134:O139" si="217">INDEX($F$84:$I$328,MATCH(M134+N134,$J$84:$J$328,0),1)</f>
        <v>1</v>
      </c>
      <c r="P134" s="733">
        <f t="shared" ref="P134:P139" si="218">INDEX($F$84:$I$328,MATCH(M134+N134,$J$84:$J$328,0),2)</f>
        <v>20</v>
      </c>
      <c r="Q134" s="733">
        <f t="shared" ref="Q134:Q139" si="219">INDEX($F$84:$I$328,MATCH(M134+N134,$J$84:$J$328,0),3)</f>
        <v>1</v>
      </c>
      <c r="R134" s="733">
        <f t="shared" ref="R134:R139" si="220">INDEX($F$84:$I$328,MATCH(M134+N134,$J$84:$J$328,0),4)</f>
        <v>16</v>
      </c>
      <c r="S134" s="733"/>
      <c r="T134" s="739">
        <f>L59</f>
        <v>0</v>
      </c>
      <c r="U134" s="732">
        <f t="array" ref="U134">MIN(IF($J$84:$J$328&lt;T134,999999,$J$84:$J$328-T134))</f>
        <v>515.22</v>
      </c>
      <c r="V134" s="733">
        <f t="shared" ref="V134:V139" si="221">INDEX($F$84:$I$328,MATCH(T134+U134,$J$84:$J$328,0),1)</f>
        <v>1</v>
      </c>
      <c r="W134" s="733">
        <f t="shared" ref="W134:W139" si="222">INDEX($F$84:$I$328,MATCH(T134+U134,$J$84:$J$328,0),2)</f>
        <v>20</v>
      </c>
      <c r="X134" s="733">
        <f t="shared" ref="X134:X139" si="223">INDEX($F$84:$I$328,MATCH(T134+U134,$J$84:$J$328,0),3)</f>
        <v>1</v>
      </c>
      <c r="Y134" s="733">
        <f t="shared" ref="Y134:Y139" si="224">INDEX($F$84:$I$328,MATCH(T134+U134,$J$84:$J$328,0),4)</f>
        <v>16</v>
      </c>
      <c r="Z134" s="734"/>
      <c r="AA134" s="732">
        <f>L60</f>
        <v>0</v>
      </c>
      <c r="AB134" s="732">
        <f t="array" ref="AB134">MIN(IF($J$84:$J$328&lt;AA134,999999,$J$84:$J$328-AA134))</f>
        <v>515.22</v>
      </c>
      <c r="AC134" s="733">
        <f t="shared" ref="AC134:AC139" si="225">INDEX($F$84:$I$328,MATCH(AA134+AB134,$J$84:$J$328,0),1)</f>
        <v>1</v>
      </c>
      <c r="AD134" s="733">
        <f t="shared" ref="AD134:AD139" si="226">INDEX($F$84:$I$328,MATCH(AA134+AB134,$J$84:$J$328,0),2)</f>
        <v>20</v>
      </c>
      <c r="AE134" s="733">
        <f t="shared" ref="AE134:AE139" si="227">INDEX($F$84:$I$328,MATCH(AA134+AB134,$J$84:$J$328,0),3)</f>
        <v>1</v>
      </c>
      <c r="AF134" s="734">
        <f t="shared" ref="AF134:AF139" si="228">INDEX($F$84:$I$328,MATCH(AA134+AB134,$J$84:$J$328,0),4)</f>
        <v>16</v>
      </c>
    </row>
    <row r="135" spans="5:32" x14ac:dyDescent="0.2">
      <c r="E135" s="400">
        <v>52</v>
      </c>
      <c r="F135" s="400">
        <v>1</v>
      </c>
      <c r="G135" s="400">
        <v>32</v>
      </c>
      <c r="H135" s="400">
        <v>3</v>
      </c>
      <c r="I135" s="400">
        <v>20</v>
      </c>
      <c r="J135" s="479">
        <f t="shared" si="144"/>
        <v>1746.73</v>
      </c>
      <c r="M135" s="670">
        <f>M134</f>
        <v>0</v>
      </c>
      <c r="N135" s="479">
        <f t="array" ref="N135">MIN(IF($J$84:$J$328&lt;M135+ROUNDUP(N134,0),999999,$J$84:$J$328-M135))</f>
        <v>628.32000000000005</v>
      </c>
      <c r="O135" s="400">
        <f t="shared" si="217"/>
        <v>2</v>
      </c>
      <c r="P135" s="400">
        <f t="shared" si="218"/>
        <v>20</v>
      </c>
      <c r="Q135" s="400">
        <f t="shared" si="219"/>
        <v>0</v>
      </c>
      <c r="R135" s="400">
        <f t="shared" si="220"/>
        <v>16</v>
      </c>
      <c r="T135" s="670">
        <f>T134</f>
        <v>0</v>
      </c>
      <c r="U135" s="479">
        <f t="array" ref="U135">MIN(IF($J$84:$J$328&lt;T135+ROUNDUP(U134,0),999999,$J$84:$J$328-T135))</f>
        <v>628.32000000000005</v>
      </c>
      <c r="V135" s="400">
        <f t="shared" si="221"/>
        <v>2</v>
      </c>
      <c r="W135" s="400">
        <f t="shared" si="222"/>
        <v>20</v>
      </c>
      <c r="X135" s="400">
        <f t="shared" si="223"/>
        <v>0</v>
      </c>
      <c r="Y135" s="400">
        <f t="shared" si="224"/>
        <v>16</v>
      </c>
      <c r="Z135" s="669"/>
      <c r="AA135" s="400">
        <f>AA134</f>
        <v>0</v>
      </c>
      <c r="AB135" s="479">
        <f t="array" ref="AB135">MIN(IF($J$84:$J$328&lt;AA135+ROUNDUP(AB134,0),999999,$J$84:$J$328-AA135))</f>
        <v>628.32000000000005</v>
      </c>
      <c r="AC135" s="400">
        <f t="shared" si="225"/>
        <v>2</v>
      </c>
      <c r="AD135" s="400">
        <f t="shared" si="226"/>
        <v>20</v>
      </c>
      <c r="AE135" s="400">
        <f t="shared" si="227"/>
        <v>0</v>
      </c>
      <c r="AF135" s="669">
        <f t="shared" si="228"/>
        <v>16</v>
      </c>
    </row>
    <row r="136" spans="5:32" x14ac:dyDescent="0.2">
      <c r="E136" s="400">
        <v>53</v>
      </c>
      <c r="F136" s="400">
        <v>1</v>
      </c>
      <c r="G136" s="400">
        <v>32</v>
      </c>
      <c r="H136" s="400">
        <v>4</v>
      </c>
      <c r="I136" s="400">
        <v>20</v>
      </c>
      <c r="J136" s="479">
        <f t="shared" si="144"/>
        <v>2060.88</v>
      </c>
      <c r="M136" s="670">
        <f>M135</f>
        <v>0</v>
      </c>
      <c r="N136" s="479">
        <f t="array" ref="N136">MIN(IF($J$84:$J$328&lt;M136+ROUNDUP(N135,0),999999,$J$84:$J$328-M136))</f>
        <v>691.94</v>
      </c>
      <c r="O136" s="400">
        <f t="shared" si="217"/>
        <v>1</v>
      </c>
      <c r="P136" s="400">
        <f t="shared" si="218"/>
        <v>25</v>
      </c>
      <c r="Q136" s="400">
        <f t="shared" si="219"/>
        <v>1</v>
      </c>
      <c r="R136" s="400">
        <f t="shared" si="220"/>
        <v>16</v>
      </c>
      <c r="T136" s="670">
        <f>T135</f>
        <v>0</v>
      </c>
      <c r="U136" s="479">
        <f t="array" ref="U136">MIN(IF($J$84:$J$328&lt;T136+ROUNDUP(U135,0),999999,$J$84:$J$328-T136))</f>
        <v>691.94</v>
      </c>
      <c r="V136" s="400">
        <f t="shared" si="221"/>
        <v>1</v>
      </c>
      <c r="W136" s="400">
        <f t="shared" si="222"/>
        <v>25</v>
      </c>
      <c r="X136" s="400">
        <f t="shared" si="223"/>
        <v>1</v>
      </c>
      <c r="Y136" s="400">
        <f t="shared" si="224"/>
        <v>16</v>
      </c>
      <c r="Z136" s="669"/>
      <c r="AA136" s="400">
        <f>AA135</f>
        <v>0</v>
      </c>
      <c r="AB136" s="479">
        <f t="array" ref="AB136">MIN(IF($J$84:$J$328&lt;AA136+ROUNDUP(AB135,0),999999,$J$84:$J$328-AA136))</f>
        <v>691.94</v>
      </c>
      <c r="AC136" s="400">
        <f t="shared" si="225"/>
        <v>1</v>
      </c>
      <c r="AD136" s="400">
        <f t="shared" si="226"/>
        <v>25</v>
      </c>
      <c r="AE136" s="400">
        <f t="shared" si="227"/>
        <v>1</v>
      </c>
      <c r="AF136" s="669">
        <f t="shared" si="228"/>
        <v>16</v>
      </c>
    </row>
    <row r="137" spans="5:32" x14ac:dyDescent="0.2">
      <c r="E137" s="400">
        <v>54</v>
      </c>
      <c r="F137" s="400">
        <v>1</v>
      </c>
      <c r="G137" s="400">
        <v>32</v>
      </c>
      <c r="H137" s="400">
        <v>5</v>
      </c>
      <c r="I137" s="400">
        <v>20</v>
      </c>
      <c r="J137" s="479">
        <f t="shared" si="144"/>
        <v>2375.04</v>
      </c>
      <c r="M137" s="670">
        <f>M136</f>
        <v>0</v>
      </c>
      <c r="N137" s="479">
        <f t="array" ref="N137">MIN(IF($J$84:$J$328&lt;M137+ROUNDUP(N136,0),999999,$J$84:$J$328-M137))</f>
        <v>716.28</v>
      </c>
      <c r="O137" s="400">
        <f t="shared" si="217"/>
        <v>1</v>
      </c>
      <c r="P137" s="400">
        <f t="shared" si="218"/>
        <v>20</v>
      </c>
      <c r="Q137" s="400">
        <f t="shared" si="219"/>
        <v>2</v>
      </c>
      <c r="R137" s="400">
        <f t="shared" si="220"/>
        <v>16</v>
      </c>
      <c r="T137" s="670">
        <f>T136</f>
        <v>0</v>
      </c>
      <c r="U137" s="479">
        <f t="array" ref="U137">MIN(IF($J$84:$J$328&lt;T137+ROUNDUP(U136,0),999999,$J$84:$J$328-T137))</f>
        <v>716.28</v>
      </c>
      <c r="V137" s="400">
        <f t="shared" si="221"/>
        <v>1</v>
      </c>
      <c r="W137" s="400">
        <f t="shared" si="222"/>
        <v>20</v>
      </c>
      <c r="X137" s="400">
        <f t="shared" si="223"/>
        <v>2</v>
      </c>
      <c r="Y137" s="400">
        <f t="shared" si="224"/>
        <v>16</v>
      </c>
      <c r="Z137" s="669"/>
      <c r="AA137" s="400">
        <f>AA136</f>
        <v>0</v>
      </c>
      <c r="AB137" s="479">
        <f t="array" ref="AB137">MIN(IF($J$84:$J$328&lt;AA137+ROUNDUP(AB136,0),999999,$J$84:$J$328-AA137))</f>
        <v>716.28</v>
      </c>
      <c r="AC137" s="400">
        <f t="shared" si="225"/>
        <v>1</v>
      </c>
      <c r="AD137" s="400">
        <f t="shared" si="226"/>
        <v>20</v>
      </c>
      <c r="AE137" s="400">
        <f t="shared" si="227"/>
        <v>2</v>
      </c>
      <c r="AF137" s="669">
        <f t="shared" si="228"/>
        <v>16</v>
      </c>
    </row>
    <row r="138" spans="5:32" x14ac:dyDescent="0.2">
      <c r="E138" s="400">
        <v>55</v>
      </c>
      <c r="F138" s="400">
        <v>1</v>
      </c>
      <c r="G138" s="400">
        <v>32</v>
      </c>
      <c r="H138" s="400">
        <v>6</v>
      </c>
      <c r="I138" s="400">
        <v>20</v>
      </c>
      <c r="J138" s="479">
        <f t="shared" si="144"/>
        <v>2689.2</v>
      </c>
      <c r="M138" s="670">
        <f>M137</f>
        <v>0</v>
      </c>
      <c r="N138" s="479">
        <f t="array" ref="N138">MIN(IF($J$84:$J$328&lt;M138+ROUNDUP(N137,0),999999,$J$84:$J$328-M138))</f>
        <v>805.03</v>
      </c>
      <c r="O138" s="400">
        <f t="shared" si="217"/>
        <v>1</v>
      </c>
      <c r="P138" s="400">
        <f t="shared" si="218"/>
        <v>25</v>
      </c>
      <c r="Q138" s="400">
        <f t="shared" si="219"/>
        <v>1</v>
      </c>
      <c r="R138" s="400">
        <f t="shared" si="220"/>
        <v>20</v>
      </c>
      <c r="T138" s="670">
        <f>T137</f>
        <v>0</v>
      </c>
      <c r="U138" s="479">
        <f t="array" ref="U138">MIN(IF($J$84:$J$328&lt;T138+ROUNDUP(U137,0),999999,$J$84:$J$328-T138))</f>
        <v>805.03</v>
      </c>
      <c r="V138" s="400">
        <f t="shared" si="221"/>
        <v>1</v>
      </c>
      <c r="W138" s="400">
        <f t="shared" si="222"/>
        <v>25</v>
      </c>
      <c r="X138" s="400">
        <f t="shared" si="223"/>
        <v>1</v>
      </c>
      <c r="Y138" s="400">
        <f t="shared" si="224"/>
        <v>20</v>
      </c>
      <c r="Z138" s="669"/>
      <c r="AA138" s="400">
        <f>AA137</f>
        <v>0</v>
      </c>
      <c r="AB138" s="479">
        <f t="array" ref="AB138">MIN(IF($J$84:$J$328&lt;AA138+ROUNDUP(AB137,0),999999,$J$84:$J$328-AA138))</f>
        <v>805.03</v>
      </c>
      <c r="AC138" s="400">
        <f t="shared" si="225"/>
        <v>1</v>
      </c>
      <c r="AD138" s="400">
        <f t="shared" si="226"/>
        <v>25</v>
      </c>
      <c r="AE138" s="400">
        <f t="shared" si="227"/>
        <v>1</v>
      </c>
      <c r="AF138" s="669">
        <f t="shared" si="228"/>
        <v>20</v>
      </c>
    </row>
    <row r="139" spans="5:32" ht="13.5" thickBot="1" x14ac:dyDescent="0.25">
      <c r="E139" s="400">
        <v>56</v>
      </c>
      <c r="F139" s="400">
        <v>1</v>
      </c>
      <c r="G139" s="400">
        <v>32</v>
      </c>
      <c r="H139" s="400">
        <v>7</v>
      </c>
      <c r="I139" s="400">
        <v>20</v>
      </c>
      <c r="J139" s="479">
        <f t="shared" si="144"/>
        <v>3003.36</v>
      </c>
      <c r="M139" s="735">
        <f>M138</f>
        <v>0</v>
      </c>
      <c r="N139" s="736">
        <f t="array" ref="N139">MIN(IF($J$84:$J$328&lt;M139+ROUNDUP(N138,0),999999,$J$84:$J$328-M139))</f>
        <v>829.38</v>
      </c>
      <c r="O139" s="737">
        <f t="shared" si="217"/>
        <v>2</v>
      </c>
      <c r="P139" s="737">
        <f t="shared" si="218"/>
        <v>20</v>
      </c>
      <c r="Q139" s="737">
        <f t="shared" si="219"/>
        <v>1</v>
      </c>
      <c r="R139" s="737">
        <f t="shared" si="220"/>
        <v>16</v>
      </c>
      <c r="S139" s="737"/>
      <c r="T139" s="735">
        <f>T138</f>
        <v>0</v>
      </c>
      <c r="U139" s="736">
        <f t="array" ref="U139">MIN(IF($J$84:$J$328&lt;T139+ROUNDUP(U138,0),999999,$J$84:$J$328-T139))</f>
        <v>829.38</v>
      </c>
      <c r="V139" s="737">
        <f t="shared" si="221"/>
        <v>2</v>
      </c>
      <c r="W139" s="737">
        <f t="shared" si="222"/>
        <v>20</v>
      </c>
      <c r="X139" s="737">
        <f t="shared" si="223"/>
        <v>1</v>
      </c>
      <c r="Y139" s="737">
        <f t="shared" si="224"/>
        <v>16</v>
      </c>
      <c r="Z139" s="738"/>
      <c r="AA139" s="737">
        <f>AA138</f>
        <v>0</v>
      </c>
      <c r="AB139" s="736">
        <f t="array" ref="AB139">MIN(IF($J$84:$J$328&lt;AA139+ROUNDUP(AB138,0),999999,$J$84:$J$328-AA139))</f>
        <v>829.38</v>
      </c>
      <c r="AC139" s="737">
        <f t="shared" si="225"/>
        <v>2</v>
      </c>
      <c r="AD139" s="737">
        <f t="shared" si="226"/>
        <v>20</v>
      </c>
      <c r="AE139" s="737">
        <f t="shared" si="227"/>
        <v>1</v>
      </c>
      <c r="AF139" s="738">
        <f t="shared" si="228"/>
        <v>16</v>
      </c>
    </row>
    <row r="140" spans="5:32" x14ac:dyDescent="0.2">
      <c r="E140" s="400">
        <v>57</v>
      </c>
      <c r="F140" s="400">
        <v>2</v>
      </c>
      <c r="G140" s="400">
        <v>32</v>
      </c>
      <c r="H140" s="400">
        <v>0</v>
      </c>
      <c r="I140" s="400">
        <v>20</v>
      </c>
      <c r="J140" s="479">
        <f t="shared" si="144"/>
        <v>1608.5</v>
      </c>
      <c r="N140" s="479"/>
      <c r="U140" s="479"/>
      <c r="AB140" s="479"/>
    </row>
    <row r="141" spans="5:32" ht="16.5" thickBot="1" x14ac:dyDescent="0.3">
      <c r="E141" s="400">
        <v>58</v>
      </c>
      <c r="F141" s="400">
        <v>2</v>
      </c>
      <c r="G141" s="400">
        <v>32</v>
      </c>
      <c r="H141" s="400">
        <v>1</v>
      </c>
      <c r="I141" s="400">
        <v>20</v>
      </c>
      <c r="J141" s="479">
        <f t="shared" si="144"/>
        <v>1922.65</v>
      </c>
      <c r="L141" s="730" t="s">
        <v>297</v>
      </c>
    </row>
    <row r="142" spans="5:32" x14ac:dyDescent="0.2">
      <c r="E142" s="400">
        <v>59</v>
      </c>
      <c r="F142" s="400">
        <v>2</v>
      </c>
      <c r="G142" s="400">
        <v>32</v>
      </c>
      <c r="H142" s="400">
        <v>2</v>
      </c>
      <c r="I142" s="400">
        <v>20</v>
      </c>
      <c r="J142" s="479">
        <f t="shared" si="144"/>
        <v>2236.81</v>
      </c>
      <c r="M142" s="731">
        <f>K65</f>
        <v>1957</v>
      </c>
      <c r="N142" s="732">
        <f t="array" ref="N142">MIN(IF($J$84:$J$328&lt;M142,999999,$J$84:$J$328-M142))</f>
        <v>6.5</v>
      </c>
      <c r="O142" s="733">
        <f t="shared" ref="O142:O147" si="229">INDEX($F$84:$I$328,MATCH(M142+N142,$J$84:$J$328,0),1)</f>
        <v>4</v>
      </c>
      <c r="P142" s="733">
        <f t="shared" ref="P142:P147" si="230">INDEX($F$84:$I$328,MATCH(M142+N142,$J$84:$J$328,0),2)</f>
        <v>25</v>
      </c>
      <c r="Q142" s="733">
        <f t="shared" ref="Q142:Q147" si="231">INDEX($F$84:$I$328,MATCH(M142+N142,$J$84:$J$328,0),3)</f>
        <v>0</v>
      </c>
      <c r="R142" s="733">
        <f t="shared" ref="R142:R147" si="232">INDEX($F$84:$I$328,MATCH(M142+N142,$J$84:$J$328,0),4)</f>
        <v>20</v>
      </c>
      <c r="S142" s="733"/>
      <c r="T142" s="733">
        <f>K66</f>
        <v>2592</v>
      </c>
      <c r="U142" s="732">
        <f t="array" ref="U142">MIN(IF($J$84:$J$328&lt;T142,999999,$J$84:$J$328-T142))</f>
        <v>9.2399999999997817</v>
      </c>
      <c r="V142" s="733">
        <f t="shared" ref="V142:V147" si="233">INDEX($F$84:$I$328,MATCH(T142+U142,$J$84:$J$328,0),1)</f>
        <v>7</v>
      </c>
      <c r="W142" s="733">
        <f t="shared" ref="W142:W147" si="234">INDEX($F$84:$I$328,MATCH(T142+U142,$J$84:$J$328,0),2)</f>
        <v>20</v>
      </c>
      <c r="X142" s="733">
        <f t="shared" ref="X142:X147" si="235">INDEX($F$84:$I$328,MATCH(T142+U142,$J$84:$J$328,0),3)</f>
        <v>2</v>
      </c>
      <c r="Y142" s="733">
        <f t="shared" ref="Y142:Y147" si="236">INDEX($F$84:$I$328,MATCH(T142+U142,$J$84:$J$328,0),4)</f>
        <v>16</v>
      </c>
      <c r="Z142" s="733"/>
      <c r="AA142" s="733">
        <f>K67</f>
        <v>3170</v>
      </c>
      <c r="AB142" s="732">
        <f t="array" ref="AB142">MIN(IF($J$84:$J$328&lt;AA142,999999,$J$84:$J$328-AA142))</f>
        <v>9.2899999999999636</v>
      </c>
      <c r="AC142" s="733">
        <f t="shared" ref="AC142:AC147" si="237">INDEX($F$84:$I$328,MATCH(AA142+AB142,$J$84:$J$328,0),1)</f>
        <v>2</v>
      </c>
      <c r="AD142" s="733">
        <f t="shared" ref="AD142:AD147" si="238">INDEX($F$84:$I$328,MATCH(AA142+AB142,$J$84:$J$328,0),2)</f>
        <v>32</v>
      </c>
      <c r="AE142" s="733">
        <f t="shared" ref="AE142:AE147" si="239">INDEX($F$84:$I$328,MATCH(AA142+AB142,$J$84:$J$328,0),3)</f>
        <v>5</v>
      </c>
      <c r="AF142" s="734">
        <f t="shared" ref="AF142:AF147" si="240">INDEX($F$84:$I$328,MATCH(AA142+AB142,$J$84:$J$328,0),4)</f>
        <v>20</v>
      </c>
    </row>
    <row r="143" spans="5:32" x14ac:dyDescent="0.2">
      <c r="E143" s="400">
        <v>60</v>
      </c>
      <c r="F143" s="400">
        <v>2</v>
      </c>
      <c r="G143" s="400">
        <v>32</v>
      </c>
      <c r="H143" s="400">
        <v>3</v>
      </c>
      <c r="I143" s="400">
        <v>20</v>
      </c>
      <c r="J143" s="479">
        <f t="shared" si="144"/>
        <v>2550.9699999999998</v>
      </c>
      <c r="M143" s="670">
        <f>M142</f>
        <v>1957</v>
      </c>
      <c r="N143" s="479">
        <f t="array" ref="N143">MIN(IF($J$84:$J$328&lt;M143+ROUNDUP(N142,0),999999,$J$84:$J$328-M143))</f>
        <v>15.920000000000073</v>
      </c>
      <c r="O143" s="400">
        <f t="shared" si="229"/>
        <v>5</v>
      </c>
      <c r="P143" s="400">
        <f t="shared" si="230"/>
        <v>20</v>
      </c>
      <c r="Q143" s="400">
        <f t="shared" si="231"/>
        <v>2</v>
      </c>
      <c r="R143" s="400">
        <f t="shared" si="232"/>
        <v>16</v>
      </c>
      <c r="T143" s="400">
        <f>T142</f>
        <v>2592</v>
      </c>
      <c r="U143" s="479">
        <f t="array" ref="U143">MIN(IF($J$84:$J$328&lt;T143+ROUNDUP(U142,0),999999,$J$84:$J$328-T143))</f>
        <v>63.429999999999836</v>
      </c>
      <c r="V143" s="400">
        <f t="shared" si="233"/>
        <v>5</v>
      </c>
      <c r="W143" s="400">
        <f t="shared" si="234"/>
        <v>25</v>
      </c>
      <c r="X143" s="400">
        <f t="shared" si="235"/>
        <v>1</v>
      </c>
      <c r="Y143" s="400">
        <f t="shared" si="236"/>
        <v>16</v>
      </c>
      <c r="AA143" s="400">
        <f>AA142</f>
        <v>3170</v>
      </c>
      <c r="AB143" s="479">
        <f t="array" ref="AB143">MIN(IF($J$84:$J$328&lt;AA143+ROUNDUP(AB142,0),999999,$J$84:$J$328-AA143))</f>
        <v>34.420000000000073</v>
      </c>
      <c r="AC143" s="400">
        <f t="shared" si="237"/>
        <v>7</v>
      </c>
      <c r="AD143" s="400">
        <f t="shared" si="238"/>
        <v>20</v>
      </c>
      <c r="AE143" s="400">
        <f t="shared" si="239"/>
        <v>5</v>
      </c>
      <c r="AF143" s="669">
        <f t="shared" si="240"/>
        <v>16</v>
      </c>
    </row>
    <row r="144" spans="5:32" x14ac:dyDescent="0.2">
      <c r="E144" s="400">
        <v>61</v>
      </c>
      <c r="F144" s="400">
        <v>2</v>
      </c>
      <c r="G144" s="400">
        <v>32</v>
      </c>
      <c r="H144" s="400">
        <v>4</v>
      </c>
      <c r="I144" s="400">
        <v>20</v>
      </c>
      <c r="J144" s="479">
        <f t="shared" si="144"/>
        <v>2865.13</v>
      </c>
      <c r="M144" s="670">
        <f>M143</f>
        <v>1957</v>
      </c>
      <c r="N144" s="479">
        <f t="array" ref="N144">MIN(IF($J$84:$J$328&lt;M144+ROUNDUP(N143,0),999999,$J$84:$J$328-M144))</f>
        <v>30.059999999999945</v>
      </c>
      <c r="O144" s="400">
        <f t="shared" si="229"/>
        <v>2</v>
      </c>
      <c r="P144" s="400">
        <f t="shared" si="230"/>
        <v>25</v>
      </c>
      <c r="Q144" s="400">
        <f t="shared" si="231"/>
        <v>5</v>
      </c>
      <c r="R144" s="400">
        <f t="shared" si="232"/>
        <v>16</v>
      </c>
      <c r="T144" s="400">
        <f>T143</f>
        <v>2592</v>
      </c>
      <c r="U144" s="479">
        <f t="array" ref="U144">MIN(IF($J$84:$J$328&lt;T144+ROUNDUP(U143,0),999999,$J$84:$J$328-T144))</f>
        <v>86.989999999999782</v>
      </c>
      <c r="V144" s="400">
        <f t="shared" si="233"/>
        <v>3</v>
      </c>
      <c r="W144" s="400">
        <f t="shared" si="234"/>
        <v>25</v>
      </c>
      <c r="X144" s="400">
        <f t="shared" si="235"/>
        <v>6</v>
      </c>
      <c r="Y144" s="400">
        <f t="shared" si="236"/>
        <v>16</v>
      </c>
      <c r="AA144" s="400">
        <f>AA143</f>
        <v>3170</v>
      </c>
      <c r="AB144" s="479">
        <f t="array" ref="AB144">MIN(IF($J$84:$J$328&lt;AA144+ROUNDUP(AB143,0),999999,$J$84:$J$328-AA144))</f>
        <v>46.989999999999782</v>
      </c>
      <c r="AC144" s="400">
        <f t="shared" si="237"/>
        <v>4</v>
      </c>
      <c r="AD144" s="400">
        <f t="shared" si="238"/>
        <v>32</v>
      </c>
      <c r="AE144" s="400">
        <f t="shared" si="239"/>
        <v>0</v>
      </c>
      <c r="AF144" s="669">
        <f t="shared" si="240"/>
        <v>25</v>
      </c>
    </row>
    <row r="145" spans="5:32" x14ac:dyDescent="0.2">
      <c r="E145" s="400">
        <v>62</v>
      </c>
      <c r="F145" s="400">
        <v>2</v>
      </c>
      <c r="G145" s="400">
        <v>32</v>
      </c>
      <c r="H145" s="400">
        <v>5</v>
      </c>
      <c r="I145" s="400">
        <v>20</v>
      </c>
      <c r="J145" s="479">
        <f t="shared" si="144"/>
        <v>3179.29</v>
      </c>
      <c r="M145" s="670">
        <f>M144</f>
        <v>1957</v>
      </c>
      <c r="N145" s="479">
        <f t="array" ref="N145">MIN(IF($J$84:$J$328&lt;M145+ROUNDUP(N144,0),999999,$J$84:$J$328-M145))</f>
        <v>103.88000000000011</v>
      </c>
      <c r="O145" s="400">
        <f t="shared" si="229"/>
        <v>1</v>
      </c>
      <c r="P145" s="400">
        <f t="shared" si="230"/>
        <v>32</v>
      </c>
      <c r="Q145" s="400">
        <f t="shared" si="231"/>
        <v>4</v>
      </c>
      <c r="R145" s="400">
        <f t="shared" si="232"/>
        <v>20</v>
      </c>
      <c r="T145" s="400">
        <f>T144</f>
        <v>2592</v>
      </c>
      <c r="U145" s="479">
        <f t="array" ref="U145">MIN(IF($J$84:$J$328&lt;T145+ROUNDUP(U144,0),999999,$J$84:$J$328-T145))</f>
        <v>97.199999999999818</v>
      </c>
      <c r="V145" s="400">
        <f t="shared" si="233"/>
        <v>1</v>
      </c>
      <c r="W145" s="400">
        <f t="shared" si="234"/>
        <v>32</v>
      </c>
      <c r="X145" s="400">
        <f t="shared" si="235"/>
        <v>6</v>
      </c>
      <c r="Y145" s="400">
        <f t="shared" si="236"/>
        <v>20</v>
      </c>
      <c r="AA145" s="400">
        <f>AA144</f>
        <v>3170</v>
      </c>
      <c r="AB145" s="479">
        <f t="array" ref="AB145">MIN(IF($J$84:$J$328&lt;AA145+ROUNDUP(AB144,0),999999,$J$84:$J$328-AA145))</f>
        <v>50.130000000000109</v>
      </c>
      <c r="AC145" s="400">
        <f t="shared" si="237"/>
        <v>4</v>
      </c>
      <c r="AD145" s="400">
        <f t="shared" si="238"/>
        <v>25</v>
      </c>
      <c r="AE145" s="400">
        <f t="shared" si="239"/>
        <v>4</v>
      </c>
      <c r="AF145" s="669">
        <f t="shared" si="240"/>
        <v>20</v>
      </c>
    </row>
    <row r="146" spans="5:32" x14ac:dyDescent="0.2">
      <c r="E146" s="400">
        <v>63</v>
      </c>
      <c r="F146" s="400">
        <v>2</v>
      </c>
      <c r="G146" s="400">
        <v>32</v>
      </c>
      <c r="H146" s="400">
        <v>6</v>
      </c>
      <c r="I146" s="400">
        <v>20</v>
      </c>
      <c r="J146" s="479">
        <f t="shared" si="144"/>
        <v>3493.45</v>
      </c>
      <c r="M146" s="670">
        <f>M145</f>
        <v>1957</v>
      </c>
      <c r="N146" s="479">
        <f t="array" ref="N146">MIN(IF($J$84:$J$328&lt;M146+ROUNDUP(N145,0),999999,$J$84:$J$328-M146))</f>
        <v>104.67000000000007</v>
      </c>
      <c r="O146" s="400">
        <f t="shared" si="229"/>
        <v>1</v>
      </c>
      <c r="P146" s="400">
        <f t="shared" si="230"/>
        <v>25</v>
      </c>
      <c r="Q146" s="400">
        <f t="shared" si="231"/>
        <v>5</v>
      </c>
      <c r="R146" s="400">
        <f t="shared" si="232"/>
        <v>20</v>
      </c>
      <c r="T146" s="400">
        <f>T145</f>
        <v>2592</v>
      </c>
      <c r="U146" s="479">
        <f t="array" ref="U146">MIN(IF($J$84:$J$328&lt;T146+ROUNDUP(U145,0),999999,$J$84:$J$328-T146))</f>
        <v>134.90000000000009</v>
      </c>
      <c r="V146" s="400">
        <f t="shared" si="233"/>
        <v>3</v>
      </c>
      <c r="W146" s="400">
        <f t="shared" si="234"/>
        <v>32</v>
      </c>
      <c r="X146" s="400">
        <f t="shared" si="235"/>
        <v>1</v>
      </c>
      <c r="Y146" s="400">
        <f t="shared" si="236"/>
        <v>20</v>
      </c>
      <c r="AA146" s="400">
        <f>AA145</f>
        <v>3170</v>
      </c>
      <c r="AB146" s="479">
        <f t="array" ref="AB146">MIN(IF($J$84:$J$328&lt;AA146+ROUNDUP(AB145,0),999999,$J$84:$J$328-AA146))</f>
        <v>88.619999999999891</v>
      </c>
      <c r="AC146" s="400">
        <f t="shared" si="237"/>
        <v>1</v>
      </c>
      <c r="AD146" s="400">
        <f t="shared" si="238"/>
        <v>32</v>
      </c>
      <c r="AE146" s="400">
        <f t="shared" si="239"/>
        <v>5</v>
      </c>
      <c r="AF146" s="669">
        <f t="shared" si="240"/>
        <v>25</v>
      </c>
    </row>
    <row r="147" spans="5:32" ht="13.5" thickBot="1" x14ac:dyDescent="0.25">
      <c r="E147" s="400">
        <v>64</v>
      </c>
      <c r="F147" s="400">
        <v>3</v>
      </c>
      <c r="G147" s="400">
        <v>32</v>
      </c>
      <c r="H147" s="400">
        <v>0</v>
      </c>
      <c r="I147" s="400">
        <v>20</v>
      </c>
      <c r="J147" s="479">
        <f t="shared" si="144"/>
        <v>2412.7399999999998</v>
      </c>
      <c r="M147" s="735">
        <f>M146</f>
        <v>1957</v>
      </c>
      <c r="N147" s="736">
        <f t="array" ref="N147">MIN(IF($J$84:$J$328&lt;M147+ROUNDUP(N146,0),999999,$J$84:$J$328-M147))</f>
        <v>118.80999999999995</v>
      </c>
      <c r="O147" s="737">
        <f t="shared" si="229"/>
        <v>3</v>
      </c>
      <c r="P147" s="737">
        <f t="shared" si="230"/>
        <v>25</v>
      </c>
      <c r="Q147" s="737">
        <f t="shared" si="231"/>
        <v>3</v>
      </c>
      <c r="R147" s="737">
        <f t="shared" si="232"/>
        <v>16</v>
      </c>
      <c r="S147" s="737"/>
      <c r="T147" s="737">
        <f>T146</f>
        <v>2592</v>
      </c>
      <c r="U147" s="736">
        <f t="array" ref="U147">MIN(IF($J$84:$J$328&lt;T147+ROUNDUP(U146,0),999999,$J$84:$J$328-T147))</f>
        <v>137.26000000000022</v>
      </c>
      <c r="V147" s="737">
        <f t="shared" si="233"/>
        <v>3</v>
      </c>
      <c r="W147" s="737">
        <f t="shared" si="234"/>
        <v>25</v>
      </c>
      <c r="X147" s="737">
        <f t="shared" si="235"/>
        <v>4</v>
      </c>
      <c r="Y147" s="737">
        <f t="shared" si="236"/>
        <v>20</v>
      </c>
      <c r="Z147" s="737"/>
      <c r="AA147" s="737">
        <f>AA146</f>
        <v>3170</v>
      </c>
      <c r="AB147" s="736">
        <f t="array" ref="AB147">MIN(IF($J$84:$J$328&lt;AA147+ROUNDUP(AB146,0),999999,$J$84:$J$328-AA147))</f>
        <v>89.400000000000091</v>
      </c>
      <c r="AC147" s="737">
        <f t="shared" si="237"/>
        <v>6</v>
      </c>
      <c r="AD147" s="737">
        <f t="shared" si="238"/>
        <v>25</v>
      </c>
      <c r="AE147" s="737">
        <f t="shared" si="239"/>
        <v>1</v>
      </c>
      <c r="AF147" s="738">
        <f t="shared" si="240"/>
        <v>20</v>
      </c>
    </row>
    <row r="148" spans="5:32" ht="13.5" thickBot="1" x14ac:dyDescent="0.25">
      <c r="E148" s="400">
        <v>65</v>
      </c>
      <c r="F148" s="400">
        <v>3</v>
      </c>
      <c r="G148" s="400">
        <v>32</v>
      </c>
      <c r="H148" s="400">
        <v>1</v>
      </c>
      <c r="I148" s="400">
        <v>20</v>
      </c>
      <c r="J148" s="479">
        <f t="shared" ref="J148:J211" si="241">ROUND(PI()/4*(F148*G148^2+H148*I148^2),2)</f>
        <v>2726.9</v>
      </c>
    </row>
    <row r="149" spans="5:32" x14ac:dyDescent="0.2">
      <c r="E149" s="400">
        <v>66</v>
      </c>
      <c r="F149" s="400">
        <v>3</v>
      </c>
      <c r="G149" s="400">
        <v>32</v>
      </c>
      <c r="H149" s="400">
        <v>2</v>
      </c>
      <c r="I149" s="400">
        <v>20</v>
      </c>
      <c r="J149" s="479">
        <f t="shared" si="241"/>
        <v>3041.06</v>
      </c>
      <c r="M149" s="739">
        <f>K68</f>
        <v>3482</v>
      </c>
      <c r="N149" s="732">
        <f t="array" ref="N149">MIN(IF($J$84:$J$328&lt;M149,999999,$J$84:$J$328-M149))</f>
        <v>11.449999999999818</v>
      </c>
      <c r="O149" s="733">
        <f t="shared" ref="O149:O154" si="242">INDEX($F$84:$I$328,MATCH(M149+N149,$J$84:$J$328,0),1)</f>
        <v>2</v>
      </c>
      <c r="P149" s="733">
        <f t="shared" ref="P149:P154" si="243">INDEX($F$84:$I$328,MATCH(M149+N149,$J$84:$J$328,0),2)</f>
        <v>32</v>
      </c>
      <c r="Q149" s="733">
        <f t="shared" ref="Q149:Q154" si="244">INDEX($F$84:$I$328,MATCH(M149+N149,$J$84:$J$328,0),3)</f>
        <v>6</v>
      </c>
      <c r="R149" s="733">
        <f t="shared" ref="R149:R154" si="245">INDEX($F$84:$I$328,MATCH(M149+N149,$J$84:$J$328,0),4)</f>
        <v>20</v>
      </c>
      <c r="S149" s="733"/>
      <c r="T149" s="733">
        <f>K69</f>
        <v>3331</v>
      </c>
      <c r="U149" s="732">
        <f t="array" ref="U149">MIN(IF($J$84:$J$328&lt;T149,999999,$J$84:$J$328-T149))</f>
        <v>16.369999999999891</v>
      </c>
      <c r="V149" s="733">
        <f t="shared" ref="V149:V154" si="246">INDEX($F$84:$I$328,MATCH(T149+U149,$J$84:$J$328,0),1)</f>
        <v>6</v>
      </c>
      <c r="W149" s="733">
        <f t="shared" ref="W149:W154" si="247">INDEX($F$84:$I$328,MATCH(T149+U149,$J$84:$J$328,0),2)</f>
        <v>25</v>
      </c>
      <c r="X149" s="733">
        <f t="shared" ref="X149:X154" si="248">INDEX($F$84:$I$328,MATCH(T149+U149,$J$84:$J$328,0),3)</f>
        <v>2</v>
      </c>
      <c r="Y149" s="733">
        <f t="shared" ref="Y149:Y154" si="249">INDEX($F$84:$I$328,MATCH(T149+U149,$J$84:$J$328,0),4)</f>
        <v>16</v>
      </c>
      <c r="Z149" s="733"/>
      <c r="AA149" s="733">
        <f>K70</f>
        <v>0</v>
      </c>
      <c r="AB149" s="732">
        <f t="array" ref="AB149">MIN(IF($J$84:$J$328&lt;AA149,999999,$J$84:$J$328-AA149))</f>
        <v>515.22</v>
      </c>
      <c r="AC149" s="733">
        <f t="shared" ref="AC149:AC154" si="250">INDEX($F$84:$I$328,MATCH(AA149+AB149,$J$84:$J$328,0),1)</f>
        <v>1</v>
      </c>
      <c r="AD149" s="733">
        <f t="shared" ref="AD149:AD154" si="251">INDEX($F$84:$I$328,MATCH(AA149+AB149,$J$84:$J$328,0),2)</f>
        <v>20</v>
      </c>
      <c r="AE149" s="733">
        <f t="shared" ref="AE149:AE154" si="252">INDEX($F$84:$I$328,MATCH(AA149+AB149,$J$84:$J$328,0),3)</f>
        <v>1</v>
      </c>
      <c r="AF149" s="734">
        <f t="shared" ref="AF149:AF154" si="253">INDEX($F$84:$I$328,MATCH(AA149+AB149,$J$84:$J$328,0),4)</f>
        <v>16</v>
      </c>
    </row>
    <row r="150" spans="5:32" x14ac:dyDescent="0.2">
      <c r="E150" s="400">
        <v>67</v>
      </c>
      <c r="F150" s="400">
        <v>3</v>
      </c>
      <c r="G150" s="400">
        <v>32</v>
      </c>
      <c r="H150" s="400">
        <v>3</v>
      </c>
      <c r="I150" s="400">
        <v>20</v>
      </c>
      <c r="J150" s="479">
        <f t="shared" si="241"/>
        <v>3355.22</v>
      </c>
      <c r="M150" s="670">
        <f>M149</f>
        <v>3482</v>
      </c>
      <c r="N150" s="479">
        <f t="array" ref="N150">MIN(IF($J$84:$J$328&lt;M150+ROUNDUP(N149,0),999999,$J$84:$J$328-M150))</f>
        <v>49.150000000000091</v>
      </c>
      <c r="O150" s="400">
        <f t="shared" si="242"/>
        <v>4</v>
      </c>
      <c r="P150" s="400">
        <f t="shared" si="243"/>
        <v>32</v>
      </c>
      <c r="Q150" s="400">
        <f t="shared" si="244"/>
        <v>1</v>
      </c>
      <c r="R150" s="400">
        <f t="shared" si="245"/>
        <v>20</v>
      </c>
      <c r="T150" s="400">
        <f>T149</f>
        <v>3331</v>
      </c>
      <c r="U150" s="479">
        <f t="array" ref="U150">MIN(IF($J$84:$J$328&lt;T150+ROUNDUP(U149,0),999999,$J$84:$J$328-T150))</f>
        <v>24.2199999999998</v>
      </c>
      <c r="V150" s="400">
        <f t="shared" si="246"/>
        <v>3</v>
      </c>
      <c r="W150" s="400">
        <f t="shared" si="247"/>
        <v>32</v>
      </c>
      <c r="X150" s="400">
        <f t="shared" si="248"/>
        <v>3</v>
      </c>
      <c r="Y150" s="400">
        <f t="shared" si="249"/>
        <v>20</v>
      </c>
      <c r="AA150" s="400">
        <f>AA149</f>
        <v>0</v>
      </c>
      <c r="AB150" s="479">
        <f t="array" ref="AB150">MIN(IF($J$84:$J$328&lt;AA150+ROUNDUP(AB149,0),999999,$J$84:$J$328-AA150))</f>
        <v>628.32000000000005</v>
      </c>
      <c r="AC150" s="400">
        <f t="shared" si="250"/>
        <v>2</v>
      </c>
      <c r="AD150" s="400">
        <f t="shared" si="251"/>
        <v>20</v>
      </c>
      <c r="AE150" s="400">
        <f t="shared" si="252"/>
        <v>0</v>
      </c>
      <c r="AF150" s="669">
        <f t="shared" si="253"/>
        <v>16</v>
      </c>
    </row>
    <row r="151" spans="5:32" x14ac:dyDescent="0.2">
      <c r="E151" s="400">
        <v>68</v>
      </c>
      <c r="F151" s="400">
        <v>3</v>
      </c>
      <c r="G151" s="400">
        <v>32</v>
      </c>
      <c r="H151" s="400">
        <v>4</v>
      </c>
      <c r="I151" s="400">
        <v>20</v>
      </c>
      <c r="J151" s="479">
        <f t="shared" si="241"/>
        <v>3669.38</v>
      </c>
      <c r="M151" s="670">
        <f>M150</f>
        <v>3482</v>
      </c>
      <c r="N151" s="479">
        <f t="array" ref="N151">MIN(IF($J$84:$J$328&lt;M151+ROUNDUP(N150,0),999999,$J$84:$J$328-M151))</f>
        <v>52.289999999999964</v>
      </c>
      <c r="O151" s="400">
        <f t="shared" si="242"/>
        <v>4</v>
      </c>
      <c r="P151" s="400">
        <f t="shared" si="243"/>
        <v>25</v>
      </c>
      <c r="Q151" s="400">
        <f t="shared" si="244"/>
        <v>5</v>
      </c>
      <c r="R151" s="400">
        <f t="shared" si="245"/>
        <v>20</v>
      </c>
      <c r="T151" s="400">
        <f>T150</f>
        <v>3331</v>
      </c>
      <c r="U151" s="479">
        <f t="array" ref="U151">MIN(IF($J$84:$J$328&lt;T151+ROUNDUP(U150,0),999999,$J$84:$J$328-T151))</f>
        <v>26.579999999999927</v>
      </c>
      <c r="V151" s="400">
        <f t="shared" si="246"/>
        <v>3</v>
      </c>
      <c r="W151" s="400">
        <f t="shared" si="247"/>
        <v>25</v>
      </c>
      <c r="X151" s="400">
        <f t="shared" si="248"/>
        <v>6</v>
      </c>
      <c r="Y151" s="400">
        <f t="shared" si="249"/>
        <v>20</v>
      </c>
      <c r="AA151" s="400">
        <f>AA150</f>
        <v>0</v>
      </c>
      <c r="AB151" s="479">
        <f t="array" ref="AB151">MIN(IF($J$84:$J$328&lt;AA151+ROUNDUP(AB150,0),999999,$J$84:$J$328-AA151))</f>
        <v>691.94</v>
      </c>
      <c r="AC151" s="400">
        <f t="shared" si="250"/>
        <v>1</v>
      </c>
      <c r="AD151" s="400">
        <f t="shared" si="251"/>
        <v>25</v>
      </c>
      <c r="AE151" s="400">
        <f t="shared" si="252"/>
        <v>1</v>
      </c>
      <c r="AF151" s="669">
        <f t="shared" si="253"/>
        <v>16</v>
      </c>
    </row>
    <row r="152" spans="5:32" x14ac:dyDescent="0.2">
      <c r="E152" s="400">
        <v>69</v>
      </c>
      <c r="F152" s="400">
        <v>3</v>
      </c>
      <c r="G152" s="400">
        <v>32</v>
      </c>
      <c r="H152" s="400">
        <v>5</v>
      </c>
      <c r="I152" s="400">
        <v>20</v>
      </c>
      <c r="J152" s="479">
        <f t="shared" si="241"/>
        <v>3983.54</v>
      </c>
      <c r="M152" s="670">
        <f>M151</f>
        <v>3482</v>
      </c>
      <c r="N152" s="479">
        <f t="array" ref="N152">MIN(IF($J$84:$J$328&lt;M152+ROUNDUP(N151,0),999999,$J$84:$J$328-M152))</f>
        <v>66.429999999999836</v>
      </c>
      <c r="O152" s="400">
        <f t="shared" si="242"/>
        <v>6</v>
      </c>
      <c r="P152" s="400">
        <f t="shared" si="243"/>
        <v>25</v>
      </c>
      <c r="Q152" s="400">
        <f t="shared" si="244"/>
        <v>3</v>
      </c>
      <c r="R152" s="400">
        <f t="shared" si="245"/>
        <v>16</v>
      </c>
      <c r="T152" s="400">
        <f>T151</f>
        <v>3331</v>
      </c>
      <c r="U152" s="479">
        <f t="array" ref="U152">MIN(IF($J$84:$J$328&lt;T152+ROUNDUP(U151,0),999999,$J$84:$J$328-T152))</f>
        <v>63.489999999999782</v>
      </c>
      <c r="V152" s="400">
        <f t="shared" si="246"/>
        <v>3</v>
      </c>
      <c r="W152" s="400">
        <f t="shared" si="247"/>
        <v>32</v>
      </c>
      <c r="X152" s="400">
        <f t="shared" si="248"/>
        <v>2</v>
      </c>
      <c r="Y152" s="400">
        <f t="shared" si="249"/>
        <v>25</v>
      </c>
      <c r="AA152" s="400">
        <f>AA151</f>
        <v>0</v>
      </c>
      <c r="AB152" s="479">
        <f t="array" ref="AB152">MIN(IF($J$84:$J$328&lt;AA152+ROUNDUP(AB151,0),999999,$J$84:$J$328-AA152))</f>
        <v>716.28</v>
      </c>
      <c r="AC152" s="400">
        <f t="shared" si="250"/>
        <v>1</v>
      </c>
      <c r="AD152" s="400">
        <f t="shared" si="251"/>
        <v>20</v>
      </c>
      <c r="AE152" s="400">
        <f t="shared" si="252"/>
        <v>2</v>
      </c>
      <c r="AF152" s="669">
        <f t="shared" si="253"/>
        <v>16</v>
      </c>
    </row>
    <row r="153" spans="5:32" x14ac:dyDescent="0.2">
      <c r="E153" s="400">
        <v>70</v>
      </c>
      <c r="F153" s="400">
        <v>3</v>
      </c>
      <c r="G153" s="400">
        <v>32</v>
      </c>
      <c r="H153" s="400">
        <v>6</v>
      </c>
      <c r="I153" s="400">
        <v>20</v>
      </c>
      <c r="J153" s="479">
        <f t="shared" si="241"/>
        <v>4297.7</v>
      </c>
      <c r="M153" s="670">
        <f>M152</f>
        <v>3482</v>
      </c>
      <c r="N153" s="479">
        <f t="array" ref="N153">MIN(IF($J$84:$J$328&lt;M153+ROUNDUP(N152,0),999999,$J$84:$J$328-M153))</f>
        <v>89.989999999999782</v>
      </c>
      <c r="O153" s="400">
        <f t="shared" si="242"/>
        <v>2</v>
      </c>
      <c r="P153" s="400">
        <f t="shared" si="243"/>
        <v>32</v>
      </c>
      <c r="Q153" s="400">
        <f t="shared" si="244"/>
        <v>4</v>
      </c>
      <c r="R153" s="400">
        <f t="shared" si="245"/>
        <v>25</v>
      </c>
      <c r="T153" s="400">
        <f>T152</f>
        <v>3331</v>
      </c>
      <c r="U153" s="479">
        <f t="array" ref="U153">MIN(IF($J$84:$J$328&lt;T153+ROUNDUP(U152,0),999999,$J$84:$J$328-T153))</f>
        <v>65.849999999999909</v>
      </c>
      <c r="V153" s="400">
        <f t="shared" si="246"/>
        <v>5</v>
      </c>
      <c r="W153" s="400">
        <f t="shared" si="247"/>
        <v>25</v>
      </c>
      <c r="X153" s="400">
        <f t="shared" si="248"/>
        <v>3</v>
      </c>
      <c r="Y153" s="400">
        <f t="shared" si="249"/>
        <v>20</v>
      </c>
      <c r="AA153" s="400">
        <f>AA152</f>
        <v>0</v>
      </c>
      <c r="AB153" s="479">
        <f t="array" ref="AB153">MIN(IF($J$84:$J$328&lt;AA153+ROUNDUP(AB152,0),999999,$J$84:$J$328-AA153))</f>
        <v>805.03</v>
      </c>
      <c r="AC153" s="400">
        <f t="shared" si="250"/>
        <v>1</v>
      </c>
      <c r="AD153" s="400">
        <f t="shared" si="251"/>
        <v>25</v>
      </c>
      <c r="AE153" s="400">
        <f t="shared" si="252"/>
        <v>1</v>
      </c>
      <c r="AF153" s="669">
        <f t="shared" si="253"/>
        <v>20</v>
      </c>
    </row>
    <row r="154" spans="5:32" ht="13.5" thickBot="1" x14ac:dyDescent="0.25">
      <c r="E154" s="400">
        <v>71</v>
      </c>
      <c r="F154" s="400">
        <v>4</v>
      </c>
      <c r="G154" s="400">
        <v>32</v>
      </c>
      <c r="H154" s="400">
        <v>0</v>
      </c>
      <c r="I154" s="400">
        <v>20</v>
      </c>
      <c r="J154" s="479">
        <f t="shared" si="241"/>
        <v>3216.99</v>
      </c>
      <c r="M154" s="735">
        <f>M153</f>
        <v>3482</v>
      </c>
      <c r="N154" s="736">
        <f t="array" ref="N154">MIN(IF($J$84:$J$328&lt;M154+ROUNDUP(N153,0),999999,$J$84:$J$328-M154))</f>
        <v>91.559999999999945</v>
      </c>
      <c r="O154" s="737">
        <f t="shared" si="242"/>
        <v>6</v>
      </c>
      <c r="P154" s="737">
        <f t="shared" si="243"/>
        <v>25</v>
      </c>
      <c r="Q154" s="737">
        <f t="shared" si="244"/>
        <v>2</v>
      </c>
      <c r="R154" s="737">
        <f t="shared" si="245"/>
        <v>20</v>
      </c>
      <c r="S154" s="737"/>
      <c r="T154" s="737">
        <f>T153</f>
        <v>3331</v>
      </c>
      <c r="U154" s="736">
        <f t="array" ref="U154">MIN(IF($J$84:$J$328&lt;T154+ROUNDUP(U153,0),999999,$J$84:$J$328-T154))</f>
        <v>74.489999999999782</v>
      </c>
      <c r="V154" s="737">
        <f t="shared" si="246"/>
        <v>7</v>
      </c>
      <c r="W154" s="737">
        <f t="shared" si="247"/>
        <v>20</v>
      </c>
      <c r="X154" s="737">
        <f t="shared" si="248"/>
        <v>6</v>
      </c>
      <c r="Y154" s="737">
        <f t="shared" si="249"/>
        <v>16</v>
      </c>
      <c r="Z154" s="737"/>
      <c r="AA154" s="737">
        <f>AA153</f>
        <v>0</v>
      </c>
      <c r="AB154" s="736">
        <f t="array" ref="AB154">MIN(IF($J$84:$J$328&lt;AA154+ROUNDUP(AB153,0),999999,$J$84:$J$328-AA154))</f>
        <v>829.38</v>
      </c>
      <c r="AC154" s="737">
        <f t="shared" si="250"/>
        <v>2</v>
      </c>
      <c r="AD154" s="737">
        <f t="shared" si="251"/>
        <v>20</v>
      </c>
      <c r="AE154" s="737">
        <f t="shared" si="252"/>
        <v>1</v>
      </c>
      <c r="AF154" s="738">
        <f t="shared" si="253"/>
        <v>16</v>
      </c>
    </row>
    <row r="155" spans="5:32" ht="13.5" thickBot="1" x14ac:dyDescent="0.25">
      <c r="E155" s="400">
        <v>72</v>
      </c>
      <c r="F155" s="400">
        <v>4</v>
      </c>
      <c r="G155" s="400">
        <v>32</v>
      </c>
      <c r="H155" s="400">
        <v>1</v>
      </c>
      <c r="I155" s="400">
        <v>20</v>
      </c>
      <c r="J155" s="479">
        <f t="shared" si="241"/>
        <v>3531.15</v>
      </c>
    </row>
    <row r="156" spans="5:32" x14ac:dyDescent="0.2">
      <c r="E156" s="400">
        <v>73</v>
      </c>
      <c r="F156" s="400">
        <v>4</v>
      </c>
      <c r="G156" s="400">
        <v>32</v>
      </c>
      <c r="H156" s="400">
        <v>2</v>
      </c>
      <c r="I156" s="400">
        <v>20</v>
      </c>
      <c r="J156" s="479">
        <f t="shared" si="241"/>
        <v>3845.31</v>
      </c>
      <c r="M156" s="731">
        <f>K71</f>
        <v>0</v>
      </c>
      <c r="N156" s="732">
        <f t="array" ref="N156">MIN(IF($J$84:$J$328&lt;M156,999999,$J$84:$J$328-M156))</f>
        <v>515.22</v>
      </c>
      <c r="O156" s="733">
        <f t="shared" ref="O156:O161" si="254">INDEX($F$84:$I$328,MATCH(M156+N156,$J$84:$J$328,0),1)</f>
        <v>1</v>
      </c>
      <c r="P156" s="733">
        <f t="shared" ref="P156:P161" si="255">INDEX($F$84:$I$328,MATCH(M156+N156,$J$84:$J$328,0),2)</f>
        <v>20</v>
      </c>
      <c r="Q156" s="733">
        <f t="shared" ref="Q156:Q161" si="256">INDEX($F$84:$I$328,MATCH(M156+N156,$J$84:$J$328,0),3)</f>
        <v>1</v>
      </c>
      <c r="R156" s="733">
        <f t="shared" ref="R156:R161" si="257">INDEX($F$84:$I$328,MATCH(M156+N156,$J$84:$J$328,0),4)</f>
        <v>16</v>
      </c>
      <c r="S156" s="733"/>
      <c r="T156" s="733">
        <f>K72</f>
        <v>0</v>
      </c>
      <c r="U156" s="732">
        <f t="array" ref="U156">MIN(IF($J$84:$J$328&lt;T156,999999,$J$84:$J$328-T156))</f>
        <v>515.22</v>
      </c>
      <c r="V156" s="733">
        <f t="shared" ref="V156:V161" si="258">INDEX($F$84:$I$328,MATCH(T156+U156,$J$84:$J$328,0),1)</f>
        <v>1</v>
      </c>
      <c r="W156" s="733">
        <f t="shared" ref="W156:W161" si="259">INDEX($F$84:$I$328,MATCH(T156+U156,$J$84:$J$328,0),2)</f>
        <v>20</v>
      </c>
      <c r="X156" s="733">
        <f t="shared" ref="X156:X161" si="260">INDEX($F$84:$I$328,MATCH(T156+U156,$J$84:$J$328,0),3)</f>
        <v>1</v>
      </c>
      <c r="Y156" s="733">
        <f t="shared" ref="Y156:Y161" si="261">INDEX($F$84:$I$328,MATCH(T156+U156,$J$84:$J$328,0),4)</f>
        <v>16</v>
      </c>
      <c r="Z156" s="733"/>
      <c r="AA156" s="733">
        <f>K73</f>
        <v>0</v>
      </c>
      <c r="AB156" s="732">
        <f t="array" ref="AB156">MIN(IF($J$84:$J$328&lt;AA156,999999,$J$84:$J$328-AA156))</f>
        <v>515.22</v>
      </c>
      <c r="AC156" s="733">
        <f t="shared" ref="AC156:AC161" si="262">INDEX($F$84:$I$328,MATCH(AA156+AB156,$J$84:$J$328,0),1)</f>
        <v>1</v>
      </c>
      <c r="AD156" s="733">
        <f t="shared" ref="AD156:AD161" si="263">INDEX($F$84:$I$328,MATCH(AA156+AB156,$J$84:$J$328,0),2)</f>
        <v>20</v>
      </c>
      <c r="AE156" s="733">
        <f t="shared" ref="AE156:AE161" si="264">INDEX($F$84:$I$328,MATCH(AA156+AB156,$J$84:$J$328,0),3)</f>
        <v>1</v>
      </c>
      <c r="AF156" s="734">
        <f t="shared" ref="AF156:AF161" si="265">INDEX($F$84:$I$328,MATCH(AA156+AB156,$J$84:$J$328,0),4)</f>
        <v>16</v>
      </c>
    </row>
    <row r="157" spans="5:32" x14ac:dyDescent="0.2">
      <c r="E157" s="400">
        <v>74</v>
      </c>
      <c r="F157" s="400">
        <v>4</v>
      </c>
      <c r="G157" s="400">
        <v>32</v>
      </c>
      <c r="H157" s="400">
        <v>3</v>
      </c>
      <c r="I157" s="400">
        <v>20</v>
      </c>
      <c r="J157" s="479">
        <f t="shared" si="241"/>
        <v>4159.47</v>
      </c>
      <c r="M157" s="670">
        <f>M156</f>
        <v>0</v>
      </c>
      <c r="N157" s="479">
        <f t="array" ref="N157">MIN(IF($J$84:$J$328&lt;M157+ROUNDUP(N156,0),999999,$J$84:$J$328-M157))</f>
        <v>628.32000000000005</v>
      </c>
      <c r="O157" s="400">
        <f t="shared" si="254"/>
        <v>2</v>
      </c>
      <c r="P157" s="400">
        <f t="shared" si="255"/>
        <v>20</v>
      </c>
      <c r="Q157" s="400">
        <f t="shared" si="256"/>
        <v>0</v>
      </c>
      <c r="R157" s="400">
        <f t="shared" si="257"/>
        <v>16</v>
      </c>
      <c r="T157" s="400">
        <f>T156</f>
        <v>0</v>
      </c>
      <c r="U157" s="479">
        <f t="array" ref="U157">MIN(IF($J$84:$J$328&lt;T157+ROUNDUP(U156,0),999999,$J$84:$J$328-T157))</f>
        <v>628.32000000000005</v>
      </c>
      <c r="V157" s="400">
        <f t="shared" si="258"/>
        <v>2</v>
      </c>
      <c r="W157" s="400">
        <f t="shared" si="259"/>
        <v>20</v>
      </c>
      <c r="X157" s="400">
        <f t="shared" si="260"/>
        <v>0</v>
      </c>
      <c r="Y157" s="400">
        <f t="shared" si="261"/>
        <v>16</v>
      </c>
      <c r="AA157" s="400">
        <f>AA156</f>
        <v>0</v>
      </c>
      <c r="AB157" s="479">
        <f t="array" ref="AB157">MIN(IF($J$84:$J$328&lt;AA157+ROUNDUP(AB156,0),999999,$J$84:$J$328-AA157))</f>
        <v>628.32000000000005</v>
      </c>
      <c r="AC157" s="400">
        <f t="shared" si="262"/>
        <v>2</v>
      </c>
      <c r="AD157" s="400">
        <f t="shared" si="263"/>
        <v>20</v>
      </c>
      <c r="AE157" s="400">
        <f t="shared" si="264"/>
        <v>0</v>
      </c>
      <c r="AF157" s="669">
        <f t="shared" si="265"/>
        <v>16</v>
      </c>
    </row>
    <row r="158" spans="5:32" x14ac:dyDescent="0.2">
      <c r="E158" s="400">
        <v>75</v>
      </c>
      <c r="F158" s="400">
        <v>4</v>
      </c>
      <c r="G158" s="400">
        <v>32</v>
      </c>
      <c r="H158" s="400">
        <v>4</v>
      </c>
      <c r="I158" s="400">
        <v>20</v>
      </c>
      <c r="J158" s="479">
        <f t="shared" si="241"/>
        <v>4473.63</v>
      </c>
      <c r="M158" s="670">
        <f>M157</f>
        <v>0</v>
      </c>
      <c r="N158" s="479">
        <f t="array" ref="N158">MIN(IF($J$84:$J$328&lt;M158+ROUNDUP(N157,0),999999,$J$84:$J$328-M158))</f>
        <v>691.94</v>
      </c>
      <c r="O158" s="400">
        <f t="shared" si="254"/>
        <v>1</v>
      </c>
      <c r="P158" s="400">
        <f t="shared" si="255"/>
        <v>25</v>
      </c>
      <c r="Q158" s="400">
        <f t="shared" si="256"/>
        <v>1</v>
      </c>
      <c r="R158" s="400">
        <f t="shared" si="257"/>
        <v>16</v>
      </c>
      <c r="T158" s="400">
        <f>T157</f>
        <v>0</v>
      </c>
      <c r="U158" s="479">
        <f t="array" ref="U158">MIN(IF($J$84:$J$328&lt;T158+ROUNDUP(U157,0),999999,$J$84:$J$328-T158))</f>
        <v>691.94</v>
      </c>
      <c r="V158" s="400">
        <f t="shared" si="258"/>
        <v>1</v>
      </c>
      <c r="W158" s="400">
        <f t="shared" si="259"/>
        <v>25</v>
      </c>
      <c r="X158" s="400">
        <f t="shared" si="260"/>
        <v>1</v>
      </c>
      <c r="Y158" s="400">
        <f t="shared" si="261"/>
        <v>16</v>
      </c>
      <c r="AA158" s="400">
        <f>AA157</f>
        <v>0</v>
      </c>
      <c r="AB158" s="479">
        <f t="array" ref="AB158">MIN(IF($J$84:$J$328&lt;AA158+ROUNDUP(AB157,0),999999,$J$84:$J$328-AA158))</f>
        <v>691.94</v>
      </c>
      <c r="AC158" s="400">
        <f t="shared" si="262"/>
        <v>1</v>
      </c>
      <c r="AD158" s="400">
        <f t="shared" si="263"/>
        <v>25</v>
      </c>
      <c r="AE158" s="400">
        <f t="shared" si="264"/>
        <v>1</v>
      </c>
      <c r="AF158" s="669">
        <f t="shared" si="265"/>
        <v>16</v>
      </c>
    </row>
    <row r="159" spans="5:32" x14ac:dyDescent="0.2">
      <c r="E159" s="400">
        <v>76</v>
      </c>
      <c r="F159" s="400">
        <v>4</v>
      </c>
      <c r="G159" s="400">
        <v>32</v>
      </c>
      <c r="H159" s="400">
        <v>5</v>
      </c>
      <c r="I159" s="400">
        <v>20</v>
      </c>
      <c r="J159" s="479">
        <f t="shared" si="241"/>
        <v>4787.79</v>
      </c>
      <c r="M159" s="670">
        <f>M158</f>
        <v>0</v>
      </c>
      <c r="N159" s="479">
        <f t="array" ref="N159">MIN(IF($J$84:$J$328&lt;M159+ROUNDUP(N158,0),999999,$J$84:$J$328-M159))</f>
        <v>716.28</v>
      </c>
      <c r="O159" s="400">
        <f t="shared" si="254"/>
        <v>1</v>
      </c>
      <c r="P159" s="400">
        <f t="shared" si="255"/>
        <v>20</v>
      </c>
      <c r="Q159" s="400">
        <f t="shared" si="256"/>
        <v>2</v>
      </c>
      <c r="R159" s="400">
        <f t="shared" si="257"/>
        <v>16</v>
      </c>
      <c r="T159" s="400">
        <f>T158</f>
        <v>0</v>
      </c>
      <c r="U159" s="479">
        <f t="array" ref="U159">MIN(IF($J$84:$J$328&lt;T159+ROUNDUP(U158,0),999999,$J$84:$J$328-T159))</f>
        <v>716.28</v>
      </c>
      <c r="V159" s="400">
        <f t="shared" si="258"/>
        <v>1</v>
      </c>
      <c r="W159" s="400">
        <f t="shared" si="259"/>
        <v>20</v>
      </c>
      <c r="X159" s="400">
        <f t="shared" si="260"/>
        <v>2</v>
      </c>
      <c r="Y159" s="400">
        <f t="shared" si="261"/>
        <v>16</v>
      </c>
      <c r="AA159" s="400">
        <f>AA158</f>
        <v>0</v>
      </c>
      <c r="AB159" s="479">
        <f t="array" ref="AB159">MIN(IF($J$84:$J$328&lt;AA159+ROUNDUP(AB158,0),999999,$J$84:$J$328-AA159))</f>
        <v>716.28</v>
      </c>
      <c r="AC159" s="400">
        <f t="shared" si="262"/>
        <v>1</v>
      </c>
      <c r="AD159" s="400">
        <f t="shared" si="263"/>
        <v>20</v>
      </c>
      <c r="AE159" s="400">
        <f t="shared" si="264"/>
        <v>2</v>
      </c>
      <c r="AF159" s="669">
        <f t="shared" si="265"/>
        <v>16</v>
      </c>
    </row>
    <row r="160" spans="5:32" x14ac:dyDescent="0.2">
      <c r="E160" s="400">
        <v>77</v>
      </c>
      <c r="F160" s="400">
        <v>4</v>
      </c>
      <c r="G160" s="400">
        <v>32</v>
      </c>
      <c r="H160" s="400">
        <v>6</v>
      </c>
      <c r="I160" s="400">
        <v>20</v>
      </c>
      <c r="J160" s="479">
        <f t="shared" si="241"/>
        <v>5101.95</v>
      </c>
      <c r="M160" s="670">
        <f>M159</f>
        <v>0</v>
      </c>
      <c r="N160" s="479">
        <f t="array" ref="N160">MIN(IF($J$84:$J$328&lt;M160+ROUNDUP(N159,0),999999,$J$84:$J$328-M160))</f>
        <v>805.03</v>
      </c>
      <c r="O160" s="400">
        <f t="shared" si="254"/>
        <v>1</v>
      </c>
      <c r="P160" s="400">
        <f t="shared" si="255"/>
        <v>25</v>
      </c>
      <c r="Q160" s="400">
        <f t="shared" si="256"/>
        <v>1</v>
      </c>
      <c r="R160" s="400">
        <f t="shared" si="257"/>
        <v>20</v>
      </c>
      <c r="T160" s="400">
        <f>T159</f>
        <v>0</v>
      </c>
      <c r="U160" s="479">
        <f t="array" ref="U160">MIN(IF($J$84:$J$328&lt;T160+ROUNDUP(U159,0),999999,$J$84:$J$328-T160))</f>
        <v>805.03</v>
      </c>
      <c r="V160" s="400">
        <f t="shared" si="258"/>
        <v>1</v>
      </c>
      <c r="W160" s="400">
        <f t="shared" si="259"/>
        <v>25</v>
      </c>
      <c r="X160" s="400">
        <f t="shared" si="260"/>
        <v>1</v>
      </c>
      <c r="Y160" s="400">
        <f t="shared" si="261"/>
        <v>20</v>
      </c>
      <c r="AA160" s="400">
        <f>AA159</f>
        <v>0</v>
      </c>
      <c r="AB160" s="479">
        <f t="array" ref="AB160">MIN(IF($J$84:$J$328&lt;AA160+ROUNDUP(AB159,0),999999,$J$84:$J$328-AA160))</f>
        <v>805.03</v>
      </c>
      <c r="AC160" s="400">
        <f t="shared" si="262"/>
        <v>1</v>
      </c>
      <c r="AD160" s="400">
        <f t="shared" si="263"/>
        <v>25</v>
      </c>
      <c r="AE160" s="400">
        <f t="shared" si="264"/>
        <v>1</v>
      </c>
      <c r="AF160" s="669">
        <f t="shared" si="265"/>
        <v>20</v>
      </c>
    </row>
    <row r="161" spans="5:32" ht="13.5" thickBot="1" x14ac:dyDescent="0.25">
      <c r="E161" s="400">
        <v>78</v>
      </c>
      <c r="F161" s="400">
        <v>5</v>
      </c>
      <c r="G161" s="400">
        <v>32</v>
      </c>
      <c r="H161" s="400">
        <v>0</v>
      </c>
      <c r="I161" s="400">
        <v>20</v>
      </c>
      <c r="J161" s="479">
        <f t="shared" si="241"/>
        <v>4021.24</v>
      </c>
      <c r="M161" s="735">
        <f>M160</f>
        <v>0</v>
      </c>
      <c r="N161" s="736">
        <f t="array" ref="N161">MIN(IF($J$84:$J$328&lt;M161+ROUNDUP(N160,0),999999,$J$84:$J$328-M161))</f>
        <v>829.38</v>
      </c>
      <c r="O161" s="737">
        <f t="shared" si="254"/>
        <v>2</v>
      </c>
      <c r="P161" s="737">
        <f t="shared" si="255"/>
        <v>20</v>
      </c>
      <c r="Q161" s="737">
        <f t="shared" si="256"/>
        <v>1</v>
      </c>
      <c r="R161" s="737">
        <f t="shared" si="257"/>
        <v>16</v>
      </c>
      <c r="S161" s="737"/>
      <c r="T161" s="737">
        <f>T160</f>
        <v>0</v>
      </c>
      <c r="U161" s="736">
        <f t="array" ref="U161">MIN(IF($J$84:$J$328&lt;T161+ROUNDUP(U160,0),999999,$J$84:$J$328-T161))</f>
        <v>829.38</v>
      </c>
      <c r="V161" s="737">
        <f t="shared" si="258"/>
        <v>2</v>
      </c>
      <c r="W161" s="737">
        <f t="shared" si="259"/>
        <v>20</v>
      </c>
      <c r="X161" s="737">
        <f t="shared" si="260"/>
        <v>1</v>
      </c>
      <c r="Y161" s="737">
        <f t="shared" si="261"/>
        <v>16</v>
      </c>
      <c r="Z161" s="737"/>
      <c r="AA161" s="737">
        <f>AA160</f>
        <v>0</v>
      </c>
      <c r="AB161" s="736">
        <f t="array" ref="AB161">MIN(IF($J$84:$J$328&lt;AA161+ROUNDUP(AB160,0),999999,$J$84:$J$328-AA161))</f>
        <v>829.38</v>
      </c>
      <c r="AC161" s="737">
        <f t="shared" si="262"/>
        <v>2</v>
      </c>
      <c r="AD161" s="737">
        <f t="shared" si="263"/>
        <v>20</v>
      </c>
      <c r="AE161" s="737">
        <f t="shared" si="264"/>
        <v>1</v>
      </c>
      <c r="AF161" s="738">
        <f t="shared" si="265"/>
        <v>16</v>
      </c>
    </row>
    <row r="162" spans="5:32" ht="13.5" thickBot="1" x14ac:dyDescent="0.25">
      <c r="E162" s="400">
        <v>79</v>
      </c>
      <c r="F162" s="400">
        <v>5</v>
      </c>
      <c r="G162" s="400">
        <v>32</v>
      </c>
      <c r="H162" s="400">
        <v>1</v>
      </c>
      <c r="I162" s="400">
        <v>20</v>
      </c>
      <c r="J162" s="479">
        <f t="shared" si="241"/>
        <v>4335.3999999999996</v>
      </c>
    </row>
    <row r="163" spans="5:32" x14ac:dyDescent="0.2">
      <c r="E163" s="400">
        <v>80</v>
      </c>
      <c r="F163" s="400">
        <v>5</v>
      </c>
      <c r="G163" s="400">
        <v>32</v>
      </c>
      <c r="H163" s="400">
        <v>2</v>
      </c>
      <c r="I163" s="400">
        <v>20</v>
      </c>
      <c r="J163" s="479">
        <f t="shared" si="241"/>
        <v>4649.5600000000004</v>
      </c>
      <c r="M163" s="739">
        <f>K74</f>
        <v>0</v>
      </c>
      <c r="N163" s="732">
        <f t="array" ref="N163">MIN(IF($J$84:$J$328&lt;M163,999999,$J$84:$J$328-M163))</f>
        <v>515.22</v>
      </c>
      <c r="O163" s="733">
        <f t="shared" ref="O163:O168" si="266">INDEX($F$84:$I$328,MATCH(M163+N163,$J$84:$J$328,0),1)</f>
        <v>1</v>
      </c>
      <c r="P163" s="733">
        <f t="shared" ref="P163:P168" si="267">INDEX($F$84:$I$328,MATCH(M163+N163,$J$84:$J$328,0),2)</f>
        <v>20</v>
      </c>
      <c r="Q163" s="733">
        <f t="shared" ref="Q163:Q168" si="268">INDEX($F$84:$I$328,MATCH(M163+N163,$J$84:$J$328,0),3)</f>
        <v>1</v>
      </c>
      <c r="R163" s="733">
        <f t="shared" ref="R163:R168" si="269">INDEX($F$84:$I$328,MATCH(M163+N163,$J$84:$J$328,0),4)</f>
        <v>16</v>
      </c>
      <c r="S163" s="733"/>
      <c r="T163" s="733">
        <f>K75</f>
        <v>0</v>
      </c>
      <c r="U163" s="732">
        <f t="array" ref="U163">MIN(IF($J$84:$J$328&lt;T163,999999,$J$84:$J$328-T163))</f>
        <v>515.22</v>
      </c>
      <c r="V163" s="733">
        <f t="shared" ref="V163:V168" si="270">INDEX($F$84:$I$328,MATCH(T163+U163,$J$84:$J$328,0),1)</f>
        <v>1</v>
      </c>
      <c r="W163" s="733">
        <f t="shared" ref="W163:W168" si="271">INDEX($F$84:$I$328,MATCH(T163+U163,$J$84:$J$328,0),2)</f>
        <v>20</v>
      </c>
      <c r="X163" s="733">
        <f t="shared" ref="X163:X168" si="272">INDEX($F$84:$I$328,MATCH(T163+U163,$J$84:$J$328,0),3)</f>
        <v>1</v>
      </c>
      <c r="Y163" s="733">
        <f t="shared" ref="Y163:Y168" si="273">INDEX($F$84:$I$328,MATCH(T163+U163,$J$84:$J$328,0),4)</f>
        <v>16</v>
      </c>
      <c r="Z163" s="733"/>
      <c r="AA163" s="732">
        <f>K76</f>
        <v>0</v>
      </c>
      <c r="AB163" s="732">
        <f t="array" ref="AB163">MIN(IF($J$84:$J$328&lt;AA163,999999,$J$84:$J$328-AA163))</f>
        <v>515.22</v>
      </c>
      <c r="AC163" s="733">
        <f t="shared" ref="AC163:AC168" si="274">INDEX($F$84:$I$328,MATCH(AA163+AB163,$J$84:$J$328,0),1)</f>
        <v>1</v>
      </c>
      <c r="AD163" s="733">
        <f t="shared" ref="AD163:AD168" si="275">INDEX($F$84:$I$328,MATCH(AA163+AB163,$J$84:$J$328,0),2)</f>
        <v>20</v>
      </c>
      <c r="AE163" s="733">
        <f t="shared" ref="AE163:AE168" si="276">INDEX($F$84:$I$328,MATCH(AA163+AB163,$J$84:$J$328,0),3)</f>
        <v>1</v>
      </c>
      <c r="AF163" s="734">
        <f t="shared" ref="AF163:AF168" si="277">INDEX($F$84:$I$328,MATCH(AA163+AB163,$J$84:$J$328,0),4)</f>
        <v>16</v>
      </c>
    </row>
    <row r="164" spans="5:32" x14ac:dyDescent="0.2">
      <c r="E164" s="400">
        <v>81</v>
      </c>
      <c r="F164" s="400">
        <v>5</v>
      </c>
      <c r="G164" s="400">
        <v>32</v>
      </c>
      <c r="H164" s="400">
        <v>3</v>
      </c>
      <c r="I164" s="400">
        <v>20</v>
      </c>
      <c r="J164" s="479">
        <f t="shared" si="241"/>
        <v>4963.72</v>
      </c>
      <c r="M164" s="670">
        <f>M163</f>
        <v>0</v>
      </c>
      <c r="N164" s="479">
        <f t="array" ref="N164">MIN(IF($J$84:$J$328&lt;M164+ROUNDUP(N163,0),999999,$J$84:$J$328-M164))</f>
        <v>628.32000000000005</v>
      </c>
      <c r="O164" s="400">
        <f t="shared" si="266"/>
        <v>2</v>
      </c>
      <c r="P164" s="400">
        <f t="shared" si="267"/>
        <v>20</v>
      </c>
      <c r="Q164" s="400">
        <f t="shared" si="268"/>
        <v>0</v>
      </c>
      <c r="R164" s="400">
        <f t="shared" si="269"/>
        <v>16</v>
      </c>
      <c r="T164" s="400">
        <f>T163</f>
        <v>0</v>
      </c>
      <c r="U164" s="479">
        <f t="array" ref="U164">MIN(IF($J$84:$J$328&lt;T164+ROUNDUP(U163,0),999999,$J$84:$J$328-T164))</f>
        <v>628.32000000000005</v>
      </c>
      <c r="V164" s="400">
        <f t="shared" si="270"/>
        <v>2</v>
      </c>
      <c r="W164" s="400">
        <f t="shared" si="271"/>
        <v>20</v>
      </c>
      <c r="X164" s="400">
        <f t="shared" si="272"/>
        <v>0</v>
      </c>
      <c r="Y164" s="400">
        <f t="shared" si="273"/>
        <v>16</v>
      </c>
      <c r="AA164" s="400">
        <f>AA163</f>
        <v>0</v>
      </c>
      <c r="AB164" s="479">
        <f t="array" ref="AB164">MIN(IF($J$84:$J$328&lt;AA164+ROUNDUP(AB163,0),999999,$J$84:$J$328-AA164))</f>
        <v>628.32000000000005</v>
      </c>
      <c r="AC164" s="400">
        <f t="shared" si="274"/>
        <v>2</v>
      </c>
      <c r="AD164" s="400">
        <f t="shared" si="275"/>
        <v>20</v>
      </c>
      <c r="AE164" s="400">
        <f t="shared" si="276"/>
        <v>0</v>
      </c>
      <c r="AF164" s="669">
        <f t="shared" si="277"/>
        <v>16</v>
      </c>
    </row>
    <row r="165" spans="5:32" x14ac:dyDescent="0.2">
      <c r="E165" s="400">
        <v>82</v>
      </c>
      <c r="F165" s="400">
        <v>5</v>
      </c>
      <c r="G165" s="400">
        <v>32</v>
      </c>
      <c r="H165" s="400">
        <v>4</v>
      </c>
      <c r="I165" s="400">
        <v>20</v>
      </c>
      <c r="J165" s="479">
        <f t="shared" si="241"/>
        <v>5277.88</v>
      </c>
      <c r="M165" s="670">
        <f>M164</f>
        <v>0</v>
      </c>
      <c r="N165" s="479">
        <f t="array" ref="N165">MIN(IF($J$84:$J$328&lt;M165+ROUNDUP(N164,0),999999,$J$84:$J$328-M165))</f>
        <v>691.94</v>
      </c>
      <c r="O165" s="400">
        <f t="shared" si="266"/>
        <v>1</v>
      </c>
      <c r="P165" s="400">
        <f t="shared" si="267"/>
        <v>25</v>
      </c>
      <c r="Q165" s="400">
        <f t="shared" si="268"/>
        <v>1</v>
      </c>
      <c r="R165" s="400">
        <f t="shared" si="269"/>
        <v>16</v>
      </c>
      <c r="T165" s="400">
        <f>T164</f>
        <v>0</v>
      </c>
      <c r="U165" s="479">
        <f t="array" ref="U165">MIN(IF($J$84:$J$328&lt;T165+ROUNDUP(U164,0),999999,$J$84:$J$328-T165))</f>
        <v>691.94</v>
      </c>
      <c r="V165" s="400">
        <f t="shared" si="270"/>
        <v>1</v>
      </c>
      <c r="W165" s="400">
        <f t="shared" si="271"/>
        <v>25</v>
      </c>
      <c r="X165" s="400">
        <f t="shared" si="272"/>
        <v>1</v>
      </c>
      <c r="Y165" s="400">
        <f t="shared" si="273"/>
        <v>16</v>
      </c>
      <c r="AA165" s="400">
        <f>AA164</f>
        <v>0</v>
      </c>
      <c r="AB165" s="479">
        <f t="array" ref="AB165">MIN(IF($J$84:$J$328&lt;AA165+ROUNDUP(AB164,0),999999,$J$84:$J$328-AA165))</f>
        <v>691.94</v>
      </c>
      <c r="AC165" s="400">
        <f t="shared" si="274"/>
        <v>1</v>
      </c>
      <c r="AD165" s="400">
        <f t="shared" si="275"/>
        <v>25</v>
      </c>
      <c r="AE165" s="400">
        <f t="shared" si="276"/>
        <v>1</v>
      </c>
      <c r="AF165" s="669">
        <f t="shared" si="277"/>
        <v>16</v>
      </c>
    </row>
    <row r="166" spans="5:32" x14ac:dyDescent="0.2">
      <c r="E166" s="400">
        <v>83</v>
      </c>
      <c r="F166" s="400">
        <v>5</v>
      </c>
      <c r="G166" s="400">
        <v>32</v>
      </c>
      <c r="H166" s="400">
        <v>5</v>
      </c>
      <c r="I166" s="400">
        <v>20</v>
      </c>
      <c r="J166" s="479">
        <f t="shared" si="241"/>
        <v>5592.03</v>
      </c>
      <c r="M166" s="670">
        <f>M165</f>
        <v>0</v>
      </c>
      <c r="N166" s="479">
        <f t="array" ref="N166">MIN(IF($J$84:$J$328&lt;M166+ROUNDUP(N165,0),999999,$J$84:$J$328-M166))</f>
        <v>716.28</v>
      </c>
      <c r="O166" s="400">
        <f t="shared" si="266"/>
        <v>1</v>
      </c>
      <c r="P166" s="400">
        <f t="shared" si="267"/>
        <v>20</v>
      </c>
      <c r="Q166" s="400">
        <f t="shared" si="268"/>
        <v>2</v>
      </c>
      <c r="R166" s="400">
        <f t="shared" si="269"/>
        <v>16</v>
      </c>
      <c r="T166" s="400">
        <f>T165</f>
        <v>0</v>
      </c>
      <c r="U166" s="479">
        <f t="array" ref="U166">MIN(IF($J$84:$J$328&lt;T166+ROUNDUP(U165,0),999999,$J$84:$J$328-T166))</f>
        <v>716.28</v>
      </c>
      <c r="V166" s="400">
        <f t="shared" si="270"/>
        <v>1</v>
      </c>
      <c r="W166" s="400">
        <f t="shared" si="271"/>
        <v>20</v>
      </c>
      <c r="X166" s="400">
        <f t="shared" si="272"/>
        <v>2</v>
      </c>
      <c r="Y166" s="400">
        <f t="shared" si="273"/>
        <v>16</v>
      </c>
      <c r="AA166" s="400">
        <f>AA165</f>
        <v>0</v>
      </c>
      <c r="AB166" s="479">
        <f t="array" ref="AB166">MIN(IF($J$84:$J$328&lt;AA166+ROUNDUP(AB165,0),999999,$J$84:$J$328-AA166))</f>
        <v>716.28</v>
      </c>
      <c r="AC166" s="400">
        <f t="shared" si="274"/>
        <v>1</v>
      </c>
      <c r="AD166" s="400">
        <f t="shared" si="275"/>
        <v>20</v>
      </c>
      <c r="AE166" s="400">
        <f t="shared" si="276"/>
        <v>2</v>
      </c>
      <c r="AF166" s="669">
        <f t="shared" si="277"/>
        <v>16</v>
      </c>
    </row>
    <row r="167" spans="5:32" x14ac:dyDescent="0.2">
      <c r="E167" s="400">
        <v>84</v>
      </c>
      <c r="F167" s="400">
        <v>5</v>
      </c>
      <c r="G167" s="400">
        <v>32</v>
      </c>
      <c r="H167" s="400">
        <v>6</v>
      </c>
      <c r="I167" s="400">
        <v>20</v>
      </c>
      <c r="J167" s="479">
        <f t="shared" si="241"/>
        <v>5906.19</v>
      </c>
      <c r="M167" s="670">
        <f>M166</f>
        <v>0</v>
      </c>
      <c r="N167" s="479">
        <f t="array" ref="N167">MIN(IF($J$84:$J$328&lt;M167+ROUNDUP(N166,0),999999,$J$84:$J$328-M167))</f>
        <v>805.03</v>
      </c>
      <c r="O167" s="400">
        <f t="shared" si="266"/>
        <v>1</v>
      </c>
      <c r="P167" s="400">
        <f t="shared" si="267"/>
        <v>25</v>
      </c>
      <c r="Q167" s="400">
        <f t="shared" si="268"/>
        <v>1</v>
      </c>
      <c r="R167" s="400">
        <f t="shared" si="269"/>
        <v>20</v>
      </c>
      <c r="T167" s="400">
        <f>T166</f>
        <v>0</v>
      </c>
      <c r="U167" s="479">
        <f t="array" ref="U167">MIN(IF($J$84:$J$328&lt;T167+ROUNDUP(U166,0),999999,$J$84:$J$328-T167))</f>
        <v>805.03</v>
      </c>
      <c r="V167" s="400">
        <f t="shared" si="270"/>
        <v>1</v>
      </c>
      <c r="W167" s="400">
        <f t="shared" si="271"/>
        <v>25</v>
      </c>
      <c r="X167" s="400">
        <f t="shared" si="272"/>
        <v>1</v>
      </c>
      <c r="Y167" s="400">
        <f t="shared" si="273"/>
        <v>20</v>
      </c>
      <c r="AA167" s="400">
        <f>AA166</f>
        <v>0</v>
      </c>
      <c r="AB167" s="479">
        <f t="array" ref="AB167">MIN(IF($J$84:$J$328&lt;AA167+ROUNDUP(AB166,0),999999,$J$84:$J$328-AA167))</f>
        <v>805.03</v>
      </c>
      <c r="AC167" s="400">
        <f t="shared" si="274"/>
        <v>1</v>
      </c>
      <c r="AD167" s="400">
        <f t="shared" si="275"/>
        <v>25</v>
      </c>
      <c r="AE167" s="400">
        <f t="shared" si="276"/>
        <v>1</v>
      </c>
      <c r="AF167" s="669">
        <f t="shared" si="277"/>
        <v>20</v>
      </c>
    </row>
    <row r="168" spans="5:32" ht="13.5" thickBot="1" x14ac:dyDescent="0.25">
      <c r="E168" s="400">
        <v>85</v>
      </c>
      <c r="F168" s="400">
        <v>6</v>
      </c>
      <c r="G168" s="400">
        <v>32</v>
      </c>
      <c r="H168" s="400">
        <v>0</v>
      </c>
      <c r="I168" s="400">
        <v>20</v>
      </c>
      <c r="J168" s="479">
        <f t="shared" si="241"/>
        <v>4825.49</v>
      </c>
      <c r="M168" s="735">
        <f>M167</f>
        <v>0</v>
      </c>
      <c r="N168" s="736">
        <f t="array" ref="N168">MIN(IF($J$84:$J$328&lt;M168+ROUNDUP(N167,0),999999,$J$84:$J$328-M168))</f>
        <v>829.38</v>
      </c>
      <c r="O168" s="737">
        <f t="shared" si="266"/>
        <v>2</v>
      </c>
      <c r="P168" s="737">
        <f t="shared" si="267"/>
        <v>20</v>
      </c>
      <c r="Q168" s="737">
        <f t="shared" si="268"/>
        <v>1</v>
      </c>
      <c r="R168" s="737">
        <f t="shared" si="269"/>
        <v>16</v>
      </c>
      <c r="S168" s="737"/>
      <c r="T168" s="737">
        <f>T167</f>
        <v>0</v>
      </c>
      <c r="U168" s="736">
        <f t="array" ref="U168">MIN(IF($J$84:$J$328&lt;T168+ROUNDUP(U167,0),999999,$J$84:$J$328-T168))</f>
        <v>829.38</v>
      </c>
      <c r="V168" s="737">
        <f t="shared" si="270"/>
        <v>2</v>
      </c>
      <c r="W168" s="737">
        <f t="shared" si="271"/>
        <v>20</v>
      </c>
      <c r="X168" s="737">
        <f t="shared" si="272"/>
        <v>1</v>
      </c>
      <c r="Y168" s="737">
        <f t="shared" si="273"/>
        <v>16</v>
      </c>
      <c r="Z168" s="737"/>
      <c r="AA168" s="737">
        <f>AA167</f>
        <v>0</v>
      </c>
      <c r="AB168" s="736">
        <f t="array" ref="AB168">MIN(IF($J$84:$J$328&lt;AA168+ROUNDUP(AB167,0),999999,$J$84:$J$328-AA168))</f>
        <v>829.38</v>
      </c>
      <c r="AC168" s="737">
        <f t="shared" si="274"/>
        <v>2</v>
      </c>
      <c r="AD168" s="737">
        <f t="shared" si="275"/>
        <v>20</v>
      </c>
      <c r="AE168" s="737">
        <f t="shared" si="276"/>
        <v>1</v>
      </c>
      <c r="AF168" s="738">
        <f t="shared" si="277"/>
        <v>16</v>
      </c>
    </row>
    <row r="169" spans="5:32" x14ac:dyDescent="0.2">
      <c r="E169" s="400">
        <v>86</v>
      </c>
      <c r="F169" s="400">
        <v>6</v>
      </c>
      <c r="G169" s="400">
        <v>32</v>
      </c>
      <c r="H169" s="400">
        <v>1</v>
      </c>
      <c r="I169" s="400">
        <v>20</v>
      </c>
      <c r="J169" s="479">
        <f t="shared" si="241"/>
        <v>5139.6499999999996</v>
      </c>
    </row>
    <row r="170" spans="5:32" ht="16.5" thickBot="1" x14ac:dyDescent="0.3">
      <c r="E170" s="400">
        <v>87</v>
      </c>
      <c r="F170" s="400">
        <v>6</v>
      </c>
      <c r="G170" s="400">
        <v>32</v>
      </c>
      <c r="H170" s="400">
        <v>2</v>
      </c>
      <c r="I170" s="400">
        <v>20</v>
      </c>
      <c r="J170" s="479">
        <f t="shared" si="241"/>
        <v>5453.8</v>
      </c>
      <c r="L170" s="730" t="s">
        <v>298</v>
      </c>
    </row>
    <row r="171" spans="5:32" x14ac:dyDescent="0.2">
      <c r="E171" s="400">
        <v>88</v>
      </c>
      <c r="F171" s="400">
        <v>6</v>
      </c>
      <c r="G171" s="400">
        <v>32</v>
      </c>
      <c r="H171" s="400">
        <v>3</v>
      </c>
      <c r="I171" s="400">
        <v>20</v>
      </c>
      <c r="J171" s="479">
        <f t="shared" si="241"/>
        <v>5767.96</v>
      </c>
      <c r="M171" s="731">
        <f>L65</f>
        <v>1511</v>
      </c>
      <c r="N171" s="732">
        <f t="array" ref="N171">MIN(IF($J$84:$J$328&lt;M171,999999,$J$84:$J$328-M171))</f>
        <v>9.5299999999999727</v>
      </c>
      <c r="O171" s="733">
        <f t="shared" ref="O171:O176" si="278">INDEX($F$84:$I$328,MATCH(M171+N171,$J$84:$J$328,0),1)</f>
        <v>1</v>
      </c>
      <c r="P171" s="733">
        <f t="shared" ref="P171:P176" si="279">INDEX($F$84:$I$328,MATCH(M171+N171,$J$84:$J$328,0),2)</f>
        <v>20</v>
      </c>
      <c r="Q171" s="733">
        <f t="shared" ref="Q171:Q176" si="280">INDEX($F$84:$I$328,MATCH(M171+N171,$J$84:$J$328,0),3)</f>
        <v>6</v>
      </c>
      <c r="R171" s="733">
        <f t="shared" ref="R171:R176" si="281">INDEX($F$84:$I$328,MATCH(M171+N171,$J$84:$J$328,0),4)</f>
        <v>16</v>
      </c>
      <c r="S171" s="733"/>
      <c r="T171" s="733">
        <f>L66</f>
        <v>1530</v>
      </c>
      <c r="U171" s="732">
        <f t="array" ref="U171">MIN(IF($J$84:$J$328&lt;T171,999999,$J$84:$J$328-T171))</f>
        <v>15.660000000000082</v>
      </c>
      <c r="V171" s="733">
        <f t="shared" ref="V171:V176" si="282">INDEX($F$84:$I$328,MATCH(T171+U171,$J$84:$J$328,0),1)</f>
        <v>3</v>
      </c>
      <c r="W171" s="733">
        <f t="shared" ref="W171:W176" si="283">INDEX($F$84:$I$328,MATCH(T171+U171,$J$84:$J$328,0),2)</f>
        <v>20</v>
      </c>
      <c r="X171" s="733">
        <f t="shared" ref="X171:X176" si="284">INDEX($F$84:$I$328,MATCH(T171+U171,$J$84:$J$328,0),3)</f>
        <v>3</v>
      </c>
      <c r="Y171" s="733">
        <f t="shared" ref="Y171:Y176" si="285">INDEX($F$84:$I$328,MATCH(T171+U171,$J$84:$J$328,0),4)</f>
        <v>16</v>
      </c>
      <c r="Z171" s="733"/>
      <c r="AA171" s="733">
        <f>L67</f>
        <v>1585</v>
      </c>
      <c r="AB171" s="732">
        <f t="array" ref="AB171">MIN(IF($J$84:$J$328&lt;AA171,999999,$J$84:$J$328-AA171))</f>
        <v>23.5</v>
      </c>
      <c r="AC171" s="733">
        <f t="shared" ref="AC171:AC176" si="286">INDEX($F$84:$I$328,MATCH(AA171+AB171,$J$84:$J$328,0),1)</f>
        <v>2</v>
      </c>
      <c r="AD171" s="733">
        <f t="shared" ref="AD171:AD176" si="287">INDEX($F$84:$I$328,MATCH(AA171+AB171,$J$84:$J$328,0),2)</f>
        <v>32</v>
      </c>
      <c r="AE171" s="733">
        <f t="shared" ref="AE171:AE176" si="288">INDEX($F$84:$I$328,MATCH(AA171+AB171,$J$84:$J$328,0),3)</f>
        <v>0</v>
      </c>
      <c r="AF171" s="734">
        <f t="shared" ref="AF171:AF176" si="289">INDEX($F$84:$I$328,MATCH(AA171+AB171,$J$84:$J$328,0),4)</f>
        <v>25</v>
      </c>
    </row>
    <row r="172" spans="5:32" x14ac:dyDescent="0.2">
      <c r="E172" s="400">
        <v>89</v>
      </c>
      <c r="F172" s="400">
        <v>6</v>
      </c>
      <c r="G172" s="400">
        <v>32</v>
      </c>
      <c r="H172" s="400">
        <v>4</v>
      </c>
      <c r="I172" s="400">
        <v>20</v>
      </c>
      <c r="J172" s="479">
        <f t="shared" si="241"/>
        <v>6082.12</v>
      </c>
      <c r="M172" s="670">
        <f>M171</f>
        <v>1511</v>
      </c>
      <c r="N172" s="479">
        <f t="array" ref="N172">MIN(IF($J$84:$J$328&lt;M172+ROUNDUP(N171,0),999999,$J$84:$J$328-M172))</f>
        <v>34.660000000000082</v>
      </c>
      <c r="O172" s="400">
        <f t="shared" si="278"/>
        <v>3</v>
      </c>
      <c r="P172" s="400">
        <f t="shared" si="279"/>
        <v>20</v>
      </c>
      <c r="Q172" s="400">
        <f t="shared" si="280"/>
        <v>3</v>
      </c>
      <c r="R172" s="400">
        <f t="shared" si="281"/>
        <v>16</v>
      </c>
      <c r="T172" s="400">
        <f>T171</f>
        <v>1530</v>
      </c>
      <c r="U172" s="479">
        <f t="array" ref="U172">MIN(IF($J$84:$J$328&lt;T172+ROUNDUP(U171,0),999999,$J$84:$J$328-T172))</f>
        <v>40.799999999999955</v>
      </c>
      <c r="V172" s="400">
        <f t="shared" si="282"/>
        <v>5</v>
      </c>
      <c r="W172" s="400">
        <f t="shared" si="283"/>
        <v>20</v>
      </c>
      <c r="X172" s="400">
        <f t="shared" si="284"/>
        <v>0</v>
      </c>
      <c r="Y172" s="400">
        <f t="shared" si="285"/>
        <v>16</v>
      </c>
      <c r="AA172" s="400">
        <f>AA171</f>
        <v>1585</v>
      </c>
      <c r="AB172" s="479">
        <f t="array" ref="AB172">MIN(IF($J$84:$J$328&lt;AA172+ROUNDUP(AB171,0),999999,$J$84:$J$328-AA172))</f>
        <v>25.069999999999936</v>
      </c>
      <c r="AC172" s="400">
        <f t="shared" si="286"/>
        <v>2</v>
      </c>
      <c r="AD172" s="400">
        <f t="shared" si="287"/>
        <v>25</v>
      </c>
      <c r="AE172" s="400">
        <f t="shared" si="288"/>
        <v>2</v>
      </c>
      <c r="AF172" s="669">
        <f t="shared" si="289"/>
        <v>20</v>
      </c>
    </row>
    <row r="173" spans="5:32" x14ac:dyDescent="0.2">
      <c r="E173" s="400">
        <v>90</v>
      </c>
      <c r="F173" s="400">
        <v>6</v>
      </c>
      <c r="G173" s="400">
        <v>32</v>
      </c>
      <c r="H173" s="400">
        <v>5</v>
      </c>
      <c r="I173" s="400">
        <v>20</v>
      </c>
      <c r="J173" s="479">
        <f t="shared" si="241"/>
        <v>6396.28</v>
      </c>
      <c r="M173" s="670">
        <f>M172</f>
        <v>1511</v>
      </c>
      <c r="N173" s="479">
        <f t="array" ref="N173">MIN(IF($J$84:$J$328&lt;M173+ROUNDUP(N172,0),999999,$J$84:$J$328-M173))</f>
        <v>59.799999999999955</v>
      </c>
      <c r="O173" s="400">
        <f t="shared" si="278"/>
        <v>5</v>
      </c>
      <c r="P173" s="400">
        <f t="shared" si="279"/>
        <v>20</v>
      </c>
      <c r="Q173" s="400">
        <f t="shared" si="280"/>
        <v>0</v>
      </c>
      <c r="R173" s="400">
        <f t="shared" si="281"/>
        <v>16</v>
      </c>
      <c r="T173" s="400">
        <f>T172</f>
        <v>1530</v>
      </c>
      <c r="U173" s="479">
        <f t="array" ref="U173">MIN(IF($J$84:$J$328&lt;T173+ROUNDUP(U172,0),999999,$J$84:$J$328-T173))</f>
        <v>54.930000000000064</v>
      </c>
      <c r="V173" s="400">
        <f t="shared" si="282"/>
        <v>2</v>
      </c>
      <c r="W173" s="400">
        <f t="shared" si="283"/>
        <v>25</v>
      </c>
      <c r="X173" s="400">
        <f t="shared" si="284"/>
        <v>3</v>
      </c>
      <c r="Y173" s="400">
        <f t="shared" si="285"/>
        <v>16</v>
      </c>
      <c r="AA173" s="400">
        <f>AA172</f>
        <v>1585</v>
      </c>
      <c r="AB173" s="479">
        <f t="array" ref="AB173">MIN(IF($J$84:$J$328&lt;AA173+ROUNDUP(AB172,0),999999,$J$84:$J$328-AA173))</f>
        <v>48.630000000000109</v>
      </c>
      <c r="AC173" s="400">
        <f t="shared" si="286"/>
        <v>2</v>
      </c>
      <c r="AD173" s="400">
        <f t="shared" si="287"/>
        <v>20</v>
      </c>
      <c r="AE173" s="400">
        <f t="shared" si="288"/>
        <v>5</v>
      </c>
      <c r="AF173" s="669">
        <f t="shared" si="289"/>
        <v>16</v>
      </c>
    </row>
    <row r="174" spans="5:32" x14ac:dyDescent="0.2">
      <c r="E174" s="400">
        <v>91</v>
      </c>
      <c r="F174" s="400">
        <v>6</v>
      </c>
      <c r="G174" s="400">
        <v>32</v>
      </c>
      <c r="H174" s="400">
        <v>6</v>
      </c>
      <c r="I174" s="400">
        <v>20</v>
      </c>
      <c r="J174" s="479">
        <f t="shared" si="241"/>
        <v>6710.44</v>
      </c>
      <c r="M174" s="670">
        <f>M173</f>
        <v>1511</v>
      </c>
      <c r="N174" s="479">
        <f t="array" ref="N174">MIN(IF($J$84:$J$328&lt;M174+ROUNDUP(N173,0),999999,$J$84:$J$328-M174))</f>
        <v>73.930000000000064</v>
      </c>
      <c r="O174" s="400">
        <f t="shared" si="278"/>
        <v>2</v>
      </c>
      <c r="P174" s="400">
        <f t="shared" si="279"/>
        <v>25</v>
      </c>
      <c r="Q174" s="400">
        <f t="shared" si="280"/>
        <v>3</v>
      </c>
      <c r="R174" s="400">
        <f t="shared" si="281"/>
        <v>16</v>
      </c>
      <c r="T174" s="400">
        <f>T173</f>
        <v>1530</v>
      </c>
      <c r="U174" s="479">
        <f t="array" ref="U174">MIN(IF($J$84:$J$328&lt;T174+ROUNDUP(U173,0),999999,$J$84:$J$328-T174))</f>
        <v>78.5</v>
      </c>
      <c r="V174" s="400">
        <f t="shared" si="282"/>
        <v>2</v>
      </c>
      <c r="W174" s="400">
        <f t="shared" si="283"/>
        <v>32</v>
      </c>
      <c r="X174" s="400">
        <f t="shared" si="284"/>
        <v>0</v>
      </c>
      <c r="Y174" s="400">
        <f t="shared" si="285"/>
        <v>25</v>
      </c>
      <c r="AA174" s="400">
        <f>AA173</f>
        <v>1585</v>
      </c>
      <c r="AB174" s="479">
        <f t="array" ref="AB174">MIN(IF($J$84:$J$328&lt;AA174+ROUNDUP(AB173,0),999999,$J$84:$J$328-AA174))</f>
        <v>73.759999999999991</v>
      </c>
      <c r="AC174" s="400">
        <f t="shared" si="286"/>
        <v>4</v>
      </c>
      <c r="AD174" s="400">
        <f t="shared" si="287"/>
        <v>20</v>
      </c>
      <c r="AE174" s="400">
        <f t="shared" si="288"/>
        <v>2</v>
      </c>
      <c r="AF174" s="669">
        <f t="shared" si="289"/>
        <v>16</v>
      </c>
    </row>
    <row r="175" spans="5:32" x14ac:dyDescent="0.2">
      <c r="E175" s="400">
        <v>92</v>
      </c>
      <c r="F175" s="400">
        <v>7</v>
      </c>
      <c r="G175" s="400">
        <v>32</v>
      </c>
      <c r="H175" s="400">
        <v>0</v>
      </c>
      <c r="I175" s="400">
        <v>20</v>
      </c>
      <c r="J175" s="479">
        <f t="shared" si="241"/>
        <v>5629.73</v>
      </c>
      <c r="M175" s="670">
        <f>M174</f>
        <v>1511</v>
      </c>
      <c r="N175" s="479">
        <f t="array" ref="N175">MIN(IF($J$84:$J$328&lt;M175+ROUNDUP(N174,0),999999,$J$84:$J$328-M175))</f>
        <v>97.5</v>
      </c>
      <c r="O175" s="400">
        <f t="shared" si="278"/>
        <v>2</v>
      </c>
      <c r="P175" s="400">
        <f t="shared" si="279"/>
        <v>32</v>
      </c>
      <c r="Q175" s="400">
        <f t="shared" si="280"/>
        <v>0</v>
      </c>
      <c r="R175" s="400">
        <f t="shared" si="281"/>
        <v>25</v>
      </c>
      <c r="T175" s="400">
        <f>T174</f>
        <v>1530</v>
      </c>
      <c r="U175" s="479">
        <f t="array" ref="U175">MIN(IF($J$84:$J$328&lt;T175+ROUNDUP(U174,0),999999,$J$84:$J$328-T175))</f>
        <v>80.069999999999936</v>
      </c>
      <c r="V175" s="400">
        <f t="shared" si="282"/>
        <v>2</v>
      </c>
      <c r="W175" s="400">
        <f t="shared" si="283"/>
        <v>25</v>
      </c>
      <c r="X175" s="400">
        <f t="shared" si="284"/>
        <v>2</v>
      </c>
      <c r="Y175" s="400">
        <f t="shared" si="285"/>
        <v>20</v>
      </c>
      <c r="AA175" s="400">
        <f>AA174</f>
        <v>1585</v>
      </c>
      <c r="AB175" s="479">
        <f t="array" ref="AB175">MIN(IF($J$84:$J$328&lt;AA175+ROUNDUP(AB174,0),999999,$J$84:$J$328-AA175))</f>
        <v>88.680000000000064</v>
      </c>
      <c r="AC175" s="400">
        <f t="shared" si="286"/>
        <v>3</v>
      </c>
      <c r="AD175" s="400">
        <f t="shared" si="287"/>
        <v>25</v>
      </c>
      <c r="AE175" s="400">
        <f t="shared" si="288"/>
        <v>1</v>
      </c>
      <c r="AF175" s="669">
        <f t="shared" si="289"/>
        <v>16</v>
      </c>
    </row>
    <row r="176" spans="5:32" ht="13.5" thickBot="1" x14ac:dyDescent="0.25">
      <c r="E176" s="400">
        <v>93</v>
      </c>
      <c r="F176" s="400">
        <v>7</v>
      </c>
      <c r="G176" s="400">
        <v>32</v>
      </c>
      <c r="H176" s="400">
        <v>1</v>
      </c>
      <c r="I176" s="400">
        <v>20</v>
      </c>
      <c r="J176" s="479">
        <f t="shared" si="241"/>
        <v>5943.89</v>
      </c>
      <c r="M176" s="735">
        <f>M175</f>
        <v>1511</v>
      </c>
      <c r="N176" s="736">
        <f t="array" ref="N176">MIN(IF($J$84:$J$328&lt;M176+ROUNDUP(N175,0),999999,$J$84:$J$328-M176))</f>
        <v>99.069999999999936</v>
      </c>
      <c r="O176" s="737">
        <f t="shared" si="278"/>
        <v>2</v>
      </c>
      <c r="P176" s="737">
        <f t="shared" si="279"/>
        <v>25</v>
      </c>
      <c r="Q176" s="737">
        <f t="shared" si="280"/>
        <v>2</v>
      </c>
      <c r="R176" s="737">
        <f t="shared" si="281"/>
        <v>20</v>
      </c>
      <c r="S176" s="737"/>
      <c r="T176" s="737">
        <f>T175</f>
        <v>1530</v>
      </c>
      <c r="U176" s="736">
        <f t="array" ref="U176">MIN(IF($J$84:$J$328&lt;T176+ROUNDUP(U175,0),999999,$J$84:$J$328-T176))</f>
        <v>103.63000000000011</v>
      </c>
      <c r="V176" s="737">
        <f t="shared" si="282"/>
        <v>2</v>
      </c>
      <c r="W176" s="737">
        <f t="shared" si="283"/>
        <v>20</v>
      </c>
      <c r="X176" s="737">
        <f t="shared" si="284"/>
        <v>5</v>
      </c>
      <c r="Y176" s="737">
        <f t="shared" si="285"/>
        <v>16</v>
      </c>
      <c r="Z176" s="737"/>
      <c r="AA176" s="737">
        <f>AA175</f>
        <v>1585</v>
      </c>
      <c r="AB176" s="736">
        <f t="array" ref="AB176">MIN(IF($J$84:$J$328&lt;AA176+ROUNDUP(AB175,0),999999,$J$84:$J$328-AA176))</f>
        <v>112.25</v>
      </c>
      <c r="AC176" s="737">
        <f t="shared" si="286"/>
        <v>1</v>
      </c>
      <c r="AD176" s="737">
        <f t="shared" si="287"/>
        <v>25</v>
      </c>
      <c r="AE176" s="737">
        <f t="shared" si="288"/>
        <v>6</v>
      </c>
      <c r="AF176" s="738">
        <f t="shared" si="289"/>
        <v>16</v>
      </c>
    </row>
    <row r="177" spans="5:32" ht="13.5" thickBot="1" x14ac:dyDescent="0.25">
      <c r="E177" s="400">
        <v>94</v>
      </c>
      <c r="F177" s="400">
        <v>7</v>
      </c>
      <c r="G177" s="400">
        <v>32</v>
      </c>
      <c r="H177" s="400">
        <v>2</v>
      </c>
      <c r="I177" s="400">
        <v>20</v>
      </c>
      <c r="J177" s="479">
        <f t="shared" si="241"/>
        <v>6258.05</v>
      </c>
    </row>
    <row r="178" spans="5:32" x14ac:dyDescent="0.2">
      <c r="E178" s="400">
        <v>95</v>
      </c>
      <c r="F178" s="400">
        <v>7</v>
      </c>
      <c r="G178" s="400">
        <v>32</v>
      </c>
      <c r="H178" s="400">
        <v>3</v>
      </c>
      <c r="I178" s="400">
        <v>20</v>
      </c>
      <c r="J178" s="479">
        <f t="shared" si="241"/>
        <v>6572.21</v>
      </c>
      <c r="M178" s="739">
        <f>L68</f>
        <v>1741</v>
      </c>
      <c r="N178" s="732">
        <f t="array" ref="N178">MIN(IF($J$84:$J$328&lt;M178,999999,$J$84:$J$328-M178))</f>
        <v>5.7300000000000182</v>
      </c>
      <c r="O178" s="733">
        <f t="shared" ref="O178:O183" si="290">INDEX($F$84:$I$328,MATCH(M178+N178,$J$84:$J$328,0),1)</f>
        <v>1</v>
      </c>
      <c r="P178" s="733">
        <f t="shared" ref="P178:P183" si="291">INDEX($F$84:$I$328,MATCH(M178+N178,$J$84:$J$328,0),2)</f>
        <v>32</v>
      </c>
      <c r="Q178" s="733">
        <f t="shared" ref="Q178:Q183" si="292">INDEX($F$84:$I$328,MATCH(M178+N178,$J$84:$J$328,0),3)</f>
        <v>3</v>
      </c>
      <c r="R178" s="733">
        <f t="shared" ref="R178:R183" si="293">INDEX($F$84:$I$328,MATCH(M178+N178,$J$84:$J$328,0),4)</f>
        <v>20</v>
      </c>
      <c r="S178" s="733"/>
      <c r="T178" s="733">
        <f>L69</f>
        <v>1666</v>
      </c>
      <c r="U178" s="732">
        <f t="array" ref="U178">MIN(IF($J$84:$J$328&lt;T178,999999,$J$84:$J$328-T178))</f>
        <v>7.6800000000000637</v>
      </c>
      <c r="V178" s="733">
        <f t="shared" ref="V178:V183" si="294">INDEX($F$84:$I$328,MATCH(T178+U178,$J$84:$J$328,0),1)</f>
        <v>3</v>
      </c>
      <c r="W178" s="733">
        <f t="shared" ref="W178:W183" si="295">INDEX($F$84:$I$328,MATCH(T178+U178,$J$84:$J$328,0),2)</f>
        <v>25</v>
      </c>
      <c r="X178" s="733">
        <f t="shared" ref="X178:X183" si="296">INDEX($F$84:$I$328,MATCH(T178+U178,$J$84:$J$328,0),3)</f>
        <v>1</v>
      </c>
      <c r="Y178" s="733">
        <f t="shared" ref="Y178:Y183" si="297">INDEX($F$84:$I$328,MATCH(T178+U178,$J$84:$J$328,0),4)</f>
        <v>16</v>
      </c>
      <c r="Z178" s="733"/>
      <c r="AA178" s="733">
        <f>L70</f>
        <v>0</v>
      </c>
      <c r="AB178" s="732">
        <f t="array" ref="AB178">MIN(IF($J$84:$J$328&lt;AA178,999999,$J$84:$J$328-AA178))</f>
        <v>515.22</v>
      </c>
      <c r="AC178" s="733">
        <f t="shared" ref="AC178:AC183" si="298">INDEX($F$84:$I$328,MATCH(AA178+AB178,$J$84:$J$328,0),1)</f>
        <v>1</v>
      </c>
      <c r="AD178" s="733">
        <f t="shared" ref="AD178:AD183" si="299">INDEX($F$84:$I$328,MATCH(AA178+AB178,$J$84:$J$328,0),2)</f>
        <v>20</v>
      </c>
      <c r="AE178" s="733">
        <f t="shared" ref="AE178:AE183" si="300">INDEX($F$84:$I$328,MATCH(AA178+AB178,$J$84:$J$328,0),3)</f>
        <v>1</v>
      </c>
      <c r="AF178" s="734">
        <f t="shared" ref="AF178:AF183" si="301">INDEX($F$84:$I$328,MATCH(AA178+AB178,$J$84:$J$328,0),4)</f>
        <v>16</v>
      </c>
    </row>
    <row r="179" spans="5:32" x14ac:dyDescent="0.2">
      <c r="E179" s="400">
        <v>96</v>
      </c>
      <c r="F179" s="400">
        <v>7</v>
      </c>
      <c r="G179" s="400">
        <v>32</v>
      </c>
      <c r="H179" s="400">
        <v>4</v>
      </c>
      <c r="I179" s="400">
        <v>20</v>
      </c>
      <c r="J179" s="479">
        <f t="shared" si="241"/>
        <v>6886.37</v>
      </c>
      <c r="M179" s="670">
        <f>M178</f>
        <v>1741</v>
      </c>
      <c r="N179" s="479">
        <f t="array" ref="N179">MIN(IF($J$84:$J$328&lt;M179+ROUNDUP(N178,0),999999,$J$84:$J$328-M179))</f>
        <v>6.5099999999999909</v>
      </c>
      <c r="O179" s="400">
        <f t="shared" si="290"/>
        <v>1</v>
      </c>
      <c r="P179" s="400">
        <f t="shared" si="291"/>
        <v>25</v>
      </c>
      <c r="Q179" s="400">
        <f t="shared" si="292"/>
        <v>4</v>
      </c>
      <c r="R179" s="400">
        <f t="shared" si="293"/>
        <v>20</v>
      </c>
      <c r="T179" s="400">
        <f>T178</f>
        <v>1666</v>
      </c>
      <c r="U179" s="479">
        <f t="array" ref="U179">MIN(IF($J$84:$J$328&lt;T179+ROUNDUP(U178,0),999999,$J$84:$J$328-T179))</f>
        <v>31.25</v>
      </c>
      <c r="V179" s="400">
        <f t="shared" si="294"/>
        <v>1</v>
      </c>
      <c r="W179" s="400">
        <f t="shared" si="295"/>
        <v>25</v>
      </c>
      <c r="X179" s="400">
        <f t="shared" si="296"/>
        <v>6</v>
      </c>
      <c r="Y179" s="400">
        <f t="shared" si="297"/>
        <v>16</v>
      </c>
      <c r="AA179" s="400">
        <f>AA178</f>
        <v>0</v>
      </c>
      <c r="AB179" s="479">
        <f t="array" ref="AB179">MIN(IF($J$84:$J$328&lt;AA179+ROUNDUP(AB178,0),999999,$J$84:$J$328-AA179))</f>
        <v>628.32000000000005</v>
      </c>
      <c r="AC179" s="400">
        <f t="shared" si="298"/>
        <v>2</v>
      </c>
      <c r="AD179" s="400">
        <f t="shared" si="299"/>
        <v>20</v>
      </c>
      <c r="AE179" s="400">
        <f t="shared" si="300"/>
        <v>0</v>
      </c>
      <c r="AF179" s="669">
        <f t="shared" si="301"/>
        <v>16</v>
      </c>
    </row>
    <row r="180" spans="5:32" x14ac:dyDescent="0.2">
      <c r="E180" s="400">
        <v>97</v>
      </c>
      <c r="F180" s="400">
        <v>7</v>
      </c>
      <c r="G180" s="400">
        <v>32</v>
      </c>
      <c r="H180" s="400">
        <v>5</v>
      </c>
      <c r="I180" s="400">
        <v>20</v>
      </c>
      <c r="J180" s="479">
        <f t="shared" si="241"/>
        <v>7200.53</v>
      </c>
      <c r="M180" s="670">
        <f>M179</f>
        <v>1741</v>
      </c>
      <c r="N180" s="479">
        <f t="array" ref="N180">MIN(IF($J$84:$J$328&lt;M180+ROUNDUP(N179,0),999999,$J$84:$J$328-M180))</f>
        <v>30.8599999999999</v>
      </c>
      <c r="O180" s="400">
        <f t="shared" si="290"/>
        <v>5</v>
      </c>
      <c r="P180" s="400">
        <f t="shared" si="291"/>
        <v>20</v>
      </c>
      <c r="Q180" s="400">
        <f t="shared" si="292"/>
        <v>1</v>
      </c>
      <c r="R180" s="400">
        <f t="shared" si="293"/>
        <v>16</v>
      </c>
      <c r="T180" s="400">
        <f>T179</f>
        <v>1666</v>
      </c>
      <c r="U180" s="479">
        <f t="array" ref="U180">MIN(IF($J$84:$J$328&lt;T180+ROUNDUP(U179,0),999999,$J$84:$J$328-T180))</f>
        <v>55.589999999999918</v>
      </c>
      <c r="V180" s="400">
        <f t="shared" si="294"/>
        <v>1</v>
      </c>
      <c r="W180" s="400">
        <f t="shared" si="295"/>
        <v>20</v>
      </c>
      <c r="X180" s="400">
        <f t="shared" si="296"/>
        <v>7</v>
      </c>
      <c r="Y180" s="400">
        <f t="shared" si="297"/>
        <v>16</v>
      </c>
      <c r="AA180" s="400">
        <f>AA179</f>
        <v>0</v>
      </c>
      <c r="AB180" s="479">
        <f t="array" ref="AB180">MIN(IF($J$84:$J$328&lt;AA180+ROUNDUP(AB179,0),999999,$J$84:$J$328-AA180))</f>
        <v>691.94</v>
      </c>
      <c r="AC180" s="400">
        <f t="shared" si="298"/>
        <v>1</v>
      </c>
      <c r="AD180" s="400">
        <f t="shared" si="299"/>
        <v>25</v>
      </c>
      <c r="AE180" s="400">
        <f t="shared" si="300"/>
        <v>1</v>
      </c>
      <c r="AF180" s="669">
        <f t="shared" si="301"/>
        <v>16</v>
      </c>
    </row>
    <row r="181" spans="5:32" x14ac:dyDescent="0.2">
      <c r="E181" s="400">
        <v>98</v>
      </c>
      <c r="F181" s="400">
        <v>7</v>
      </c>
      <c r="G181" s="400">
        <v>32</v>
      </c>
      <c r="H181" s="400">
        <v>6</v>
      </c>
      <c r="I181" s="400">
        <v>20</v>
      </c>
      <c r="J181" s="479">
        <f t="shared" si="241"/>
        <v>7514.69</v>
      </c>
      <c r="M181" s="670">
        <f>M180</f>
        <v>1741</v>
      </c>
      <c r="N181" s="479">
        <f t="array" ref="N181">MIN(IF($J$84:$J$328&lt;M181+ROUNDUP(N180,0),999999,$J$84:$J$328-M181))</f>
        <v>45</v>
      </c>
      <c r="O181" s="400">
        <f t="shared" si="290"/>
        <v>1</v>
      </c>
      <c r="P181" s="400">
        <f t="shared" si="291"/>
        <v>32</v>
      </c>
      <c r="Q181" s="400">
        <f t="shared" si="292"/>
        <v>2</v>
      </c>
      <c r="R181" s="400">
        <f t="shared" si="293"/>
        <v>25</v>
      </c>
      <c r="T181" s="400">
        <f>T180</f>
        <v>1666</v>
      </c>
      <c r="U181" s="479">
        <f t="array" ref="U181">MIN(IF($J$84:$J$328&lt;T181+ROUNDUP(U180,0),999999,$J$84:$J$328-T181))</f>
        <v>80.730000000000018</v>
      </c>
      <c r="V181" s="400">
        <f t="shared" si="294"/>
        <v>1</v>
      </c>
      <c r="W181" s="400">
        <f t="shared" si="295"/>
        <v>32</v>
      </c>
      <c r="X181" s="400">
        <f t="shared" si="296"/>
        <v>3</v>
      </c>
      <c r="Y181" s="400">
        <f t="shared" si="297"/>
        <v>20</v>
      </c>
      <c r="AA181" s="400">
        <f>AA180</f>
        <v>0</v>
      </c>
      <c r="AB181" s="479">
        <f t="array" ref="AB181">MIN(IF($J$84:$J$328&lt;AA181+ROUNDUP(AB180,0),999999,$J$84:$J$328-AA181))</f>
        <v>716.28</v>
      </c>
      <c r="AC181" s="400">
        <f t="shared" si="298"/>
        <v>1</v>
      </c>
      <c r="AD181" s="400">
        <f t="shared" si="299"/>
        <v>20</v>
      </c>
      <c r="AE181" s="400">
        <f t="shared" si="300"/>
        <v>2</v>
      </c>
      <c r="AF181" s="669">
        <f t="shared" si="301"/>
        <v>16</v>
      </c>
    </row>
    <row r="182" spans="5:32" x14ac:dyDescent="0.2">
      <c r="E182" s="400">
        <v>99</v>
      </c>
      <c r="F182" s="400">
        <v>1</v>
      </c>
      <c r="G182" s="400">
        <v>25</v>
      </c>
      <c r="H182" s="400">
        <v>1</v>
      </c>
      <c r="I182" s="400">
        <v>20</v>
      </c>
      <c r="J182" s="479">
        <f t="shared" si="241"/>
        <v>805.03</v>
      </c>
      <c r="M182" s="670">
        <f>M181</f>
        <v>1741</v>
      </c>
      <c r="N182" s="479">
        <f t="array" ref="N182">MIN(IF($J$84:$J$328&lt;M182+ROUNDUP(N181,0),999999,$J$84:$J$328-M182))</f>
        <v>45</v>
      </c>
      <c r="O182" s="400">
        <f t="shared" si="290"/>
        <v>1</v>
      </c>
      <c r="P182" s="400">
        <f t="shared" si="291"/>
        <v>32</v>
      </c>
      <c r="Q182" s="400">
        <f t="shared" si="292"/>
        <v>2</v>
      </c>
      <c r="R182" s="400">
        <f t="shared" si="293"/>
        <v>25</v>
      </c>
      <c r="T182" s="400">
        <f>T181</f>
        <v>1666</v>
      </c>
      <c r="U182" s="479">
        <f t="array" ref="U182">MIN(IF($J$84:$J$328&lt;T182+ROUNDUP(U181,0),999999,$J$84:$J$328-T182))</f>
        <v>81.509999999999991</v>
      </c>
      <c r="V182" s="400">
        <f t="shared" si="294"/>
        <v>1</v>
      </c>
      <c r="W182" s="400">
        <f t="shared" si="295"/>
        <v>25</v>
      </c>
      <c r="X182" s="400">
        <f t="shared" si="296"/>
        <v>4</v>
      </c>
      <c r="Y182" s="400">
        <f t="shared" si="297"/>
        <v>20</v>
      </c>
      <c r="AA182" s="400">
        <f>AA181</f>
        <v>0</v>
      </c>
      <c r="AB182" s="479">
        <f t="array" ref="AB182">MIN(IF($J$84:$J$328&lt;AA182+ROUNDUP(AB181,0),999999,$J$84:$J$328-AA182))</f>
        <v>805.03</v>
      </c>
      <c r="AC182" s="400">
        <f t="shared" si="298"/>
        <v>1</v>
      </c>
      <c r="AD182" s="400">
        <f t="shared" si="299"/>
        <v>25</v>
      </c>
      <c r="AE182" s="400">
        <f t="shared" si="300"/>
        <v>1</v>
      </c>
      <c r="AF182" s="669">
        <f t="shared" si="301"/>
        <v>20</v>
      </c>
    </row>
    <row r="183" spans="5:32" ht="13.5" thickBot="1" x14ac:dyDescent="0.25">
      <c r="E183" s="400">
        <v>100</v>
      </c>
      <c r="F183" s="400">
        <v>1</v>
      </c>
      <c r="G183" s="400">
        <v>25</v>
      </c>
      <c r="H183" s="400">
        <v>2</v>
      </c>
      <c r="I183" s="400">
        <v>20</v>
      </c>
      <c r="J183" s="479">
        <f t="shared" si="241"/>
        <v>1119.19</v>
      </c>
      <c r="M183" s="735">
        <f>M182</f>
        <v>1741</v>
      </c>
      <c r="N183" s="736">
        <f t="array" ref="N183">MIN(IF($J$84:$J$328&lt;M183+ROUNDUP(N182,0),999999,$J$84:$J$328-M183))</f>
        <v>45</v>
      </c>
      <c r="O183" s="737">
        <f t="shared" si="290"/>
        <v>1</v>
      </c>
      <c r="P183" s="737">
        <f t="shared" si="291"/>
        <v>32</v>
      </c>
      <c r="Q183" s="737">
        <f t="shared" si="292"/>
        <v>2</v>
      </c>
      <c r="R183" s="737">
        <f t="shared" si="293"/>
        <v>25</v>
      </c>
      <c r="S183" s="737"/>
      <c r="T183" s="737">
        <f>T182</f>
        <v>1666</v>
      </c>
      <c r="U183" s="736">
        <f t="array" ref="U183">MIN(IF($J$84:$J$328&lt;T183+ROUNDUP(U182,0),999999,$J$84:$J$328-T183))</f>
        <v>105.8599999999999</v>
      </c>
      <c r="V183" s="737">
        <f t="shared" si="294"/>
        <v>5</v>
      </c>
      <c r="W183" s="737">
        <f t="shared" si="295"/>
        <v>20</v>
      </c>
      <c r="X183" s="737">
        <f t="shared" si="296"/>
        <v>1</v>
      </c>
      <c r="Y183" s="737">
        <f t="shared" si="297"/>
        <v>16</v>
      </c>
      <c r="Z183" s="737"/>
      <c r="AA183" s="737">
        <f>AA182</f>
        <v>0</v>
      </c>
      <c r="AB183" s="736">
        <f t="array" ref="AB183">MIN(IF($J$84:$J$328&lt;AA183+ROUNDUP(AB182,0),999999,$J$84:$J$328-AA183))</f>
        <v>829.38</v>
      </c>
      <c r="AC183" s="737">
        <f t="shared" si="298"/>
        <v>2</v>
      </c>
      <c r="AD183" s="737">
        <f t="shared" si="299"/>
        <v>20</v>
      </c>
      <c r="AE183" s="737">
        <f t="shared" si="300"/>
        <v>1</v>
      </c>
      <c r="AF183" s="738">
        <f t="shared" si="301"/>
        <v>16</v>
      </c>
    </row>
    <row r="184" spans="5:32" ht="13.5" thickBot="1" x14ac:dyDescent="0.25">
      <c r="E184" s="400">
        <v>101</v>
      </c>
      <c r="F184" s="400">
        <v>1</v>
      </c>
      <c r="G184" s="400">
        <v>25</v>
      </c>
      <c r="H184" s="400">
        <v>3</v>
      </c>
      <c r="I184" s="400">
        <v>20</v>
      </c>
      <c r="J184" s="479">
        <f t="shared" si="241"/>
        <v>1433.35</v>
      </c>
    </row>
    <row r="185" spans="5:32" x14ac:dyDescent="0.2">
      <c r="E185" s="400">
        <v>102</v>
      </c>
      <c r="F185" s="400">
        <v>1</v>
      </c>
      <c r="G185" s="400">
        <v>25</v>
      </c>
      <c r="H185" s="400">
        <v>4</v>
      </c>
      <c r="I185" s="400">
        <v>20</v>
      </c>
      <c r="J185" s="479">
        <f t="shared" si="241"/>
        <v>1747.51</v>
      </c>
      <c r="M185" s="731">
        <f>L71</f>
        <v>0</v>
      </c>
      <c r="N185" s="732">
        <f t="array" ref="N185">MIN(IF($J$84:$J$328&lt;M185,999999,$J$84:$J$328-M185))</f>
        <v>515.22</v>
      </c>
      <c r="O185" s="733">
        <f t="shared" ref="O185:O190" si="302">INDEX($F$84:$I$328,MATCH(M185+N185,$J$84:$J$328,0),1)</f>
        <v>1</v>
      </c>
      <c r="P185" s="733">
        <f t="shared" ref="P185:P190" si="303">INDEX($F$84:$I$328,MATCH(M185+N185,$J$84:$J$328,0),2)</f>
        <v>20</v>
      </c>
      <c r="Q185" s="733">
        <f t="shared" ref="Q185:Q190" si="304">INDEX($F$84:$I$328,MATCH(M185+N185,$J$84:$J$328,0),3)</f>
        <v>1</v>
      </c>
      <c r="R185" s="733">
        <f t="shared" ref="R185:R190" si="305">INDEX($F$84:$I$328,MATCH(M185+N185,$J$84:$J$328,0),4)</f>
        <v>16</v>
      </c>
      <c r="S185" s="733"/>
      <c r="T185" s="733">
        <f>L72</f>
        <v>0</v>
      </c>
      <c r="U185" s="732">
        <f t="array" ref="U185">MIN(IF($J$84:$J$328&lt;T185,999999,$J$84:$J$328-T185))</f>
        <v>515.22</v>
      </c>
      <c r="V185" s="733">
        <f t="shared" ref="V185:V190" si="306">INDEX($F$84:$I$328,MATCH(T185+U185,$J$84:$J$328,0),1)</f>
        <v>1</v>
      </c>
      <c r="W185" s="733">
        <f t="shared" ref="W185:W190" si="307">INDEX($F$84:$I$328,MATCH(T185+U185,$J$84:$J$328,0),2)</f>
        <v>20</v>
      </c>
      <c r="X185" s="733">
        <f t="shared" ref="X185:X190" si="308">INDEX($F$84:$I$328,MATCH(T185+U185,$J$84:$J$328,0),3)</f>
        <v>1</v>
      </c>
      <c r="Y185" s="733">
        <f t="shared" ref="Y185:Y190" si="309">INDEX($F$84:$I$328,MATCH(T185+U185,$J$84:$J$328,0),4)</f>
        <v>16</v>
      </c>
      <c r="Z185" s="733"/>
      <c r="AA185" s="733">
        <f>L73</f>
        <v>0</v>
      </c>
      <c r="AB185" s="732">
        <f t="array" ref="AB185">MIN(IF($J$84:$J$328&lt;AA185,999999,$J$84:$J$328-AA185))</f>
        <v>515.22</v>
      </c>
      <c r="AC185" s="733">
        <f t="shared" ref="AC185:AC190" si="310">INDEX($F$84:$I$328,MATCH(AA185+AB185,$J$84:$J$328,0),1)</f>
        <v>1</v>
      </c>
      <c r="AD185" s="733">
        <f t="shared" ref="AD185:AD190" si="311">INDEX($F$84:$I$328,MATCH(AA185+AB185,$J$84:$J$328,0),2)</f>
        <v>20</v>
      </c>
      <c r="AE185" s="733">
        <f t="shared" ref="AE185:AE190" si="312">INDEX($F$84:$I$328,MATCH(AA185+AB185,$J$84:$J$328,0),3)</f>
        <v>1</v>
      </c>
      <c r="AF185" s="734">
        <f t="shared" ref="AF185:AF190" si="313">INDEX($F$84:$I$328,MATCH(AA185+AB185,$J$84:$J$328,0),4)</f>
        <v>16</v>
      </c>
    </row>
    <row r="186" spans="5:32" x14ac:dyDescent="0.2">
      <c r="E186" s="400">
        <v>103</v>
      </c>
      <c r="F186" s="400">
        <v>1</v>
      </c>
      <c r="G186" s="400">
        <v>25</v>
      </c>
      <c r="H186" s="400">
        <v>5</v>
      </c>
      <c r="I186" s="400">
        <v>20</v>
      </c>
      <c r="J186" s="479">
        <f t="shared" si="241"/>
        <v>2061.67</v>
      </c>
      <c r="M186" s="670">
        <f>M185</f>
        <v>0</v>
      </c>
      <c r="N186" s="479">
        <f t="array" ref="N186">MIN(IF($J$84:$J$328&lt;M186+ROUNDUP(N185,0),999999,$J$84:$J$328-M186))</f>
        <v>628.32000000000005</v>
      </c>
      <c r="O186" s="400">
        <f t="shared" si="302"/>
        <v>2</v>
      </c>
      <c r="P186" s="400">
        <f t="shared" si="303"/>
        <v>20</v>
      </c>
      <c r="Q186" s="400">
        <f t="shared" si="304"/>
        <v>0</v>
      </c>
      <c r="R186" s="400">
        <f t="shared" si="305"/>
        <v>16</v>
      </c>
      <c r="T186" s="400">
        <f>T185</f>
        <v>0</v>
      </c>
      <c r="U186" s="479">
        <f t="array" ref="U186">MIN(IF($J$84:$J$328&lt;T186+ROUNDUP(U185,0),999999,$J$84:$J$328-T186))</f>
        <v>628.32000000000005</v>
      </c>
      <c r="V186" s="400">
        <f t="shared" si="306"/>
        <v>2</v>
      </c>
      <c r="W186" s="400">
        <f t="shared" si="307"/>
        <v>20</v>
      </c>
      <c r="X186" s="400">
        <f t="shared" si="308"/>
        <v>0</v>
      </c>
      <c r="Y186" s="400">
        <f t="shared" si="309"/>
        <v>16</v>
      </c>
      <c r="AA186" s="400">
        <f>AA185</f>
        <v>0</v>
      </c>
      <c r="AB186" s="479">
        <f t="array" ref="AB186">MIN(IF($J$84:$J$328&lt;AA186+ROUNDUP(AB185,0),999999,$J$84:$J$328-AA186))</f>
        <v>628.32000000000005</v>
      </c>
      <c r="AC186" s="400">
        <f t="shared" si="310"/>
        <v>2</v>
      </c>
      <c r="AD186" s="400">
        <f t="shared" si="311"/>
        <v>20</v>
      </c>
      <c r="AE186" s="400">
        <f t="shared" si="312"/>
        <v>0</v>
      </c>
      <c r="AF186" s="669">
        <f t="shared" si="313"/>
        <v>16</v>
      </c>
    </row>
    <row r="187" spans="5:32" x14ac:dyDescent="0.2">
      <c r="E187" s="400">
        <v>104</v>
      </c>
      <c r="F187" s="400">
        <v>1</v>
      </c>
      <c r="G187" s="400">
        <v>25</v>
      </c>
      <c r="H187" s="400">
        <v>6</v>
      </c>
      <c r="I187" s="400">
        <v>20</v>
      </c>
      <c r="J187" s="479">
        <f t="shared" si="241"/>
        <v>2375.83</v>
      </c>
      <c r="M187" s="670">
        <f>M186</f>
        <v>0</v>
      </c>
      <c r="N187" s="479">
        <f t="array" ref="N187">MIN(IF($J$84:$J$328&lt;M187+ROUNDUP(N186,0),999999,$J$84:$J$328-M187))</f>
        <v>691.94</v>
      </c>
      <c r="O187" s="400">
        <f t="shared" si="302"/>
        <v>1</v>
      </c>
      <c r="P187" s="400">
        <f t="shared" si="303"/>
        <v>25</v>
      </c>
      <c r="Q187" s="400">
        <f t="shared" si="304"/>
        <v>1</v>
      </c>
      <c r="R187" s="400">
        <f t="shared" si="305"/>
        <v>16</v>
      </c>
      <c r="T187" s="400">
        <f>T186</f>
        <v>0</v>
      </c>
      <c r="U187" s="479">
        <f t="array" ref="U187">MIN(IF($J$84:$J$328&lt;T187+ROUNDUP(U186,0),999999,$J$84:$J$328-T187))</f>
        <v>691.94</v>
      </c>
      <c r="V187" s="400">
        <f t="shared" si="306"/>
        <v>1</v>
      </c>
      <c r="W187" s="400">
        <f t="shared" si="307"/>
        <v>25</v>
      </c>
      <c r="X187" s="400">
        <f t="shared" si="308"/>
        <v>1</v>
      </c>
      <c r="Y187" s="400">
        <f t="shared" si="309"/>
        <v>16</v>
      </c>
      <c r="AA187" s="400">
        <f>AA186</f>
        <v>0</v>
      </c>
      <c r="AB187" s="479">
        <f t="array" ref="AB187">MIN(IF($J$84:$J$328&lt;AA187+ROUNDUP(AB186,0),999999,$J$84:$J$328-AA187))</f>
        <v>691.94</v>
      </c>
      <c r="AC187" s="400">
        <f t="shared" si="310"/>
        <v>1</v>
      </c>
      <c r="AD187" s="400">
        <f t="shared" si="311"/>
        <v>25</v>
      </c>
      <c r="AE187" s="400">
        <f t="shared" si="312"/>
        <v>1</v>
      </c>
      <c r="AF187" s="669">
        <f t="shared" si="313"/>
        <v>16</v>
      </c>
    </row>
    <row r="188" spans="5:32" x14ac:dyDescent="0.2">
      <c r="E188" s="400">
        <v>105</v>
      </c>
      <c r="F188" s="400">
        <v>1</v>
      </c>
      <c r="G188" s="400">
        <v>25</v>
      </c>
      <c r="H188" s="400">
        <v>7</v>
      </c>
      <c r="I188" s="400">
        <v>20</v>
      </c>
      <c r="J188" s="479">
        <f t="shared" si="241"/>
        <v>2689.99</v>
      </c>
      <c r="M188" s="670">
        <f>M187</f>
        <v>0</v>
      </c>
      <c r="N188" s="479">
        <f t="array" ref="N188">MIN(IF($J$84:$J$328&lt;M188+ROUNDUP(N187,0),999999,$J$84:$J$328-M188))</f>
        <v>716.28</v>
      </c>
      <c r="O188" s="400">
        <f t="shared" si="302"/>
        <v>1</v>
      </c>
      <c r="P188" s="400">
        <f t="shared" si="303"/>
        <v>20</v>
      </c>
      <c r="Q188" s="400">
        <f t="shared" si="304"/>
        <v>2</v>
      </c>
      <c r="R188" s="400">
        <f t="shared" si="305"/>
        <v>16</v>
      </c>
      <c r="T188" s="400">
        <f>T187</f>
        <v>0</v>
      </c>
      <c r="U188" s="479">
        <f t="array" ref="U188">MIN(IF($J$84:$J$328&lt;T188+ROUNDUP(U187,0),999999,$J$84:$J$328-T188))</f>
        <v>716.28</v>
      </c>
      <c r="V188" s="400">
        <f t="shared" si="306"/>
        <v>1</v>
      </c>
      <c r="W188" s="400">
        <f t="shared" si="307"/>
        <v>20</v>
      </c>
      <c r="X188" s="400">
        <f t="shared" si="308"/>
        <v>2</v>
      </c>
      <c r="Y188" s="400">
        <f t="shared" si="309"/>
        <v>16</v>
      </c>
      <c r="AA188" s="400">
        <f>AA187</f>
        <v>0</v>
      </c>
      <c r="AB188" s="479">
        <f t="array" ref="AB188">MIN(IF($J$84:$J$328&lt;AA188+ROUNDUP(AB187,0),999999,$J$84:$J$328-AA188))</f>
        <v>716.28</v>
      </c>
      <c r="AC188" s="400">
        <f t="shared" si="310"/>
        <v>1</v>
      </c>
      <c r="AD188" s="400">
        <f t="shared" si="311"/>
        <v>20</v>
      </c>
      <c r="AE188" s="400">
        <f t="shared" si="312"/>
        <v>2</v>
      </c>
      <c r="AF188" s="669">
        <f t="shared" si="313"/>
        <v>16</v>
      </c>
    </row>
    <row r="189" spans="5:32" x14ac:dyDescent="0.2">
      <c r="E189" s="400">
        <v>106</v>
      </c>
      <c r="F189" s="400">
        <v>2</v>
      </c>
      <c r="G189" s="400">
        <v>25</v>
      </c>
      <c r="H189" s="400">
        <v>0</v>
      </c>
      <c r="I189" s="400">
        <v>20</v>
      </c>
      <c r="J189" s="479">
        <f t="shared" si="241"/>
        <v>981.75</v>
      </c>
      <c r="M189" s="670">
        <f>M188</f>
        <v>0</v>
      </c>
      <c r="N189" s="479">
        <f t="array" ref="N189">MIN(IF($J$84:$J$328&lt;M189+ROUNDUP(N188,0),999999,$J$84:$J$328-M189))</f>
        <v>805.03</v>
      </c>
      <c r="O189" s="400">
        <f t="shared" si="302"/>
        <v>1</v>
      </c>
      <c r="P189" s="400">
        <f t="shared" si="303"/>
        <v>25</v>
      </c>
      <c r="Q189" s="400">
        <f t="shared" si="304"/>
        <v>1</v>
      </c>
      <c r="R189" s="400">
        <f t="shared" si="305"/>
        <v>20</v>
      </c>
      <c r="T189" s="400">
        <f>T188</f>
        <v>0</v>
      </c>
      <c r="U189" s="479">
        <f t="array" ref="U189">MIN(IF($J$84:$J$328&lt;T189+ROUNDUP(U188,0),999999,$J$84:$J$328-T189))</f>
        <v>805.03</v>
      </c>
      <c r="V189" s="400">
        <f t="shared" si="306"/>
        <v>1</v>
      </c>
      <c r="W189" s="400">
        <f t="shared" si="307"/>
        <v>25</v>
      </c>
      <c r="X189" s="400">
        <f t="shared" si="308"/>
        <v>1</v>
      </c>
      <c r="Y189" s="400">
        <f t="shared" si="309"/>
        <v>20</v>
      </c>
      <c r="AA189" s="400">
        <f>AA188</f>
        <v>0</v>
      </c>
      <c r="AB189" s="479">
        <f t="array" ref="AB189">MIN(IF($J$84:$J$328&lt;AA189+ROUNDUP(AB188,0),999999,$J$84:$J$328-AA189))</f>
        <v>805.03</v>
      </c>
      <c r="AC189" s="400">
        <f t="shared" si="310"/>
        <v>1</v>
      </c>
      <c r="AD189" s="400">
        <f t="shared" si="311"/>
        <v>25</v>
      </c>
      <c r="AE189" s="400">
        <f t="shared" si="312"/>
        <v>1</v>
      </c>
      <c r="AF189" s="669">
        <f t="shared" si="313"/>
        <v>20</v>
      </c>
    </row>
    <row r="190" spans="5:32" ht="13.5" thickBot="1" x14ac:dyDescent="0.25">
      <c r="E190" s="400">
        <v>107</v>
      </c>
      <c r="F190" s="400">
        <v>2</v>
      </c>
      <c r="G190" s="400">
        <v>25</v>
      </c>
      <c r="H190" s="400">
        <v>1</v>
      </c>
      <c r="I190" s="400">
        <v>20</v>
      </c>
      <c r="J190" s="479">
        <f t="shared" si="241"/>
        <v>1295.9100000000001</v>
      </c>
      <c r="M190" s="735">
        <f>M189</f>
        <v>0</v>
      </c>
      <c r="N190" s="736">
        <f t="array" ref="N190">MIN(IF($J$84:$J$328&lt;M190+ROUNDUP(N189,0),999999,$J$84:$J$328-M190))</f>
        <v>829.38</v>
      </c>
      <c r="O190" s="737">
        <f t="shared" si="302"/>
        <v>2</v>
      </c>
      <c r="P190" s="737">
        <f t="shared" si="303"/>
        <v>20</v>
      </c>
      <c r="Q190" s="737">
        <f t="shared" si="304"/>
        <v>1</v>
      </c>
      <c r="R190" s="737">
        <f t="shared" si="305"/>
        <v>16</v>
      </c>
      <c r="S190" s="737"/>
      <c r="T190" s="737">
        <f>T189</f>
        <v>0</v>
      </c>
      <c r="U190" s="736">
        <f t="array" ref="U190">MIN(IF($J$84:$J$328&lt;T190+ROUNDUP(U189,0),999999,$J$84:$J$328-T190))</f>
        <v>829.38</v>
      </c>
      <c r="V190" s="737">
        <f t="shared" si="306"/>
        <v>2</v>
      </c>
      <c r="W190" s="737">
        <f t="shared" si="307"/>
        <v>20</v>
      </c>
      <c r="X190" s="737">
        <f t="shared" si="308"/>
        <v>1</v>
      </c>
      <c r="Y190" s="737">
        <f t="shared" si="309"/>
        <v>16</v>
      </c>
      <c r="Z190" s="737"/>
      <c r="AA190" s="737">
        <f>AA189</f>
        <v>0</v>
      </c>
      <c r="AB190" s="736">
        <f t="array" ref="AB190">MIN(IF($J$84:$J$328&lt;AA190+ROUNDUP(AB189,0),999999,$J$84:$J$328-AA190))</f>
        <v>829.38</v>
      </c>
      <c r="AC190" s="737">
        <f t="shared" si="310"/>
        <v>2</v>
      </c>
      <c r="AD190" s="737">
        <f t="shared" si="311"/>
        <v>20</v>
      </c>
      <c r="AE190" s="737">
        <f t="shared" si="312"/>
        <v>1</v>
      </c>
      <c r="AF190" s="738">
        <f t="shared" si="313"/>
        <v>16</v>
      </c>
    </row>
    <row r="191" spans="5:32" ht="13.5" thickBot="1" x14ac:dyDescent="0.25">
      <c r="E191" s="400">
        <v>108</v>
      </c>
      <c r="F191" s="400">
        <v>2</v>
      </c>
      <c r="G191" s="400">
        <v>25</v>
      </c>
      <c r="H191" s="400">
        <v>2</v>
      </c>
      <c r="I191" s="400">
        <v>20</v>
      </c>
      <c r="J191" s="479">
        <f t="shared" si="241"/>
        <v>1610.07</v>
      </c>
    </row>
    <row r="192" spans="5:32" x14ac:dyDescent="0.2">
      <c r="E192" s="400">
        <v>109</v>
      </c>
      <c r="F192" s="400">
        <v>2</v>
      </c>
      <c r="G192" s="400">
        <v>25</v>
      </c>
      <c r="H192" s="400">
        <v>3</v>
      </c>
      <c r="I192" s="400">
        <v>20</v>
      </c>
      <c r="J192" s="479">
        <f t="shared" si="241"/>
        <v>1924.23</v>
      </c>
      <c r="M192" s="739">
        <f>L74</f>
        <v>0</v>
      </c>
      <c r="N192" s="732">
        <f t="array" ref="N192">MIN(IF($J$84:$J$328&lt;M192,999999,$J$84:$J$328-M192))</f>
        <v>515.22</v>
      </c>
      <c r="O192" s="733">
        <f t="shared" ref="O192:O197" si="314">INDEX($F$84:$I$328,MATCH(M192+N192,$J$84:$J$328,0),1)</f>
        <v>1</v>
      </c>
      <c r="P192" s="733">
        <f t="shared" ref="P192:P197" si="315">INDEX($F$84:$I$328,MATCH(M192+N192,$J$84:$J$328,0),2)</f>
        <v>20</v>
      </c>
      <c r="Q192" s="733">
        <f t="shared" ref="Q192:Q197" si="316">INDEX($F$84:$I$328,MATCH(M192+N192,$J$84:$J$328,0),3)</f>
        <v>1</v>
      </c>
      <c r="R192" s="733">
        <f t="shared" ref="R192:R197" si="317">INDEX($F$84:$I$328,MATCH(M192+N192,$J$84:$J$328,0),4)</f>
        <v>16</v>
      </c>
      <c r="S192" s="733"/>
      <c r="T192" s="733">
        <f>L75</f>
        <v>0</v>
      </c>
      <c r="U192" s="732">
        <f t="array" ref="U192">MIN(IF($J$84:$J$328&lt;T192,999999,$J$84:$J$328-T192))</f>
        <v>515.22</v>
      </c>
      <c r="V192" s="733">
        <f t="shared" ref="V192:V197" si="318">INDEX($F$84:$I$328,MATCH(T192+U192,$J$84:$J$328,0),1)</f>
        <v>1</v>
      </c>
      <c r="W192" s="733">
        <f t="shared" ref="W192:W197" si="319">INDEX($F$84:$I$328,MATCH(T192+U192,$J$84:$J$328,0),2)</f>
        <v>20</v>
      </c>
      <c r="X192" s="733">
        <f t="shared" ref="X192:X197" si="320">INDEX($F$84:$I$328,MATCH(T192+U192,$J$84:$J$328,0),3)</f>
        <v>1</v>
      </c>
      <c r="Y192" s="733">
        <f t="shared" ref="Y192:Y197" si="321">INDEX($F$84:$I$328,MATCH(T192+U192,$J$84:$J$328,0),4)</f>
        <v>16</v>
      </c>
      <c r="Z192" s="733"/>
      <c r="AA192" s="732">
        <f>L76</f>
        <v>0</v>
      </c>
      <c r="AB192" s="732">
        <f t="array" ref="AB192">MIN(IF($J$84:$J$328&lt;AA192,999999,$J$84:$J$328-AA192))</f>
        <v>515.22</v>
      </c>
      <c r="AC192" s="733">
        <f t="shared" ref="AC192:AC197" si="322">INDEX($F$84:$I$328,MATCH(AA192+AB192,$J$84:$J$328,0),1)</f>
        <v>1</v>
      </c>
      <c r="AD192" s="733">
        <f t="shared" ref="AD192:AD197" si="323">INDEX($F$84:$I$328,MATCH(AA192+AB192,$J$84:$J$328,0),2)</f>
        <v>20</v>
      </c>
      <c r="AE192" s="733">
        <f t="shared" ref="AE192:AE197" si="324">INDEX($F$84:$I$328,MATCH(AA192+AB192,$J$84:$J$328,0),3)</f>
        <v>1</v>
      </c>
      <c r="AF192" s="734">
        <f t="shared" ref="AF192:AF197" si="325">INDEX($F$84:$I$328,MATCH(AA192+AB192,$J$84:$J$328,0),4)</f>
        <v>16</v>
      </c>
    </row>
    <row r="193" spans="5:32" x14ac:dyDescent="0.2">
      <c r="E193" s="400">
        <v>110</v>
      </c>
      <c r="F193" s="400">
        <v>2</v>
      </c>
      <c r="G193" s="400">
        <v>25</v>
      </c>
      <c r="H193" s="400">
        <v>4</v>
      </c>
      <c r="I193" s="400">
        <v>20</v>
      </c>
      <c r="J193" s="479">
        <f t="shared" si="241"/>
        <v>2238.38</v>
      </c>
      <c r="M193" s="670">
        <f>M192</f>
        <v>0</v>
      </c>
      <c r="N193" s="479">
        <f t="array" ref="N193">MIN(IF($J$84:$J$328&lt;M193+ROUNDUP(N192,0),999999,$J$84:$J$328-M193))</f>
        <v>628.32000000000005</v>
      </c>
      <c r="O193" s="400">
        <f t="shared" si="314"/>
        <v>2</v>
      </c>
      <c r="P193" s="400">
        <f t="shared" si="315"/>
        <v>20</v>
      </c>
      <c r="Q193" s="400">
        <f t="shared" si="316"/>
        <v>0</v>
      </c>
      <c r="R193" s="400">
        <f t="shared" si="317"/>
        <v>16</v>
      </c>
      <c r="T193" s="400">
        <f>T192</f>
        <v>0</v>
      </c>
      <c r="U193" s="479">
        <f t="array" ref="U193">MIN(IF($J$84:$J$328&lt;T193+ROUNDUP(U192,0),999999,$J$84:$J$328-T193))</f>
        <v>628.32000000000005</v>
      </c>
      <c r="V193" s="400">
        <f t="shared" si="318"/>
        <v>2</v>
      </c>
      <c r="W193" s="400">
        <f t="shared" si="319"/>
        <v>20</v>
      </c>
      <c r="X193" s="400">
        <f t="shared" si="320"/>
        <v>0</v>
      </c>
      <c r="Y193" s="400">
        <f t="shared" si="321"/>
        <v>16</v>
      </c>
      <c r="AA193" s="400">
        <f>AA192</f>
        <v>0</v>
      </c>
      <c r="AB193" s="479">
        <f t="array" ref="AB193">MIN(IF($J$84:$J$328&lt;AA193+ROUNDUP(AB192,0),999999,$J$84:$J$328-AA193))</f>
        <v>628.32000000000005</v>
      </c>
      <c r="AC193" s="400">
        <f t="shared" si="322"/>
        <v>2</v>
      </c>
      <c r="AD193" s="400">
        <f t="shared" si="323"/>
        <v>20</v>
      </c>
      <c r="AE193" s="400">
        <f t="shared" si="324"/>
        <v>0</v>
      </c>
      <c r="AF193" s="669">
        <f t="shared" si="325"/>
        <v>16</v>
      </c>
    </row>
    <row r="194" spans="5:32" x14ac:dyDescent="0.2">
      <c r="E194" s="400">
        <v>111</v>
      </c>
      <c r="F194" s="400">
        <v>2</v>
      </c>
      <c r="G194" s="400">
        <v>25</v>
      </c>
      <c r="H194" s="400">
        <v>5</v>
      </c>
      <c r="I194" s="400">
        <v>20</v>
      </c>
      <c r="J194" s="479">
        <f t="shared" si="241"/>
        <v>2552.54</v>
      </c>
      <c r="M194" s="670">
        <f>M193</f>
        <v>0</v>
      </c>
      <c r="N194" s="479">
        <f t="array" ref="N194">MIN(IF($J$84:$J$328&lt;M194+ROUNDUP(N193,0),999999,$J$84:$J$328-M194))</f>
        <v>691.94</v>
      </c>
      <c r="O194" s="400">
        <f t="shared" si="314"/>
        <v>1</v>
      </c>
      <c r="P194" s="400">
        <f t="shared" si="315"/>
        <v>25</v>
      </c>
      <c r="Q194" s="400">
        <f t="shared" si="316"/>
        <v>1</v>
      </c>
      <c r="R194" s="400">
        <f t="shared" si="317"/>
        <v>16</v>
      </c>
      <c r="T194" s="400">
        <f>T193</f>
        <v>0</v>
      </c>
      <c r="U194" s="479">
        <f t="array" ref="U194">MIN(IF($J$84:$J$328&lt;T194+ROUNDUP(U193,0),999999,$J$84:$J$328-T194))</f>
        <v>691.94</v>
      </c>
      <c r="V194" s="400">
        <f t="shared" si="318"/>
        <v>1</v>
      </c>
      <c r="W194" s="400">
        <f t="shared" si="319"/>
        <v>25</v>
      </c>
      <c r="X194" s="400">
        <f t="shared" si="320"/>
        <v>1</v>
      </c>
      <c r="Y194" s="400">
        <f t="shared" si="321"/>
        <v>16</v>
      </c>
      <c r="AA194" s="400">
        <f>AA193</f>
        <v>0</v>
      </c>
      <c r="AB194" s="479">
        <f t="array" ref="AB194">MIN(IF($J$84:$J$328&lt;AA194+ROUNDUP(AB193,0),999999,$J$84:$J$328-AA194))</f>
        <v>691.94</v>
      </c>
      <c r="AC194" s="400">
        <f t="shared" si="322"/>
        <v>1</v>
      </c>
      <c r="AD194" s="400">
        <f t="shared" si="323"/>
        <v>25</v>
      </c>
      <c r="AE194" s="400">
        <f t="shared" si="324"/>
        <v>1</v>
      </c>
      <c r="AF194" s="669">
        <f t="shared" si="325"/>
        <v>16</v>
      </c>
    </row>
    <row r="195" spans="5:32" x14ac:dyDescent="0.2">
      <c r="E195" s="400">
        <v>112</v>
      </c>
      <c r="F195" s="400">
        <v>2</v>
      </c>
      <c r="G195" s="400">
        <v>25</v>
      </c>
      <c r="H195" s="400">
        <v>6</v>
      </c>
      <c r="I195" s="400">
        <v>20</v>
      </c>
      <c r="J195" s="479">
        <f t="shared" si="241"/>
        <v>2866.7</v>
      </c>
      <c r="M195" s="670">
        <f>M194</f>
        <v>0</v>
      </c>
      <c r="N195" s="479">
        <f t="array" ref="N195">MIN(IF($J$84:$J$328&lt;M195+ROUNDUP(N194,0),999999,$J$84:$J$328-M195))</f>
        <v>716.28</v>
      </c>
      <c r="O195" s="400">
        <f t="shared" si="314"/>
        <v>1</v>
      </c>
      <c r="P195" s="400">
        <f t="shared" si="315"/>
        <v>20</v>
      </c>
      <c r="Q195" s="400">
        <f t="shared" si="316"/>
        <v>2</v>
      </c>
      <c r="R195" s="400">
        <f t="shared" si="317"/>
        <v>16</v>
      </c>
      <c r="T195" s="400">
        <f>T194</f>
        <v>0</v>
      </c>
      <c r="U195" s="479">
        <f t="array" ref="U195">MIN(IF($J$84:$J$328&lt;T195+ROUNDUP(U194,0),999999,$J$84:$J$328-T195))</f>
        <v>716.28</v>
      </c>
      <c r="V195" s="400">
        <f t="shared" si="318"/>
        <v>1</v>
      </c>
      <c r="W195" s="400">
        <f t="shared" si="319"/>
        <v>20</v>
      </c>
      <c r="X195" s="400">
        <f t="shared" si="320"/>
        <v>2</v>
      </c>
      <c r="Y195" s="400">
        <f t="shared" si="321"/>
        <v>16</v>
      </c>
      <c r="AA195" s="400">
        <f>AA194</f>
        <v>0</v>
      </c>
      <c r="AB195" s="479">
        <f t="array" ref="AB195">MIN(IF($J$84:$J$328&lt;AA195+ROUNDUP(AB194,0),999999,$J$84:$J$328-AA195))</f>
        <v>716.28</v>
      </c>
      <c r="AC195" s="400">
        <f t="shared" si="322"/>
        <v>1</v>
      </c>
      <c r="AD195" s="400">
        <f t="shared" si="323"/>
        <v>20</v>
      </c>
      <c r="AE195" s="400">
        <f t="shared" si="324"/>
        <v>2</v>
      </c>
      <c r="AF195" s="669">
        <f t="shared" si="325"/>
        <v>16</v>
      </c>
    </row>
    <row r="196" spans="5:32" x14ac:dyDescent="0.2">
      <c r="E196" s="400">
        <v>113</v>
      </c>
      <c r="F196" s="400">
        <v>3</v>
      </c>
      <c r="G196" s="400">
        <v>25</v>
      </c>
      <c r="H196" s="400">
        <v>0</v>
      </c>
      <c r="I196" s="400">
        <v>20</v>
      </c>
      <c r="J196" s="479">
        <f t="shared" si="241"/>
        <v>1472.62</v>
      </c>
      <c r="M196" s="670">
        <f>M195</f>
        <v>0</v>
      </c>
      <c r="N196" s="479">
        <f t="array" ref="N196">MIN(IF($J$84:$J$328&lt;M196+ROUNDUP(N195,0),999999,$J$84:$J$328-M196))</f>
        <v>805.03</v>
      </c>
      <c r="O196" s="400">
        <f t="shared" si="314"/>
        <v>1</v>
      </c>
      <c r="P196" s="400">
        <f t="shared" si="315"/>
        <v>25</v>
      </c>
      <c r="Q196" s="400">
        <f t="shared" si="316"/>
        <v>1</v>
      </c>
      <c r="R196" s="400">
        <f t="shared" si="317"/>
        <v>20</v>
      </c>
      <c r="T196" s="400">
        <f>T195</f>
        <v>0</v>
      </c>
      <c r="U196" s="479">
        <f t="array" ref="U196">MIN(IF($J$84:$J$328&lt;T196+ROUNDUP(U195,0),999999,$J$84:$J$328-T196))</f>
        <v>805.03</v>
      </c>
      <c r="V196" s="400">
        <f t="shared" si="318"/>
        <v>1</v>
      </c>
      <c r="W196" s="400">
        <f t="shared" si="319"/>
        <v>25</v>
      </c>
      <c r="X196" s="400">
        <f t="shared" si="320"/>
        <v>1</v>
      </c>
      <c r="Y196" s="400">
        <f t="shared" si="321"/>
        <v>20</v>
      </c>
      <c r="AA196" s="400">
        <f>AA195</f>
        <v>0</v>
      </c>
      <c r="AB196" s="479">
        <f t="array" ref="AB196">MIN(IF($J$84:$J$328&lt;AA196+ROUNDUP(AB195,0),999999,$J$84:$J$328-AA196))</f>
        <v>805.03</v>
      </c>
      <c r="AC196" s="400">
        <f t="shared" si="322"/>
        <v>1</v>
      </c>
      <c r="AD196" s="400">
        <f t="shared" si="323"/>
        <v>25</v>
      </c>
      <c r="AE196" s="400">
        <f t="shared" si="324"/>
        <v>1</v>
      </c>
      <c r="AF196" s="669">
        <f t="shared" si="325"/>
        <v>20</v>
      </c>
    </row>
    <row r="197" spans="5:32" ht="13.5" thickBot="1" x14ac:dyDescent="0.25">
      <c r="E197" s="400">
        <v>114</v>
      </c>
      <c r="F197" s="400">
        <v>3</v>
      </c>
      <c r="G197" s="400">
        <v>25</v>
      </c>
      <c r="H197" s="400">
        <v>1</v>
      </c>
      <c r="I197" s="400">
        <v>20</v>
      </c>
      <c r="J197" s="479">
        <f t="shared" si="241"/>
        <v>1786.78</v>
      </c>
      <c r="M197" s="735">
        <f>M196</f>
        <v>0</v>
      </c>
      <c r="N197" s="736">
        <f t="array" ref="N197">MIN(IF($J$84:$J$328&lt;M197+ROUNDUP(N196,0),999999,$J$84:$J$328-M197))</f>
        <v>829.38</v>
      </c>
      <c r="O197" s="737">
        <f t="shared" si="314"/>
        <v>2</v>
      </c>
      <c r="P197" s="737">
        <f t="shared" si="315"/>
        <v>20</v>
      </c>
      <c r="Q197" s="737">
        <f t="shared" si="316"/>
        <v>1</v>
      </c>
      <c r="R197" s="737">
        <f t="shared" si="317"/>
        <v>16</v>
      </c>
      <c r="S197" s="737"/>
      <c r="T197" s="737">
        <f>T196</f>
        <v>0</v>
      </c>
      <c r="U197" s="736">
        <f t="array" ref="U197">MIN(IF($J$84:$J$328&lt;T197+ROUNDUP(U196,0),999999,$J$84:$J$328-T197))</f>
        <v>829.38</v>
      </c>
      <c r="V197" s="737">
        <f t="shared" si="318"/>
        <v>2</v>
      </c>
      <c r="W197" s="737">
        <f t="shared" si="319"/>
        <v>20</v>
      </c>
      <c r="X197" s="737">
        <f t="shared" si="320"/>
        <v>1</v>
      </c>
      <c r="Y197" s="737">
        <f t="shared" si="321"/>
        <v>16</v>
      </c>
      <c r="Z197" s="737"/>
      <c r="AA197" s="737">
        <f>AA196</f>
        <v>0</v>
      </c>
      <c r="AB197" s="736">
        <f t="array" ref="AB197">MIN(IF($J$84:$J$328&lt;AA197+ROUNDUP(AB196,0),999999,$J$84:$J$328-AA197))</f>
        <v>829.38</v>
      </c>
      <c r="AC197" s="737">
        <f t="shared" si="322"/>
        <v>2</v>
      </c>
      <c r="AD197" s="737">
        <f t="shared" si="323"/>
        <v>20</v>
      </c>
      <c r="AE197" s="737">
        <f t="shared" si="324"/>
        <v>1</v>
      </c>
      <c r="AF197" s="738">
        <f t="shared" si="325"/>
        <v>16</v>
      </c>
    </row>
    <row r="198" spans="5:32" x14ac:dyDescent="0.2">
      <c r="E198" s="400">
        <v>115</v>
      </c>
      <c r="F198" s="400">
        <v>3</v>
      </c>
      <c r="G198" s="400">
        <v>25</v>
      </c>
      <c r="H198" s="400">
        <v>2</v>
      </c>
      <c r="I198" s="400">
        <v>20</v>
      </c>
      <c r="J198" s="479">
        <f t="shared" si="241"/>
        <v>2100.94</v>
      </c>
    </row>
    <row r="199" spans="5:32" x14ac:dyDescent="0.2">
      <c r="E199" s="400">
        <v>116</v>
      </c>
      <c r="F199" s="400">
        <v>3</v>
      </c>
      <c r="G199" s="400">
        <v>25</v>
      </c>
      <c r="H199" s="400">
        <v>3</v>
      </c>
      <c r="I199" s="400">
        <v>20</v>
      </c>
      <c r="J199" s="479">
        <f t="shared" si="241"/>
        <v>2415.1</v>
      </c>
    </row>
    <row r="200" spans="5:32" x14ac:dyDescent="0.2">
      <c r="E200" s="400">
        <v>117</v>
      </c>
      <c r="F200" s="400">
        <v>3</v>
      </c>
      <c r="G200" s="400">
        <v>25</v>
      </c>
      <c r="H200" s="400">
        <v>4</v>
      </c>
      <c r="I200" s="400">
        <v>20</v>
      </c>
      <c r="J200" s="479">
        <f t="shared" si="241"/>
        <v>2729.26</v>
      </c>
    </row>
    <row r="201" spans="5:32" x14ac:dyDescent="0.2">
      <c r="E201" s="400">
        <v>118</v>
      </c>
      <c r="F201" s="400">
        <v>3</v>
      </c>
      <c r="G201" s="400">
        <v>25</v>
      </c>
      <c r="H201" s="400">
        <v>5</v>
      </c>
      <c r="I201" s="400">
        <v>20</v>
      </c>
      <c r="J201" s="479">
        <f t="shared" si="241"/>
        <v>3043.42</v>
      </c>
    </row>
    <row r="202" spans="5:32" x14ac:dyDescent="0.2">
      <c r="E202" s="400">
        <v>119</v>
      </c>
      <c r="F202" s="400">
        <v>3</v>
      </c>
      <c r="G202" s="400">
        <v>25</v>
      </c>
      <c r="H202" s="400">
        <v>6</v>
      </c>
      <c r="I202" s="400">
        <v>20</v>
      </c>
      <c r="J202" s="479">
        <f t="shared" si="241"/>
        <v>3357.58</v>
      </c>
    </row>
    <row r="203" spans="5:32" x14ac:dyDescent="0.2">
      <c r="E203" s="400">
        <v>120</v>
      </c>
      <c r="F203" s="400">
        <v>4</v>
      </c>
      <c r="G203" s="400">
        <v>25</v>
      </c>
      <c r="H203" s="400">
        <v>0</v>
      </c>
      <c r="I203" s="400">
        <v>20</v>
      </c>
      <c r="J203" s="479">
        <f t="shared" si="241"/>
        <v>1963.5</v>
      </c>
    </row>
    <row r="204" spans="5:32" x14ac:dyDescent="0.2">
      <c r="E204" s="400">
        <v>121</v>
      </c>
      <c r="F204" s="400">
        <v>4</v>
      </c>
      <c r="G204" s="400">
        <v>25</v>
      </c>
      <c r="H204" s="400">
        <v>1</v>
      </c>
      <c r="I204" s="400">
        <v>20</v>
      </c>
      <c r="J204" s="479">
        <f t="shared" si="241"/>
        <v>2277.65</v>
      </c>
    </row>
    <row r="205" spans="5:32" x14ac:dyDescent="0.2">
      <c r="E205" s="400">
        <v>122</v>
      </c>
      <c r="F205" s="400">
        <v>4</v>
      </c>
      <c r="G205" s="400">
        <v>25</v>
      </c>
      <c r="H205" s="400">
        <v>2</v>
      </c>
      <c r="I205" s="400">
        <v>20</v>
      </c>
      <c r="J205" s="479">
        <f t="shared" si="241"/>
        <v>2591.81</v>
      </c>
    </row>
    <row r="206" spans="5:32" x14ac:dyDescent="0.2">
      <c r="E206" s="400">
        <v>123</v>
      </c>
      <c r="F206" s="400">
        <v>4</v>
      </c>
      <c r="G206" s="400">
        <v>25</v>
      </c>
      <c r="H206" s="400">
        <v>3</v>
      </c>
      <c r="I206" s="400">
        <v>20</v>
      </c>
      <c r="J206" s="479">
        <f t="shared" si="241"/>
        <v>2905.97</v>
      </c>
    </row>
    <row r="207" spans="5:32" x14ac:dyDescent="0.2">
      <c r="E207" s="400">
        <v>124</v>
      </c>
      <c r="F207" s="400">
        <v>4</v>
      </c>
      <c r="G207" s="400">
        <v>25</v>
      </c>
      <c r="H207" s="400">
        <v>4</v>
      </c>
      <c r="I207" s="400">
        <v>20</v>
      </c>
      <c r="J207" s="479">
        <f t="shared" si="241"/>
        <v>3220.13</v>
      </c>
    </row>
    <row r="208" spans="5:32" x14ac:dyDescent="0.2">
      <c r="E208" s="400">
        <v>125</v>
      </c>
      <c r="F208" s="400">
        <v>4</v>
      </c>
      <c r="G208" s="400">
        <v>25</v>
      </c>
      <c r="H208" s="400">
        <v>5</v>
      </c>
      <c r="I208" s="400">
        <v>20</v>
      </c>
      <c r="J208" s="479">
        <f t="shared" si="241"/>
        <v>3534.29</v>
      </c>
    </row>
    <row r="209" spans="5:10" x14ac:dyDescent="0.2">
      <c r="E209" s="400">
        <v>126</v>
      </c>
      <c r="F209" s="400">
        <v>4</v>
      </c>
      <c r="G209" s="400">
        <v>25</v>
      </c>
      <c r="H209" s="400">
        <v>6</v>
      </c>
      <c r="I209" s="400">
        <v>20</v>
      </c>
      <c r="J209" s="479">
        <f t="shared" si="241"/>
        <v>3848.45</v>
      </c>
    </row>
    <row r="210" spans="5:10" x14ac:dyDescent="0.2">
      <c r="E210" s="400">
        <v>127</v>
      </c>
      <c r="F210" s="400">
        <v>5</v>
      </c>
      <c r="G210" s="400">
        <v>25</v>
      </c>
      <c r="H210" s="400">
        <v>0</v>
      </c>
      <c r="I210" s="400">
        <v>20</v>
      </c>
      <c r="J210" s="479">
        <f t="shared" si="241"/>
        <v>2454.37</v>
      </c>
    </row>
    <row r="211" spans="5:10" x14ac:dyDescent="0.2">
      <c r="E211" s="400">
        <v>128</v>
      </c>
      <c r="F211" s="400">
        <v>5</v>
      </c>
      <c r="G211" s="400">
        <v>25</v>
      </c>
      <c r="H211" s="400">
        <v>1</v>
      </c>
      <c r="I211" s="400">
        <v>20</v>
      </c>
      <c r="J211" s="479">
        <f t="shared" si="241"/>
        <v>2768.53</v>
      </c>
    </row>
    <row r="212" spans="5:10" x14ac:dyDescent="0.2">
      <c r="E212" s="400">
        <v>129</v>
      </c>
      <c r="F212" s="400">
        <v>5</v>
      </c>
      <c r="G212" s="400">
        <v>25</v>
      </c>
      <c r="H212" s="400">
        <v>2</v>
      </c>
      <c r="I212" s="400">
        <v>20</v>
      </c>
      <c r="J212" s="479">
        <f t="shared" ref="J212:J275" si="326">ROUND(PI()/4*(F212*G212^2+H212*I212^2),2)</f>
        <v>3082.69</v>
      </c>
    </row>
    <row r="213" spans="5:10" x14ac:dyDescent="0.2">
      <c r="E213" s="400">
        <v>130</v>
      </c>
      <c r="F213" s="400">
        <v>5</v>
      </c>
      <c r="G213" s="400">
        <v>25</v>
      </c>
      <c r="H213" s="400">
        <v>3</v>
      </c>
      <c r="I213" s="400">
        <v>20</v>
      </c>
      <c r="J213" s="479">
        <f t="shared" si="326"/>
        <v>3396.85</v>
      </c>
    </row>
    <row r="214" spans="5:10" x14ac:dyDescent="0.2">
      <c r="E214" s="400">
        <v>131</v>
      </c>
      <c r="F214" s="400">
        <v>5</v>
      </c>
      <c r="G214" s="400">
        <v>25</v>
      </c>
      <c r="H214" s="400">
        <v>4</v>
      </c>
      <c r="I214" s="400">
        <v>20</v>
      </c>
      <c r="J214" s="479">
        <f t="shared" si="326"/>
        <v>3711.01</v>
      </c>
    </row>
    <row r="215" spans="5:10" x14ac:dyDescent="0.2">
      <c r="E215" s="400">
        <v>132</v>
      </c>
      <c r="F215" s="400">
        <v>5</v>
      </c>
      <c r="G215" s="400">
        <v>25</v>
      </c>
      <c r="H215" s="400">
        <v>5</v>
      </c>
      <c r="I215" s="400">
        <v>20</v>
      </c>
      <c r="J215" s="479">
        <f t="shared" si="326"/>
        <v>4025.17</v>
      </c>
    </row>
    <row r="216" spans="5:10" x14ac:dyDescent="0.2">
      <c r="E216" s="400">
        <v>133</v>
      </c>
      <c r="F216" s="400">
        <v>5</v>
      </c>
      <c r="G216" s="400">
        <v>25</v>
      </c>
      <c r="H216" s="400">
        <v>6</v>
      </c>
      <c r="I216" s="400">
        <v>20</v>
      </c>
      <c r="J216" s="479">
        <f t="shared" si="326"/>
        <v>4339.32</v>
      </c>
    </row>
    <row r="217" spans="5:10" x14ac:dyDescent="0.2">
      <c r="E217" s="400">
        <v>134</v>
      </c>
      <c r="F217" s="400">
        <v>6</v>
      </c>
      <c r="G217" s="400">
        <v>25</v>
      </c>
      <c r="H217" s="400">
        <v>0</v>
      </c>
      <c r="I217" s="400">
        <v>20</v>
      </c>
      <c r="J217" s="479">
        <f t="shared" si="326"/>
        <v>2945.24</v>
      </c>
    </row>
    <row r="218" spans="5:10" x14ac:dyDescent="0.2">
      <c r="E218" s="400">
        <v>135</v>
      </c>
      <c r="F218" s="400">
        <v>6</v>
      </c>
      <c r="G218" s="400">
        <v>25</v>
      </c>
      <c r="H218" s="400">
        <v>1</v>
      </c>
      <c r="I218" s="400">
        <v>20</v>
      </c>
      <c r="J218" s="479">
        <f t="shared" si="326"/>
        <v>3259.4</v>
      </c>
    </row>
    <row r="219" spans="5:10" x14ac:dyDescent="0.2">
      <c r="E219" s="400">
        <v>136</v>
      </c>
      <c r="F219" s="400">
        <v>6</v>
      </c>
      <c r="G219" s="400">
        <v>25</v>
      </c>
      <c r="H219" s="400">
        <v>2</v>
      </c>
      <c r="I219" s="400">
        <v>20</v>
      </c>
      <c r="J219" s="479">
        <f t="shared" si="326"/>
        <v>3573.56</v>
      </c>
    </row>
    <row r="220" spans="5:10" x14ac:dyDescent="0.2">
      <c r="E220" s="400">
        <v>137</v>
      </c>
      <c r="F220" s="400">
        <v>6</v>
      </c>
      <c r="G220" s="400">
        <v>25</v>
      </c>
      <c r="H220" s="400">
        <v>3</v>
      </c>
      <c r="I220" s="400">
        <v>20</v>
      </c>
      <c r="J220" s="479">
        <f t="shared" si="326"/>
        <v>3887.72</v>
      </c>
    </row>
    <row r="221" spans="5:10" x14ac:dyDescent="0.2">
      <c r="E221" s="400">
        <v>138</v>
      </c>
      <c r="F221" s="400">
        <v>6</v>
      </c>
      <c r="G221" s="400">
        <v>25</v>
      </c>
      <c r="H221" s="400">
        <v>4</v>
      </c>
      <c r="I221" s="400">
        <v>20</v>
      </c>
      <c r="J221" s="479">
        <f t="shared" si="326"/>
        <v>4201.88</v>
      </c>
    </row>
    <row r="222" spans="5:10" x14ac:dyDescent="0.2">
      <c r="E222" s="400">
        <v>139</v>
      </c>
      <c r="F222" s="400">
        <v>6</v>
      </c>
      <c r="G222" s="400">
        <v>25</v>
      </c>
      <c r="H222" s="400">
        <v>5</v>
      </c>
      <c r="I222" s="400">
        <v>20</v>
      </c>
      <c r="J222" s="479">
        <f t="shared" si="326"/>
        <v>4516.04</v>
      </c>
    </row>
    <row r="223" spans="5:10" x14ac:dyDescent="0.2">
      <c r="E223" s="400">
        <v>140</v>
      </c>
      <c r="F223" s="400">
        <v>6</v>
      </c>
      <c r="G223" s="400">
        <v>25</v>
      </c>
      <c r="H223" s="400">
        <v>6</v>
      </c>
      <c r="I223" s="400">
        <v>20</v>
      </c>
      <c r="J223" s="479">
        <f t="shared" si="326"/>
        <v>4830.2</v>
      </c>
    </row>
    <row r="224" spans="5:10" x14ac:dyDescent="0.2">
      <c r="E224" s="400">
        <v>141</v>
      </c>
      <c r="F224" s="400">
        <v>7</v>
      </c>
      <c r="G224" s="400">
        <v>25</v>
      </c>
      <c r="H224" s="400">
        <v>0</v>
      </c>
      <c r="I224" s="400">
        <v>20</v>
      </c>
      <c r="J224" s="479">
        <f t="shared" si="326"/>
        <v>3436.12</v>
      </c>
    </row>
    <row r="225" spans="5:10" x14ac:dyDescent="0.2">
      <c r="E225" s="400">
        <v>142</v>
      </c>
      <c r="F225" s="400">
        <v>7</v>
      </c>
      <c r="G225" s="400">
        <v>25</v>
      </c>
      <c r="H225" s="400">
        <v>1</v>
      </c>
      <c r="I225" s="400">
        <v>20</v>
      </c>
      <c r="J225" s="479">
        <f t="shared" si="326"/>
        <v>3750.28</v>
      </c>
    </row>
    <row r="226" spans="5:10" x14ac:dyDescent="0.2">
      <c r="E226" s="400">
        <v>143</v>
      </c>
      <c r="F226" s="400">
        <v>7</v>
      </c>
      <c r="G226" s="400">
        <v>25</v>
      </c>
      <c r="H226" s="400">
        <v>2</v>
      </c>
      <c r="I226" s="400">
        <v>20</v>
      </c>
      <c r="J226" s="479">
        <f t="shared" si="326"/>
        <v>4064.44</v>
      </c>
    </row>
    <row r="227" spans="5:10" x14ac:dyDescent="0.2">
      <c r="E227" s="400">
        <v>144</v>
      </c>
      <c r="F227" s="400">
        <v>7</v>
      </c>
      <c r="G227" s="400">
        <v>25</v>
      </c>
      <c r="H227" s="400">
        <v>3</v>
      </c>
      <c r="I227" s="400">
        <v>20</v>
      </c>
      <c r="J227" s="479">
        <f t="shared" si="326"/>
        <v>4378.59</v>
      </c>
    </row>
    <row r="228" spans="5:10" x14ac:dyDescent="0.2">
      <c r="E228" s="400">
        <v>145</v>
      </c>
      <c r="F228" s="400">
        <v>7</v>
      </c>
      <c r="G228" s="400">
        <v>25</v>
      </c>
      <c r="H228" s="400">
        <v>4</v>
      </c>
      <c r="I228" s="400">
        <v>20</v>
      </c>
      <c r="J228" s="479">
        <f t="shared" si="326"/>
        <v>4692.75</v>
      </c>
    </row>
    <row r="229" spans="5:10" x14ac:dyDescent="0.2">
      <c r="E229" s="400">
        <v>146</v>
      </c>
      <c r="F229" s="400">
        <v>7</v>
      </c>
      <c r="G229" s="400">
        <v>25</v>
      </c>
      <c r="H229" s="400">
        <v>5</v>
      </c>
      <c r="I229" s="400">
        <v>20</v>
      </c>
      <c r="J229" s="479">
        <f t="shared" si="326"/>
        <v>5006.91</v>
      </c>
    </row>
    <row r="230" spans="5:10" x14ac:dyDescent="0.2">
      <c r="E230" s="400">
        <v>147</v>
      </c>
      <c r="F230" s="400">
        <v>7</v>
      </c>
      <c r="G230" s="400">
        <v>25</v>
      </c>
      <c r="H230" s="400">
        <v>6</v>
      </c>
      <c r="I230" s="400">
        <v>20</v>
      </c>
      <c r="J230" s="479">
        <f t="shared" si="326"/>
        <v>5321.07</v>
      </c>
    </row>
    <row r="231" spans="5:10" x14ac:dyDescent="0.2">
      <c r="E231" s="400">
        <v>148</v>
      </c>
      <c r="F231" s="400">
        <v>1</v>
      </c>
      <c r="G231" s="400">
        <v>25</v>
      </c>
      <c r="H231" s="400">
        <v>1</v>
      </c>
      <c r="I231" s="400">
        <v>16</v>
      </c>
      <c r="J231" s="479">
        <f t="shared" si="326"/>
        <v>691.94</v>
      </c>
    </row>
    <row r="232" spans="5:10" x14ac:dyDescent="0.2">
      <c r="E232" s="400">
        <v>149</v>
      </c>
      <c r="F232" s="400">
        <v>1</v>
      </c>
      <c r="G232" s="400">
        <v>25</v>
      </c>
      <c r="H232" s="400">
        <v>2</v>
      </c>
      <c r="I232" s="400">
        <v>16</v>
      </c>
      <c r="J232" s="479">
        <f t="shared" si="326"/>
        <v>893</v>
      </c>
    </row>
    <row r="233" spans="5:10" x14ac:dyDescent="0.2">
      <c r="E233" s="400">
        <v>150</v>
      </c>
      <c r="F233" s="400">
        <v>1</v>
      </c>
      <c r="G233" s="400">
        <v>25</v>
      </c>
      <c r="H233" s="400">
        <v>3</v>
      </c>
      <c r="I233" s="400">
        <v>16</v>
      </c>
      <c r="J233" s="479">
        <f t="shared" si="326"/>
        <v>1094.06</v>
      </c>
    </row>
    <row r="234" spans="5:10" x14ac:dyDescent="0.2">
      <c r="E234" s="400">
        <v>151</v>
      </c>
      <c r="F234" s="400">
        <v>1</v>
      </c>
      <c r="G234" s="400">
        <v>25</v>
      </c>
      <c r="H234" s="400">
        <v>4</v>
      </c>
      <c r="I234" s="400">
        <v>16</v>
      </c>
      <c r="J234" s="479">
        <f t="shared" si="326"/>
        <v>1295.1199999999999</v>
      </c>
    </row>
    <row r="235" spans="5:10" x14ac:dyDescent="0.2">
      <c r="E235" s="400">
        <v>152</v>
      </c>
      <c r="F235" s="400">
        <v>1</v>
      </c>
      <c r="G235" s="400">
        <v>25</v>
      </c>
      <c r="H235" s="400">
        <v>5</v>
      </c>
      <c r="I235" s="400">
        <v>16</v>
      </c>
      <c r="J235" s="479">
        <f t="shared" si="326"/>
        <v>1496.18</v>
      </c>
    </row>
    <row r="236" spans="5:10" x14ac:dyDescent="0.2">
      <c r="E236" s="400">
        <v>153</v>
      </c>
      <c r="F236" s="400">
        <v>1</v>
      </c>
      <c r="G236" s="400">
        <v>25</v>
      </c>
      <c r="H236" s="400">
        <v>6</v>
      </c>
      <c r="I236" s="400">
        <v>16</v>
      </c>
      <c r="J236" s="479">
        <f t="shared" si="326"/>
        <v>1697.25</v>
      </c>
    </row>
    <row r="237" spans="5:10" x14ac:dyDescent="0.2">
      <c r="E237" s="400">
        <v>154</v>
      </c>
      <c r="F237" s="400">
        <v>1</v>
      </c>
      <c r="G237" s="400">
        <v>25</v>
      </c>
      <c r="H237" s="400">
        <v>7</v>
      </c>
      <c r="I237" s="400">
        <v>16</v>
      </c>
      <c r="J237" s="479">
        <f t="shared" si="326"/>
        <v>1898.31</v>
      </c>
    </row>
    <row r="238" spans="5:10" x14ac:dyDescent="0.2">
      <c r="E238" s="400">
        <v>155</v>
      </c>
      <c r="F238" s="400">
        <v>2</v>
      </c>
      <c r="G238" s="400">
        <v>25</v>
      </c>
      <c r="H238" s="400">
        <v>0</v>
      </c>
      <c r="I238" s="400">
        <v>16</v>
      </c>
      <c r="J238" s="479">
        <f t="shared" si="326"/>
        <v>981.75</v>
      </c>
    </row>
    <row r="239" spans="5:10" x14ac:dyDescent="0.2">
      <c r="E239" s="400">
        <v>156</v>
      </c>
      <c r="F239" s="400">
        <v>2</v>
      </c>
      <c r="G239" s="400">
        <v>25</v>
      </c>
      <c r="H239" s="400">
        <v>1</v>
      </c>
      <c r="I239" s="400">
        <v>16</v>
      </c>
      <c r="J239" s="479">
        <f t="shared" si="326"/>
        <v>1182.81</v>
      </c>
    </row>
    <row r="240" spans="5:10" x14ac:dyDescent="0.2">
      <c r="E240" s="400">
        <v>157</v>
      </c>
      <c r="F240" s="400">
        <v>2</v>
      </c>
      <c r="G240" s="400">
        <v>25</v>
      </c>
      <c r="H240" s="400">
        <v>2</v>
      </c>
      <c r="I240" s="400">
        <v>16</v>
      </c>
      <c r="J240" s="479">
        <f t="shared" si="326"/>
        <v>1383.87</v>
      </c>
    </row>
    <row r="241" spans="5:10" x14ac:dyDescent="0.2">
      <c r="E241" s="400">
        <v>158</v>
      </c>
      <c r="F241" s="400">
        <v>2</v>
      </c>
      <c r="G241" s="400">
        <v>25</v>
      </c>
      <c r="H241" s="400">
        <v>3</v>
      </c>
      <c r="I241" s="400">
        <v>16</v>
      </c>
      <c r="J241" s="479">
        <f t="shared" si="326"/>
        <v>1584.93</v>
      </c>
    </row>
    <row r="242" spans="5:10" x14ac:dyDescent="0.2">
      <c r="E242" s="400">
        <v>159</v>
      </c>
      <c r="F242" s="400">
        <v>2</v>
      </c>
      <c r="G242" s="400">
        <v>25</v>
      </c>
      <c r="H242" s="400">
        <v>4</v>
      </c>
      <c r="I242" s="400">
        <v>16</v>
      </c>
      <c r="J242" s="479">
        <f t="shared" si="326"/>
        <v>1786</v>
      </c>
    </row>
    <row r="243" spans="5:10" x14ac:dyDescent="0.2">
      <c r="E243" s="400">
        <v>160</v>
      </c>
      <c r="F243" s="400">
        <v>2</v>
      </c>
      <c r="G243" s="400">
        <v>25</v>
      </c>
      <c r="H243" s="400">
        <v>5</v>
      </c>
      <c r="I243" s="400">
        <v>16</v>
      </c>
      <c r="J243" s="479">
        <f t="shared" si="326"/>
        <v>1987.06</v>
      </c>
    </row>
    <row r="244" spans="5:10" x14ac:dyDescent="0.2">
      <c r="E244" s="400">
        <v>161</v>
      </c>
      <c r="F244" s="400">
        <v>2</v>
      </c>
      <c r="G244" s="400">
        <v>25</v>
      </c>
      <c r="H244" s="400">
        <v>6</v>
      </c>
      <c r="I244" s="400">
        <v>16</v>
      </c>
      <c r="J244" s="479">
        <f t="shared" si="326"/>
        <v>2188.12</v>
      </c>
    </row>
    <row r="245" spans="5:10" x14ac:dyDescent="0.2">
      <c r="E245" s="400">
        <v>162</v>
      </c>
      <c r="F245" s="400">
        <v>3</v>
      </c>
      <c r="G245" s="400">
        <v>25</v>
      </c>
      <c r="H245" s="400">
        <v>0</v>
      </c>
      <c r="I245" s="400">
        <v>16</v>
      </c>
      <c r="J245" s="479">
        <f t="shared" si="326"/>
        <v>1472.62</v>
      </c>
    </row>
    <row r="246" spans="5:10" x14ac:dyDescent="0.2">
      <c r="E246" s="400">
        <v>163</v>
      </c>
      <c r="F246" s="400">
        <v>3</v>
      </c>
      <c r="G246" s="400">
        <v>25</v>
      </c>
      <c r="H246" s="400">
        <v>1</v>
      </c>
      <c r="I246" s="400">
        <v>16</v>
      </c>
      <c r="J246" s="479">
        <f t="shared" si="326"/>
        <v>1673.68</v>
      </c>
    </row>
    <row r="247" spans="5:10" x14ac:dyDescent="0.2">
      <c r="E247" s="400">
        <v>164</v>
      </c>
      <c r="F247" s="400">
        <v>3</v>
      </c>
      <c r="G247" s="400">
        <v>25</v>
      </c>
      <c r="H247" s="400">
        <v>2</v>
      </c>
      <c r="I247" s="400">
        <v>16</v>
      </c>
      <c r="J247" s="479">
        <f t="shared" si="326"/>
        <v>1874.75</v>
      </c>
    </row>
    <row r="248" spans="5:10" x14ac:dyDescent="0.2">
      <c r="E248" s="400">
        <v>165</v>
      </c>
      <c r="F248" s="400">
        <v>3</v>
      </c>
      <c r="G248" s="400">
        <v>25</v>
      </c>
      <c r="H248" s="400">
        <v>3</v>
      </c>
      <c r="I248" s="400">
        <v>16</v>
      </c>
      <c r="J248" s="479">
        <f t="shared" si="326"/>
        <v>2075.81</v>
      </c>
    </row>
    <row r="249" spans="5:10" x14ac:dyDescent="0.2">
      <c r="E249" s="400">
        <v>166</v>
      </c>
      <c r="F249" s="400">
        <v>3</v>
      </c>
      <c r="G249" s="400">
        <v>25</v>
      </c>
      <c r="H249" s="400">
        <v>4</v>
      </c>
      <c r="I249" s="400">
        <v>16</v>
      </c>
      <c r="J249" s="479">
        <f t="shared" si="326"/>
        <v>2276.87</v>
      </c>
    </row>
    <row r="250" spans="5:10" x14ac:dyDescent="0.2">
      <c r="E250" s="400">
        <v>167</v>
      </c>
      <c r="F250" s="400">
        <v>3</v>
      </c>
      <c r="G250" s="400">
        <v>25</v>
      </c>
      <c r="H250" s="400">
        <v>5</v>
      </c>
      <c r="I250" s="400">
        <v>16</v>
      </c>
      <c r="J250" s="479">
        <f t="shared" si="326"/>
        <v>2477.9299999999998</v>
      </c>
    </row>
    <row r="251" spans="5:10" x14ac:dyDescent="0.2">
      <c r="E251" s="400">
        <v>168</v>
      </c>
      <c r="F251" s="400">
        <v>3</v>
      </c>
      <c r="G251" s="400">
        <v>25</v>
      </c>
      <c r="H251" s="400">
        <v>6</v>
      </c>
      <c r="I251" s="400">
        <v>16</v>
      </c>
      <c r="J251" s="479">
        <f t="shared" si="326"/>
        <v>2678.99</v>
      </c>
    </row>
    <row r="252" spans="5:10" x14ac:dyDescent="0.2">
      <c r="E252" s="400">
        <v>169</v>
      </c>
      <c r="F252" s="400">
        <v>4</v>
      </c>
      <c r="G252" s="400">
        <v>25</v>
      </c>
      <c r="H252" s="400">
        <v>0</v>
      </c>
      <c r="I252" s="400">
        <v>16</v>
      </c>
      <c r="J252" s="479">
        <f t="shared" si="326"/>
        <v>1963.5</v>
      </c>
    </row>
    <row r="253" spans="5:10" x14ac:dyDescent="0.2">
      <c r="E253" s="400">
        <v>170</v>
      </c>
      <c r="F253" s="400">
        <v>4</v>
      </c>
      <c r="G253" s="400">
        <v>25</v>
      </c>
      <c r="H253" s="400">
        <v>1</v>
      </c>
      <c r="I253" s="400">
        <v>16</v>
      </c>
      <c r="J253" s="479">
        <f t="shared" si="326"/>
        <v>2164.56</v>
      </c>
    </row>
    <row r="254" spans="5:10" x14ac:dyDescent="0.2">
      <c r="E254" s="400">
        <v>171</v>
      </c>
      <c r="F254" s="400">
        <v>4</v>
      </c>
      <c r="G254" s="400">
        <v>25</v>
      </c>
      <c r="H254" s="400">
        <v>2</v>
      </c>
      <c r="I254" s="400">
        <v>16</v>
      </c>
      <c r="J254" s="479">
        <f t="shared" si="326"/>
        <v>2365.62</v>
      </c>
    </row>
    <row r="255" spans="5:10" x14ac:dyDescent="0.2">
      <c r="E255" s="400">
        <v>172</v>
      </c>
      <c r="F255" s="400">
        <v>4</v>
      </c>
      <c r="G255" s="400">
        <v>25</v>
      </c>
      <c r="H255" s="400">
        <v>3</v>
      </c>
      <c r="I255" s="400">
        <v>16</v>
      </c>
      <c r="J255" s="479">
        <f t="shared" si="326"/>
        <v>2566.6799999999998</v>
      </c>
    </row>
    <row r="256" spans="5:10" x14ac:dyDescent="0.2">
      <c r="E256" s="400">
        <v>173</v>
      </c>
      <c r="F256" s="400">
        <v>4</v>
      </c>
      <c r="G256" s="400">
        <v>25</v>
      </c>
      <c r="H256" s="400">
        <v>4</v>
      </c>
      <c r="I256" s="400">
        <v>16</v>
      </c>
      <c r="J256" s="479">
        <f t="shared" si="326"/>
        <v>2767.74</v>
      </c>
    </row>
    <row r="257" spans="5:10" x14ac:dyDescent="0.2">
      <c r="E257" s="400">
        <v>174</v>
      </c>
      <c r="F257" s="400">
        <v>4</v>
      </c>
      <c r="G257" s="400">
        <v>25</v>
      </c>
      <c r="H257" s="400">
        <v>5</v>
      </c>
      <c r="I257" s="400">
        <v>16</v>
      </c>
      <c r="J257" s="479">
        <f t="shared" si="326"/>
        <v>2968.81</v>
      </c>
    </row>
    <row r="258" spans="5:10" x14ac:dyDescent="0.2">
      <c r="E258" s="400">
        <v>175</v>
      </c>
      <c r="F258" s="400">
        <v>4</v>
      </c>
      <c r="G258" s="400">
        <v>25</v>
      </c>
      <c r="H258" s="400">
        <v>6</v>
      </c>
      <c r="I258" s="400">
        <v>16</v>
      </c>
      <c r="J258" s="479">
        <f t="shared" si="326"/>
        <v>3169.87</v>
      </c>
    </row>
    <row r="259" spans="5:10" x14ac:dyDescent="0.2">
      <c r="E259" s="400">
        <v>176</v>
      </c>
      <c r="F259" s="400">
        <v>5</v>
      </c>
      <c r="G259" s="400">
        <v>25</v>
      </c>
      <c r="H259" s="400">
        <v>0</v>
      </c>
      <c r="I259" s="400">
        <v>16</v>
      </c>
      <c r="J259" s="479">
        <f t="shared" si="326"/>
        <v>2454.37</v>
      </c>
    </row>
    <row r="260" spans="5:10" x14ac:dyDescent="0.2">
      <c r="E260" s="400">
        <v>177</v>
      </c>
      <c r="F260" s="400">
        <v>5</v>
      </c>
      <c r="G260" s="400">
        <v>25</v>
      </c>
      <c r="H260" s="400">
        <v>1</v>
      </c>
      <c r="I260" s="400">
        <v>16</v>
      </c>
      <c r="J260" s="479">
        <f t="shared" si="326"/>
        <v>2655.43</v>
      </c>
    </row>
    <row r="261" spans="5:10" x14ac:dyDescent="0.2">
      <c r="E261" s="400">
        <v>178</v>
      </c>
      <c r="F261" s="400">
        <v>5</v>
      </c>
      <c r="G261" s="400">
        <v>25</v>
      </c>
      <c r="H261" s="400">
        <v>2</v>
      </c>
      <c r="I261" s="400">
        <v>16</v>
      </c>
      <c r="J261" s="479">
        <f t="shared" si="326"/>
        <v>2856.49</v>
      </c>
    </row>
    <row r="262" spans="5:10" x14ac:dyDescent="0.2">
      <c r="E262" s="400">
        <v>179</v>
      </c>
      <c r="F262" s="400">
        <v>5</v>
      </c>
      <c r="G262" s="400">
        <v>25</v>
      </c>
      <c r="H262" s="400">
        <v>3</v>
      </c>
      <c r="I262" s="400">
        <v>16</v>
      </c>
      <c r="J262" s="479">
        <f t="shared" si="326"/>
        <v>3057.56</v>
      </c>
    </row>
    <row r="263" spans="5:10" x14ac:dyDescent="0.2">
      <c r="E263" s="400">
        <v>180</v>
      </c>
      <c r="F263" s="400">
        <v>5</v>
      </c>
      <c r="G263" s="400">
        <v>25</v>
      </c>
      <c r="H263" s="400">
        <v>4</v>
      </c>
      <c r="I263" s="400">
        <v>16</v>
      </c>
      <c r="J263" s="479">
        <f t="shared" si="326"/>
        <v>3258.62</v>
      </c>
    </row>
    <row r="264" spans="5:10" x14ac:dyDescent="0.2">
      <c r="E264" s="400">
        <v>181</v>
      </c>
      <c r="F264" s="400">
        <v>5</v>
      </c>
      <c r="G264" s="400">
        <v>25</v>
      </c>
      <c r="H264" s="400">
        <v>5</v>
      </c>
      <c r="I264" s="400">
        <v>16</v>
      </c>
      <c r="J264" s="479">
        <f t="shared" si="326"/>
        <v>3459.68</v>
      </c>
    </row>
    <row r="265" spans="5:10" x14ac:dyDescent="0.2">
      <c r="E265" s="400">
        <v>182</v>
      </c>
      <c r="F265" s="400">
        <v>5</v>
      </c>
      <c r="G265" s="400">
        <v>25</v>
      </c>
      <c r="H265" s="400">
        <v>6</v>
      </c>
      <c r="I265" s="400">
        <v>16</v>
      </c>
      <c r="J265" s="479">
        <f t="shared" si="326"/>
        <v>3660.74</v>
      </c>
    </row>
    <row r="266" spans="5:10" x14ac:dyDescent="0.2">
      <c r="E266" s="400">
        <v>183</v>
      </c>
      <c r="F266" s="400">
        <v>6</v>
      </c>
      <c r="G266" s="400">
        <v>25</v>
      </c>
      <c r="H266" s="400">
        <v>0</v>
      </c>
      <c r="I266" s="400">
        <v>16</v>
      </c>
      <c r="J266" s="479">
        <f t="shared" si="326"/>
        <v>2945.24</v>
      </c>
    </row>
    <row r="267" spans="5:10" x14ac:dyDescent="0.2">
      <c r="E267" s="400">
        <v>184</v>
      </c>
      <c r="F267" s="400">
        <v>6</v>
      </c>
      <c r="G267" s="400">
        <v>25</v>
      </c>
      <c r="H267" s="400">
        <v>1</v>
      </c>
      <c r="I267" s="400">
        <v>16</v>
      </c>
      <c r="J267" s="479">
        <f t="shared" si="326"/>
        <v>3146.31</v>
      </c>
    </row>
    <row r="268" spans="5:10" x14ac:dyDescent="0.2">
      <c r="E268" s="400">
        <v>185</v>
      </c>
      <c r="F268" s="400">
        <v>6</v>
      </c>
      <c r="G268" s="400">
        <v>25</v>
      </c>
      <c r="H268" s="400">
        <v>2</v>
      </c>
      <c r="I268" s="400">
        <v>16</v>
      </c>
      <c r="J268" s="479">
        <f t="shared" si="326"/>
        <v>3347.37</v>
      </c>
    </row>
    <row r="269" spans="5:10" x14ac:dyDescent="0.2">
      <c r="E269" s="400">
        <v>186</v>
      </c>
      <c r="F269" s="400">
        <v>6</v>
      </c>
      <c r="G269" s="400">
        <v>25</v>
      </c>
      <c r="H269" s="400">
        <v>3</v>
      </c>
      <c r="I269" s="400">
        <v>16</v>
      </c>
      <c r="J269" s="479">
        <f t="shared" si="326"/>
        <v>3548.43</v>
      </c>
    </row>
    <row r="270" spans="5:10" x14ac:dyDescent="0.2">
      <c r="E270" s="400">
        <v>187</v>
      </c>
      <c r="F270" s="400">
        <v>6</v>
      </c>
      <c r="G270" s="400">
        <v>25</v>
      </c>
      <c r="H270" s="400">
        <v>4</v>
      </c>
      <c r="I270" s="400">
        <v>16</v>
      </c>
      <c r="J270" s="479">
        <f t="shared" si="326"/>
        <v>3749.49</v>
      </c>
    </row>
    <row r="271" spans="5:10" x14ac:dyDescent="0.2">
      <c r="E271" s="400">
        <v>188</v>
      </c>
      <c r="F271" s="400">
        <v>6</v>
      </c>
      <c r="G271" s="400">
        <v>25</v>
      </c>
      <c r="H271" s="400">
        <v>5</v>
      </c>
      <c r="I271" s="400">
        <v>16</v>
      </c>
      <c r="J271" s="479">
        <f t="shared" si="326"/>
        <v>3950.55</v>
      </c>
    </row>
    <row r="272" spans="5:10" x14ac:dyDescent="0.2">
      <c r="E272" s="400">
        <v>189</v>
      </c>
      <c r="F272" s="400">
        <v>6</v>
      </c>
      <c r="G272" s="400">
        <v>25</v>
      </c>
      <c r="H272" s="400">
        <v>6</v>
      </c>
      <c r="I272" s="400">
        <v>16</v>
      </c>
      <c r="J272" s="479">
        <f t="shared" si="326"/>
        <v>4151.6099999999997</v>
      </c>
    </row>
    <row r="273" spans="5:10" x14ac:dyDescent="0.2">
      <c r="E273" s="400">
        <v>190</v>
      </c>
      <c r="F273" s="400">
        <v>7</v>
      </c>
      <c r="G273" s="400">
        <v>25</v>
      </c>
      <c r="H273" s="400">
        <v>0</v>
      </c>
      <c r="I273" s="400">
        <v>16</v>
      </c>
      <c r="J273" s="479">
        <f t="shared" si="326"/>
        <v>3436.12</v>
      </c>
    </row>
    <row r="274" spans="5:10" x14ac:dyDescent="0.2">
      <c r="E274" s="400">
        <v>191</v>
      </c>
      <c r="F274" s="400">
        <v>7</v>
      </c>
      <c r="G274" s="400">
        <v>25</v>
      </c>
      <c r="H274" s="400">
        <v>1</v>
      </c>
      <c r="I274" s="400">
        <v>16</v>
      </c>
      <c r="J274" s="479">
        <f t="shared" si="326"/>
        <v>3637.18</v>
      </c>
    </row>
    <row r="275" spans="5:10" x14ac:dyDescent="0.2">
      <c r="E275" s="400">
        <v>192</v>
      </c>
      <c r="F275" s="400">
        <v>7</v>
      </c>
      <c r="G275" s="400">
        <v>25</v>
      </c>
      <c r="H275" s="400">
        <v>2</v>
      </c>
      <c r="I275" s="400">
        <v>16</v>
      </c>
      <c r="J275" s="479">
        <f t="shared" si="326"/>
        <v>3838.24</v>
      </c>
    </row>
    <row r="276" spans="5:10" x14ac:dyDescent="0.2">
      <c r="E276" s="400">
        <v>193</v>
      </c>
      <c r="F276" s="400">
        <v>7</v>
      </c>
      <c r="G276" s="400">
        <v>25</v>
      </c>
      <c r="H276" s="400">
        <v>3</v>
      </c>
      <c r="I276" s="400">
        <v>16</v>
      </c>
      <c r="J276" s="479">
        <f t="shared" ref="J276:J328" si="327">ROUND(PI()/4*(F276*G276^2+H276*I276^2),2)</f>
        <v>4039.3</v>
      </c>
    </row>
    <row r="277" spans="5:10" x14ac:dyDescent="0.2">
      <c r="E277" s="400">
        <v>194</v>
      </c>
      <c r="F277" s="400">
        <v>7</v>
      </c>
      <c r="G277" s="400">
        <v>25</v>
      </c>
      <c r="H277" s="400">
        <v>4</v>
      </c>
      <c r="I277" s="400">
        <v>16</v>
      </c>
      <c r="J277" s="479">
        <f t="shared" si="327"/>
        <v>4240.3599999999997</v>
      </c>
    </row>
    <row r="278" spans="5:10" x14ac:dyDescent="0.2">
      <c r="E278" s="400">
        <v>195</v>
      </c>
      <c r="F278" s="400">
        <v>7</v>
      </c>
      <c r="G278" s="400">
        <v>25</v>
      </c>
      <c r="H278" s="400">
        <v>5</v>
      </c>
      <c r="I278" s="400">
        <v>16</v>
      </c>
      <c r="J278" s="479">
        <f t="shared" si="327"/>
        <v>4441.43</v>
      </c>
    </row>
    <row r="279" spans="5:10" x14ac:dyDescent="0.2">
      <c r="E279" s="400">
        <v>196</v>
      </c>
      <c r="F279" s="400">
        <v>7</v>
      </c>
      <c r="G279" s="400">
        <v>25</v>
      </c>
      <c r="H279" s="400">
        <v>6</v>
      </c>
      <c r="I279" s="400">
        <v>16</v>
      </c>
      <c r="J279" s="479">
        <f t="shared" si="327"/>
        <v>4642.49</v>
      </c>
    </row>
    <row r="280" spans="5:10" x14ac:dyDescent="0.2">
      <c r="E280" s="400">
        <v>197</v>
      </c>
      <c r="F280" s="400">
        <v>1</v>
      </c>
      <c r="G280" s="400">
        <v>20</v>
      </c>
      <c r="H280" s="400">
        <v>1</v>
      </c>
      <c r="I280" s="400">
        <v>16</v>
      </c>
      <c r="J280" s="479">
        <f t="shared" si="327"/>
        <v>515.22</v>
      </c>
    </row>
    <row r="281" spans="5:10" x14ac:dyDescent="0.2">
      <c r="E281" s="400">
        <v>198</v>
      </c>
      <c r="F281" s="400">
        <v>1</v>
      </c>
      <c r="G281" s="400">
        <v>20</v>
      </c>
      <c r="H281" s="400">
        <v>2</v>
      </c>
      <c r="I281" s="400">
        <v>16</v>
      </c>
      <c r="J281" s="479">
        <f t="shared" si="327"/>
        <v>716.28</v>
      </c>
    </row>
    <row r="282" spans="5:10" x14ac:dyDescent="0.2">
      <c r="E282" s="400">
        <v>199</v>
      </c>
      <c r="F282" s="400">
        <v>1</v>
      </c>
      <c r="G282" s="400">
        <v>20</v>
      </c>
      <c r="H282" s="400">
        <v>3</v>
      </c>
      <c r="I282" s="400">
        <v>16</v>
      </c>
      <c r="J282" s="479">
        <f t="shared" si="327"/>
        <v>917.35</v>
      </c>
    </row>
    <row r="283" spans="5:10" x14ac:dyDescent="0.2">
      <c r="E283" s="400">
        <v>200</v>
      </c>
      <c r="F283" s="400">
        <v>1</v>
      </c>
      <c r="G283" s="400">
        <v>20</v>
      </c>
      <c r="H283" s="400">
        <v>4</v>
      </c>
      <c r="I283" s="400">
        <v>16</v>
      </c>
      <c r="J283" s="479">
        <f t="shared" si="327"/>
        <v>1118.4100000000001</v>
      </c>
    </row>
    <row r="284" spans="5:10" x14ac:dyDescent="0.2">
      <c r="E284" s="400">
        <v>201</v>
      </c>
      <c r="F284" s="400">
        <v>1</v>
      </c>
      <c r="G284" s="400">
        <v>20</v>
      </c>
      <c r="H284" s="400">
        <v>5</v>
      </c>
      <c r="I284" s="400">
        <v>16</v>
      </c>
      <c r="J284" s="479">
        <f t="shared" si="327"/>
        <v>1319.47</v>
      </c>
    </row>
    <row r="285" spans="5:10" x14ac:dyDescent="0.2">
      <c r="E285" s="400">
        <v>202</v>
      </c>
      <c r="F285" s="400">
        <v>1</v>
      </c>
      <c r="G285" s="400">
        <v>20</v>
      </c>
      <c r="H285" s="400">
        <v>6</v>
      </c>
      <c r="I285" s="400">
        <v>16</v>
      </c>
      <c r="J285" s="479">
        <f t="shared" si="327"/>
        <v>1520.53</v>
      </c>
    </row>
    <row r="286" spans="5:10" x14ac:dyDescent="0.2">
      <c r="E286" s="400">
        <v>203</v>
      </c>
      <c r="F286" s="400">
        <v>1</v>
      </c>
      <c r="G286" s="400">
        <v>20</v>
      </c>
      <c r="H286" s="400">
        <v>7</v>
      </c>
      <c r="I286" s="400">
        <v>16</v>
      </c>
      <c r="J286" s="479">
        <f t="shared" si="327"/>
        <v>1721.59</v>
      </c>
    </row>
    <row r="287" spans="5:10" x14ac:dyDescent="0.2">
      <c r="E287" s="400">
        <v>204</v>
      </c>
      <c r="F287" s="400">
        <v>2</v>
      </c>
      <c r="G287" s="400">
        <v>20</v>
      </c>
      <c r="H287" s="400">
        <v>0</v>
      </c>
      <c r="I287" s="400">
        <v>16</v>
      </c>
      <c r="J287" s="479">
        <f t="shared" si="327"/>
        <v>628.32000000000005</v>
      </c>
    </row>
    <row r="288" spans="5:10" x14ac:dyDescent="0.2">
      <c r="E288" s="400">
        <v>205</v>
      </c>
      <c r="F288" s="400">
        <v>2</v>
      </c>
      <c r="G288" s="400">
        <v>20</v>
      </c>
      <c r="H288" s="400">
        <v>1</v>
      </c>
      <c r="I288" s="400">
        <v>16</v>
      </c>
      <c r="J288" s="479">
        <f t="shared" si="327"/>
        <v>829.38</v>
      </c>
    </row>
    <row r="289" spans="5:10" x14ac:dyDescent="0.2">
      <c r="E289" s="400">
        <v>206</v>
      </c>
      <c r="F289" s="400">
        <v>2</v>
      </c>
      <c r="G289" s="400">
        <v>20</v>
      </c>
      <c r="H289" s="400">
        <v>2</v>
      </c>
      <c r="I289" s="400">
        <v>16</v>
      </c>
      <c r="J289" s="479">
        <f t="shared" si="327"/>
        <v>1030.44</v>
      </c>
    </row>
    <row r="290" spans="5:10" x14ac:dyDescent="0.2">
      <c r="E290" s="400">
        <v>207</v>
      </c>
      <c r="F290" s="400">
        <v>2</v>
      </c>
      <c r="G290" s="400">
        <v>20</v>
      </c>
      <c r="H290" s="400">
        <v>3</v>
      </c>
      <c r="I290" s="400">
        <v>16</v>
      </c>
      <c r="J290" s="479">
        <f t="shared" si="327"/>
        <v>1231.5</v>
      </c>
    </row>
    <row r="291" spans="5:10" x14ac:dyDescent="0.2">
      <c r="E291" s="400">
        <v>208</v>
      </c>
      <c r="F291" s="400">
        <v>2</v>
      </c>
      <c r="G291" s="400">
        <v>20</v>
      </c>
      <c r="H291" s="400">
        <v>4</v>
      </c>
      <c r="I291" s="400">
        <v>16</v>
      </c>
      <c r="J291" s="479">
        <f t="shared" si="327"/>
        <v>1432.57</v>
      </c>
    </row>
    <row r="292" spans="5:10" x14ac:dyDescent="0.2">
      <c r="E292" s="400">
        <v>209</v>
      </c>
      <c r="F292" s="400">
        <v>2</v>
      </c>
      <c r="G292" s="400">
        <v>20</v>
      </c>
      <c r="H292" s="400">
        <v>5</v>
      </c>
      <c r="I292" s="400">
        <v>16</v>
      </c>
      <c r="J292" s="479">
        <f t="shared" si="327"/>
        <v>1633.63</v>
      </c>
    </row>
    <row r="293" spans="5:10" x14ac:dyDescent="0.2">
      <c r="E293" s="400">
        <v>210</v>
      </c>
      <c r="F293" s="400">
        <v>2</v>
      </c>
      <c r="G293" s="400">
        <v>20</v>
      </c>
      <c r="H293" s="400">
        <v>6</v>
      </c>
      <c r="I293" s="400">
        <v>16</v>
      </c>
      <c r="J293" s="479">
        <f t="shared" si="327"/>
        <v>1834.69</v>
      </c>
    </row>
    <row r="294" spans="5:10" x14ac:dyDescent="0.2">
      <c r="E294" s="400">
        <v>211</v>
      </c>
      <c r="F294" s="400">
        <v>3</v>
      </c>
      <c r="G294" s="400">
        <v>20</v>
      </c>
      <c r="H294" s="400">
        <v>0</v>
      </c>
      <c r="I294" s="400">
        <v>16</v>
      </c>
      <c r="J294" s="479">
        <f t="shared" si="327"/>
        <v>942.48</v>
      </c>
    </row>
    <row r="295" spans="5:10" x14ac:dyDescent="0.2">
      <c r="E295" s="400">
        <v>212</v>
      </c>
      <c r="F295" s="400">
        <v>3</v>
      </c>
      <c r="G295" s="400">
        <v>20</v>
      </c>
      <c r="H295" s="400">
        <v>1</v>
      </c>
      <c r="I295" s="400">
        <v>16</v>
      </c>
      <c r="J295" s="479">
        <f t="shared" si="327"/>
        <v>1143.54</v>
      </c>
    </row>
    <row r="296" spans="5:10" x14ac:dyDescent="0.2">
      <c r="E296" s="400">
        <v>213</v>
      </c>
      <c r="F296" s="400">
        <v>3</v>
      </c>
      <c r="G296" s="400">
        <v>20</v>
      </c>
      <c r="H296" s="400">
        <v>2</v>
      </c>
      <c r="I296" s="400">
        <v>16</v>
      </c>
      <c r="J296" s="479">
        <f t="shared" si="327"/>
        <v>1344.6</v>
      </c>
    </row>
    <row r="297" spans="5:10" x14ac:dyDescent="0.2">
      <c r="E297" s="400">
        <v>214</v>
      </c>
      <c r="F297" s="400">
        <v>3</v>
      </c>
      <c r="G297" s="400">
        <v>20</v>
      </c>
      <c r="H297" s="400">
        <v>3</v>
      </c>
      <c r="I297" s="400">
        <v>16</v>
      </c>
      <c r="J297" s="479">
        <f t="shared" si="327"/>
        <v>1545.66</v>
      </c>
    </row>
    <row r="298" spans="5:10" x14ac:dyDescent="0.2">
      <c r="E298" s="400">
        <v>215</v>
      </c>
      <c r="F298" s="400">
        <v>3</v>
      </c>
      <c r="G298" s="400">
        <v>20</v>
      </c>
      <c r="H298" s="400">
        <v>4</v>
      </c>
      <c r="I298" s="400">
        <v>16</v>
      </c>
      <c r="J298" s="479">
        <f t="shared" si="327"/>
        <v>1746.73</v>
      </c>
    </row>
    <row r="299" spans="5:10" x14ac:dyDescent="0.2">
      <c r="E299" s="400">
        <v>216</v>
      </c>
      <c r="F299" s="400">
        <v>3</v>
      </c>
      <c r="G299" s="400">
        <v>20</v>
      </c>
      <c r="H299" s="400">
        <v>5</v>
      </c>
      <c r="I299" s="400">
        <v>16</v>
      </c>
      <c r="J299" s="479">
        <f t="shared" si="327"/>
        <v>1947.79</v>
      </c>
    </row>
    <row r="300" spans="5:10" x14ac:dyDescent="0.2">
      <c r="E300" s="400">
        <v>217</v>
      </c>
      <c r="F300" s="400">
        <v>3</v>
      </c>
      <c r="G300" s="400">
        <v>20</v>
      </c>
      <c r="H300" s="400">
        <v>6</v>
      </c>
      <c r="I300" s="400">
        <v>16</v>
      </c>
      <c r="J300" s="479">
        <f t="shared" si="327"/>
        <v>2148.85</v>
      </c>
    </row>
    <row r="301" spans="5:10" x14ac:dyDescent="0.2">
      <c r="E301" s="400">
        <v>218</v>
      </c>
      <c r="F301" s="400">
        <v>4</v>
      </c>
      <c r="G301" s="400">
        <v>20</v>
      </c>
      <c r="H301" s="400">
        <v>0</v>
      </c>
      <c r="I301" s="400">
        <v>16</v>
      </c>
      <c r="J301" s="479">
        <f t="shared" si="327"/>
        <v>1256.6400000000001</v>
      </c>
    </row>
    <row r="302" spans="5:10" x14ac:dyDescent="0.2">
      <c r="E302" s="400">
        <v>219</v>
      </c>
      <c r="F302" s="400">
        <v>4</v>
      </c>
      <c r="G302" s="400">
        <v>20</v>
      </c>
      <c r="H302" s="400">
        <v>1</v>
      </c>
      <c r="I302" s="400">
        <v>16</v>
      </c>
      <c r="J302" s="479">
        <f t="shared" si="327"/>
        <v>1457.7</v>
      </c>
    </row>
    <row r="303" spans="5:10" x14ac:dyDescent="0.2">
      <c r="E303" s="400">
        <v>220</v>
      </c>
      <c r="F303" s="400">
        <v>4</v>
      </c>
      <c r="G303" s="400">
        <v>20</v>
      </c>
      <c r="H303" s="400">
        <v>2</v>
      </c>
      <c r="I303" s="400">
        <v>16</v>
      </c>
      <c r="J303" s="479">
        <f t="shared" si="327"/>
        <v>1658.76</v>
      </c>
    </row>
    <row r="304" spans="5:10" x14ac:dyDescent="0.2">
      <c r="E304" s="400">
        <v>221</v>
      </c>
      <c r="F304" s="400">
        <v>4</v>
      </c>
      <c r="G304" s="400">
        <v>20</v>
      </c>
      <c r="H304" s="400">
        <v>3</v>
      </c>
      <c r="I304" s="400">
        <v>16</v>
      </c>
      <c r="J304" s="479">
        <f t="shared" si="327"/>
        <v>1859.82</v>
      </c>
    </row>
    <row r="305" spans="5:10" x14ac:dyDescent="0.2">
      <c r="E305" s="400">
        <v>222</v>
      </c>
      <c r="F305" s="400">
        <v>4</v>
      </c>
      <c r="G305" s="400">
        <v>20</v>
      </c>
      <c r="H305" s="400">
        <v>4</v>
      </c>
      <c r="I305" s="400">
        <v>16</v>
      </c>
      <c r="J305" s="479">
        <f t="shared" si="327"/>
        <v>2060.88</v>
      </c>
    </row>
    <row r="306" spans="5:10" x14ac:dyDescent="0.2">
      <c r="E306" s="400">
        <v>223</v>
      </c>
      <c r="F306" s="400">
        <v>4</v>
      </c>
      <c r="G306" s="400">
        <v>20</v>
      </c>
      <c r="H306" s="400">
        <v>5</v>
      </c>
      <c r="I306" s="400">
        <v>16</v>
      </c>
      <c r="J306" s="479">
        <f t="shared" si="327"/>
        <v>2261.9499999999998</v>
      </c>
    </row>
    <row r="307" spans="5:10" x14ac:dyDescent="0.2">
      <c r="E307" s="400">
        <v>224</v>
      </c>
      <c r="F307" s="400">
        <v>4</v>
      </c>
      <c r="G307" s="400">
        <v>20</v>
      </c>
      <c r="H307" s="400">
        <v>6</v>
      </c>
      <c r="I307" s="400">
        <v>16</v>
      </c>
      <c r="J307" s="479">
        <f t="shared" si="327"/>
        <v>2463.0100000000002</v>
      </c>
    </row>
    <row r="308" spans="5:10" x14ac:dyDescent="0.2">
      <c r="E308" s="400">
        <v>225</v>
      </c>
      <c r="F308" s="400">
        <v>5</v>
      </c>
      <c r="G308" s="400">
        <v>20</v>
      </c>
      <c r="H308" s="400">
        <v>0</v>
      </c>
      <c r="I308" s="400">
        <v>16</v>
      </c>
      <c r="J308" s="479">
        <f t="shared" si="327"/>
        <v>1570.8</v>
      </c>
    </row>
    <row r="309" spans="5:10" x14ac:dyDescent="0.2">
      <c r="E309" s="400">
        <v>226</v>
      </c>
      <c r="F309" s="400">
        <v>5</v>
      </c>
      <c r="G309" s="400">
        <v>20</v>
      </c>
      <c r="H309" s="400">
        <v>1</v>
      </c>
      <c r="I309" s="400">
        <v>16</v>
      </c>
      <c r="J309" s="479">
        <f t="shared" si="327"/>
        <v>1771.86</v>
      </c>
    </row>
    <row r="310" spans="5:10" x14ac:dyDescent="0.2">
      <c r="E310" s="400">
        <v>227</v>
      </c>
      <c r="F310" s="400">
        <v>5</v>
      </c>
      <c r="G310" s="400">
        <v>20</v>
      </c>
      <c r="H310" s="400">
        <v>2</v>
      </c>
      <c r="I310" s="400">
        <v>16</v>
      </c>
      <c r="J310" s="479">
        <f t="shared" si="327"/>
        <v>1972.92</v>
      </c>
    </row>
    <row r="311" spans="5:10" x14ac:dyDescent="0.2">
      <c r="E311" s="400">
        <v>228</v>
      </c>
      <c r="F311" s="400">
        <v>5</v>
      </c>
      <c r="G311" s="400">
        <v>20</v>
      </c>
      <c r="H311" s="400">
        <v>3</v>
      </c>
      <c r="I311" s="400">
        <v>16</v>
      </c>
      <c r="J311" s="479">
        <f t="shared" si="327"/>
        <v>2173.98</v>
      </c>
    </row>
    <row r="312" spans="5:10" x14ac:dyDescent="0.2">
      <c r="E312" s="400">
        <v>229</v>
      </c>
      <c r="F312" s="400">
        <v>5</v>
      </c>
      <c r="G312" s="400">
        <v>20</v>
      </c>
      <c r="H312" s="400">
        <v>4</v>
      </c>
      <c r="I312" s="400">
        <v>16</v>
      </c>
      <c r="J312" s="479">
        <f t="shared" si="327"/>
        <v>2375.04</v>
      </c>
    </row>
    <row r="313" spans="5:10" x14ac:dyDescent="0.2">
      <c r="E313" s="400">
        <v>230</v>
      </c>
      <c r="F313" s="400">
        <v>5</v>
      </c>
      <c r="G313" s="400">
        <v>20</v>
      </c>
      <c r="H313" s="400">
        <v>5</v>
      </c>
      <c r="I313" s="400">
        <v>16</v>
      </c>
      <c r="J313" s="479">
        <f t="shared" si="327"/>
        <v>2576.11</v>
      </c>
    </row>
    <row r="314" spans="5:10" x14ac:dyDescent="0.2">
      <c r="E314" s="400">
        <v>231</v>
      </c>
      <c r="F314" s="400">
        <v>5</v>
      </c>
      <c r="G314" s="400">
        <v>20</v>
      </c>
      <c r="H314" s="400">
        <v>6</v>
      </c>
      <c r="I314" s="400">
        <v>16</v>
      </c>
      <c r="J314" s="479">
        <f t="shared" si="327"/>
        <v>2777.17</v>
      </c>
    </row>
    <row r="315" spans="5:10" x14ac:dyDescent="0.2">
      <c r="E315" s="400">
        <v>232</v>
      </c>
      <c r="F315" s="400">
        <v>6</v>
      </c>
      <c r="G315" s="400">
        <v>20</v>
      </c>
      <c r="H315" s="400">
        <v>0</v>
      </c>
      <c r="I315" s="400">
        <v>16</v>
      </c>
      <c r="J315" s="479">
        <f t="shared" si="327"/>
        <v>1884.96</v>
      </c>
    </row>
    <row r="316" spans="5:10" x14ac:dyDescent="0.2">
      <c r="E316" s="400">
        <v>233</v>
      </c>
      <c r="F316" s="400">
        <v>6</v>
      </c>
      <c r="G316" s="400">
        <v>20</v>
      </c>
      <c r="H316" s="400">
        <v>1</v>
      </c>
      <c r="I316" s="400">
        <v>16</v>
      </c>
      <c r="J316" s="479">
        <f t="shared" si="327"/>
        <v>2086.02</v>
      </c>
    </row>
    <row r="317" spans="5:10" x14ac:dyDescent="0.2">
      <c r="E317" s="400">
        <v>234</v>
      </c>
      <c r="F317" s="400">
        <v>6</v>
      </c>
      <c r="G317" s="400">
        <v>20</v>
      </c>
      <c r="H317" s="400">
        <v>2</v>
      </c>
      <c r="I317" s="400">
        <v>16</v>
      </c>
      <c r="J317" s="479">
        <f t="shared" si="327"/>
        <v>2287.08</v>
      </c>
    </row>
    <row r="318" spans="5:10" x14ac:dyDescent="0.2">
      <c r="E318" s="400">
        <v>235</v>
      </c>
      <c r="F318" s="400">
        <v>6</v>
      </c>
      <c r="G318" s="400">
        <v>20</v>
      </c>
      <c r="H318" s="400">
        <v>3</v>
      </c>
      <c r="I318" s="400">
        <v>16</v>
      </c>
      <c r="J318" s="479">
        <f t="shared" si="327"/>
        <v>2488.14</v>
      </c>
    </row>
    <row r="319" spans="5:10" x14ac:dyDescent="0.2">
      <c r="E319" s="400">
        <v>236</v>
      </c>
      <c r="F319" s="400">
        <v>6</v>
      </c>
      <c r="G319" s="400">
        <v>20</v>
      </c>
      <c r="H319" s="400">
        <v>4</v>
      </c>
      <c r="I319" s="400">
        <v>16</v>
      </c>
      <c r="J319" s="479">
        <f t="shared" si="327"/>
        <v>2689.2</v>
      </c>
    </row>
    <row r="320" spans="5:10" x14ac:dyDescent="0.2">
      <c r="E320" s="400">
        <v>237</v>
      </c>
      <c r="F320" s="400">
        <v>6</v>
      </c>
      <c r="G320" s="400">
        <v>20</v>
      </c>
      <c r="H320" s="400">
        <v>5</v>
      </c>
      <c r="I320" s="400">
        <v>16</v>
      </c>
      <c r="J320" s="479">
        <f t="shared" si="327"/>
        <v>2890.27</v>
      </c>
    </row>
    <row r="321" spans="5:10" x14ac:dyDescent="0.2">
      <c r="E321" s="400">
        <v>238</v>
      </c>
      <c r="F321" s="400">
        <v>6</v>
      </c>
      <c r="G321" s="400">
        <v>20</v>
      </c>
      <c r="H321" s="400">
        <v>6</v>
      </c>
      <c r="I321" s="400">
        <v>16</v>
      </c>
      <c r="J321" s="479">
        <f t="shared" si="327"/>
        <v>3091.33</v>
      </c>
    </row>
    <row r="322" spans="5:10" x14ac:dyDescent="0.2">
      <c r="E322" s="400">
        <v>239</v>
      </c>
      <c r="F322" s="400">
        <v>7</v>
      </c>
      <c r="G322" s="400">
        <v>20</v>
      </c>
      <c r="H322" s="400">
        <v>0</v>
      </c>
      <c r="I322" s="400">
        <v>16</v>
      </c>
      <c r="J322" s="479">
        <f t="shared" si="327"/>
        <v>2199.11</v>
      </c>
    </row>
    <row r="323" spans="5:10" x14ac:dyDescent="0.2">
      <c r="E323" s="400">
        <v>240</v>
      </c>
      <c r="F323" s="400">
        <v>7</v>
      </c>
      <c r="G323" s="400">
        <v>20</v>
      </c>
      <c r="H323" s="400">
        <v>1</v>
      </c>
      <c r="I323" s="400">
        <v>16</v>
      </c>
      <c r="J323" s="479">
        <f t="shared" si="327"/>
        <v>2400.1799999999998</v>
      </c>
    </row>
    <row r="324" spans="5:10" x14ac:dyDescent="0.2">
      <c r="E324" s="400">
        <v>241</v>
      </c>
      <c r="F324" s="400">
        <v>7</v>
      </c>
      <c r="G324" s="400">
        <v>20</v>
      </c>
      <c r="H324" s="400">
        <v>2</v>
      </c>
      <c r="I324" s="400">
        <v>16</v>
      </c>
      <c r="J324" s="479">
        <f t="shared" si="327"/>
        <v>2601.2399999999998</v>
      </c>
    </row>
    <row r="325" spans="5:10" x14ac:dyDescent="0.2">
      <c r="E325" s="400">
        <v>242</v>
      </c>
      <c r="F325" s="400">
        <v>7</v>
      </c>
      <c r="G325" s="400">
        <v>20</v>
      </c>
      <c r="H325" s="400">
        <v>3</v>
      </c>
      <c r="I325" s="400">
        <v>16</v>
      </c>
      <c r="J325" s="479">
        <f t="shared" si="327"/>
        <v>2802.3</v>
      </c>
    </row>
    <row r="326" spans="5:10" x14ac:dyDescent="0.2">
      <c r="E326" s="400">
        <v>243</v>
      </c>
      <c r="F326" s="400">
        <v>7</v>
      </c>
      <c r="G326" s="400">
        <v>20</v>
      </c>
      <c r="H326" s="400">
        <v>4</v>
      </c>
      <c r="I326" s="400">
        <v>16</v>
      </c>
      <c r="J326" s="479">
        <f t="shared" si="327"/>
        <v>3003.36</v>
      </c>
    </row>
    <row r="327" spans="5:10" x14ac:dyDescent="0.2">
      <c r="E327" s="400">
        <v>244</v>
      </c>
      <c r="F327" s="400">
        <v>7</v>
      </c>
      <c r="G327" s="400">
        <v>20</v>
      </c>
      <c r="H327" s="400">
        <v>5</v>
      </c>
      <c r="I327" s="400">
        <v>16</v>
      </c>
      <c r="J327" s="479">
        <f t="shared" si="327"/>
        <v>3204.42</v>
      </c>
    </row>
    <row r="328" spans="5:10" x14ac:dyDescent="0.2">
      <c r="E328" s="400">
        <v>245</v>
      </c>
      <c r="F328" s="400">
        <v>7</v>
      </c>
      <c r="G328" s="400">
        <v>20</v>
      </c>
      <c r="H328" s="400">
        <v>6</v>
      </c>
      <c r="I328" s="400">
        <v>16</v>
      </c>
      <c r="J328" s="479">
        <f t="shared" si="327"/>
        <v>3405.49</v>
      </c>
    </row>
  </sheetData>
  <mergeCells count="2">
    <mergeCell ref="C10:D10"/>
    <mergeCell ref="C45:D45"/>
  </mergeCells>
  <printOptions horizontalCentered="1" verticalCentered="1"/>
  <pageMargins left="0.25" right="0" top="0.25" bottom="0.5" header="0" footer="0.5"/>
  <pageSetup scale="44"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36"/>
  <sheetViews>
    <sheetView zoomScaleNormal="100" workbookViewId="0">
      <selection activeCell="E27" sqref="E27"/>
    </sheetView>
  </sheetViews>
  <sheetFormatPr defaultColWidth="8.85546875" defaultRowHeight="15" customHeight="1" x14ac:dyDescent="0.25"/>
  <cols>
    <col min="1" max="1" width="10.28515625" style="1" customWidth="1"/>
    <col min="2" max="2" width="8.5703125" style="1" bestFit="1" customWidth="1"/>
    <col min="3" max="3" width="24" style="1" bestFit="1" customWidth="1"/>
    <col min="4" max="4" width="12" style="1" customWidth="1"/>
    <col min="5" max="5" width="15.28515625" style="1" customWidth="1"/>
    <col min="6" max="6" width="17" style="1" customWidth="1"/>
    <col min="7" max="7" width="11.85546875" style="1" customWidth="1"/>
    <col min="8" max="8" width="13.42578125" style="1" customWidth="1"/>
    <col min="9" max="10" width="13.28515625" style="1" customWidth="1"/>
    <col min="11" max="11" width="12.140625" style="1" customWidth="1"/>
    <col min="12" max="12" width="16.42578125" style="1" customWidth="1"/>
    <col min="13" max="13" width="13" style="1" customWidth="1"/>
    <col min="14" max="14" width="10" style="1" customWidth="1"/>
    <col min="15" max="15" width="11.42578125" style="1" customWidth="1"/>
    <col min="16" max="16" width="12.7109375" style="1" customWidth="1"/>
    <col min="17" max="17" width="13.42578125" style="1" customWidth="1"/>
    <col min="18" max="18" width="11.28515625" style="1" customWidth="1"/>
    <col min="19" max="19" width="11.7109375" style="1" customWidth="1"/>
    <col min="20" max="21" width="13.42578125" style="1" customWidth="1"/>
    <col min="22" max="22" width="15.42578125" style="1" customWidth="1"/>
    <col min="23" max="23" width="30.140625" style="1" customWidth="1"/>
    <col min="24" max="24" width="12" style="1" customWidth="1"/>
    <col min="25" max="26" width="8.85546875" style="1"/>
    <col min="27" max="27" width="13" style="1" customWidth="1"/>
    <col min="28" max="28" width="12.7109375" style="1" customWidth="1"/>
    <col min="29" max="29" width="11.7109375" style="1" customWidth="1"/>
    <col min="30" max="31" width="10" style="1" customWidth="1"/>
    <col min="32" max="16384" width="8.85546875" style="1"/>
  </cols>
  <sheetData>
    <row r="1" spans="1:23" ht="15" customHeight="1" x14ac:dyDescent="0.25">
      <c r="A1" s="1029" t="s">
        <v>257</v>
      </c>
      <c r="B1" s="1029">
        <f>GeneralInput!$C$23</f>
        <v>500</v>
      </c>
      <c r="D1" s="1029" t="s">
        <v>299</v>
      </c>
      <c r="E1" s="1029">
        <v>1.25</v>
      </c>
    </row>
    <row r="2" spans="1:23" ht="15" customHeight="1" x14ac:dyDescent="0.25">
      <c r="A2" s="1029" t="s">
        <v>204</v>
      </c>
      <c r="B2" s="1029">
        <f>GeneralInput!$C$15</f>
        <v>50</v>
      </c>
      <c r="D2" s="1029" t="s">
        <v>300</v>
      </c>
      <c r="E2" s="1029">
        <v>1.5</v>
      </c>
      <c r="F2" s="1029" t="s">
        <v>301</v>
      </c>
    </row>
    <row r="3" spans="1:23" x14ac:dyDescent="0.25">
      <c r="D3" s="1029" t="s">
        <v>300</v>
      </c>
      <c r="E3" s="1029">
        <v>1.2</v>
      </c>
      <c r="F3" s="1029" t="s">
        <v>302</v>
      </c>
      <c r="J3" s="844"/>
      <c r="W3" s="23"/>
    </row>
    <row r="4" spans="1:23" x14ac:dyDescent="0.25">
      <c r="J4" s="844"/>
    </row>
    <row r="5" spans="1:23" x14ac:dyDescent="0.25">
      <c r="A5" s="1029" t="s">
        <v>303</v>
      </c>
      <c r="B5" s="1029" t="s">
        <v>304</v>
      </c>
      <c r="J5" s="844"/>
    </row>
    <row r="6" spans="1:23" ht="48.75" x14ac:dyDescent="0.25">
      <c r="A6" s="1028" t="s">
        <v>305</v>
      </c>
      <c r="B6" s="1028" t="s">
        <v>306</v>
      </c>
      <c r="C6" s="1034" t="s">
        <v>307</v>
      </c>
      <c r="D6" s="1028" t="s">
        <v>308</v>
      </c>
      <c r="E6" s="1042" t="s">
        <v>309</v>
      </c>
      <c r="F6" s="1042" t="s">
        <v>310</v>
      </c>
      <c r="G6" s="1042" t="s">
        <v>311</v>
      </c>
      <c r="H6" s="1042" t="s">
        <v>312</v>
      </c>
      <c r="I6" s="1042" t="s">
        <v>313</v>
      </c>
      <c r="J6" s="1042" t="s">
        <v>314</v>
      </c>
      <c r="K6" s="1042" t="s">
        <v>315</v>
      </c>
      <c r="L6" s="1042" t="s">
        <v>316</v>
      </c>
      <c r="M6" s="1028" t="s">
        <v>317</v>
      </c>
      <c r="N6" s="1028" t="s">
        <v>318</v>
      </c>
      <c r="O6" s="1040" t="s">
        <v>319</v>
      </c>
      <c r="P6" s="1040" t="s">
        <v>320</v>
      </c>
      <c r="Q6" s="1030" t="s">
        <v>321</v>
      </c>
      <c r="T6" s="1033" t="s">
        <v>322</v>
      </c>
      <c r="U6" s="1033" t="s">
        <v>323</v>
      </c>
      <c r="V6" s="1033" t="s">
        <v>324</v>
      </c>
      <c r="W6" s="1033" t="s">
        <v>325</v>
      </c>
    </row>
    <row r="7" spans="1:23" x14ac:dyDescent="0.25">
      <c r="A7" s="1043">
        <f>'Detailing(OMRF&amp;SMRF)'!B65</f>
        <v>5</v>
      </c>
      <c r="B7" s="1031" t="s">
        <v>326</v>
      </c>
      <c r="C7" s="1031" t="s">
        <v>327</v>
      </c>
      <c r="D7" s="1039">
        <v>304</v>
      </c>
      <c r="E7" s="1032">
        <f>'Detailing(OMRF&amp;SMRF)'!Q65</f>
        <v>2060.8847807549041</v>
      </c>
      <c r="F7" s="1032">
        <f>'Detailing(OMRF&amp;SMRF)'!X65</f>
        <v>1610.0662349647689</v>
      </c>
      <c r="G7" s="1032">
        <f>($E$1*$B$1*E7)/1000</f>
        <v>1288.0529879718151</v>
      </c>
      <c r="H7" s="1032">
        <f>($E$1*$B$1*F7)/1000</f>
        <v>1006.2913968529806</v>
      </c>
      <c r="I7" s="1038">
        <f>RxnCheck!L11</f>
        <v>600</v>
      </c>
      <c r="J7" s="1038">
        <f>RxnCheck!M11</f>
        <v>600</v>
      </c>
      <c r="K7" s="1038">
        <f>RxnCheck!X11</f>
        <v>400</v>
      </c>
      <c r="L7" s="1038">
        <f>W7</f>
        <v>600</v>
      </c>
      <c r="M7" s="1038">
        <f>(L7*J7)</f>
        <v>360000</v>
      </c>
      <c r="N7" s="1032">
        <f>(G7+H7-D7)</f>
        <v>1990.3443848247957</v>
      </c>
      <c r="O7" s="1046">
        <f>(N7/M7)*1000</f>
        <v>5.5287344022910991</v>
      </c>
      <c r="P7" s="1046">
        <f>$E$2*($B$2)^0.5</f>
        <v>10.606601717798213</v>
      </c>
      <c r="Q7" s="1047" t="str">
        <f>IF(O7&lt;P7, "OK", "NOT OK")</f>
        <v>OK</v>
      </c>
      <c r="T7" s="1038">
        <f>(K7+J7)</f>
        <v>1000</v>
      </c>
      <c r="U7" s="1038">
        <f>(I7-K7)/2</f>
        <v>100</v>
      </c>
      <c r="V7" s="1038">
        <f>(K7+2*U7)</f>
        <v>600</v>
      </c>
      <c r="W7" s="1038">
        <f>MIN(T7,V7)</f>
        <v>600</v>
      </c>
    </row>
    <row r="8" spans="1:23" x14ac:dyDescent="0.25">
      <c r="A8" s="1043">
        <f>'Detailing(OMRF&amp;SMRF)'!B66</f>
        <v>4</v>
      </c>
      <c r="B8" s="1031" t="s">
        <v>326</v>
      </c>
      <c r="C8" s="1031" t="s">
        <v>327</v>
      </c>
      <c r="D8" s="1039">
        <v>468</v>
      </c>
      <c r="E8" s="1032">
        <f>'Detailing(OMRF&amp;SMRF)'!Q66</f>
        <v>2866.7032964006862</v>
      </c>
      <c r="F8" s="1032">
        <f>'Detailing(OMRF&amp;SMRF)'!X66</f>
        <v>1610.0662349647689</v>
      </c>
      <c r="G8" s="1032">
        <f t="shared" ref="G8:G11" si="0">($E$1*$B$1*E8)/1000</f>
        <v>1791.6895602504289</v>
      </c>
      <c r="H8" s="1032">
        <f t="shared" ref="H8:H11" si="1">($E$1*$B$1*F8)/1000</f>
        <v>1006.2913968529806</v>
      </c>
      <c r="I8" s="1038">
        <f>RxnCheck!L12</f>
        <v>600</v>
      </c>
      <c r="J8" s="1038">
        <f>RxnCheck!M12</f>
        <v>600</v>
      </c>
      <c r="K8" s="1038">
        <f>RxnCheck!X12</f>
        <v>400</v>
      </c>
      <c r="L8" s="1038">
        <f t="shared" ref="L8:L11" si="2">W8</f>
        <v>600</v>
      </c>
      <c r="M8" s="1038">
        <f t="shared" ref="M8:M11" si="3">(L8*J8)</f>
        <v>360000</v>
      </c>
      <c r="N8" s="1032">
        <f t="shared" ref="N8:N11" si="4">(G8+H8-D8)</f>
        <v>2329.9809571034093</v>
      </c>
      <c r="O8" s="1046">
        <f t="shared" ref="O8:O11" si="5">(N8/M8)*1000</f>
        <v>6.4721693252872488</v>
      </c>
      <c r="P8" s="1046">
        <f t="shared" ref="P8:P11" si="6">$E$2*($B$2)^0.5</f>
        <v>10.606601717798213</v>
      </c>
      <c r="Q8" s="1047" t="str">
        <f t="shared" ref="Q8:Q11" si="7">IF(O8&lt;P8, "OK", "NOT OK")</f>
        <v>OK</v>
      </c>
      <c r="T8" s="1038">
        <f t="shared" ref="T8:T18" si="8">(K8+J8)</f>
        <v>1000</v>
      </c>
      <c r="U8" s="1038">
        <f t="shared" ref="U8:U18" si="9">(I8-K8)/2</f>
        <v>100</v>
      </c>
      <c r="V8" s="1038">
        <f t="shared" ref="V8:V18" si="10">(K8+2*U8)</f>
        <v>600</v>
      </c>
      <c r="W8" s="1038">
        <f t="shared" ref="W8:W18" si="11">MIN(T8,V8)</f>
        <v>600</v>
      </c>
    </row>
    <row r="9" spans="1:23" x14ac:dyDescent="0.25">
      <c r="A9" s="1043">
        <f>'Detailing(OMRF&amp;SMRF)'!B67</f>
        <v>3</v>
      </c>
      <c r="B9" s="1031" t="s">
        <v>326</v>
      </c>
      <c r="C9" s="1031" t="s">
        <v>327</v>
      </c>
      <c r="D9" s="1039">
        <v>598</v>
      </c>
      <c r="E9" s="1032">
        <f>'Detailing(OMRF&amp;SMRF)'!Q67</f>
        <v>3347.3669723999246</v>
      </c>
      <c r="F9" s="1032">
        <f>'Detailing(OMRF&amp;SMRF)'!X67</f>
        <v>1610.0662349647689</v>
      </c>
      <c r="G9" s="1032">
        <f t="shared" si="0"/>
        <v>2092.1043577499531</v>
      </c>
      <c r="H9" s="1032">
        <f t="shared" si="1"/>
        <v>1006.2913968529806</v>
      </c>
      <c r="I9" s="1038">
        <f>RxnCheck!L13</f>
        <v>600</v>
      </c>
      <c r="J9" s="1038">
        <f>RxnCheck!M13</f>
        <v>600</v>
      </c>
      <c r="K9" s="1038">
        <f>RxnCheck!X13</f>
        <v>400</v>
      </c>
      <c r="L9" s="1038">
        <f t="shared" si="2"/>
        <v>600</v>
      </c>
      <c r="M9" s="1038">
        <f t="shared" si="3"/>
        <v>360000</v>
      </c>
      <c r="N9" s="1032">
        <f t="shared" si="4"/>
        <v>2500.3957546029337</v>
      </c>
      <c r="O9" s="1046">
        <f t="shared" si="5"/>
        <v>6.9455437627859267</v>
      </c>
      <c r="P9" s="1046">
        <f t="shared" si="6"/>
        <v>10.606601717798213</v>
      </c>
      <c r="Q9" s="1047" t="str">
        <f t="shared" si="7"/>
        <v>OK</v>
      </c>
      <c r="T9" s="1038">
        <f t="shared" si="8"/>
        <v>1000</v>
      </c>
      <c r="U9" s="1038">
        <f t="shared" si="9"/>
        <v>100</v>
      </c>
      <c r="V9" s="1038">
        <f t="shared" si="10"/>
        <v>600</v>
      </c>
      <c r="W9" s="1038">
        <f t="shared" si="11"/>
        <v>600</v>
      </c>
    </row>
    <row r="10" spans="1:23" x14ac:dyDescent="0.25">
      <c r="A10" s="1043">
        <f>'Detailing(OMRF&amp;SMRF)'!B68</f>
        <v>2</v>
      </c>
      <c r="B10" s="1031" t="s">
        <v>326</v>
      </c>
      <c r="C10" s="1031" t="s">
        <v>327</v>
      </c>
      <c r="D10" s="1039">
        <v>637</v>
      </c>
      <c r="E10" s="1032">
        <f>'Detailing(OMRF&amp;SMRF)'!Q68</f>
        <v>3573.5616434583899</v>
      </c>
      <c r="F10" s="1032">
        <f>'Detailing(OMRF&amp;SMRF)'!X68</f>
        <v>1963.4954084936207</v>
      </c>
      <c r="G10" s="1032">
        <f t="shared" si="0"/>
        <v>2233.4760271614937</v>
      </c>
      <c r="H10" s="1032">
        <f t="shared" si="1"/>
        <v>1227.1846303085131</v>
      </c>
      <c r="I10" s="1038">
        <f>RxnCheck!L14</f>
        <v>600</v>
      </c>
      <c r="J10" s="1038">
        <f>RxnCheck!M14</f>
        <v>600</v>
      </c>
      <c r="K10" s="1038">
        <f>RxnCheck!X14</f>
        <v>400</v>
      </c>
      <c r="L10" s="1038">
        <f t="shared" si="2"/>
        <v>600</v>
      </c>
      <c r="M10" s="1038">
        <f t="shared" si="3"/>
        <v>360000</v>
      </c>
      <c r="N10" s="1032">
        <f t="shared" si="4"/>
        <v>2823.6606574700068</v>
      </c>
      <c r="O10" s="1046">
        <f t="shared" si="5"/>
        <v>7.8435018263055731</v>
      </c>
      <c r="P10" s="1046">
        <f t="shared" si="6"/>
        <v>10.606601717798213</v>
      </c>
      <c r="Q10" s="1047" t="str">
        <f t="shared" si="7"/>
        <v>OK</v>
      </c>
      <c r="T10" s="1038">
        <f t="shared" si="8"/>
        <v>1000</v>
      </c>
      <c r="U10" s="1038">
        <f t="shared" si="9"/>
        <v>100</v>
      </c>
      <c r="V10" s="1038">
        <f t="shared" si="10"/>
        <v>600</v>
      </c>
      <c r="W10" s="1038">
        <f t="shared" si="11"/>
        <v>600</v>
      </c>
    </row>
    <row r="11" spans="1:23" x14ac:dyDescent="0.25">
      <c r="A11" s="1043">
        <f>'Detailing(OMRF&amp;SMRF)'!B69</f>
        <v>1</v>
      </c>
      <c r="B11" s="1031" t="s">
        <v>326</v>
      </c>
      <c r="C11" s="1031" t="s">
        <v>327</v>
      </c>
      <c r="D11" s="1039">
        <v>614</v>
      </c>
      <c r="E11" s="1032">
        <f>'Detailing(OMRF&amp;SMRF)'!Q69</f>
        <v>3347.3669723999246</v>
      </c>
      <c r="F11" s="1032">
        <f>'Detailing(OMRF&amp;SMRF)'!X69</f>
        <v>1963.4954084936207</v>
      </c>
      <c r="G11" s="1032">
        <f t="shared" si="0"/>
        <v>2092.1043577499531</v>
      </c>
      <c r="H11" s="1032">
        <f t="shared" si="1"/>
        <v>1227.1846303085131</v>
      </c>
      <c r="I11" s="1038">
        <f>RxnCheck!L15</f>
        <v>600</v>
      </c>
      <c r="J11" s="1038">
        <f>RxnCheck!M15</f>
        <v>600</v>
      </c>
      <c r="K11" s="1038">
        <f>RxnCheck!X15</f>
        <v>400</v>
      </c>
      <c r="L11" s="1038">
        <f t="shared" si="2"/>
        <v>600</v>
      </c>
      <c r="M11" s="1038">
        <f t="shared" si="3"/>
        <v>360000</v>
      </c>
      <c r="N11" s="1032">
        <f t="shared" si="4"/>
        <v>2705.2889880584662</v>
      </c>
      <c r="O11" s="1046">
        <f t="shared" si="5"/>
        <v>7.5146916334957394</v>
      </c>
      <c r="P11" s="1046">
        <f t="shared" si="6"/>
        <v>10.606601717798213</v>
      </c>
      <c r="Q11" s="1047" t="str">
        <f t="shared" si="7"/>
        <v>OK</v>
      </c>
      <c r="T11" s="1038">
        <f t="shared" si="8"/>
        <v>1000</v>
      </c>
      <c r="U11" s="1038">
        <f t="shared" si="9"/>
        <v>100</v>
      </c>
      <c r="V11" s="1038">
        <f t="shared" si="10"/>
        <v>600</v>
      </c>
      <c r="W11" s="1038">
        <f t="shared" si="11"/>
        <v>600</v>
      </c>
    </row>
    <row r="12" spans="1:23" hidden="1" x14ac:dyDescent="0.25">
      <c r="A12" s="1043">
        <f>'Detailing(OMRF&amp;SMRF)'!B70</f>
        <v>0</v>
      </c>
      <c r="B12" s="1031"/>
      <c r="C12" s="1031"/>
      <c r="D12" s="1033"/>
      <c r="E12" s="1038"/>
      <c r="F12" s="1038"/>
      <c r="G12" s="1038"/>
      <c r="H12" s="1038"/>
      <c r="I12" s="1038"/>
      <c r="J12" s="1038"/>
      <c r="K12" s="1038"/>
      <c r="L12" s="1038"/>
      <c r="M12" s="1038"/>
      <c r="N12" s="1038"/>
      <c r="O12" s="1038"/>
      <c r="P12" s="1038"/>
      <c r="Q12" s="1038"/>
      <c r="T12" s="1038">
        <f t="shared" si="8"/>
        <v>0</v>
      </c>
      <c r="U12" s="1038">
        <f t="shared" si="9"/>
        <v>0</v>
      </c>
      <c r="V12" s="1038">
        <f t="shared" si="10"/>
        <v>0</v>
      </c>
      <c r="W12" s="1038">
        <f t="shared" si="11"/>
        <v>0</v>
      </c>
    </row>
    <row r="13" spans="1:23" hidden="1" x14ac:dyDescent="0.25">
      <c r="A13" s="1043">
        <f>'Detailing(OMRF&amp;SMRF)'!B71</f>
        <v>-1</v>
      </c>
      <c r="B13" s="1033"/>
      <c r="C13" s="1033"/>
      <c r="D13" s="1033"/>
      <c r="E13" s="1038"/>
      <c r="F13" s="1038"/>
      <c r="G13" s="1038"/>
      <c r="H13" s="1038"/>
      <c r="I13" s="1038"/>
      <c r="J13" s="1038"/>
      <c r="K13" s="1038"/>
      <c r="L13" s="1038"/>
      <c r="M13" s="1038"/>
      <c r="N13" s="1038"/>
      <c r="O13" s="1038"/>
      <c r="P13" s="1038"/>
      <c r="Q13" s="1038"/>
      <c r="T13" s="1038">
        <f t="shared" si="8"/>
        <v>0</v>
      </c>
      <c r="U13" s="1038">
        <f t="shared" si="9"/>
        <v>0</v>
      </c>
      <c r="V13" s="1038">
        <f t="shared" si="10"/>
        <v>0</v>
      </c>
      <c r="W13" s="1038">
        <f t="shared" si="11"/>
        <v>0</v>
      </c>
    </row>
    <row r="14" spans="1:23" hidden="1" x14ac:dyDescent="0.25">
      <c r="A14" s="1043">
        <f>'Detailing(OMRF&amp;SMRF)'!B72</f>
        <v>-2</v>
      </c>
      <c r="B14" s="1033"/>
      <c r="C14" s="1033"/>
      <c r="D14" s="1033"/>
      <c r="E14" s="1038"/>
      <c r="F14" s="1038"/>
      <c r="G14" s="1038"/>
      <c r="H14" s="1038"/>
      <c r="I14" s="1038"/>
      <c r="J14" s="1038"/>
      <c r="K14" s="1038"/>
      <c r="L14" s="1038"/>
      <c r="M14" s="1038"/>
      <c r="N14" s="1038"/>
      <c r="O14" s="1038"/>
      <c r="P14" s="1038"/>
      <c r="Q14" s="1038"/>
      <c r="T14" s="1038">
        <f t="shared" si="8"/>
        <v>0</v>
      </c>
      <c r="U14" s="1038">
        <f t="shared" si="9"/>
        <v>0</v>
      </c>
      <c r="V14" s="1038">
        <f t="shared" si="10"/>
        <v>0</v>
      </c>
      <c r="W14" s="1038">
        <f t="shared" si="11"/>
        <v>0</v>
      </c>
    </row>
    <row r="15" spans="1:23" hidden="1" x14ac:dyDescent="0.25">
      <c r="A15" s="1043">
        <f>'Detailing(OMRF&amp;SMRF)'!B73</f>
        <v>-3</v>
      </c>
      <c r="B15" s="1033"/>
      <c r="C15" s="1033"/>
      <c r="D15" s="1033"/>
      <c r="E15" s="1038"/>
      <c r="F15" s="1038"/>
      <c r="G15" s="1038"/>
      <c r="H15" s="1038"/>
      <c r="I15" s="1038"/>
      <c r="J15" s="1038"/>
      <c r="K15" s="1038"/>
      <c r="L15" s="1038"/>
      <c r="M15" s="1038"/>
      <c r="N15" s="1038"/>
      <c r="O15" s="1038"/>
      <c r="P15" s="1038"/>
      <c r="Q15" s="1038"/>
      <c r="T15" s="1038">
        <f t="shared" si="8"/>
        <v>0</v>
      </c>
      <c r="U15" s="1038">
        <f t="shared" si="9"/>
        <v>0</v>
      </c>
      <c r="V15" s="1038">
        <f t="shared" si="10"/>
        <v>0</v>
      </c>
      <c r="W15" s="1038">
        <f t="shared" si="11"/>
        <v>0</v>
      </c>
    </row>
    <row r="16" spans="1:23" hidden="1" x14ac:dyDescent="0.25">
      <c r="A16" s="1043">
        <f>'Detailing(OMRF&amp;SMRF)'!B74</f>
        <v>-4</v>
      </c>
      <c r="B16" s="1033"/>
      <c r="C16" s="1033"/>
      <c r="D16" s="1033"/>
      <c r="E16" s="1038"/>
      <c r="F16" s="1038"/>
      <c r="G16" s="1038"/>
      <c r="H16" s="1038"/>
      <c r="I16" s="1038"/>
      <c r="J16" s="1038"/>
      <c r="K16" s="1038"/>
      <c r="L16" s="1038"/>
      <c r="M16" s="1038"/>
      <c r="N16" s="1038"/>
      <c r="O16" s="1038"/>
      <c r="P16" s="1038"/>
      <c r="Q16" s="1038"/>
      <c r="T16" s="1038">
        <f t="shared" si="8"/>
        <v>0</v>
      </c>
      <c r="U16" s="1038">
        <f t="shared" si="9"/>
        <v>0</v>
      </c>
      <c r="V16" s="1038">
        <f t="shared" si="10"/>
        <v>0</v>
      </c>
      <c r="W16" s="1038">
        <f t="shared" si="11"/>
        <v>0</v>
      </c>
    </row>
    <row r="17" spans="1:23" hidden="1" x14ac:dyDescent="0.25">
      <c r="A17" s="1043">
        <f>'Detailing(OMRF&amp;SMRF)'!B75</f>
        <v>-5</v>
      </c>
      <c r="B17" s="1033"/>
      <c r="C17" s="1033"/>
      <c r="D17" s="1033"/>
      <c r="E17" s="1038"/>
      <c r="F17" s="1038"/>
      <c r="G17" s="1038"/>
      <c r="H17" s="1038"/>
      <c r="I17" s="1038"/>
      <c r="J17" s="1038"/>
      <c r="K17" s="1038"/>
      <c r="L17" s="1038"/>
      <c r="M17" s="1038"/>
      <c r="N17" s="1038"/>
      <c r="O17" s="1038"/>
      <c r="P17" s="1038"/>
      <c r="Q17" s="1038"/>
      <c r="T17" s="1038">
        <f t="shared" si="8"/>
        <v>0</v>
      </c>
      <c r="U17" s="1038">
        <f t="shared" si="9"/>
        <v>0</v>
      </c>
      <c r="V17" s="1038">
        <f t="shared" si="10"/>
        <v>0</v>
      </c>
      <c r="W17" s="1038">
        <f t="shared" si="11"/>
        <v>0</v>
      </c>
    </row>
    <row r="18" spans="1:23" ht="15" hidden="1" customHeight="1" x14ac:dyDescent="0.25">
      <c r="A18" s="1043">
        <f>'Detailing(OMRF&amp;SMRF)'!B76</f>
        <v>-6</v>
      </c>
      <c r="B18" s="1038"/>
      <c r="C18" s="1038"/>
      <c r="D18" s="1038"/>
      <c r="E18" s="1038"/>
      <c r="F18" s="1038"/>
      <c r="G18" s="1038"/>
      <c r="H18" s="1038"/>
      <c r="I18" s="1038"/>
      <c r="J18" s="1038"/>
      <c r="K18" s="1038"/>
      <c r="L18" s="1038"/>
      <c r="M18" s="1038"/>
      <c r="N18" s="1038"/>
      <c r="O18" s="1038"/>
      <c r="P18" s="1038"/>
      <c r="Q18" s="1038"/>
      <c r="T18" s="1038">
        <f t="shared" si="8"/>
        <v>0</v>
      </c>
      <c r="U18" s="1038">
        <f t="shared" si="9"/>
        <v>0</v>
      </c>
      <c r="V18" s="1038">
        <f t="shared" si="10"/>
        <v>0</v>
      </c>
      <c r="W18" s="1038">
        <f t="shared" si="11"/>
        <v>0</v>
      </c>
    </row>
    <row r="23" spans="1:23" ht="15" customHeight="1" x14ac:dyDescent="0.25">
      <c r="A23" s="1029" t="s">
        <v>303</v>
      </c>
      <c r="B23" s="1029" t="s">
        <v>328</v>
      </c>
      <c r="J23" s="844"/>
      <c r="O23" s="1041"/>
      <c r="P23" s="1041"/>
    </row>
    <row r="24" spans="1:23" ht="50.25" customHeight="1" x14ac:dyDescent="0.25">
      <c r="A24" s="1035" t="s">
        <v>305</v>
      </c>
      <c r="B24" s="1035" t="s">
        <v>306</v>
      </c>
      <c r="C24" s="1044" t="s">
        <v>307</v>
      </c>
      <c r="D24" s="1035" t="s">
        <v>329</v>
      </c>
      <c r="E24" s="1036" t="s">
        <v>309</v>
      </c>
      <c r="F24" s="1036" t="s">
        <v>310</v>
      </c>
      <c r="G24" s="1036" t="s">
        <v>311</v>
      </c>
      <c r="H24" s="1036" t="s">
        <v>312</v>
      </c>
      <c r="I24" s="1036" t="s">
        <v>313</v>
      </c>
      <c r="J24" s="1036" t="s">
        <v>314</v>
      </c>
      <c r="K24" s="1036" t="s">
        <v>315</v>
      </c>
      <c r="L24" s="1036" t="s">
        <v>316</v>
      </c>
      <c r="M24" s="1035" t="s">
        <v>317</v>
      </c>
      <c r="N24" s="1035" t="s">
        <v>318</v>
      </c>
      <c r="O24" s="1045" t="s">
        <v>319</v>
      </c>
      <c r="P24" s="1045" t="s">
        <v>320</v>
      </c>
      <c r="Q24" s="1037" t="s">
        <v>321</v>
      </c>
      <c r="T24" s="1033" t="s">
        <v>322</v>
      </c>
      <c r="U24" s="1033" t="s">
        <v>323</v>
      </c>
      <c r="V24" s="1033" t="s">
        <v>324</v>
      </c>
      <c r="W24" s="1033" t="s">
        <v>325</v>
      </c>
    </row>
    <row r="25" spans="1:23" ht="15" customHeight="1" x14ac:dyDescent="0.25">
      <c r="A25" s="1042">
        <f>'Detailing(OMRF&amp;SMRF)'!B65</f>
        <v>5</v>
      </c>
      <c r="B25" s="1048" t="s">
        <v>330</v>
      </c>
      <c r="C25" s="1048" t="s">
        <v>327</v>
      </c>
      <c r="D25" s="1049">
        <v>135</v>
      </c>
      <c r="E25" s="1050" t="s">
        <v>331</v>
      </c>
      <c r="F25" s="1050">
        <f>'Detailing(OMRF&amp;SMRF)'!X65</f>
        <v>1610.0662349647689</v>
      </c>
      <c r="G25" s="1050" t="s">
        <v>331</v>
      </c>
      <c r="H25" s="1050">
        <f>($E$1*$B$1*F25)/1000</f>
        <v>1006.2913968529806</v>
      </c>
      <c r="I25" s="1033">
        <f>RxnCheck!J11</f>
        <v>450</v>
      </c>
      <c r="J25" s="1033">
        <f>RxnCheck!K11</f>
        <v>600</v>
      </c>
      <c r="K25" s="1033">
        <f>RxnCheck!X11</f>
        <v>400</v>
      </c>
      <c r="L25" s="1033">
        <f>W25</f>
        <v>450</v>
      </c>
      <c r="M25" s="1033">
        <f>(L25*J25)</f>
        <v>270000</v>
      </c>
      <c r="N25" s="1050">
        <f>(H25-D25)</f>
        <v>871.2913968529806</v>
      </c>
      <c r="O25" s="1051">
        <f>(N25/M25)*1000</f>
        <v>3.2270051735295575</v>
      </c>
      <c r="P25" s="1051">
        <f>$E$3*($B$2)^0.5</f>
        <v>8.4852813742385695</v>
      </c>
      <c r="Q25" s="1047" t="str">
        <f>IF(O25&lt;P25, "OK", "NOT OK")</f>
        <v>OK</v>
      </c>
      <c r="T25" s="1038">
        <f>(K25+J25)</f>
        <v>1000</v>
      </c>
      <c r="U25" s="1038">
        <f>(I25-K25)/2</f>
        <v>25</v>
      </c>
      <c r="V25" s="1038">
        <f>(K25+2*U25)</f>
        <v>450</v>
      </c>
      <c r="W25" s="1038">
        <f>MIN(T25,V25)</f>
        <v>450</v>
      </c>
    </row>
    <row r="26" spans="1:23" ht="15" customHeight="1" x14ac:dyDescent="0.25">
      <c r="A26" s="1042">
        <f>'Detailing(OMRF&amp;SMRF)'!B66</f>
        <v>4</v>
      </c>
      <c r="B26" s="1052" t="s">
        <v>330</v>
      </c>
      <c r="C26" s="1048" t="s">
        <v>327</v>
      </c>
      <c r="D26" s="1049">
        <v>266</v>
      </c>
      <c r="E26" s="1050" t="s">
        <v>331</v>
      </c>
      <c r="F26" s="1050">
        <f>'Detailing(OMRF&amp;SMRF)'!X66</f>
        <v>1610.0662349647689</v>
      </c>
      <c r="G26" s="1050" t="s">
        <v>331</v>
      </c>
      <c r="H26" s="1050">
        <f t="shared" ref="H26:H29" si="12">($E$1*$B$1*F26)/1000</f>
        <v>1006.2913968529806</v>
      </c>
      <c r="I26" s="1033">
        <f>RxnCheck!J12</f>
        <v>450</v>
      </c>
      <c r="J26" s="1033">
        <f>RxnCheck!K12</f>
        <v>600</v>
      </c>
      <c r="K26" s="1033">
        <f>RxnCheck!X12</f>
        <v>400</v>
      </c>
      <c r="L26" s="1033">
        <f t="shared" ref="L26:L29" si="13">W26</f>
        <v>450</v>
      </c>
      <c r="M26" s="1033">
        <f t="shared" ref="M26:M29" si="14">(L26*J26)</f>
        <v>270000</v>
      </c>
      <c r="N26" s="1050">
        <f t="shared" ref="N26:N29" si="15">(H26-D26)</f>
        <v>740.2913968529806</v>
      </c>
      <c r="O26" s="1051">
        <f t="shared" ref="O26:O29" si="16">(N26/M26)*1000</f>
        <v>2.7418199883443726</v>
      </c>
      <c r="P26" s="1051">
        <f t="shared" ref="P26:P29" si="17">$E$3*($B$2)^0.5</f>
        <v>8.4852813742385695</v>
      </c>
      <c r="Q26" s="1047" t="str">
        <f t="shared" ref="Q26:Q29" si="18">IF(O26&lt;P26, "OK", "NOT OK")</f>
        <v>OK</v>
      </c>
      <c r="T26" s="1038">
        <f t="shared" ref="T26:T36" si="19">(K26+J26)</f>
        <v>1000</v>
      </c>
      <c r="U26" s="1038">
        <f t="shared" ref="U26:U36" si="20">(I26-K26)/2</f>
        <v>25</v>
      </c>
      <c r="V26" s="1038">
        <f t="shared" ref="V26:V36" si="21">(K26+2*U26)</f>
        <v>450</v>
      </c>
      <c r="W26" s="1038">
        <f t="shared" ref="W26:W36" si="22">MIN(T26,V26)</f>
        <v>450</v>
      </c>
    </row>
    <row r="27" spans="1:23" ht="15" customHeight="1" x14ac:dyDescent="0.25">
      <c r="A27" s="1042">
        <f>'Detailing(OMRF&amp;SMRF)'!B67</f>
        <v>3</v>
      </c>
      <c r="B27" s="1052" t="s">
        <v>330</v>
      </c>
      <c r="C27" s="1048" t="s">
        <v>327</v>
      </c>
      <c r="D27" s="1049">
        <v>304</v>
      </c>
      <c r="E27" s="1050" t="s">
        <v>331</v>
      </c>
      <c r="F27" s="1050">
        <f>'Detailing(OMRF&amp;SMRF)'!X67</f>
        <v>1610.0662349647689</v>
      </c>
      <c r="G27" s="1050" t="s">
        <v>331</v>
      </c>
      <c r="H27" s="1050">
        <f t="shared" si="12"/>
        <v>1006.2913968529806</v>
      </c>
      <c r="I27" s="1033">
        <f>RxnCheck!J13</f>
        <v>450</v>
      </c>
      <c r="J27" s="1033">
        <f>RxnCheck!K13</f>
        <v>600</v>
      </c>
      <c r="K27" s="1033">
        <f>RxnCheck!X13</f>
        <v>400</v>
      </c>
      <c r="L27" s="1033">
        <f t="shared" si="13"/>
        <v>450</v>
      </c>
      <c r="M27" s="1033">
        <f t="shared" si="14"/>
        <v>270000</v>
      </c>
      <c r="N27" s="1050">
        <f t="shared" si="15"/>
        <v>702.2913968529806</v>
      </c>
      <c r="O27" s="1051">
        <f t="shared" si="16"/>
        <v>2.6010792476036317</v>
      </c>
      <c r="P27" s="1051">
        <f t="shared" si="17"/>
        <v>8.4852813742385695</v>
      </c>
      <c r="Q27" s="1047" t="str">
        <f t="shared" si="18"/>
        <v>OK</v>
      </c>
      <c r="T27" s="1038">
        <f t="shared" si="19"/>
        <v>1000</v>
      </c>
      <c r="U27" s="1038">
        <f t="shared" si="20"/>
        <v>25</v>
      </c>
      <c r="V27" s="1038">
        <f t="shared" si="21"/>
        <v>450</v>
      </c>
      <c r="W27" s="1038">
        <f t="shared" si="22"/>
        <v>450</v>
      </c>
    </row>
    <row r="28" spans="1:23" ht="15" customHeight="1" x14ac:dyDescent="0.25">
      <c r="A28" s="1042">
        <f>'Detailing(OMRF&amp;SMRF)'!B68</f>
        <v>2</v>
      </c>
      <c r="B28" s="1052" t="s">
        <v>330</v>
      </c>
      <c r="C28" s="1048" t="s">
        <v>327</v>
      </c>
      <c r="D28" s="1049">
        <v>346</v>
      </c>
      <c r="E28" s="1050" t="s">
        <v>331</v>
      </c>
      <c r="F28" s="1050">
        <f>'Detailing(OMRF&amp;SMRF)'!X68</f>
        <v>1963.4954084936207</v>
      </c>
      <c r="G28" s="1050" t="s">
        <v>331</v>
      </c>
      <c r="H28" s="1050">
        <f t="shared" si="12"/>
        <v>1227.1846303085131</v>
      </c>
      <c r="I28" s="1033">
        <f>RxnCheck!J14</f>
        <v>450</v>
      </c>
      <c r="J28" s="1033">
        <f>RxnCheck!K14</f>
        <v>600</v>
      </c>
      <c r="K28" s="1033">
        <f>RxnCheck!X14</f>
        <v>400</v>
      </c>
      <c r="L28" s="1033">
        <f t="shared" si="13"/>
        <v>450</v>
      </c>
      <c r="M28" s="1033">
        <f t="shared" si="14"/>
        <v>270000</v>
      </c>
      <c r="N28" s="1050">
        <f t="shared" si="15"/>
        <v>881.18463030851308</v>
      </c>
      <c r="O28" s="1051">
        <f t="shared" si="16"/>
        <v>3.2636467789204189</v>
      </c>
      <c r="P28" s="1051">
        <f t="shared" si="17"/>
        <v>8.4852813742385695</v>
      </c>
      <c r="Q28" s="1047" t="str">
        <f t="shared" si="18"/>
        <v>OK</v>
      </c>
      <c r="T28" s="1038">
        <f t="shared" si="19"/>
        <v>1000</v>
      </c>
      <c r="U28" s="1038">
        <f t="shared" si="20"/>
        <v>25</v>
      </c>
      <c r="V28" s="1038">
        <f t="shared" si="21"/>
        <v>450</v>
      </c>
      <c r="W28" s="1038">
        <f t="shared" si="22"/>
        <v>450</v>
      </c>
    </row>
    <row r="29" spans="1:23" ht="15" customHeight="1" x14ac:dyDescent="0.25">
      <c r="A29" s="1042">
        <f>'Detailing(OMRF&amp;SMRF)'!B69</f>
        <v>1</v>
      </c>
      <c r="B29" s="1052" t="s">
        <v>330</v>
      </c>
      <c r="C29" s="1048" t="s">
        <v>327</v>
      </c>
      <c r="D29" s="1049">
        <v>399</v>
      </c>
      <c r="E29" s="1050" t="s">
        <v>331</v>
      </c>
      <c r="F29" s="1050">
        <f>'Detailing(OMRF&amp;SMRF)'!X69</f>
        <v>1963.4954084936207</v>
      </c>
      <c r="G29" s="1050" t="s">
        <v>331</v>
      </c>
      <c r="H29" s="1050">
        <f t="shared" si="12"/>
        <v>1227.1846303085131</v>
      </c>
      <c r="I29" s="1033">
        <f>RxnCheck!J15</f>
        <v>450</v>
      </c>
      <c r="J29" s="1033">
        <f>RxnCheck!K15</f>
        <v>600</v>
      </c>
      <c r="K29" s="1033">
        <f>RxnCheck!X15</f>
        <v>400</v>
      </c>
      <c r="L29" s="1033">
        <f t="shared" si="13"/>
        <v>450</v>
      </c>
      <c r="M29" s="1033">
        <f t="shared" si="14"/>
        <v>270000</v>
      </c>
      <c r="N29" s="1050">
        <f t="shared" si="15"/>
        <v>828.18463030851308</v>
      </c>
      <c r="O29" s="1051">
        <f t="shared" si="16"/>
        <v>3.0673504826241222</v>
      </c>
      <c r="P29" s="1051">
        <f t="shared" si="17"/>
        <v>8.4852813742385695</v>
      </c>
      <c r="Q29" s="1047" t="str">
        <f t="shared" si="18"/>
        <v>OK</v>
      </c>
      <c r="T29" s="1038">
        <f t="shared" si="19"/>
        <v>1000</v>
      </c>
      <c r="U29" s="1038">
        <f t="shared" si="20"/>
        <v>25</v>
      </c>
      <c r="V29" s="1038">
        <f t="shared" si="21"/>
        <v>450</v>
      </c>
      <c r="W29" s="1038">
        <f t="shared" si="22"/>
        <v>450</v>
      </c>
    </row>
    <row r="30" spans="1:23" ht="15" hidden="1" customHeight="1" x14ac:dyDescent="0.25">
      <c r="A30" s="1043">
        <f>'Detailing(OMRF&amp;SMRF)'!B70</f>
        <v>0</v>
      </c>
      <c r="B30" s="1038"/>
      <c r="C30" s="1038"/>
      <c r="D30" s="1038"/>
      <c r="E30" s="1038"/>
      <c r="F30" s="1038"/>
      <c r="G30" s="1038"/>
      <c r="H30" s="1038"/>
      <c r="I30" s="1038"/>
      <c r="J30" s="1038"/>
      <c r="K30" s="1038"/>
      <c r="L30" s="1038"/>
      <c r="M30" s="1038"/>
      <c r="N30" s="1038"/>
      <c r="O30" s="1038"/>
      <c r="P30" s="1038"/>
      <c r="Q30" s="1038"/>
      <c r="T30" s="1038">
        <f t="shared" si="19"/>
        <v>0</v>
      </c>
      <c r="U30" s="1038">
        <f t="shared" si="20"/>
        <v>0</v>
      </c>
      <c r="V30" s="1038">
        <f t="shared" si="21"/>
        <v>0</v>
      </c>
      <c r="W30" s="1038">
        <f t="shared" si="22"/>
        <v>0</v>
      </c>
    </row>
    <row r="31" spans="1:23" ht="15" hidden="1" customHeight="1" x14ac:dyDescent="0.25">
      <c r="A31" s="1043">
        <f>'Detailing(OMRF&amp;SMRF)'!B71</f>
        <v>-1</v>
      </c>
      <c r="B31" s="1038"/>
      <c r="C31" s="1038"/>
      <c r="D31" s="1038"/>
      <c r="E31" s="1038"/>
      <c r="F31" s="1038"/>
      <c r="G31" s="1038"/>
      <c r="H31" s="1038"/>
      <c r="I31" s="1038"/>
      <c r="J31" s="1038"/>
      <c r="K31" s="1038"/>
      <c r="L31" s="1038"/>
      <c r="M31" s="1038"/>
      <c r="N31" s="1038"/>
      <c r="O31" s="1038"/>
      <c r="P31" s="1038"/>
      <c r="Q31" s="1038"/>
      <c r="T31" s="1038">
        <f t="shared" si="19"/>
        <v>0</v>
      </c>
      <c r="U31" s="1038">
        <f t="shared" si="20"/>
        <v>0</v>
      </c>
      <c r="V31" s="1038">
        <f t="shared" si="21"/>
        <v>0</v>
      </c>
      <c r="W31" s="1038">
        <f t="shared" si="22"/>
        <v>0</v>
      </c>
    </row>
    <row r="32" spans="1:23" ht="15" hidden="1" customHeight="1" x14ac:dyDescent="0.25">
      <c r="A32" s="1043">
        <f>'Detailing(OMRF&amp;SMRF)'!B72</f>
        <v>-2</v>
      </c>
      <c r="B32" s="1038"/>
      <c r="C32" s="1038"/>
      <c r="D32" s="1038"/>
      <c r="E32" s="1038"/>
      <c r="F32" s="1038"/>
      <c r="G32" s="1038"/>
      <c r="H32" s="1038"/>
      <c r="I32" s="1038"/>
      <c r="J32" s="1038"/>
      <c r="K32" s="1038"/>
      <c r="L32" s="1038"/>
      <c r="M32" s="1038"/>
      <c r="N32" s="1038"/>
      <c r="O32" s="1038"/>
      <c r="P32" s="1038"/>
      <c r="Q32" s="1038"/>
      <c r="T32" s="1038">
        <f t="shared" si="19"/>
        <v>0</v>
      </c>
      <c r="U32" s="1038">
        <f t="shared" si="20"/>
        <v>0</v>
      </c>
      <c r="V32" s="1038">
        <f t="shared" si="21"/>
        <v>0</v>
      </c>
      <c r="W32" s="1038">
        <f t="shared" si="22"/>
        <v>0</v>
      </c>
    </row>
    <row r="33" spans="1:23" ht="15" hidden="1" customHeight="1" x14ac:dyDescent="0.25">
      <c r="A33" s="1043">
        <f>'Detailing(OMRF&amp;SMRF)'!B73</f>
        <v>-3</v>
      </c>
      <c r="B33" s="1038"/>
      <c r="C33" s="1038"/>
      <c r="D33" s="1038"/>
      <c r="E33" s="1038"/>
      <c r="F33" s="1038"/>
      <c r="G33" s="1038"/>
      <c r="H33" s="1038"/>
      <c r="I33" s="1038"/>
      <c r="J33" s="1038"/>
      <c r="K33" s="1038"/>
      <c r="L33" s="1038"/>
      <c r="M33" s="1038"/>
      <c r="N33" s="1038"/>
      <c r="O33" s="1038"/>
      <c r="P33" s="1038"/>
      <c r="Q33" s="1038"/>
      <c r="T33" s="1038">
        <f t="shared" si="19"/>
        <v>0</v>
      </c>
      <c r="U33" s="1038">
        <f t="shared" si="20"/>
        <v>0</v>
      </c>
      <c r="V33" s="1038">
        <f t="shared" si="21"/>
        <v>0</v>
      </c>
      <c r="W33" s="1038">
        <f t="shared" si="22"/>
        <v>0</v>
      </c>
    </row>
    <row r="34" spans="1:23" ht="15" hidden="1" customHeight="1" x14ac:dyDescent="0.25">
      <c r="A34" s="1043">
        <f>'Detailing(OMRF&amp;SMRF)'!B74</f>
        <v>-4</v>
      </c>
      <c r="B34" s="1038"/>
      <c r="C34" s="1038"/>
      <c r="D34" s="1038"/>
      <c r="E34" s="1038"/>
      <c r="F34" s="1038"/>
      <c r="G34" s="1038"/>
      <c r="H34" s="1038"/>
      <c r="I34" s="1038"/>
      <c r="J34" s="1038"/>
      <c r="K34" s="1038"/>
      <c r="L34" s="1038"/>
      <c r="M34" s="1038"/>
      <c r="N34" s="1038"/>
      <c r="O34" s="1038"/>
      <c r="P34" s="1038"/>
      <c r="Q34" s="1038"/>
      <c r="T34" s="1038">
        <f t="shared" si="19"/>
        <v>0</v>
      </c>
      <c r="U34" s="1038">
        <f t="shared" si="20"/>
        <v>0</v>
      </c>
      <c r="V34" s="1038">
        <f t="shared" si="21"/>
        <v>0</v>
      </c>
      <c r="W34" s="1038">
        <f t="shared" si="22"/>
        <v>0</v>
      </c>
    </row>
    <row r="35" spans="1:23" ht="15" hidden="1" customHeight="1" x14ac:dyDescent="0.25">
      <c r="A35" s="1043">
        <f>'Detailing(OMRF&amp;SMRF)'!B75</f>
        <v>-5</v>
      </c>
      <c r="B35" s="1038"/>
      <c r="C35" s="1038"/>
      <c r="D35" s="1038"/>
      <c r="E35" s="1038"/>
      <c r="F35" s="1038"/>
      <c r="G35" s="1038"/>
      <c r="H35" s="1038"/>
      <c r="I35" s="1038"/>
      <c r="J35" s="1038"/>
      <c r="K35" s="1038"/>
      <c r="L35" s="1038"/>
      <c r="M35" s="1038"/>
      <c r="N35" s="1038"/>
      <c r="O35" s="1038"/>
      <c r="P35" s="1038"/>
      <c r="Q35" s="1038"/>
      <c r="T35" s="1038">
        <f t="shared" si="19"/>
        <v>0</v>
      </c>
      <c r="U35" s="1038">
        <f t="shared" si="20"/>
        <v>0</v>
      </c>
      <c r="V35" s="1038">
        <f t="shared" si="21"/>
        <v>0</v>
      </c>
      <c r="W35" s="1038">
        <f t="shared" si="22"/>
        <v>0</v>
      </c>
    </row>
    <row r="36" spans="1:23" ht="15" hidden="1" customHeight="1" x14ac:dyDescent="0.25">
      <c r="A36" s="1043">
        <f>'Detailing(OMRF&amp;SMRF)'!B76</f>
        <v>-6</v>
      </c>
      <c r="B36" s="1038"/>
      <c r="C36" s="1038"/>
      <c r="D36" s="1038"/>
      <c r="E36" s="1038"/>
      <c r="F36" s="1038"/>
      <c r="G36" s="1038"/>
      <c r="H36" s="1038"/>
      <c r="I36" s="1038"/>
      <c r="J36" s="1038"/>
      <c r="K36" s="1038"/>
      <c r="L36" s="1038"/>
      <c r="M36" s="1038"/>
      <c r="N36" s="1038"/>
      <c r="O36" s="1038"/>
      <c r="P36" s="1038"/>
      <c r="Q36" s="1038"/>
      <c r="T36" s="1038">
        <f t="shared" si="19"/>
        <v>0</v>
      </c>
      <c r="U36" s="1038">
        <f t="shared" si="20"/>
        <v>0</v>
      </c>
      <c r="V36" s="1038">
        <f t="shared" si="21"/>
        <v>0</v>
      </c>
      <c r="W36" s="1038">
        <f t="shared" si="22"/>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R54"/>
  <sheetViews>
    <sheetView topLeftCell="A37" workbookViewId="0">
      <selection activeCell="C2" sqref="C2"/>
    </sheetView>
  </sheetViews>
  <sheetFormatPr defaultRowHeight="15" x14ac:dyDescent="0.25"/>
  <sheetData>
    <row r="2" spans="2:11" x14ac:dyDescent="0.25">
      <c r="B2" s="1069"/>
      <c r="C2" s="403"/>
      <c r="D2" s="403"/>
      <c r="E2" s="403"/>
      <c r="F2" s="403"/>
      <c r="G2" s="403"/>
      <c r="H2" s="403"/>
      <c r="I2" s="403"/>
      <c r="J2" s="403"/>
      <c r="K2" s="403"/>
    </row>
    <row r="3" spans="2:11" x14ac:dyDescent="0.25">
      <c r="B3" s="680"/>
      <c r="C3" s="400"/>
      <c r="D3" s="400"/>
      <c r="E3" s="400"/>
      <c r="F3" s="400"/>
      <c r="G3" s="400"/>
      <c r="H3" s="400"/>
      <c r="I3" s="400"/>
      <c r="J3" s="400"/>
      <c r="K3" s="400"/>
    </row>
    <row r="4" spans="2:11" x14ac:dyDescent="0.25">
      <c r="C4" s="741" t="s">
        <v>332</v>
      </c>
      <c r="D4" s="400"/>
      <c r="E4" s="400"/>
      <c r="F4" s="400"/>
      <c r="G4" s="400"/>
      <c r="H4" s="400"/>
      <c r="I4" s="400"/>
      <c r="J4" s="400"/>
      <c r="K4" s="400"/>
    </row>
    <row r="5" spans="2:11" x14ac:dyDescent="0.25">
      <c r="B5" s="411" t="s">
        <v>333</v>
      </c>
      <c r="C5" s="450">
        <v>1</v>
      </c>
      <c r="D5" s="715">
        <v>1</v>
      </c>
      <c r="E5" s="450">
        <v>2</v>
      </c>
      <c r="F5" s="715">
        <v>2</v>
      </c>
      <c r="G5" s="450">
        <v>3</v>
      </c>
      <c r="H5" s="715">
        <v>3</v>
      </c>
      <c r="I5" s="450">
        <v>4</v>
      </c>
      <c r="J5" s="716">
        <v>4</v>
      </c>
      <c r="K5" s="400"/>
    </row>
    <row r="6" spans="2:11" x14ac:dyDescent="0.25">
      <c r="B6" s="425" t="s">
        <v>334</v>
      </c>
      <c r="C6" s="725">
        <f ca="1">OFFSET(LOAD_DATA!$C54,0,$B$21*(C$5 - 1))</f>
        <v>450</v>
      </c>
      <c r="D6" s="714">
        <f ca="1">OFFSET(LOAD_DATA!$D54,0,$B$21*(D$5 - 1))</f>
        <v>600</v>
      </c>
      <c r="E6" s="725">
        <f ca="1">OFFSET(LOAD_DATA!$C54,0,$B$21*(E$5 - 1))</f>
        <v>600</v>
      </c>
      <c r="F6" s="714">
        <f ca="1">OFFSET(LOAD_DATA!$D54,0,$B$21*(F$5 - 1))</f>
        <v>600</v>
      </c>
      <c r="G6" s="725">
        <f ca="1">OFFSET(LOAD_DATA!$C54,0,$B$21*(H$5 - 1))</f>
        <v>600</v>
      </c>
      <c r="H6" s="714">
        <f ca="1">OFFSET(LOAD_DATA!$D54,0,$B$21*(H$5 - 1))</f>
        <v>600</v>
      </c>
      <c r="I6" s="725">
        <f ca="1">OFFSET(LOAD_DATA!$C54,0,$B$21*(I$5 - 1))</f>
        <v>450</v>
      </c>
      <c r="J6" s="714">
        <f ca="1" xml:space="preserve"> OFFSET(LOAD_DATA!$D54,0,$B$21*(J$5 - 1))</f>
        <v>600</v>
      </c>
      <c r="K6" s="400"/>
    </row>
    <row r="7" spans="2:11" x14ac:dyDescent="0.25">
      <c r="B7" s="425" t="s">
        <v>335</v>
      </c>
      <c r="C7" s="725">
        <f ca="1">OFFSET(LOAD_DATA!$C55,0,$B$21*(C$5 - 1))</f>
        <v>450</v>
      </c>
      <c r="D7" s="714">
        <f ca="1">OFFSET(LOAD_DATA!$D55,0,$B$21*(D$5 - 1))</f>
        <v>600</v>
      </c>
      <c r="E7" s="725">
        <f ca="1">OFFSET(LOAD_DATA!$C55,0,$B$21*(E$5 - 1))</f>
        <v>600</v>
      </c>
      <c r="F7" s="714">
        <f ca="1">OFFSET(LOAD_DATA!$D55,0,$B$21*(F$5 - 1))</f>
        <v>600</v>
      </c>
      <c r="G7" s="725">
        <f ca="1">OFFSET(LOAD_DATA!$C55,0,$B$21*(H$5 - 1))</f>
        <v>600</v>
      </c>
      <c r="H7" s="714">
        <f ca="1">OFFSET(LOAD_DATA!$D55,0,$B$21*(H$5 - 1))</f>
        <v>600</v>
      </c>
      <c r="I7" s="725">
        <f ca="1">OFFSET(LOAD_DATA!$C55,0,$B$21*(I$5 - 1))</f>
        <v>450</v>
      </c>
      <c r="J7" s="714">
        <f ca="1" xml:space="preserve"> OFFSET(LOAD_DATA!$D55,0,$B$21*(J$5 - 1))</f>
        <v>600</v>
      </c>
      <c r="K7" s="400"/>
    </row>
    <row r="8" spans="2:11" x14ac:dyDescent="0.25">
      <c r="B8" s="425" t="s">
        <v>336</v>
      </c>
      <c r="C8" s="725">
        <f ca="1">OFFSET(LOAD_DATA!$C56,0,$B$21*(C$5 - 1))</f>
        <v>450</v>
      </c>
      <c r="D8" s="714">
        <f ca="1">OFFSET(LOAD_DATA!$D56,0,$B$21*(D$5 - 1))</f>
        <v>600</v>
      </c>
      <c r="E8" s="725">
        <f ca="1">OFFSET(LOAD_DATA!$C56,0,$B$21*(E$5 - 1))</f>
        <v>600</v>
      </c>
      <c r="F8" s="714">
        <f ca="1">OFFSET(LOAD_DATA!$D56,0,$B$21*(F$5 - 1))</f>
        <v>600</v>
      </c>
      <c r="G8" s="725">
        <f ca="1">OFFSET(LOAD_DATA!$C56,0,$B$21*(H$5 - 1))</f>
        <v>600</v>
      </c>
      <c r="H8" s="714">
        <f ca="1">OFFSET(LOAD_DATA!$D56,0,$B$21*(H$5 - 1))</f>
        <v>600</v>
      </c>
      <c r="I8" s="725">
        <f ca="1">OFFSET(LOAD_DATA!$C56,0,$B$21*(I$5 - 1))</f>
        <v>450</v>
      </c>
      <c r="J8" s="714">
        <f ca="1" xml:space="preserve"> OFFSET(LOAD_DATA!$D56,0,$B$21*(J$5 - 1))</f>
        <v>600</v>
      </c>
      <c r="K8" s="400"/>
    </row>
    <row r="9" spans="2:11" x14ac:dyDescent="0.25">
      <c r="B9" s="425" t="s">
        <v>337</v>
      </c>
      <c r="C9" s="725">
        <f ca="1">OFFSET(LOAD_DATA!$C57,0,$B$21*(C$5 - 1))</f>
        <v>450</v>
      </c>
      <c r="D9" s="714">
        <f ca="1">OFFSET(LOAD_DATA!$D57,0,$B$21*(D$5 - 1))</f>
        <v>600</v>
      </c>
      <c r="E9" s="725">
        <f ca="1">OFFSET(LOAD_DATA!$C57,0,$B$21*(E$5 - 1))</f>
        <v>600</v>
      </c>
      <c r="F9" s="714">
        <f ca="1">OFFSET(LOAD_DATA!$D57,0,$B$21*(F$5 - 1))</f>
        <v>600</v>
      </c>
      <c r="G9" s="725">
        <f ca="1">OFFSET(LOAD_DATA!$C57,0,$B$21*(H$5 - 1))</f>
        <v>600</v>
      </c>
      <c r="H9" s="714">
        <f ca="1">OFFSET(LOAD_DATA!$D57,0,$B$21*(H$5 - 1))</f>
        <v>600</v>
      </c>
      <c r="I9" s="725">
        <f ca="1">OFFSET(LOAD_DATA!$C57,0,$B$21*(I$5 - 1))</f>
        <v>450</v>
      </c>
      <c r="J9" s="714">
        <f ca="1" xml:space="preserve"> OFFSET(LOAD_DATA!$D57,0,$B$21*(J$5 - 1))</f>
        <v>600</v>
      </c>
      <c r="K9" s="400"/>
    </row>
    <row r="10" spans="2:11" x14ac:dyDescent="0.25">
      <c r="B10" s="425" t="s">
        <v>338</v>
      </c>
      <c r="C10" s="725">
        <f ca="1">OFFSET(LOAD_DATA!$C58,0,$B$21*(C$5 - 1))</f>
        <v>450</v>
      </c>
      <c r="D10" s="714">
        <f ca="1">OFFSET(LOAD_DATA!$D58,0,$B$21*(D$5 - 1))</f>
        <v>600</v>
      </c>
      <c r="E10" s="725">
        <f ca="1">OFFSET(LOAD_DATA!$C58,0,$B$21*(E$5 - 1))</f>
        <v>600</v>
      </c>
      <c r="F10" s="714">
        <f ca="1">OFFSET(LOAD_DATA!$D58,0,$B$21*(F$5 - 1))</f>
        <v>600</v>
      </c>
      <c r="G10" s="725">
        <f ca="1">OFFSET(LOAD_DATA!$C58,0,$B$21*(H$5 - 1))</f>
        <v>600</v>
      </c>
      <c r="H10" s="714">
        <f ca="1">OFFSET(LOAD_DATA!$D58,0,$B$21*(H$5 - 1))</f>
        <v>600</v>
      </c>
      <c r="I10" s="725">
        <f ca="1">OFFSET(LOAD_DATA!$C58,0,$B$21*(I$5 - 1))</f>
        <v>450</v>
      </c>
      <c r="J10" s="714">
        <f ca="1" xml:space="preserve"> OFFSET(LOAD_DATA!$D58,0,$B$21*(J$5 - 1))</f>
        <v>600</v>
      </c>
      <c r="K10" s="400"/>
    </row>
    <row r="11" spans="2:11" x14ac:dyDescent="0.25">
      <c r="B11" s="425" t="s">
        <v>339</v>
      </c>
      <c r="C11" s="725" t="e">
        <f ca="1">OFFSET(LOAD_DATA!$C59,0,$B$21*(C$5 - 1))</f>
        <v>#N/A</v>
      </c>
      <c r="D11" s="714" t="e">
        <f ca="1">OFFSET(LOAD_DATA!$D59,0,$B$21*(D$5 - 1))</f>
        <v>#N/A</v>
      </c>
      <c r="E11" s="725" t="e">
        <f ca="1">OFFSET(LOAD_DATA!$C59,0,$B$21*(E$5 - 1))</f>
        <v>#N/A</v>
      </c>
      <c r="F11" s="714" t="e">
        <f ca="1">OFFSET(LOAD_DATA!$D59,0,$B$21*(F$5 - 1))</f>
        <v>#N/A</v>
      </c>
      <c r="G11" s="725" t="e">
        <f ca="1">OFFSET(LOAD_DATA!$C59,0,$B$21*(H$5 - 1))</f>
        <v>#N/A</v>
      </c>
      <c r="H11" s="714" t="e">
        <f ca="1">OFFSET(LOAD_DATA!$D59,0,$B$21*(H$5 - 1))</f>
        <v>#N/A</v>
      </c>
      <c r="I11" s="725" t="e">
        <f ca="1">OFFSET(LOAD_DATA!$C59,0,$B$21*(I$5 - 1))</f>
        <v>#N/A</v>
      </c>
      <c r="J11" s="714" t="e">
        <f ca="1" xml:space="preserve"> OFFSET(LOAD_DATA!$D59,0,$B$21*(J$5 - 1))</f>
        <v>#N/A</v>
      </c>
      <c r="K11" s="400"/>
    </row>
    <row r="12" spans="2:11" x14ac:dyDescent="0.25">
      <c r="B12" s="425" t="s">
        <v>340</v>
      </c>
      <c r="C12" s="725" t="e">
        <f ca="1">OFFSET(LOAD_DATA!$C60,0,$B$21*(C$5 - 1))</f>
        <v>#N/A</v>
      </c>
      <c r="D12" s="714" t="e">
        <f ca="1">OFFSET(LOAD_DATA!$D60,0,$B$21*(D$5 - 1))</f>
        <v>#N/A</v>
      </c>
      <c r="E12" s="725" t="e">
        <f ca="1">OFFSET(LOAD_DATA!$C60,0,$B$21*(E$5 - 1))</f>
        <v>#N/A</v>
      </c>
      <c r="F12" s="714" t="e">
        <f ca="1">OFFSET(LOAD_DATA!$D60,0,$B$21*(F$5 - 1))</f>
        <v>#N/A</v>
      </c>
      <c r="G12" s="725" t="e">
        <f ca="1">OFFSET(LOAD_DATA!$C60,0,$B$21*(H$5 - 1))</f>
        <v>#N/A</v>
      </c>
      <c r="H12" s="714" t="e">
        <f ca="1">OFFSET(LOAD_DATA!$D60,0,$B$21*(H$5 - 1))</f>
        <v>#N/A</v>
      </c>
      <c r="I12" s="725" t="e">
        <f ca="1">OFFSET(LOAD_DATA!$C60,0,$B$21*(I$5 - 1))</f>
        <v>#N/A</v>
      </c>
      <c r="J12" s="714" t="e">
        <f ca="1" xml:space="preserve"> OFFSET(LOAD_DATA!$D60,0,$B$21*(J$5 - 1))</f>
        <v>#N/A</v>
      </c>
      <c r="K12" s="400"/>
    </row>
    <row r="13" spans="2:11" x14ac:dyDescent="0.25">
      <c r="C13" s="725" t="e">
        <f ca="1">OFFSET(LOAD_DATA!$C61,0,$B$21*(C$5 - 1))</f>
        <v>#N/A</v>
      </c>
      <c r="D13" s="714" t="e">
        <f ca="1">OFFSET(LOAD_DATA!$D61,0,$B$21*(D$5 - 1))</f>
        <v>#N/A</v>
      </c>
      <c r="E13" s="725" t="e">
        <f ca="1">OFFSET(LOAD_DATA!$C61,0,$B$21*(E$5 - 1))</f>
        <v>#N/A</v>
      </c>
      <c r="F13" s="714" t="e">
        <f ca="1">OFFSET(LOAD_DATA!$D61,0,$B$21*(F$5 - 1))</f>
        <v>#N/A</v>
      </c>
      <c r="G13" s="725" t="e">
        <f ca="1">OFFSET(LOAD_DATA!$C61,0,$B$21*(H$5 - 1))</f>
        <v>#N/A</v>
      </c>
      <c r="H13" s="714" t="e">
        <f ca="1">OFFSET(LOAD_DATA!$D61,0,$B$21*(H$5 - 1))</f>
        <v>#N/A</v>
      </c>
      <c r="I13" s="725" t="e">
        <f ca="1">OFFSET(LOAD_DATA!$C61,0,$B$21*(I$5 - 1))</f>
        <v>#N/A</v>
      </c>
      <c r="J13" s="714" t="e">
        <f ca="1" xml:space="preserve"> OFFSET(LOAD_DATA!$D61,0,$B$21*(J$5 - 1))</f>
        <v>#N/A</v>
      </c>
    </row>
    <row r="14" spans="2:11" x14ac:dyDescent="0.25">
      <c r="C14" s="725" t="e">
        <f ca="1">OFFSET(LOAD_DATA!$C62,0,$B$21*(C$5 - 1))</f>
        <v>#N/A</v>
      </c>
      <c r="D14" s="714" t="e">
        <f ca="1">OFFSET(LOAD_DATA!$D62,0,$B$21*(D$5 - 1))</f>
        <v>#N/A</v>
      </c>
      <c r="E14" s="725" t="e">
        <f ca="1">OFFSET(LOAD_DATA!$C62,0,$B$21*(E$5 - 1))</f>
        <v>#N/A</v>
      </c>
      <c r="F14" s="714" t="e">
        <f ca="1">OFFSET(LOAD_DATA!$D62,0,$B$21*(F$5 - 1))</f>
        <v>#N/A</v>
      </c>
      <c r="G14" s="725" t="e">
        <f ca="1">OFFSET(LOAD_DATA!$C62,0,$B$21*(H$5 - 1))</f>
        <v>#N/A</v>
      </c>
      <c r="H14" s="714" t="e">
        <f ca="1">OFFSET(LOAD_DATA!$D62,0,$B$21*(H$5 - 1))</f>
        <v>#N/A</v>
      </c>
      <c r="I14" s="725" t="e">
        <f ca="1">OFFSET(LOAD_DATA!$C62,0,$B$21*(I$5 - 1))</f>
        <v>#N/A</v>
      </c>
      <c r="J14" s="714" t="e">
        <f ca="1" xml:space="preserve"> OFFSET(LOAD_DATA!$D62,0,$B$21*(J$5 - 1))</f>
        <v>#N/A</v>
      </c>
    </row>
    <row r="15" spans="2:11" x14ac:dyDescent="0.25">
      <c r="C15" s="725" t="e">
        <f ca="1">OFFSET(LOAD_DATA!$C63,0,$B$21*(C$5 - 1))</f>
        <v>#N/A</v>
      </c>
      <c r="D15" s="714" t="e">
        <f ca="1">OFFSET(LOAD_DATA!$D63,0,$B$21*(D$5 - 1))</f>
        <v>#N/A</v>
      </c>
      <c r="E15" s="725" t="e">
        <f ca="1">OFFSET(LOAD_DATA!$C63,0,$B$21*(E$5 - 1))</f>
        <v>#N/A</v>
      </c>
      <c r="F15" s="714" t="e">
        <f ca="1">OFFSET(LOAD_DATA!$D63,0,$B$21*(F$5 - 1))</f>
        <v>#N/A</v>
      </c>
      <c r="G15" s="725" t="e">
        <f ca="1">OFFSET(LOAD_DATA!$C63,0,$B$21*(H$5 - 1))</f>
        <v>#N/A</v>
      </c>
      <c r="H15" s="714" t="e">
        <f ca="1">OFFSET(LOAD_DATA!$D63,0,$B$21*(H$5 - 1))</f>
        <v>#N/A</v>
      </c>
      <c r="I15" s="725" t="e">
        <f ca="1">OFFSET(LOAD_DATA!$C63,0,$B$21*(I$5 - 1))</f>
        <v>#N/A</v>
      </c>
      <c r="J15" s="714" t="e">
        <f ca="1" xml:space="preserve"> OFFSET(LOAD_DATA!$D63,0,$B$21*(J$5 - 1))</f>
        <v>#N/A</v>
      </c>
    </row>
    <row r="16" spans="2:11" x14ac:dyDescent="0.25">
      <c r="C16" s="725" t="e">
        <f ca="1">OFFSET(LOAD_DATA!$C64,0,$B$21*(C$5 - 1))</f>
        <v>#N/A</v>
      </c>
      <c r="D16" s="714" t="e">
        <f ca="1">OFFSET(LOAD_DATA!$D64,0,$B$21*(D$5 - 1))</f>
        <v>#N/A</v>
      </c>
      <c r="E16" s="725" t="e">
        <f ca="1">OFFSET(LOAD_DATA!$C64,0,$B$21*(E$5 - 1))</f>
        <v>#N/A</v>
      </c>
      <c r="F16" s="714" t="e">
        <f ca="1">OFFSET(LOAD_DATA!$D64,0,$B$21*(F$5 - 1))</f>
        <v>#N/A</v>
      </c>
      <c r="G16" s="725" t="e">
        <f ca="1">OFFSET(LOAD_DATA!$C64,0,$B$21*(H$5 - 1))</f>
        <v>#N/A</v>
      </c>
      <c r="H16" s="714" t="e">
        <f ca="1">OFFSET(LOAD_DATA!$D64,0,$B$21*(H$5 - 1))</f>
        <v>#N/A</v>
      </c>
      <c r="I16" s="725" t="e">
        <f ca="1">OFFSET(LOAD_DATA!$C64,0,$B$21*(I$5 - 1))</f>
        <v>#N/A</v>
      </c>
      <c r="J16" s="714" t="e">
        <f ca="1" xml:space="preserve"> OFFSET(LOAD_DATA!$D64,0,$B$21*(J$5 - 1))</f>
        <v>#N/A</v>
      </c>
    </row>
    <row r="17" spans="1:18" x14ac:dyDescent="0.25">
      <c r="C17" s="725" t="e">
        <f ca="1">OFFSET(LOAD_DATA!$C65,0,$B$21*(C$5 - 1))</f>
        <v>#N/A</v>
      </c>
      <c r="D17" s="714" t="e">
        <f ca="1">OFFSET(LOAD_DATA!$D65,0,$B$21*(D$5 - 1))</f>
        <v>#N/A</v>
      </c>
      <c r="E17" s="725" t="e">
        <f ca="1">OFFSET(LOAD_DATA!$C65,0,$B$21*(E$5 - 1))</f>
        <v>#N/A</v>
      </c>
      <c r="F17" s="714" t="e">
        <f ca="1">OFFSET(LOAD_DATA!$D65,0,$B$21*(F$5 - 1))</f>
        <v>#N/A</v>
      </c>
      <c r="G17" s="725" t="e">
        <f ca="1">OFFSET(LOAD_DATA!$C65,0,$B$21*(H$5 - 1))</f>
        <v>#N/A</v>
      </c>
      <c r="H17" s="714" t="e">
        <f ca="1">OFFSET(LOAD_DATA!$D65,0,$B$21*(H$5 - 1))</f>
        <v>#N/A</v>
      </c>
      <c r="I17" s="725" t="e">
        <f ca="1">OFFSET(LOAD_DATA!$C65,0,$B$21*(I$5 - 1))</f>
        <v>#N/A</v>
      </c>
      <c r="J17" s="714" t="e">
        <f ca="1" xml:space="preserve"> OFFSET(LOAD_DATA!$D65,0,$B$21*(J$5 - 1))</f>
        <v>#N/A</v>
      </c>
    </row>
    <row r="20" spans="1:18" x14ac:dyDescent="0.25">
      <c r="A20" s="723" t="s">
        <v>341</v>
      </c>
    </row>
    <row r="21" spans="1:18" ht="15.75" x14ac:dyDescent="0.25">
      <c r="B21" s="722">
        <f>GeneralInput!C114</f>
        <v>9</v>
      </c>
      <c r="D21" s="686" t="s">
        <v>342</v>
      </c>
      <c r="E21" s="400">
        <f>SUM(E22:R22)</f>
        <v>24600</v>
      </c>
      <c r="F21" s="403"/>
      <c r="H21" s="403"/>
      <c r="I21" s="403"/>
      <c r="J21" s="403"/>
      <c r="K21" s="403"/>
      <c r="L21" s="403"/>
      <c r="M21" s="403"/>
      <c r="N21" s="403"/>
      <c r="O21" s="403"/>
      <c r="P21" s="403"/>
      <c r="Q21" s="403"/>
      <c r="R21" s="403"/>
    </row>
    <row r="22" spans="1:18" x14ac:dyDescent="0.25">
      <c r="C22" s="400"/>
      <c r="D22" s="400" t="s">
        <v>343</v>
      </c>
      <c r="E22" s="448">
        <f>RxnCheck!O8</f>
        <v>8200</v>
      </c>
      <c r="F22" s="448">
        <f>RxnCheck!Q8</f>
        <v>8200</v>
      </c>
      <c r="G22" s="448">
        <f>RxnCheck!S8</f>
        <v>8200</v>
      </c>
      <c r="H22" s="448">
        <f>RxnCheck!U8</f>
        <v>0</v>
      </c>
      <c r="I22" s="448">
        <f>RxnCheck!W8</f>
        <v>0</v>
      </c>
      <c r="J22" s="448">
        <f>RxnCheck!Y8</f>
        <v>0</v>
      </c>
      <c r="K22" s="448">
        <f>RxnCheck!AA8</f>
        <v>0</v>
      </c>
      <c r="L22" s="400"/>
      <c r="M22" s="400"/>
      <c r="N22" s="400"/>
      <c r="O22" s="400"/>
      <c r="P22" s="400"/>
      <c r="Q22" s="400"/>
      <c r="R22" s="400"/>
    </row>
    <row r="23" spans="1:18" x14ac:dyDescent="0.25">
      <c r="C23" s="400"/>
      <c r="D23" s="400" t="s">
        <v>344</v>
      </c>
      <c r="E23" s="448">
        <f>-E21/2</f>
        <v>-12300</v>
      </c>
      <c r="F23" s="448">
        <f>E23+E22</f>
        <v>-4100</v>
      </c>
      <c r="G23" s="448">
        <f>F23+F22</f>
        <v>4100</v>
      </c>
      <c r="H23" s="448">
        <f>G23+G22</f>
        <v>12300</v>
      </c>
      <c r="I23" s="400"/>
      <c r="J23" s="400"/>
      <c r="K23" s="448"/>
      <c r="L23" s="400"/>
      <c r="M23" s="400"/>
      <c r="N23" s="400"/>
      <c r="O23" s="400"/>
      <c r="P23" s="400"/>
      <c r="Q23" s="400"/>
      <c r="R23" s="400"/>
    </row>
    <row r="24" spans="1:18" ht="18.75" x14ac:dyDescent="0.35">
      <c r="B24" s="411" t="s">
        <v>333</v>
      </c>
      <c r="C24" s="418" t="s">
        <v>345</v>
      </c>
      <c r="D24" s="400" t="s">
        <v>346</v>
      </c>
      <c r="E24" s="450">
        <v>1</v>
      </c>
      <c r="F24" s="450">
        <v>2</v>
      </c>
      <c r="G24" s="450">
        <v>3</v>
      </c>
      <c r="H24" s="450">
        <v>4</v>
      </c>
      <c r="I24" s="400"/>
      <c r="J24" s="450"/>
      <c r="K24" s="400"/>
      <c r="L24" s="400"/>
      <c r="M24" s="400"/>
      <c r="N24" s="400"/>
      <c r="O24" s="400"/>
      <c r="P24" s="400"/>
      <c r="Q24" s="400"/>
      <c r="R24" s="400"/>
    </row>
    <row r="25" spans="1:18" x14ac:dyDescent="0.25">
      <c r="B25" s="425" t="s">
        <v>334</v>
      </c>
      <c r="C25" s="717">
        <f t="shared" ref="C25:C31" ca="1" si="0">SUMPRODUCT(E25:P25,$E$23:$P$23,$E$23:$P$23)</f>
        <v>93799800000000</v>
      </c>
      <c r="D25" s="400"/>
      <c r="E25" s="724">
        <f ca="1">OFFSET(LOAD_DATA!$C54,0,$B$21*(E$24 - 1))*OFFSET(LOAD_DATA!$D54,0,$B$21*(E$24 - 1))</f>
        <v>270000</v>
      </c>
      <c r="F25" s="724">
        <f ca="1">OFFSET(LOAD_DATA!$C54,0,$B$21*(F$24 - 1))*OFFSET(LOAD_DATA!$D54,0,$B$21*(F$24 - 1))</f>
        <v>360000</v>
      </c>
      <c r="G25" s="724">
        <f ca="1">OFFSET(LOAD_DATA!$C54,0,$B$21*(G$24 - 1))*OFFSET(LOAD_DATA!$D54,0,$B$21*(G$24 - 1))</f>
        <v>360000</v>
      </c>
      <c r="H25" s="724">
        <f ca="1">OFFSET(LOAD_DATA!$C54,0,$B$21*(H$24 - 1))*OFFSET(LOAD_DATA!$D54,0,$B$21*(H$24 - 1))</f>
        <v>270000</v>
      </c>
      <c r="I25" s="400"/>
      <c r="J25" s="714"/>
      <c r="K25" s="400"/>
      <c r="L25" s="400"/>
      <c r="M25" s="400"/>
      <c r="N25" s="400"/>
      <c r="O25" s="400"/>
      <c r="P25" s="400"/>
      <c r="Q25" s="400"/>
      <c r="R25" s="400"/>
    </row>
    <row r="26" spans="1:18" x14ac:dyDescent="0.25">
      <c r="B26" s="425" t="s">
        <v>335</v>
      </c>
      <c r="C26" s="717">
        <f t="shared" ca="1" si="0"/>
        <v>93799800000000</v>
      </c>
      <c r="D26" s="400"/>
      <c r="E26" s="724">
        <f ca="1">OFFSET(LOAD_DATA!$C55,0,$B$21*(E$24 - 1))*OFFSET(LOAD_DATA!$D55,0,$B$21*(E$24 - 1))</f>
        <v>270000</v>
      </c>
      <c r="F26" s="724">
        <f ca="1">OFFSET(LOAD_DATA!$C55,0,$B$21*(F$24 - 1))*OFFSET(LOAD_DATA!$D55,0,$B$21*(F$24 - 1))</f>
        <v>360000</v>
      </c>
      <c r="G26" s="724">
        <f ca="1">OFFSET(LOAD_DATA!$C55,0,$B$21*(G$24 - 1))*OFFSET(LOAD_DATA!$D55,0,$B$21*(G$24 - 1))</f>
        <v>360000</v>
      </c>
      <c r="H26" s="724">
        <f ca="1">OFFSET(LOAD_DATA!$C55,0,$B$21*(H$24 - 1))*OFFSET(LOAD_DATA!$D55,0,$B$21*(H$24 - 1))</f>
        <v>270000</v>
      </c>
      <c r="I26" s="400"/>
      <c r="J26" s="714"/>
      <c r="K26" s="400"/>
      <c r="L26" s="400"/>
      <c r="M26" s="400"/>
      <c r="N26" s="400"/>
      <c r="O26" s="400"/>
      <c r="P26" s="400"/>
      <c r="Q26" s="400"/>
      <c r="R26" s="400"/>
    </row>
    <row r="27" spans="1:18" x14ac:dyDescent="0.25">
      <c r="B27" s="425" t="s">
        <v>336</v>
      </c>
      <c r="C27" s="717">
        <f t="shared" ca="1" si="0"/>
        <v>93799800000000</v>
      </c>
      <c r="D27" s="400"/>
      <c r="E27" s="724">
        <f ca="1">OFFSET(LOAD_DATA!$C56,0,$B$21*(E$24 - 1))*OFFSET(LOAD_DATA!$D56,0,$B$21*(E$24 - 1))</f>
        <v>270000</v>
      </c>
      <c r="F27" s="724">
        <f ca="1">OFFSET(LOAD_DATA!$C56,0,$B$21*(F$24 - 1))*OFFSET(LOAD_DATA!$D56,0,$B$21*(F$24 - 1))</f>
        <v>360000</v>
      </c>
      <c r="G27" s="724">
        <f ca="1">OFFSET(LOAD_DATA!$C56,0,$B$21*(G$24 - 1))*OFFSET(LOAD_DATA!$D56,0,$B$21*(G$24 - 1))</f>
        <v>360000</v>
      </c>
      <c r="H27" s="724">
        <f ca="1">OFFSET(LOAD_DATA!$C56,0,$B$21*(H$24 - 1))*OFFSET(LOAD_DATA!$D56,0,$B$21*(H$24 - 1))</f>
        <v>270000</v>
      </c>
      <c r="I27" s="400"/>
      <c r="J27" s="714"/>
      <c r="K27" s="400"/>
      <c r="L27" s="400"/>
      <c r="M27" s="400"/>
      <c r="N27" s="400"/>
      <c r="O27" s="400"/>
      <c r="P27" s="400"/>
      <c r="Q27" s="400"/>
      <c r="R27" s="400"/>
    </row>
    <row r="28" spans="1:18" x14ac:dyDescent="0.25">
      <c r="B28" s="425" t="s">
        <v>337</v>
      </c>
      <c r="C28" s="717">
        <f t="shared" ca="1" si="0"/>
        <v>93799800000000</v>
      </c>
      <c r="D28" s="400"/>
      <c r="E28" s="724">
        <f ca="1">OFFSET(LOAD_DATA!$C57,0,$B$21*(E$24 - 1))*OFFSET(LOAD_DATA!$D57,0,$B$21*(E$24 - 1))</f>
        <v>270000</v>
      </c>
      <c r="F28" s="724">
        <f ca="1">OFFSET(LOAD_DATA!$C57,0,$B$21*(F$24 - 1))*OFFSET(LOAD_DATA!$D57,0,$B$21*(F$24 - 1))</f>
        <v>360000</v>
      </c>
      <c r="G28" s="724">
        <f ca="1">OFFSET(LOAD_DATA!$C57,0,$B$21*(G$24 - 1))*OFFSET(LOAD_DATA!$D57,0,$B$21*(G$24 - 1))</f>
        <v>360000</v>
      </c>
      <c r="H28" s="724">
        <f ca="1">OFFSET(LOAD_DATA!$C57,0,$B$21*(H$24 - 1))*OFFSET(LOAD_DATA!$D57,0,$B$21*(H$24 - 1))</f>
        <v>270000</v>
      </c>
      <c r="I28" s="400"/>
      <c r="J28" s="714"/>
      <c r="K28" s="400"/>
      <c r="L28" s="400"/>
      <c r="M28" s="400"/>
      <c r="N28" s="400"/>
      <c r="O28" s="400"/>
      <c r="P28" s="400"/>
      <c r="Q28" s="400"/>
      <c r="R28" s="400"/>
    </row>
    <row r="29" spans="1:18" x14ac:dyDescent="0.25">
      <c r="B29" s="425" t="s">
        <v>338</v>
      </c>
      <c r="C29" s="717">
        <f t="shared" ca="1" si="0"/>
        <v>93799800000000</v>
      </c>
      <c r="D29" s="400"/>
      <c r="E29" s="724">
        <f ca="1">OFFSET(LOAD_DATA!$C58,0,$B$21*(E$24 - 1))*OFFSET(LOAD_DATA!$D58,0,$B$21*(E$24 - 1))</f>
        <v>270000</v>
      </c>
      <c r="F29" s="724">
        <f ca="1">OFFSET(LOAD_DATA!$C58,0,$B$21*(F$24 - 1))*OFFSET(LOAD_DATA!$D58,0,$B$21*(F$24 - 1))</f>
        <v>360000</v>
      </c>
      <c r="G29" s="724">
        <f ca="1">OFFSET(LOAD_DATA!$C58,0,$B$21*(G$24 - 1))*OFFSET(LOAD_DATA!$D58,0,$B$21*(G$24 - 1))</f>
        <v>360000</v>
      </c>
      <c r="H29" s="724">
        <f ca="1">OFFSET(LOAD_DATA!$C58,0,$B$21*(H$24 - 1))*OFFSET(LOAD_DATA!$D58,0,$B$21*(H$24 - 1))</f>
        <v>270000</v>
      </c>
      <c r="I29" s="400"/>
      <c r="J29" s="714"/>
      <c r="K29" s="400"/>
      <c r="L29" s="400"/>
      <c r="M29" s="400"/>
      <c r="N29" s="400"/>
      <c r="O29" s="400"/>
      <c r="P29" s="400"/>
      <c r="Q29" s="400"/>
      <c r="R29" s="400"/>
    </row>
    <row r="30" spans="1:18" x14ac:dyDescent="0.25">
      <c r="B30" s="425" t="s">
        <v>339</v>
      </c>
      <c r="C30" s="717" t="e">
        <f t="shared" ca="1" si="0"/>
        <v>#N/A</v>
      </c>
      <c r="D30" s="400"/>
      <c r="E30" s="724" t="e">
        <f ca="1">OFFSET(LOAD_DATA!$C59,0,$B$21*(E$24 - 1))*OFFSET(LOAD_DATA!$D59,0,$B$21*(E$24 - 1))</f>
        <v>#N/A</v>
      </c>
      <c r="F30" s="724" t="e">
        <f ca="1">OFFSET(LOAD_DATA!$C59,0,$B$21*(F$24 - 1))*OFFSET(LOAD_DATA!$D59,0,$B$21*(F$24 - 1))</f>
        <v>#N/A</v>
      </c>
      <c r="G30" s="724" t="e">
        <f ca="1">OFFSET(LOAD_DATA!$C59,0,$B$21*(G$24 - 1))*OFFSET(LOAD_DATA!$D59,0,$B$21*(G$24 - 1))</f>
        <v>#N/A</v>
      </c>
      <c r="H30" s="724" t="e">
        <f ca="1">OFFSET(LOAD_DATA!$C59,0,$B$21*(H$24 - 1))*OFFSET(LOAD_DATA!$D59,0,$B$21*(H$24 - 1))</f>
        <v>#N/A</v>
      </c>
      <c r="I30" s="400"/>
      <c r="J30" s="714"/>
      <c r="K30" s="400"/>
      <c r="L30" s="400"/>
      <c r="M30" s="400"/>
      <c r="N30" s="400"/>
      <c r="O30" s="400"/>
      <c r="P30" s="400"/>
      <c r="Q30" s="400"/>
      <c r="R30" s="400"/>
    </row>
    <row r="31" spans="1:18" x14ac:dyDescent="0.25">
      <c r="B31" s="425" t="s">
        <v>340</v>
      </c>
      <c r="C31" s="717" t="e">
        <f t="shared" ca="1" si="0"/>
        <v>#N/A</v>
      </c>
      <c r="D31" s="400"/>
      <c r="E31" s="724" t="e">
        <f ca="1">OFFSET(LOAD_DATA!$C60,0,$B$21*(E$24 - 1))*OFFSET(LOAD_DATA!$D60,0,$B$21*(E$24 - 1))</f>
        <v>#N/A</v>
      </c>
      <c r="F31" s="724" t="e">
        <f ca="1">OFFSET(LOAD_DATA!$C60,0,$B$21*(F$24 - 1))*OFFSET(LOAD_DATA!$D60,0,$B$21*(F$24 - 1))</f>
        <v>#N/A</v>
      </c>
      <c r="G31" s="724" t="e">
        <f ca="1">OFFSET(LOAD_DATA!$C60,0,$B$21*(G$24 - 1))*OFFSET(LOAD_DATA!$D60,0,$B$21*(G$24 - 1))</f>
        <v>#N/A</v>
      </c>
      <c r="H31" s="724" t="e">
        <f ca="1">OFFSET(LOAD_DATA!$C60,0,$B$21*(H$24 - 1))*OFFSET(LOAD_DATA!$D60,0,$B$21*(H$24 - 1))</f>
        <v>#N/A</v>
      </c>
      <c r="I31" s="400"/>
      <c r="J31" s="714"/>
      <c r="K31" s="400"/>
      <c r="L31" s="400"/>
      <c r="M31" s="400"/>
      <c r="N31" s="400"/>
      <c r="O31" s="400"/>
      <c r="P31" s="400"/>
      <c r="Q31" s="400"/>
      <c r="R31" s="400"/>
    </row>
    <row r="32" spans="1:18" x14ac:dyDescent="0.25">
      <c r="C32" s="717" t="e">
        <f ca="1">SUMPRODUCT(E32:P32,$E$23:$P$23,$E$23:$P$23)</f>
        <v>#N/A</v>
      </c>
      <c r="D32" s="400"/>
      <c r="E32" s="724" t="e">
        <f ca="1">OFFSET(LOAD_DATA!$C61,0,$B$21*(E$24 - 1))*OFFSET(LOAD_DATA!$D61,0,$B$21*(E$24 - 1))</f>
        <v>#N/A</v>
      </c>
      <c r="F32" s="724" t="e">
        <f ca="1">OFFSET(LOAD_DATA!$C61,0,$B$21*(F$24 - 1))*OFFSET(LOAD_DATA!$D61,0,$B$21*(F$24 - 1))</f>
        <v>#N/A</v>
      </c>
      <c r="G32" s="724" t="e">
        <f ca="1">OFFSET(LOAD_DATA!$C61,0,$B$21*(G$24 - 1))*OFFSET(LOAD_DATA!$D61,0,$B$21*(G$24 - 1))</f>
        <v>#N/A</v>
      </c>
      <c r="H32" s="724" t="e">
        <f ca="1">OFFSET(LOAD_DATA!$C61,0,$B$21*(H$24 - 1))*OFFSET(LOAD_DATA!$D61,0,$B$21*(H$24 - 1))</f>
        <v>#N/A</v>
      </c>
    </row>
    <row r="33" spans="2:18" x14ac:dyDescent="0.25">
      <c r="C33" s="717" t="e">
        <f ca="1">SUMPRODUCT(E33:P33,$E$23:$P$23,$E$23:$P$23)</f>
        <v>#N/A</v>
      </c>
      <c r="D33" s="400"/>
      <c r="E33" s="724" t="e">
        <f ca="1">OFFSET(LOAD_DATA!$C62,0,$B$21*(E$24 - 1))*OFFSET(LOAD_DATA!$D62,0,$B$21*(E$24 - 1))</f>
        <v>#N/A</v>
      </c>
      <c r="F33" s="724" t="e">
        <f ca="1">OFFSET(LOAD_DATA!$C62,0,$B$21*(F$24 - 1))*OFFSET(LOAD_DATA!$D62,0,$B$21*(F$24 - 1))</f>
        <v>#N/A</v>
      </c>
      <c r="G33" s="724" t="e">
        <f ca="1">OFFSET(LOAD_DATA!$C62,0,$B$21*(G$24 - 1))*OFFSET(LOAD_DATA!$D62,0,$B$21*(G$24 - 1))</f>
        <v>#N/A</v>
      </c>
      <c r="H33" s="724" t="e">
        <f ca="1">OFFSET(LOAD_DATA!$C62,0,$B$21*(H$24 - 1))*OFFSET(LOAD_DATA!$D62,0,$B$21*(H$24 - 1))</f>
        <v>#N/A</v>
      </c>
    </row>
    <row r="34" spans="2:18" x14ac:dyDescent="0.25">
      <c r="C34" s="717" t="e">
        <f ca="1">SUMPRODUCT(E34:P34,$E$23:$P$23,$E$23:$P$23)</f>
        <v>#N/A</v>
      </c>
      <c r="D34" s="400"/>
      <c r="E34" s="724" t="e">
        <f ca="1">OFFSET(LOAD_DATA!$C63,0,$B$21*(E$24 - 1))*OFFSET(LOAD_DATA!$D63,0,$B$21*(E$24 - 1))</f>
        <v>#N/A</v>
      </c>
      <c r="F34" s="724" t="e">
        <f ca="1">OFFSET(LOAD_DATA!$C63,0,$B$21*(F$24 - 1))*OFFSET(LOAD_DATA!$D63,0,$B$21*(F$24 - 1))</f>
        <v>#N/A</v>
      </c>
      <c r="G34" s="724" t="e">
        <f ca="1">OFFSET(LOAD_DATA!$C63,0,$B$21*(G$24 - 1))*OFFSET(LOAD_DATA!$D63,0,$B$21*(G$24 - 1))</f>
        <v>#N/A</v>
      </c>
      <c r="H34" s="724" t="e">
        <f ca="1">OFFSET(LOAD_DATA!$C63,0,$B$21*(H$24 - 1))*OFFSET(LOAD_DATA!$D63,0,$B$21*(H$24 - 1))</f>
        <v>#N/A</v>
      </c>
    </row>
    <row r="35" spans="2:18" x14ac:dyDescent="0.25">
      <c r="C35" s="717" t="e">
        <f ca="1">SUMPRODUCT(E35:P35,$E$23:$P$23,$E$23:$P$23)</f>
        <v>#N/A</v>
      </c>
      <c r="D35" s="400"/>
      <c r="E35" s="724" t="e">
        <f ca="1">OFFSET(LOAD_DATA!$C64,0,$B$21*(E$24 - 1))*OFFSET(LOAD_DATA!$D64,0,$B$21*(E$24 - 1))</f>
        <v>#N/A</v>
      </c>
      <c r="F35" s="724" t="e">
        <f ca="1">OFFSET(LOAD_DATA!$C64,0,$B$21*(F$24 - 1))*OFFSET(LOAD_DATA!$D64,0,$B$21*(F$24 - 1))</f>
        <v>#N/A</v>
      </c>
      <c r="G35" s="724" t="e">
        <f ca="1">OFFSET(LOAD_DATA!$C64,0,$B$21*(G$24 - 1))*OFFSET(LOAD_DATA!$D64,0,$B$21*(G$24 - 1))</f>
        <v>#N/A</v>
      </c>
      <c r="H35" s="724" t="e">
        <f ca="1">OFFSET(LOAD_DATA!$C64,0,$B$21*(H$24 - 1))*OFFSET(LOAD_DATA!$D64,0,$B$21*(H$24 - 1))</f>
        <v>#N/A</v>
      </c>
    </row>
    <row r="36" spans="2:18" x14ac:dyDescent="0.25">
      <c r="C36" s="717" t="e">
        <f ca="1">SUMPRODUCT(E36:P36,$E$23:$P$23,$E$23:$P$23)</f>
        <v>#N/A</v>
      </c>
      <c r="D36" s="400"/>
      <c r="E36" s="724" t="e">
        <f ca="1">OFFSET(LOAD_DATA!$C65,0,$B$21*(E$24 - 1))*OFFSET(LOAD_DATA!$D65,0,$B$21*(E$24 - 1))</f>
        <v>#N/A</v>
      </c>
      <c r="F36" s="724" t="e">
        <f ca="1">OFFSET(LOAD_DATA!$C65,0,$B$21*(F$24 - 1))*OFFSET(LOAD_DATA!$D65,0,$B$21*(F$24 - 1))</f>
        <v>#N/A</v>
      </c>
      <c r="G36" s="724" t="e">
        <f ca="1">OFFSET(LOAD_DATA!$C65,0,$B$21*(G$24 - 1))*OFFSET(LOAD_DATA!$D65,0,$B$21*(G$24 - 1))</f>
        <v>#N/A</v>
      </c>
      <c r="H36" s="724" t="e">
        <f ca="1">OFFSET(LOAD_DATA!$C65,0,$B$21*(H$24 - 1))*OFFSET(LOAD_DATA!$D65,0,$B$21*(H$24 - 1))</f>
        <v>#N/A</v>
      </c>
    </row>
    <row r="39" spans="2:18" ht="15.75" thickBot="1" x14ac:dyDescent="0.3">
      <c r="C39" s="713" t="s">
        <v>347</v>
      </c>
      <c r="D39" s="403"/>
      <c r="E39" s="403"/>
      <c r="F39" s="403"/>
      <c r="G39" s="403"/>
      <c r="H39" s="403"/>
      <c r="I39" s="403"/>
      <c r="J39" s="403"/>
      <c r="K39" s="403"/>
      <c r="L39" s="403"/>
      <c r="M39" s="403"/>
      <c r="N39" s="403"/>
      <c r="O39" s="403"/>
      <c r="P39" s="403"/>
      <c r="Q39" s="403"/>
      <c r="R39" s="403"/>
    </row>
    <row r="40" spans="2:18" ht="26.25" thickBot="1" x14ac:dyDescent="0.3">
      <c r="C40" s="719" t="s">
        <v>348</v>
      </c>
      <c r="D40" s="718">
        <f>RxnCheck!C24</f>
        <v>9</v>
      </c>
      <c r="E40" s="692"/>
      <c r="F40" s="720" t="s">
        <v>349</v>
      </c>
      <c r="G40" s="718">
        <f>RxnCheck!$C$12+1</f>
        <v>4</v>
      </c>
      <c r="H40" s="721" t="str">
        <f>IF(G40=MAX(E24:R24), "OK!","All Columns Not Considered!")</f>
        <v>OK!</v>
      </c>
      <c r="I40" s="400"/>
      <c r="J40" s="400"/>
      <c r="K40" s="400"/>
      <c r="L40" s="400"/>
      <c r="M40" s="400"/>
      <c r="N40" s="400"/>
      <c r="O40" s="400"/>
      <c r="P40" s="400"/>
      <c r="Q40" s="400"/>
      <c r="R40" s="400"/>
    </row>
    <row r="41" spans="2:18" x14ac:dyDescent="0.25">
      <c r="B41" s="411" t="s">
        <v>333</v>
      </c>
      <c r="C41" s="448"/>
      <c r="D41" s="448"/>
      <c r="E41" s="686"/>
      <c r="H41" s="400"/>
      <c r="I41" s="400"/>
      <c r="J41" s="400"/>
      <c r="K41" s="400"/>
      <c r="L41" s="400"/>
      <c r="M41" s="400"/>
      <c r="N41" s="400"/>
      <c r="O41" s="400"/>
      <c r="P41" s="400"/>
      <c r="Q41" s="400"/>
      <c r="R41" s="400"/>
    </row>
    <row r="42" spans="2:18" x14ac:dyDescent="0.25">
      <c r="B42" s="447"/>
      <c r="C42" s="448" t="s">
        <v>350</v>
      </c>
      <c r="D42" s="400" t="s">
        <v>351</v>
      </c>
      <c r="E42" s="400" t="s">
        <v>352</v>
      </c>
      <c r="F42" t="s">
        <v>353</v>
      </c>
      <c r="G42" s="400" t="s">
        <v>354</v>
      </c>
      <c r="H42" s="400"/>
      <c r="I42" s="400"/>
      <c r="J42" s="400"/>
      <c r="K42" s="400"/>
      <c r="L42" s="400"/>
      <c r="M42" s="400"/>
      <c r="N42" s="400"/>
      <c r="O42" s="400"/>
      <c r="P42" s="400"/>
      <c r="Q42" s="400"/>
      <c r="R42" s="400"/>
    </row>
    <row r="43" spans="2:18" ht="15.75" x14ac:dyDescent="0.25">
      <c r="B43" s="425" t="s">
        <v>334</v>
      </c>
      <c r="C43" s="697">
        <f ca="1">GeneralInput!Q24*RxnCheck!$C$34/$D$40</f>
        <v>288.19468885111587</v>
      </c>
      <c r="D43" s="479">
        <f ca="1">C43</f>
        <v>288.19468885111587</v>
      </c>
      <c r="E43" s="448">
        <f>'Detailing(OMRF&amp;SMRF)'!A14</f>
        <v>3900</v>
      </c>
      <c r="F43" s="697">
        <f ca="1">(SUMPRODUCT($E$43:E43,$D$43:D43)-D43*E43/2)/1000</f>
        <v>561.97964325967598</v>
      </c>
      <c r="G43" s="728">
        <f t="shared" ref="G43:J49" ca="1" si="1">$F43*E25*E$23/$C25*1000</f>
        <v>-19.896997597706861</v>
      </c>
      <c r="H43" s="728">
        <f t="shared" ca="1" si="1"/>
        <v>-8.8431100434252716</v>
      </c>
      <c r="I43" s="728">
        <f t="shared" ca="1" si="1"/>
        <v>8.8431100434252716</v>
      </c>
      <c r="J43" s="728">
        <f t="shared" ca="1" si="1"/>
        <v>19.896997597706861</v>
      </c>
      <c r="K43" s="400"/>
      <c r="L43" s="400"/>
      <c r="M43" s="400"/>
      <c r="N43" s="400"/>
      <c r="O43" s="400"/>
      <c r="P43" s="400"/>
      <c r="Q43" s="400"/>
      <c r="R43" s="400"/>
    </row>
    <row r="44" spans="2:18" ht="15.75" x14ac:dyDescent="0.25">
      <c r="B44" s="425" t="s">
        <v>335</v>
      </c>
      <c r="C44" s="697">
        <f ca="1">GeneralInput!Q25*RxnCheck!$C$34/$D$40</f>
        <v>187.20777738691334</v>
      </c>
      <c r="D44" s="479">
        <f t="shared" ref="D44:D49" ca="1" si="2">D43+C44</f>
        <v>475.40246623802921</v>
      </c>
      <c r="E44" s="448">
        <f>'Detailing(OMRF&amp;SMRF)'!A15</f>
        <v>3900</v>
      </c>
      <c r="F44" s="697">
        <f ca="1">(SUMPRODUCT($E$43:E44,$D$43:D44)-D44*E44/2)/1000</f>
        <v>2050.9940956835089</v>
      </c>
      <c r="G44" s="728">
        <f t="shared" ca="1" si="1"/>
        <v>-72.615841310588436</v>
      </c>
      <c r="H44" s="728">
        <f t="shared" ca="1" si="1"/>
        <v>-32.273707249150412</v>
      </c>
      <c r="I44" s="728">
        <f t="shared" ca="1" si="1"/>
        <v>32.273707249150412</v>
      </c>
      <c r="J44" s="728">
        <f t="shared" ca="1" si="1"/>
        <v>72.615841310588436</v>
      </c>
      <c r="K44" s="400"/>
      <c r="L44" s="400"/>
      <c r="M44" s="400"/>
      <c r="N44" s="400"/>
      <c r="O44" s="400"/>
      <c r="P44" s="400"/>
      <c r="Q44" s="400"/>
      <c r="R44" s="400"/>
    </row>
    <row r="45" spans="2:18" ht="15.75" x14ac:dyDescent="0.25">
      <c r="B45" s="425" t="s">
        <v>336</v>
      </c>
      <c r="C45" s="697">
        <f ca="1">GeneralInput!Q26*RxnCheck!$C$34/$D$40</f>
        <v>107.92053284890306</v>
      </c>
      <c r="D45" s="479">
        <f t="shared" ca="1" si="2"/>
        <v>583.32299908693221</v>
      </c>
      <c r="E45" s="448">
        <f>'Detailing(OMRF&amp;SMRF)'!A16</f>
        <v>3900</v>
      </c>
      <c r="F45" s="697">
        <f ca="1">(SUMPRODUCT($E$43:E45,$D$43:D45)-D45*E45/2)/1000</f>
        <v>4115.5087530671844</v>
      </c>
      <c r="G45" s="728">
        <f t="shared" ca="1" si="1"/>
        <v>-145.71038071441643</v>
      </c>
      <c r="H45" s="728">
        <f t="shared" ca="1" si="1"/>
        <v>-64.760169206407298</v>
      </c>
      <c r="I45" s="728">
        <f t="shared" ca="1" si="1"/>
        <v>64.760169206407298</v>
      </c>
      <c r="J45" s="728">
        <f t="shared" ca="1" si="1"/>
        <v>145.71038071441643</v>
      </c>
      <c r="K45" s="400"/>
      <c r="L45" s="400"/>
      <c r="M45" s="400"/>
      <c r="N45" s="400"/>
      <c r="O45" s="400"/>
      <c r="P45" s="400"/>
      <c r="Q45" s="400"/>
      <c r="R45" s="400"/>
    </row>
    <row r="46" spans="2:18" ht="15.75" x14ac:dyDescent="0.25">
      <c r="B46" s="425" t="s">
        <v>337</v>
      </c>
      <c r="C46" s="697">
        <f ca="1">GeneralInput!Q27*RxnCheck!$C$34/$D$40</f>
        <v>50.332955237085066</v>
      </c>
      <c r="D46" s="479">
        <f t="shared" ca="1" si="2"/>
        <v>633.65595432401733</v>
      </c>
      <c r="E46" s="448">
        <f>'Detailing(OMRF&amp;SMRF)'!A17</f>
        <v>3900</v>
      </c>
      <c r="F46" s="697">
        <f ca="1">(SUMPRODUCT($E$43:E46,$D$43:D46)-D46*E46/2)/1000</f>
        <v>6488.6177122185363</v>
      </c>
      <c r="G46" s="728">
        <f t="shared" ca="1" si="1"/>
        <v>-229.73076085746195</v>
      </c>
      <c r="H46" s="728">
        <f t="shared" ca="1" si="1"/>
        <v>-102.10256038109419</v>
      </c>
      <c r="I46" s="728">
        <f t="shared" ca="1" si="1"/>
        <v>102.10256038109419</v>
      </c>
      <c r="J46" s="728">
        <f t="shared" ca="1" si="1"/>
        <v>229.73076085746195</v>
      </c>
      <c r="K46" s="400"/>
      <c r="L46" s="400"/>
      <c r="M46" s="400"/>
      <c r="N46" s="400"/>
      <c r="O46" s="400"/>
      <c r="P46" s="400"/>
      <c r="Q46" s="400"/>
      <c r="R46" s="400"/>
    </row>
    <row r="47" spans="2:18" ht="15.75" x14ac:dyDescent="0.25">
      <c r="B47" s="425" t="s">
        <v>338</v>
      </c>
      <c r="C47" s="697">
        <f ca="1">GeneralInput!Q28*RxnCheck!$C$34/$D$40</f>
        <v>14.566267898204821</v>
      </c>
      <c r="D47" s="479">
        <f t="shared" ca="1" si="2"/>
        <v>648.22222222222217</v>
      </c>
      <c r="E47" s="448">
        <f>'Detailing(OMRF&amp;SMRF)'!A18</f>
        <v>4500</v>
      </c>
      <c r="F47" s="697">
        <f ca="1">(SUMPRODUCT($E$43:E47,$D$43:D47)-D47*E47/2)/1000</f>
        <v>9182.7468231503699</v>
      </c>
      <c r="G47" s="728">
        <f t="shared" ca="1" si="1"/>
        <v>-325.11692135465512</v>
      </c>
      <c r="H47" s="728">
        <f t="shared" ca="1" si="1"/>
        <v>-144.49640949095783</v>
      </c>
      <c r="I47" s="728">
        <f t="shared" ca="1" si="1"/>
        <v>144.49640949095783</v>
      </c>
      <c r="J47" s="728">
        <f t="shared" ca="1" si="1"/>
        <v>325.11692135465512</v>
      </c>
      <c r="K47" s="400"/>
      <c r="L47" s="400"/>
      <c r="M47" s="400"/>
      <c r="N47" s="400"/>
      <c r="O47" s="400"/>
      <c r="P47" s="400"/>
      <c r="Q47" s="400"/>
      <c r="R47" s="400"/>
    </row>
    <row r="48" spans="2:18" ht="15.75" x14ac:dyDescent="0.25">
      <c r="B48" s="425" t="s">
        <v>339</v>
      </c>
      <c r="C48" s="697">
        <f ca="1">GeneralInput!Q29*RxnCheck!$C$34/$D$40</f>
        <v>0</v>
      </c>
      <c r="D48" s="479">
        <f t="shared" ca="1" si="2"/>
        <v>648.22222222222217</v>
      </c>
      <c r="E48" s="448">
        <f>'Detailing(OMRF&amp;SMRF)'!A19</f>
        <v>0</v>
      </c>
      <c r="F48" s="697">
        <f ca="1">(SUMPRODUCT($E$43:E48,$D$43:D48)-D48*E48/2)/1000</f>
        <v>10641.24682315037</v>
      </c>
      <c r="G48" s="728" t="e">
        <f t="shared" ca="1" si="1"/>
        <v>#N/A</v>
      </c>
      <c r="H48" s="728" t="e">
        <f t="shared" ca="1" si="1"/>
        <v>#N/A</v>
      </c>
      <c r="I48" s="728" t="e">
        <f t="shared" ca="1" si="1"/>
        <v>#N/A</v>
      </c>
      <c r="J48" s="728" t="e">
        <f t="shared" ca="1" si="1"/>
        <v>#N/A</v>
      </c>
      <c r="K48" s="400"/>
      <c r="L48" s="400"/>
      <c r="M48" s="400"/>
      <c r="N48" s="400"/>
      <c r="O48" s="400"/>
      <c r="P48" s="400"/>
      <c r="Q48" s="400"/>
      <c r="R48" s="400"/>
    </row>
    <row r="49" spans="2:18" ht="15.75" x14ac:dyDescent="0.25">
      <c r="B49" s="425" t="s">
        <v>340</v>
      </c>
      <c r="C49" s="697">
        <f ca="1">GeneralInput!Q30*RxnCheck!$C$34/$D$40</f>
        <v>0</v>
      </c>
      <c r="D49" s="479">
        <f t="shared" ca="1" si="2"/>
        <v>648.22222222222217</v>
      </c>
      <c r="E49" s="448">
        <v>4500</v>
      </c>
      <c r="F49" s="697">
        <f ca="1">(SUMPRODUCT($E$43:E49,$D$43:D49)-D49*E49/2)/1000</f>
        <v>12099.74682315037</v>
      </c>
      <c r="G49" s="728" t="e">
        <f t="shared" ca="1" si="1"/>
        <v>#N/A</v>
      </c>
      <c r="H49" s="728" t="e">
        <f t="shared" ca="1" si="1"/>
        <v>#N/A</v>
      </c>
      <c r="I49" s="728" t="e">
        <f t="shared" ca="1" si="1"/>
        <v>#N/A</v>
      </c>
      <c r="J49" s="728" t="e">
        <f t="shared" ca="1" si="1"/>
        <v>#N/A</v>
      </c>
      <c r="K49" s="400"/>
      <c r="L49" s="400"/>
      <c r="M49" s="400"/>
      <c r="N49" s="400"/>
      <c r="O49" s="400"/>
      <c r="P49" s="400"/>
      <c r="Q49" s="400"/>
      <c r="R49" s="400"/>
    </row>
    <row r="50" spans="2:18" ht="15.75" x14ac:dyDescent="0.25">
      <c r="C50" s="697">
        <f ca="1">GeneralInput!Q31*RxnCheck!$C$34/$D$40</f>
        <v>0</v>
      </c>
      <c r="D50" s="479">
        <f ca="1">D49+C50</f>
        <v>648.22222222222217</v>
      </c>
      <c r="E50" s="448">
        <v>4501</v>
      </c>
      <c r="F50" s="697">
        <f ca="1">(SUMPRODUCT($E$43:E50,$D$43:D50)-D50*E50/2)/1000</f>
        <v>15017.070934261483</v>
      </c>
      <c r="G50" s="728" t="e">
        <f t="shared" ref="G50:J54" ca="1" si="3">$F50*E32*E$23/$C32*1000</f>
        <v>#N/A</v>
      </c>
      <c r="H50" s="728" t="e">
        <f t="shared" ca="1" si="3"/>
        <v>#N/A</v>
      </c>
      <c r="I50" s="728" t="e">
        <f t="shared" ca="1" si="3"/>
        <v>#N/A</v>
      </c>
      <c r="J50" s="728" t="e">
        <f t="shared" ca="1" si="3"/>
        <v>#N/A</v>
      </c>
    </row>
    <row r="51" spans="2:18" ht="15.75" x14ac:dyDescent="0.25">
      <c r="C51" s="697">
        <f ca="1">GeneralInput!Q32*RxnCheck!$C$34/$D$40</f>
        <v>0</v>
      </c>
      <c r="D51" s="479">
        <f ca="1">D50+C51</f>
        <v>648.22222222222217</v>
      </c>
      <c r="E51" s="448">
        <v>4502</v>
      </c>
      <c r="F51" s="697">
        <f ca="1">(SUMPRODUCT($E$43:E51,$D$43:D51)-D51*E51/2)/1000</f>
        <v>17935.043267594814</v>
      </c>
      <c r="G51" s="728" t="e">
        <f t="shared" ca="1" si="3"/>
        <v>#N/A</v>
      </c>
      <c r="H51" s="728" t="e">
        <f t="shared" ca="1" si="3"/>
        <v>#N/A</v>
      </c>
      <c r="I51" s="728" t="e">
        <f t="shared" ca="1" si="3"/>
        <v>#N/A</v>
      </c>
      <c r="J51" s="728" t="e">
        <f t="shared" ca="1" si="3"/>
        <v>#N/A</v>
      </c>
    </row>
    <row r="52" spans="2:18" ht="15.75" x14ac:dyDescent="0.25">
      <c r="C52" s="697">
        <f ca="1">GeneralInput!Q33*RxnCheck!$C$34/$D$40</f>
        <v>0</v>
      </c>
      <c r="D52" s="479">
        <f ca="1">D51+C52</f>
        <v>648.22222222222217</v>
      </c>
      <c r="E52" s="448">
        <v>4503</v>
      </c>
      <c r="F52" s="697">
        <f ca="1">(SUMPRODUCT($E$43:E52,$D$43:D52)-D52*E52/2)/1000</f>
        <v>20853.663823150375</v>
      </c>
      <c r="G52" s="728" t="e">
        <f t="shared" ca="1" si="3"/>
        <v>#N/A</v>
      </c>
      <c r="H52" s="728" t="e">
        <f t="shared" ca="1" si="3"/>
        <v>#N/A</v>
      </c>
      <c r="I52" s="728" t="e">
        <f t="shared" ca="1" si="3"/>
        <v>#N/A</v>
      </c>
      <c r="J52" s="728" t="e">
        <f t="shared" ca="1" si="3"/>
        <v>#N/A</v>
      </c>
    </row>
    <row r="53" spans="2:18" ht="15.75" x14ac:dyDescent="0.25">
      <c r="C53" s="697">
        <f ca="1">GeneralInput!Q34*RxnCheck!$C$34/$D$40</f>
        <v>0</v>
      </c>
      <c r="D53" s="479">
        <f ca="1">D52+C53</f>
        <v>648.22222222222217</v>
      </c>
      <c r="E53" s="448">
        <v>4504</v>
      </c>
      <c r="F53" s="697">
        <f ca="1">(SUMPRODUCT($E$43:E53,$D$43:D53)-D53*E53/2)/1000</f>
        <v>23772.93260092815</v>
      </c>
      <c r="G53" s="728" t="e">
        <f t="shared" ca="1" si="3"/>
        <v>#N/A</v>
      </c>
      <c r="H53" s="728" t="e">
        <f t="shared" ca="1" si="3"/>
        <v>#N/A</v>
      </c>
      <c r="I53" s="728" t="e">
        <f t="shared" ca="1" si="3"/>
        <v>#N/A</v>
      </c>
      <c r="J53" s="728" t="e">
        <f t="shared" ca="1" si="3"/>
        <v>#N/A</v>
      </c>
    </row>
    <row r="54" spans="2:18" ht="15.75" x14ac:dyDescent="0.25">
      <c r="C54" s="697">
        <f ca="1">GeneralInput!Q35*RxnCheck!$C$34/$D$40</f>
        <v>0</v>
      </c>
      <c r="D54" s="479">
        <f ca="1">D53+C54</f>
        <v>648.22222222222217</v>
      </c>
      <c r="E54" s="448">
        <v>4505</v>
      </c>
      <c r="F54" s="697">
        <f ca="1">(SUMPRODUCT($E$43:E54,$D$43:D54)-D54*E54/2)/1000</f>
        <v>26692.849600928152</v>
      </c>
      <c r="G54" s="728" t="e">
        <f t="shared" ca="1" si="3"/>
        <v>#N/A</v>
      </c>
      <c r="H54" s="728" t="e">
        <f t="shared" ca="1" si="3"/>
        <v>#N/A</v>
      </c>
      <c r="I54" s="728" t="e">
        <f t="shared" ca="1" si="3"/>
        <v>#N/A</v>
      </c>
      <c r="J54" s="728" t="e">
        <f t="shared" ca="1" si="3"/>
        <v>#N/A</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AL735"/>
  <sheetViews>
    <sheetView showZeros="0" view="pageBreakPreview" zoomScale="69" zoomScaleNormal="100" zoomScaleSheetLayoutView="69" workbookViewId="0">
      <selection activeCell="U12" sqref="U12"/>
    </sheetView>
  </sheetViews>
  <sheetFormatPr defaultRowHeight="15" x14ac:dyDescent="0.25"/>
  <cols>
    <col min="4" max="4" width="11" bestFit="1" customWidth="1"/>
    <col min="7" max="7" width="16.140625" customWidth="1"/>
    <col min="8" max="8" width="13" style="22" customWidth="1"/>
    <col min="9" max="15" width="4.42578125" style="69" customWidth="1"/>
    <col min="16" max="16" width="9.140625" customWidth="1"/>
    <col min="17" max="17" width="13" customWidth="1"/>
    <col min="18" max="24" width="4.42578125" customWidth="1"/>
    <col min="26" max="26" width="13" customWidth="1"/>
    <col min="27" max="33" width="4.42578125" customWidth="1"/>
    <col min="35" max="35" width="13" customWidth="1"/>
    <col min="36" max="42" width="4.42578125" customWidth="1"/>
    <col min="44" max="44" width="13" customWidth="1"/>
    <col min="45" max="51" width="4.42578125" customWidth="1"/>
    <col min="53" max="53" width="13" customWidth="1"/>
    <col min="54" max="60" width="4.42578125" customWidth="1"/>
    <col min="62" max="62" width="13" customWidth="1"/>
    <col min="63" max="69" width="4.42578125" customWidth="1"/>
    <col min="71" max="71" width="13" customWidth="1"/>
    <col min="72" max="78" width="4.42578125" customWidth="1"/>
    <col min="80" max="80" width="13" customWidth="1"/>
    <col min="81" max="87" width="4.42578125" customWidth="1"/>
    <col min="89" max="89" width="13" customWidth="1"/>
    <col min="90" max="96" width="4.42578125" customWidth="1"/>
    <col min="98" max="98" width="13" customWidth="1"/>
    <col min="99" max="105" width="4.42578125" customWidth="1"/>
    <col min="107" max="107" width="13" customWidth="1"/>
    <col min="108" max="114" width="4.42578125" customWidth="1"/>
    <col min="116" max="116" width="13" customWidth="1"/>
    <col min="117" max="123" width="4.42578125" customWidth="1"/>
    <col min="125" max="125" width="13" customWidth="1"/>
    <col min="126" max="132" width="4.42578125" customWidth="1"/>
    <col min="134" max="134" width="13" customWidth="1"/>
    <col min="135" max="141" width="4.42578125" customWidth="1"/>
    <col min="143" max="143" width="13" customWidth="1"/>
    <col min="144" max="150" width="4.42578125" customWidth="1"/>
  </cols>
  <sheetData>
    <row r="1" spans="1:38" ht="18.75" thickBot="1" x14ac:dyDescent="0.4">
      <c r="A1" s="127" t="s">
        <v>355</v>
      </c>
      <c r="B1" s="128">
        <v>25</v>
      </c>
      <c r="C1" s="129" t="s">
        <v>88</v>
      </c>
      <c r="D1" s="344" t="s">
        <v>356</v>
      </c>
    </row>
    <row r="2" spans="1:38" ht="15.75" thickBot="1" x14ac:dyDescent="0.3">
      <c r="L2" s="127"/>
      <c r="M2" s="128"/>
      <c r="N2" s="219" t="s">
        <v>357</v>
      </c>
      <c r="O2" s="24">
        <v>9</v>
      </c>
    </row>
    <row r="3" spans="1:38" ht="15.75" thickBot="1" x14ac:dyDescent="0.3">
      <c r="B3" s="121" t="s">
        <v>142</v>
      </c>
      <c r="C3" s="132">
        <v>7</v>
      </c>
      <c r="L3" s="123"/>
      <c r="M3" s="124"/>
      <c r="N3" s="619" t="s">
        <v>358</v>
      </c>
      <c r="O3" s="28">
        <v>10</v>
      </c>
    </row>
    <row r="4" spans="1:38" ht="15.75" thickBot="1" x14ac:dyDescent="0.3">
      <c r="B4" s="123" t="s">
        <v>359</v>
      </c>
      <c r="C4" s="133">
        <v>3</v>
      </c>
    </row>
    <row r="5" spans="1:38" ht="24" thickBot="1" x14ac:dyDescent="0.4">
      <c r="G5" s="349" t="s">
        <v>360</v>
      </c>
      <c r="H5" s="353" t="str">
        <f>'Detailing(OMRF&amp;SMRF)'!F7</f>
        <v>5story_35053v02_R5</v>
      </c>
      <c r="I5" s="350"/>
      <c r="J5" s="351"/>
      <c r="K5" s="350"/>
      <c r="L5" s="352"/>
      <c r="M5" s="350"/>
      <c r="N5" s="350"/>
      <c r="O5" s="350"/>
      <c r="P5" s="129"/>
      <c r="Q5" s="127"/>
      <c r="R5" s="915" t="s">
        <v>361</v>
      </c>
      <c r="S5" s="916" t="str">
        <f>RxnCheck!C2</f>
        <v>IS 1893-1 (2016)</v>
      </c>
      <c r="T5" s="128"/>
      <c r="U5" s="129"/>
      <c r="Y5" s="905" t="s">
        <v>37</v>
      </c>
      <c r="Z5" s="906" t="str">
        <f>'Detailing(OMRF&amp;SMRF)'!I8</f>
        <v>Special 13920 (2016)</v>
      </c>
    </row>
    <row r="6" spans="1:38" ht="88.5" x14ac:dyDescent="0.25">
      <c r="I6" s="79" t="s">
        <v>362</v>
      </c>
      <c r="J6" s="79" t="s">
        <v>363</v>
      </c>
      <c r="K6" s="79" t="s">
        <v>364</v>
      </c>
      <c r="L6" s="79" t="s">
        <v>365</v>
      </c>
      <c r="M6" s="79" t="s">
        <v>366</v>
      </c>
      <c r="N6" s="79" t="s">
        <v>367</v>
      </c>
      <c r="O6" s="79" t="s">
        <v>368</v>
      </c>
      <c r="Q6" s="22"/>
      <c r="R6" s="79" t="s">
        <v>362</v>
      </c>
      <c r="S6" s="79" t="s">
        <v>363</v>
      </c>
      <c r="T6" s="79" t="s">
        <v>364</v>
      </c>
      <c r="U6" s="79" t="s">
        <v>365</v>
      </c>
      <c r="V6" s="79" t="s">
        <v>366</v>
      </c>
      <c r="W6" s="79" t="s">
        <v>367</v>
      </c>
      <c r="X6" s="79" t="s">
        <v>368</v>
      </c>
      <c r="Z6" s="22"/>
      <c r="AA6" s="79" t="s">
        <v>362</v>
      </c>
      <c r="AB6" s="79" t="s">
        <v>363</v>
      </c>
      <c r="AC6" s="79" t="s">
        <v>364</v>
      </c>
      <c r="AD6" s="79" t="s">
        <v>365</v>
      </c>
      <c r="AE6" s="79" t="s">
        <v>366</v>
      </c>
      <c r="AF6" s="79" t="s">
        <v>367</v>
      </c>
      <c r="AG6" s="79" t="s">
        <v>368</v>
      </c>
      <c r="AI6" s="22"/>
    </row>
    <row r="7" spans="1:38" ht="48.75" customHeight="1" thickBot="1" x14ac:dyDescent="0.35">
      <c r="A7" s="64">
        <v>-2</v>
      </c>
      <c r="B7" s="64"/>
      <c r="C7" s="64"/>
      <c r="D7" s="64"/>
      <c r="E7" s="64"/>
      <c r="F7" s="64"/>
      <c r="G7" s="311" t="s">
        <v>369</v>
      </c>
      <c r="H7" s="902"/>
      <c r="I7" s="593">
        <f>INDEX('Detailing(OMRF&amp;SMRF)'!$C$49:$D$60,(ROW()+2)/$O$2,1)</f>
        <v>400</v>
      </c>
      <c r="J7" s="593">
        <f>INDEX('Detailing(OMRF&amp;SMRF)'!$C$49:$D$60,(ROW()+2)/$O$2,2)</f>
        <v>750</v>
      </c>
      <c r="K7" s="78">
        <f>PI()/4*(J8*K8^2+M8*N8^2)/I7/J7</f>
        <v>6.8696159358496798E-3</v>
      </c>
      <c r="L7" s="78">
        <f>PI()/4*(J9*K9^2+M9*N9^2)/I7/J7</f>
        <v>6.5449846949787362E-3</v>
      </c>
      <c r="M7" s="78">
        <f>K10*PI()*L10^2/4/N7/I7</f>
        <v>6.2831853071795866E-3</v>
      </c>
      <c r="N7" s="593">
        <f>INDEX('Detailing(OMRF&amp;SMRF)'!$AB$49:$AE$60,(ROW()+2)/$O$2,3)</f>
        <v>125</v>
      </c>
      <c r="O7" s="393">
        <f>INDEX(RxnCheck!$O$8:$W$8,1,(2*COLUMN()-21)/9)</f>
        <v>8200</v>
      </c>
      <c r="P7" s="312" t="s">
        <v>370</v>
      </c>
      <c r="Q7" s="620"/>
      <c r="R7" s="593">
        <f>INDEX('Detailing(OMRF&amp;SMRF)'!$C$65:$D$76,(ROW()+2)/$O$2,1)</f>
        <v>400</v>
      </c>
      <c r="S7" s="593">
        <f>INDEX('Detailing(OMRF&amp;SMRF)'!$C$65:$D$76,(ROW()+2)/$O$2,2)</f>
        <v>750</v>
      </c>
      <c r="T7" s="78">
        <f>PI()/4*(S8*T8^2+V8*W8^2)/R7/S7</f>
        <v>6.8696159358496798E-3</v>
      </c>
      <c r="U7" s="78">
        <f>PI()/4*(S9*T9^2+V9*W9^2)/R7/S7</f>
        <v>5.3668874498825625E-3</v>
      </c>
      <c r="V7" s="78">
        <f>T10*PI()*U10^2/4/W7/R7</f>
        <v>5.235987755982989E-3</v>
      </c>
      <c r="W7" s="593">
        <f>INDEX('Detailing(OMRF&amp;SMRF)'!$AB$65:$AE$76,(ROW()+2)/$O$2,3)</f>
        <v>150</v>
      </c>
      <c r="X7" s="393">
        <f>INDEX(RxnCheck!$O$8:$W$8,1,(2*COLUMN()-21)/9)</f>
        <v>8200</v>
      </c>
      <c r="Y7" s="381" t="s">
        <v>371</v>
      </c>
      <c r="Z7" s="620"/>
      <c r="AA7" s="593">
        <f t="shared" ref="AA7:AG7" si="0">I7</f>
        <v>400</v>
      </c>
      <c r="AB7" s="593">
        <f>J7</f>
        <v>750</v>
      </c>
      <c r="AC7" s="612">
        <f t="shared" si="0"/>
        <v>6.8696159358496798E-3</v>
      </c>
      <c r="AD7" s="612">
        <f t="shared" si="0"/>
        <v>6.5449846949787362E-3</v>
      </c>
      <c r="AE7" s="612">
        <f t="shared" si="0"/>
        <v>6.2831853071795866E-3</v>
      </c>
      <c r="AF7" s="593">
        <f t="shared" si="0"/>
        <v>125</v>
      </c>
      <c r="AG7" s="393">
        <f t="shared" si="0"/>
        <v>8200</v>
      </c>
      <c r="AH7" s="381" t="s">
        <v>372</v>
      </c>
      <c r="AI7" s="82" t="str">
        <f>INDEX(RxnCheck!$G$11:$G$23, (ROW()+2)/9)</f>
        <v>Level 5 (20.1 m)</v>
      </c>
    </row>
    <row r="8" spans="1:38" ht="15.75" thickTop="1" x14ac:dyDescent="0.25">
      <c r="A8" s="1">
        <v>-1</v>
      </c>
      <c r="B8" s="1"/>
      <c r="C8" s="1"/>
      <c r="D8" s="1"/>
      <c r="E8" s="1"/>
      <c r="H8" s="72"/>
      <c r="I8" s="83" t="s">
        <v>373</v>
      </c>
      <c r="J8" s="595">
        <f>INDEX('Detailing(OMRF&amp;SMRF)'!$M$49:$P$60,(ROW()+1)/$O$2,1)</f>
        <v>4</v>
      </c>
      <c r="K8" s="596">
        <f>INDEX('Detailing(OMRF&amp;SMRF)'!$M$49:$P$60,(ROW()+1)/$O$2,2)</f>
        <v>20</v>
      </c>
      <c r="L8" s="394" t="str">
        <f>IF(OR(ISBLANK(M8),M8=0),"","+")</f>
        <v>+</v>
      </c>
      <c r="M8" s="595">
        <f>INDEX('Detailing(OMRF&amp;SMRF)'!$M$49:$P$60,(ROW()+1)/$O$2,3)</f>
        <v>4</v>
      </c>
      <c r="N8" s="597">
        <f>INDEX('Detailing(OMRF&amp;SMRF)'!$M$49:$P$60,(ROW()+1)/$O$2,4)</f>
        <v>16</v>
      </c>
      <c r="O8" s="70"/>
      <c r="P8" s="68"/>
      <c r="Q8" s="600"/>
      <c r="R8" s="83" t="s">
        <v>373</v>
      </c>
      <c r="S8" s="595">
        <f>INDEX('Detailing(OMRF&amp;SMRF)'!$M$65:$P$76,(ROW()+1)/$O$2,1)</f>
        <v>4</v>
      </c>
      <c r="T8" s="596">
        <f>INDEX('Detailing(OMRF&amp;SMRF)'!$M$65:$P$76,(ROW()+1)/$O$2,2)</f>
        <v>20</v>
      </c>
      <c r="U8" s="394" t="str">
        <f>IF(OR(ISBLANK(V8),V8=0),"","+")</f>
        <v>+</v>
      </c>
      <c r="V8" s="595">
        <f>INDEX('Detailing(OMRF&amp;SMRF)'!$M$65:$P$76,(ROW()+1)/$O$2,3)</f>
        <v>4</v>
      </c>
      <c r="W8" s="597">
        <f>INDEX('Detailing(OMRF&amp;SMRF)'!$M$65:$P$76,(ROW()+1)/$O$2,4)</f>
        <v>16</v>
      </c>
      <c r="X8" s="621"/>
      <c r="Y8" s="68"/>
      <c r="Z8" s="72"/>
      <c r="AA8" s="609" t="s">
        <v>373</v>
      </c>
      <c r="AB8" s="595">
        <f>J8</f>
        <v>4</v>
      </c>
      <c r="AC8" s="596">
        <f t="shared" ref="AC8:AF9" si="1">K8</f>
        <v>20</v>
      </c>
      <c r="AD8" s="613" t="str">
        <f t="shared" si="1"/>
        <v>+</v>
      </c>
      <c r="AE8" s="595">
        <f t="shared" si="1"/>
        <v>4</v>
      </c>
      <c r="AF8" s="597">
        <f t="shared" si="1"/>
        <v>16</v>
      </c>
      <c r="AG8" s="621"/>
      <c r="AH8" s="68"/>
      <c r="AI8" s="73"/>
    </row>
    <row r="9" spans="1:38" x14ac:dyDescent="0.25">
      <c r="A9" s="1">
        <v>0</v>
      </c>
      <c r="G9" s="4" t="s">
        <v>374</v>
      </c>
      <c r="H9" s="586">
        <f>INDEX('Detailing(OMRF&amp;SMRF)'!$C$14:$D$25,ROW()/$O$2,1)</f>
        <v>450</v>
      </c>
      <c r="I9" s="85" t="s">
        <v>375</v>
      </c>
      <c r="J9" s="592">
        <f>INDEX('Detailing(OMRF&amp;SMRF)'!$T$49:$W$60,(ROW())/$O$2,1)</f>
        <v>2</v>
      </c>
      <c r="K9" s="598">
        <f>INDEX('Detailing(OMRF&amp;SMRF)'!$T$49:$W$60,(ROW())/$O$2,2)</f>
        <v>25</v>
      </c>
      <c r="L9" s="395" t="str">
        <f>IF(OR(ISBLANK(M9),M9=0),"","+")</f>
        <v>+</v>
      </c>
      <c r="M9" s="592">
        <f>INDEX('Detailing(OMRF&amp;SMRF)'!$T$49:$W$60,(ROW())/$O$2,3)</f>
        <v>2</v>
      </c>
      <c r="N9" s="599">
        <f>INDEX('Detailing(OMRF&amp;SMRF)'!$T$49:$W$60,(ROW())/$O$2,4)</f>
        <v>25</v>
      </c>
      <c r="P9" s="348"/>
      <c r="Q9" s="601">
        <f>INDEX('Detailing(OMRF&amp;SMRF)'!$C$30:$D$41,ROW()/$O$2,1)</f>
        <v>600</v>
      </c>
      <c r="R9" s="85" t="s">
        <v>375</v>
      </c>
      <c r="S9" s="592">
        <f>INDEX('Detailing(OMRF&amp;SMRF)'!$T$65:$W$76,(ROW())/$O$2,1)</f>
        <v>2</v>
      </c>
      <c r="T9" s="598">
        <f>INDEX('Detailing(OMRF&amp;SMRF)'!$T$65:$W$76,(ROW())/$O$2,2)</f>
        <v>25</v>
      </c>
      <c r="U9" s="395" t="str">
        <f>IF(OR(ISBLANK(V9),V9=0),"","+")</f>
        <v>+</v>
      </c>
      <c r="V9" s="592">
        <f>INDEX('Detailing(OMRF&amp;SMRF)'!$T$65:$W$76,(ROW())/$O$2,3)</f>
        <v>2</v>
      </c>
      <c r="W9" s="599">
        <f>INDEX('Detailing(OMRF&amp;SMRF)'!$T$65:$W$76,(ROW())/$O$2,4)</f>
        <v>20</v>
      </c>
      <c r="X9" s="398"/>
      <c r="Y9" s="348"/>
      <c r="Z9" s="586">
        <f t="shared" ref="Z9:Z15" si="2">Q9</f>
        <v>600</v>
      </c>
      <c r="AA9" s="610" t="s">
        <v>375</v>
      </c>
      <c r="AB9" s="592">
        <f>J9</f>
        <v>2</v>
      </c>
      <c r="AC9" s="598">
        <f t="shared" si="1"/>
        <v>25</v>
      </c>
      <c r="AD9" s="614" t="str">
        <f t="shared" si="1"/>
        <v>+</v>
      </c>
      <c r="AE9" s="592">
        <f t="shared" si="1"/>
        <v>2</v>
      </c>
      <c r="AF9" s="599">
        <f t="shared" si="1"/>
        <v>25</v>
      </c>
      <c r="AG9" s="398"/>
      <c r="AH9" s="348"/>
      <c r="AI9" s="586">
        <f t="shared" ref="AI9:AI15" si="3">H9</f>
        <v>450</v>
      </c>
    </row>
    <row r="10" spans="1:38" x14ac:dyDescent="0.25">
      <c r="A10" s="1">
        <v>1</v>
      </c>
      <c r="G10" s="4" t="s">
        <v>376</v>
      </c>
      <c r="H10" s="586">
        <f>INDEX('Detailing(OMRF&amp;SMRF)'!$C$14:$D$25,(ROW()-1)/$O$2,2)</f>
        <v>600</v>
      </c>
      <c r="I10" s="87" t="s">
        <v>377</v>
      </c>
      <c r="J10" s="88"/>
      <c r="K10" s="594">
        <f>INDEX('Detailing(OMRF&amp;SMRF)'!$AB$49:$AE$60,(ROW()-1)/$O$2,1)</f>
        <v>4</v>
      </c>
      <c r="L10" s="590">
        <f>INDEX('Detailing(OMRF&amp;SMRF)'!$AB$49:$AE$60,(ROW()-1)/$O$2,2)</f>
        <v>10</v>
      </c>
      <c r="M10" s="88"/>
      <c r="N10" s="91"/>
      <c r="P10" s="348"/>
      <c r="Q10" s="601">
        <f>INDEX('Detailing(OMRF&amp;SMRF)'!$C$30:$D$41,(ROW()-1)/$O$2,2)</f>
        <v>600</v>
      </c>
      <c r="R10" s="87" t="s">
        <v>377</v>
      </c>
      <c r="S10" s="88"/>
      <c r="T10" s="594">
        <f>INDEX('Detailing(OMRF&amp;SMRF)'!$AB$65:$AE$76,(ROW()-1)/$O$2,1)</f>
        <v>4</v>
      </c>
      <c r="U10" s="590">
        <f>INDEX('Detailing(OMRF&amp;SMRF)'!$AB$65:$AE$76,(ROW()-1)/$O$2,2)</f>
        <v>10</v>
      </c>
      <c r="V10" s="88"/>
      <c r="W10" s="91"/>
      <c r="X10" s="398"/>
      <c r="Y10" s="348"/>
      <c r="Z10" s="586">
        <f t="shared" si="2"/>
        <v>600</v>
      </c>
      <c r="AA10" s="611" t="s">
        <v>377</v>
      </c>
      <c r="AB10" s="589"/>
      <c r="AC10" s="594">
        <f>K10</f>
        <v>4</v>
      </c>
      <c r="AD10" s="590">
        <f>L10</f>
        <v>10</v>
      </c>
      <c r="AE10" s="589"/>
      <c r="AF10" s="616"/>
      <c r="AG10" s="398"/>
      <c r="AH10" s="348"/>
      <c r="AI10" s="586">
        <f t="shared" si="3"/>
        <v>600</v>
      </c>
    </row>
    <row r="11" spans="1:38" ht="18" x14ac:dyDescent="0.35">
      <c r="A11" s="1">
        <v>2</v>
      </c>
      <c r="G11" s="67" t="s">
        <v>378</v>
      </c>
      <c r="H11" s="97">
        <f>PI()/4*(I12*J12^2+I13*J13^2)/H9/H10</f>
        <v>9.4945911308491528E-3</v>
      </c>
      <c r="J11"/>
      <c r="K11"/>
      <c r="L11"/>
      <c r="M11"/>
      <c r="N11"/>
      <c r="P11" s="348"/>
      <c r="Q11" s="602">
        <f>PI()/4*(R12*S12^2+R13*S13^2)/Q9/Q10</f>
        <v>8.587019919812101E-3</v>
      </c>
      <c r="R11" s="69"/>
      <c r="X11" s="398"/>
      <c r="Y11" s="348"/>
      <c r="Z11" s="617">
        <f t="shared" si="2"/>
        <v>8.587019919812101E-3</v>
      </c>
      <c r="AA11" s="615"/>
      <c r="AB11" s="592"/>
      <c r="AG11" s="398"/>
      <c r="AH11" s="348"/>
      <c r="AI11" s="617">
        <f t="shared" si="3"/>
        <v>9.4945911308491528E-3</v>
      </c>
      <c r="AJ11" s="69"/>
    </row>
    <row r="12" spans="1:38" x14ac:dyDescent="0.25">
      <c r="A12" s="1">
        <v>3</v>
      </c>
      <c r="G12" s="67" t="s">
        <v>379</v>
      </c>
      <c r="H12" s="109">
        <f>PI()/4*(L12*J12^2+L13*J13^2)/H9/H10</f>
        <v>3.0717794835100204E-3</v>
      </c>
      <c r="I12" s="587">
        <f>INDEX('Detailing(OMRF&amp;SMRF)'!$O$14:$R$25,(ROW()-3)/$O$2,1)</f>
        <v>6</v>
      </c>
      <c r="J12" s="588">
        <f>INDEX('Detailing(OMRF&amp;SMRF)'!$O$14:$R$25,(ROW()-3)/$O$2,2)</f>
        <v>16</v>
      </c>
      <c r="K12" s="396" t="str">
        <f>IF(OR(ISBLANK(I13),I13=0),"","+")</f>
        <v>+</v>
      </c>
      <c r="L12" s="69">
        <f>IF(AND(J12&gt;=J13,I12 =4), 2, IF(AND(J13&gt;=J12, I13=4), INDEX('Detailing(OMRF&amp;SMRF)'!$S$14:$S$25,((ROW()-3)/9))-2, IF(AND(J12&gt;=J13, I12&gt;=2*INDEX('Detailing(OMRF&amp;SMRF)'!$S$14:$S$25,((ROW()-3)/9))), INDEX('Detailing(OMRF&amp;SMRF)'!$S$14:$S$25,((ROW()-3)/9)), IF(AND(J12&lt;=J13, I13&gt;=2*INDEX('Detailing(OMRF&amp;SMRF)'!$S$14:$S$25,((ROW()-3)/9))), 0, IF(AND(J12&gt;=J13, I12&lt;2*INDEX('Detailing(OMRF&amp;SMRF)'!$S$14:$S$25,((ROW()-3)/9))), IF(I12/2 = 1, 0, IF(AND(ISODD(I12/2), ISEVEN(INDEX('Detailing(OMRF&amp;SMRF)'!$S$14:$S$25,((ROW()-3)/9)))), I12/2 - 1, I12/2)), IF(AND(J12&lt;J13, I13&lt;2*INDEX('Detailing(OMRF&amp;SMRF)'!$S$14:$S$25,((ROW()-3)/9))), IF(I13/2 = 1, INDEX('Detailing(OMRF&amp;SMRF)'!$S$14:$S$25,((ROW()-3)/9)), IF(AND(ISODD(I13/2), ISEVEN(INDEX('Detailing(OMRF&amp;SMRF)'!$S$14:$S$25,((ROW()-3)/9)))), INDEX('Detailing(OMRF&amp;SMRF)'!$S$14:$S$25,((ROW()-3)/9)) - I12/2 + 1, INDEX('Detailing(OMRF&amp;SMRF)'!$S$14:$S$25,((ROW()-3)/9)) - I12/2))))))))</f>
        <v>3</v>
      </c>
      <c r="P12" s="348"/>
      <c r="Q12" s="109">
        <f>PI()/4*(U12*S12^2+U13*S13^2)/Q9/Q10</f>
        <v>2.7052603405912107E-3</v>
      </c>
      <c r="R12" s="587">
        <f>INDEX('Detailing(OMRF&amp;SMRF)'!$O$30:$R$41,(ROW()-3)/$O$2,1)</f>
        <v>12</v>
      </c>
      <c r="S12" s="588">
        <f>INDEX('Detailing(OMRF&amp;SMRF)'!$O$30:$R$41,(ROW()-3)/$O$2,2)</f>
        <v>16</v>
      </c>
      <c r="T12" s="396" t="str">
        <f>IF(OR(ISBLANK(R13),R13=0),"","+")</f>
        <v>+</v>
      </c>
      <c r="U12" s="69">
        <f>IF(S12&gt;=S13,R12/4+1)</f>
        <v>4</v>
      </c>
      <c r="V12" s="69"/>
      <c r="W12" s="69"/>
      <c r="X12" s="398"/>
      <c r="Y12" s="348"/>
      <c r="Z12" s="603">
        <f t="shared" si="2"/>
        <v>2.7052603405912107E-3</v>
      </c>
      <c r="AA12" s="587">
        <f>R12</f>
        <v>12</v>
      </c>
      <c r="AB12" s="588">
        <f>S12</f>
        <v>16</v>
      </c>
      <c r="AC12" s="396" t="str">
        <f>IF(OR(ISBLANK(AA13),AA13=0),"","+")</f>
        <v>+</v>
      </c>
      <c r="AD12" s="69"/>
      <c r="AE12" s="69"/>
      <c r="AF12" s="69"/>
      <c r="AG12" s="398"/>
      <c r="AH12" s="348"/>
      <c r="AI12" s="603">
        <f t="shared" si="3"/>
        <v>3.0717794835100204E-3</v>
      </c>
      <c r="AJ12" s="587">
        <f>I12</f>
        <v>6</v>
      </c>
      <c r="AK12" s="588">
        <f>J12</f>
        <v>16</v>
      </c>
      <c r="AL12" s="396" t="str">
        <f>IF(OR(ISBLANK(AJ13),AJ13=0),"","+")</f>
        <v>+</v>
      </c>
    </row>
    <row r="13" spans="1:38" ht="18.75" x14ac:dyDescent="0.35">
      <c r="A13" s="1">
        <v>4</v>
      </c>
      <c r="G13" s="67" t="s">
        <v>380</v>
      </c>
      <c r="H13" s="347">
        <f>I15*PI()*I14^2/4/H14/H9</f>
        <v>6.9813170079773184E-3</v>
      </c>
      <c r="I13" s="589">
        <f>INDEX('Detailing(OMRF&amp;SMRF)'!$O$14:$R$25,(ROW()-4)/$O$2,3)</f>
        <v>12</v>
      </c>
      <c r="J13" s="590">
        <f>INDEX('Detailing(OMRF&amp;SMRF)'!$O$14:$R$25,(ROW()-4)/$O$2,4)</f>
        <v>12</v>
      </c>
      <c r="K13" s="397"/>
      <c r="L13" s="69">
        <f>INDEX('Detailing(OMRF&amp;SMRF)'!$S$14:$S$25,(ROW()-4)/9) - L12</f>
        <v>2</v>
      </c>
      <c r="P13" s="348"/>
      <c r="Q13" s="604">
        <f>R15*PI()*R14^2/4/Q14/Q9</f>
        <v>5.2359877559829881E-3</v>
      </c>
      <c r="R13" s="589">
        <f>INDEX('Detailing(OMRF&amp;SMRF)'!$O$30:$R$41,(ROW()-4)/$O$2,3)</f>
        <v>6</v>
      </c>
      <c r="S13" s="590">
        <f>INDEX('Detailing(OMRF&amp;SMRF)'!$O$30:$R$41,(ROW()-4)/$O$2,4)</f>
        <v>12</v>
      </c>
      <c r="T13" s="96"/>
      <c r="U13" s="69">
        <f>(R13+R12)/4+1-U12</f>
        <v>1.5</v>
      </c>
      <c r="V13" s="69"/>
      <c r="W13" s="69"/>
      <c r="X13" s="398"/>
      <c r="Y13" s="348"/>
      <c r="Z13" s="618">
        <f t="shared" si="2"/>
        <v>5.2359877559829881E-3</v>
      </c>
      <c r="AA13" s="589">
        <f>R13</f>
        <v>6</v>
      </c>
      <c r="AB13" s="590">
        <f>S13</f>
        <v>12</v>
      </c>
      <c r="AC13" s="397"/>
      <c r="AD13" s="69"/>
      <c r="AE13" s="69"/>
      <c r="AF13" s="69"/>
      <c r="AG13" s="398"/>
      <c r="AH13" s="348"/>
      <c r="AI13" s="618">
        <f t="shared" si="3"/>
        <v>6.9813170079773184E-3</v>
      </c>
      <c r="AJ13" s="589">
        <f>I13</f>
        <v>12</v>
      </c>
      <c r="AK13" s="590">
        <f>J13</f>
        <v>12</v>
      </c>
      <c r="AL13" s="397"/>
    </row>
    <row r="14" spans="1:38" x14ac:dyDescent="0.25">
      <c r="A14" s="1">
        <v>5</v>
      </c>
      <c r="G14" s="67" t="s">
        <v>381</v>
      </c>
      <c r="H14" s="591">
        <f>INDEX('Detailing(OMRF&amp;SMRF)'!$AC$14:$AE$25,(ROW()-5)/$O$2,3)</f>
        <v>100</v>
      </c>
      <c r="I14" s="588">
        <f>INDEX('Detailing(OMRF&amp;SMRF)'!$AC$14:$AE$25,(ROW()-5)/$O$2,2)</f>
        <v>10</v>
      </c>
      <c r="J14" s="398"/>
      <c r="K14" s="398"/>
      <c r="P14" s="348"/>
      <c r="Q14" s="607">
        <f>INDEX('Detailing(OMRF&amp;SMRF)'!$AC$30:$AE$41,(ROW()-5)/$O$2,3)</f>
        <v>100</v>
      </c>
      <c r="R14" s="588">
        <f>INDEX('Detailing(OMRF&amp;SMRF)'!$AC$30:$AE$41,(ROW()-5)/$O$2,2)</f>
        <v>10</v>
      </c>
      <c r="S14" s="69"/>
      <c r="T14" s="69"/>
      <c r="U14" s="69"/>
      <c r="V14" s="69"/>
      <c r="W14" s="69"/>
      <c r="X14" s="398"/>
      <c r="Y14" s="348"/>
      <c r="Z14" s="591">
        <f t="shared" si="2"/>
        <v>100</v>
      </c>
      <c r="AA14" s="588">
        <f>R14</f>
        <v>10</v>
      </c>
      <c r="AB14" s="615"/>
      <c r="AC14" s="398"/>
      <c r="AD14" s="69"/>
      <c r="AE14" s="69"/>
      <c r="AF14" s="69"/>
      <c r="AG14" s="398"/>
      <c r="AH14" s="348"/>
      <c r="AI14" s="591">
        <f t="shared" si="3"/>
        <v>100</v>
      </c>
      <c r="AJ14" s="588">
        <f>I14</f>
        <v>10</v>
      </c>
      <c r="AK14" s="615"/>
      <c r="AL14" s="398"/>
    </row>
    <row r="15" spans="1:38" x14ac:dyDescent="0.25">
      <c r="A15" s="1">
        <v>6</v>
      </c>
      <c r="G15" s="67" t="s">
        <v>382</v>
      </c>
      <c r="H15" s="605">
        <f>INDEX('Detailing(OMRF&amp;SMRF)'!A$14:$A$25,(ROW()-6)/$O$2,1)</f>
        <v>3900</v>
      </c>
      <c r="I15" s="592">
        <f>INDEX('Detailing(OMRF&amp;SMRF)'!$AC$14:$AE$25,(ROW()-6)/$O$2,1)</f>
        <v>4</v>
      </c>
      <c r="J15" s="399"/>
      <c r="K15" s="399"/>
      <c r="L15"/>
      <c r="M15"/>
      <c r="N15"/>
      <c r="O15"/>
      <c r="P15" s="348"/>
      <c r="Q15" s="608">
        <f>H15</f>
        <v>3900</v>
      </c>
      <c r="R15" s="592">
        <f>INDEX('Detailing(OMRF&amp;SMRF)'!$AC$30:$AE$41,(ROW()-6)/$O$2,1)</f>
        <v>4</v>
      </c>
      <c r="X15" s="399"/>
      <c r="Y15" s="348"/>
      <c r="Z15" s="605">
        <f t="shared" si="2"/>
        <v>3900</v>
      </c>
      <c r="AA15" s="592">
        <f>R15</f>
        <v>4</v>
      </c>
      <c r="AB15" s="592"/>
      <c r="AC15" s="399"/>
      <c r="AG15" s="399"/>
      <c r="AH15" s="348"/>
      <c r="AI15" s="605">
        <f t="shared" si="3"/>
        <v>3900</v>
      </c>
      <c r="AJ15" s="592">
        <f>I15</f>
        <v>4</v>
      </c>
      <c r="AK15" s="592"/>
      <c r="AL15" s="399"/>
    </row>
    <row r="16" spans="1:38" ht="48.75" customHeight="1" thickBot="1" x14ac:dyDescent="0.35">
      <c r="G16" s="904">
        <f>IFERROR(INDEX('Detailing(OMRF&amp;SMRF)'!L$15:$L$25,(ROW()-6)/$O$2,1), "-")</f>
        <v>0</v>
      </c>
      <c r="H16" s="73"/>
      <c r="I16" s="593">
        <f>INDEX('Detailing(OMRF&amp;SMRF)'!$C$49:$D$60,(ROW()+2)/$O$2,1)</f>
        <v>400</v>
      </c>
      <c r="J16" s="593">
        <f>INDEX('Detailing(OMRF&amp;SMRF)'!$C$49:$D$60,(ROW()+2)/$O$2,2)</f>
        <v>750</v>
      </c>
      <c r="K16" s="78">
        <f>PI()/4*(J17*K17^2+M17*N17^2)/I16/J16</f>
        <v>9.2258104260420255E-3</v>
      </c>
      <c r="L16" s="78">
        <f>PI()/4*(J18*K18^2+M18*N18^2)/I16/J16</f>
        <v>5.3668874498825625E-3</v>
      </c>
      <c r="M16" s="78">
        <f>K19*PI()*L19^2/4/N16/I16</f>
        <v>6.2831853071795866E-3</v>
      </c>
      <c r="N16" s="593">
        <f>INDEX('Detailing(OMRF&amp;SMRF)'!$AB$49:$AE$60,(ROW()+2)/$O$2,3)</f>
        <v>125</v>
      </c>
      <c r="O16" s="393">
        <f>O7</f>
        <v>8200</v>
      </c>
      <c r="P16" s="903">
        <f>IFERROR(INDEX('Detailing(OMRF&amp;SMRF)'!L$31:$L$41,(ROW()-6)/$O$2,1), "-")</f>
        <v>0</v>
      </c>
      <c r="Q16" s="606"/>
      <c r="R16" s="593">
        <f>INDEX('Detailing(OMRF&amp;SMRF)'!$C$65:$D$76,(ROW()+2)/$O$2,1)</f>
        <v>400</v>
      </c>
      <c r="S16" s="593">
        <f>INDEX('Detailing(OMRF&amp;SMRF)'!$C$65:$D$76,(ROW()+2)/$O$2,2)</f>
        <v>750</v>
      </c>
      <c r="T16" s="78">
        <f>PI()/4*(S17*T17^2+V17*W17^2)/R16/S16</f>
        <v>9.555677654668953E-3</v>
      </c>
      <c r="U16" s="78">
        <f>PI()/4*(S18*T18^2+V18*W18^2)/R16/S16</f>
        <v>5.3668874498825625E-3</v>
      </c>
      <c r="V16" s="78">
        <f>T19*PI()*U19^2/4/W16/R16</f>
        <v>6.2831853071795866E-3</v>
      </c>
      <c r="W16" s="593">
        <f>INDEX('Detailing(OMRF&amp;SMRF)'!$AB$65:$AE$76,(ROW()+2)/$O$2,3)</f>
        <v>125</v>
      </c>
      <c r="X16" s="393">
        <f>X7</f>
        <v>8200</v>
      </c>
      <c r="Y16" s="903">
        <f>P16</f>
        <v>0</v>
      </c>
      <c r="Z16" s="606"/>
      <c r="AA16" s="593">
        <f t="shared" ref="AA16:AG16" si="4">I16</f>
        <v>400</v>
      </c>
      <c r="AB16" s="593">
        <f t="shared" si="4"/>
        <v>750</v>
      </c>
      <c r="AC16" s="612">
        <f t="shared" si="4"/>
        <v>9.2258104260420255E-3</v>
      </c>
      <c r="AD16" s="612">
        <f t="shared" si="4"/>
        <v>5.3668874498825625E-3</v>
      </c>
      <c r="AE16" s="612">
        <f t="shared" si="4"/>
        <v>6.2831853071795866E-3</v>
      </c>
      <c r="AF16" s="593">
        <f t="shared" si="4"/>
        <v>125</v>
      </c>
      <c r="AG16" s="393">
        <f t="shared" si="4"/>
        <v>8200</v>
      </c>
      <c r="AH16" s="903">
        <f>G16</f>
        <v>0</v>
      </c>
      <c r="AI16" s="113" t="str">
        <f>INDEX(RxnCheck!$G$11:$G$23, (ROW()+2)/9)</f>
        <v>Level 4 (16.2 m)</v>
      </c>
    </row>
    <row r="17" spans="7:38" ht="15.75" thickTop="1" x14ac:dyDescent="0.25">
      <c r="H17" s="72"/>
      <c r="I17" s="83" t="s">
        <v>373</v>
      </c>
      <c r="J17" s="595">
        <f>INDEX('Detailing(OMRF&amp;SMRF)'!$M$49:$P$60,(ROW()+1)/$O$2,1)</f>
        <v>4</v>
      </c>
      <c r="K17" s="596">
        <f>INDEX('Detailing(OMRF&amp;SMRF)'!$M$49:$P$60,(ROW()+1)/$O$2,2)</f>
        <v>25</v>
      </c>
      <c r="L17" s="394" t="str">
        <f>IF(OR(ISBLANK(M17),M17=0),"","+")</f>
        <v>+</v>
      </c>
      <c r="M17" s="595">
        <f>INDEX('Detailing(OMRF&amp;SMRF)'!$M$49:$P$60,(ROW()+1)/$O$2,3)</f>
        <v>4</v>
      </c>
      <c r="N17" s="597">
        <f>INDEX('Detailing(OMRF&amp;SMRF)'!$M$49:$P$60,(ROW()+1)/$O$2,4)</f>
        <v>16</v>
      </c>
      <c r="O17" s="70"/>
      <c r="P17" s="68"/>
      <c r="Q17" s="600"/>
      <c r="R17" s="83" t="s">
        <v>373</v>
      </c>
      <c r="S17" s="595">
        <f>INDEX('Detailing(OMRF&amp;SMRF)'!$M$65:$P$76,(ROW()+1)/$O$2,1)</f>
        <v>2</v>
      </c>
      <c r="T17" s="596">
        <f>INDEX('Detailing(OMRF&amp;SMRF)'!$M$65:$P$76,(ROW()+1)/$O$2,2)</f>
        <v>25</v>
      </c>
      <c r="U17" s="394" t="str">
        <f>IF(OR(ISBLANK(V17),V17=0),"","+")</f>
        <v>+</v>
      </c>
      <c r="V17" s="595">
        <f>INDEX('Detailing(OMRF&amp;SMRF)'!$M$65:$P$76,(ROW()+1)/$O$2,3)</f>
        <v>6</v>
      </c>
      <c r="W17" s="597">
        <f>INDEX('Detailing(OMRF&amp;SMRF)'!$M$65:$P$76,(ROW()+1)/$O$2,4)</f>
        <v>20</v>
      </c>
      <c r="X17" s="621"/>
      <c r="Y17" s="68"/>
      <c r="Z17" s="72"/>
      <c r="AA17" s="609" t="s">
        <v>373</v>
      </c>
      <c r="AB17" s="595">
        <f t="shared" ref="AB17:AF18" si="5">J17</f>
        <v>4</v>
      </c>
      <c r="AC17" s="596">
        <f t="shared" si="5"/>
        <v>25</v>
      </c>
      <c r="AD17" s="613" t="str">
        <f t="shared" si="5"/>
        <v>+</v>
      </c>
      <c r="AE17" s="595">
        <f t="shared" si="5"/>
        <v>4</v>
      </c>
      <c r="AF17" s="597">
        <f t="shared" si="5"/>
        <v>16</v>
      </c>
      <c r="AG17" s="621"/>
      <c r="AH17" s="68"/>
      <c r="AI17" s="73"/>
    </row>
    <row r="18" spans="7:38" x14ac:dyDescent="0.25">
      <c r="G18" s="4" t="s">
        <v>374</v>
      </c>
      <c r="H18" s="586">
        <f>INDEX('Detailing(OMRF&amp;SMRF)'!$C$14:$D$25,ROW()/$O$2,1)</f>
        <v>450</v>
      </c>
      <c r="I18" s="85" t="s">
        <v>375</v>
      </c>
      <c r="J18" s="592">
        <f>INDEX('Detailing(OMRF&amp;SMRF)'!$T$49:$W$60,(ROW())/$O$2,1)</f>
        <v>2</v>
      </c>
      <c r="K18" s="598">
        <f>INDEX('Detailing(OMRF&amp;SMRF)'!$T$49:$W$60,(ROW())/$O$2,2)</f>
        <v>25</v>
      </c>
      <c r="L18" s="395" t="str">
        <f>IF(OR(ISBLANK(M18),M18=0),"","+")</f>
        <v>+</v>
      </c>
      <c r="M18" s="592">
        <f>INDEX('Detailing(OMRF&amp;SMRF)'!$T$49:$W$60,(ROW())/$O$2,3)</f>
        <v>2</v>
      </c>
      <c r="N18" s="599">
        <f>INDEX('Detailing(OMRF&amp;SMRF)'!$T$49:$W$60,(ROW())/$O$2,4)</f>
        <v>20</v>
      </c>
      <c r="P18" s="348"/>
      <c r="Q18" s="601">
        <f>INDEX('Detailing(OMRF&amp;SMRF)'!$C$30:$D$41,ROW()/$O$2,1)</f>
        <v>600</v>
      </c>
      <c r="R18" s="85" t="s">
        <v>375</v>
      </c>
      <c r="S18" s="592">
        <f>INDEX('Detailing(OMRF&amp;SMRF)'!$T$65:$W$76,(ROW())/$O$2,1)</f>
        <v>2</v>
      </c>
      <c r="T18" s="598">
        <f>INDEX('Detailing(OMRF&amp;SMRF)'!$T$65:$W$76,(ROW())/$O$2,2)</f>
        <v>25</v>
      </c>
      <c r="U18" s="395" t="str">
        <f>IF(OR(ISBLANK(V18),V18=0),"","+")</f>
        <v>+</v>
      </c>
      <c r="V18" s="592">
        <f>INDEX('Detailing(OMRF&amp;SMRF)'!$T$65:$W$76,(ROW())/$O$2,3)</f>
        <v>2</v>
      </c>
      <c r="W18" s="599">
        <f>INDEX('Detailing(OMRF&amp;SMRF)'!$T$65:$W$76,(ROW())/$O$2,4)</f>
        <v>20</v>
      </c>
      <c r="X18" s="398"/>
      <c r="Y18" s="348"/>
      <c r="Z18" s="586">
        <f t="shared" ref="Z18:Z24" si="6">Q18</f>
        <v>600</v>
      </c>
      <c r="AA18" s="610" t="s">
        <v>375</v>
      </c>
      <c r="AB18" s="592">
        <f t="shared" si="5"/>
        <v>2</v>
      </c>
      <c r="AC18" s="598">
        <f t="shared" si="5"/>
        <v>25</v>
      </c>
      <c r="AD18" s="614" t="str">
        <f t="shared" si="5"/>
        <v>+</v>
      </c>
      <c r="AE18" s="592">
        <f t="shared" si="5"/>
        <v>2</v>
      </c>
      <c r="AF18" s="599">
        <f t="shared" si="5"/>
        <v>20</v>
      </c>
      <c r="AG18" s="398"/>
      <c r="AH18" s="348"/>
      <c r="AI18" s="586">
        <f t="shared" ref="AI18:AI24" si="7">H18</f>
        <v>450</v>
      </c>
    </row>
    <row r="19" spans="7:38" x14ac:dyDescent="0.25">
      <c r="G19" s="4" t="s">
        <v>376</v>
      </c>
      <c r="H19" s="586">
        <f>INDEX('Detailing(OMRF&amp;SMRF)'!$C$14:$D$25,(ROW()-1)/$O$2,2)</f>
        <v>600</v>
      </c>
      <c r="I19" s="87" t="s">
        <v>377</v>
      </c>
      <c r="J19" s="88"/>
      <c r="K19" s="594">
        <f>INDEX('Detailing(OMRF&amp;SMRF)'!$AB$49:$AE$60,(ROW()-1)/$O$2,1)</f>
        <v>4</v>
      </c>
      <c r="L19" s="590">
        <f>INDEX('Detailing(OMRF&amp;SMRF)'!$AB$49:$AE$60,(ROW()-1)/$O$2,2)</f>
        <v>10</v>
      </c>
      <c r="M19" s="88"/>
      <c r="N19" s="91"/>
      <c r="P19" s="348"/>
      <c r="Q19" s="601">
        <f>INDEX('Detailing(OMRF&amp;SMRF)'!$C$30:$D$41,(ROW()-1)/$O$2,2)</f>
        <v>600</v>
      </c>
      <c r="R19" s="87" t="s">
        <v>377</v>
      </c>
      <c r="S19" s="88"/>
      <c r="T19" s="594">
        <f>INDEX('Detailing(OMRF&amp;SMRF)'!$AB$65:$AE$76,(ROW()-1)/$O$2,1)</f>
        <v>4</v>
      </c>
      <c r="U19" s="590">
        <f>INDEX('Detailing(OMRF&amp;SMRF)'!$AB$65:$AE$76,(ROW()-1)/$O$2,2)</f>
        <v>10</v>
      </c>
      <c r="V19" s="88"/>
      <c r="W19" s="91"/>
      <c r="X19" s="398"/>
      <c r="Y19" s="348"/>
      <c r="Z19" s="586">
        <f t="shared" si="6"/>
        <v>600</v>
      </c>
      <c r="AA19" s="611" t="s">
        <v>377</v>
      </c>
      <c r="AB19" s="589"/>
      <c r="AC19" s="594">
        <f>K19</f>
        <v>4</v>
      </c>
      <c r="AD19" s="590">
        <f>L19</f>
        <v>10</v>
      </c>
      <c r="AE19" s="589"/>
      <c r="AF19" s="616"/>
      <c r="AG19" s="398"/>
      <c r="AH19" s="348"/>
      <c r="AI19" s="586">
        <f t="shared" si="7"/>
        <v>600</v>
      </c>
    </row>
    <row r="20" spans="7:38" ht="18" x14ac:dyDescent="0.35">
      <c r="G20" s="67" t="s">
        <v>378</v>
      </c>
      <c r="H20" s="97">
        <f>PI()/4*(I21*J21^2+I22*J22^2)/H18/H19</f>
        <v>9.4945911308491528E-3</v>
      </c>
      <c r="J20"/>
      <c r="K20"/>
      <c r="L20"/>
      <c r="M20"/>
      <c r="N20"/>
      <c r="P20" s="348"/>
      <c r="Q20" s="602">
        <f>PI()/4*(R21*S21^2+R22*S22^2)/Q18/Q19</f>
        <v>8.587019919812101E-3</v>
      </c>
      <c r="R20" s="69"/>
      <c r="X20" s="398"/>
      <c r="Y20" s="348"/>
      <c r="Z20" s="617">
        <f t="shared" si="6"/>
        <v>8.587019919812101E-3</v>
      </c>
      <c r="AA20" s="615"/>
      <c r="AB20" s="592"/>
      <c r="AG20" s="398"/>
      <c r="AH20" s="348"/>
      <c r="AI20" s="617">
        <f t="shared" si="7"/>
        <v>9.4945911308491528E-3</v>
      </c>
      <c r="AJ20" s="69"/>
    </row>
    <row r="21" spans="7:38" x14ac:dyDescent="0.25">
      <c r="G21" s="67" t="s">
        <v>379</v>
      </c>
      <c r="H21" s="109">
        <f>PI()/4*(L21*J21^2+L22*J22^2)/H18/H19</f>
        <v>3.0717794835100204E-3</v>
      </c>
      <c r="I21" s="587">
        <f>INDEX('Detailing(OMRF&amp;SMRF)'!$O$14:$R$25,(ROW()-3)/$O$2,1)</f>
        <v>6</v>
      </c>
      <c r="J21" s="588">
        <f>INDEX('Detailing(OMRF&amp;SMRF)'!$O$14:$R$25,(ROW()-3)/$O$2,2)</f>
        <v>16</v>
      </c>
      <c r="K21" s="396" t="str">
        <f>IF(OR(ISBLANK(I22),I22=0),"","+")</f>
        <v>+</v>
      </c>
      <c r="L21" s="69">
        <f>IF(AND(J21&gt;=J22,I21 =4), 2, IF(AND(J22&gt;=J21, I22=4), INDEX('Detailing(OMRF&amp;SMRF)'!$S$14:$S$25,((ROW()-3)/9))-2, IF(AND(J21&gt;=J22, I21&gt;=2*INDEX('Detailing(OMRF&amp;SMRF)'!$S$14:$S$25,((ROW()-3)/9))), INDEX('Detailing(OMRF&amp;SMRF)'!$S$14:$S$25,((ROW()-3)/9)), IF(AND(J21&lt;=J22, I22&gt;=2*INDEX('Detailing(OMRF&amp;SMRF)'!$S$14:$S$25,((ROW()-3)/9))), 0, IF(AND(J21&gt;=J22, I21&lt;2*INDEX('Detailing(OMRF&amp;SMRF)'!$S$14:$S$25,((ROW()-3)/9))), IF(I21/2 = 1, 0, IF(AND(ISODD(I21/2), ISEVEN(INDEX('Detailing(OMRF&amp;SMRF)'!$S$14:$S$25,((ROW()-3)/9)))), I21/2 - 1, I21/2)), IF(AND(J21&lt;J22, I22&lt;2*INDEX('Detailing(OMRF&amp;SMRF)'!$S$14:$S$25,((ROW()-3)/9))), IF(I22/2 = 1, INDEX('Detailing(OMRF&amp;SMRF)'!$S$14:$S$25,((ROW()-3)/9)), IF(AND(ISODD(I22/2), ISEVEN(INDEX('Detailing(OMRF&amp;SMRF)'!$S$14:$S$25,((ROW()-3)/9)))), INDEX('Detailing(OMRF&amp;SMRF)'!$S$14:$S$25,((ROW()-3)/9)) - I21/2 + 1, INDEX('Detailing(OMRF&amp;SMRF)'!$S$14:$S$25,((ROW()-3)/9)) - I21/2))))))))</f>
        <v>3</v>
      </c>
      <c r="P21" s="348"/>
      <c r="Q21" s="109">
        <f>PI()/4*(U21*S21^2+U22*S22^2)/Q18/Q19</f>
        <v>2.7052603405912107E-3</v>
      </c>
      <c r="R21" s="587">
        <f>INDEX('Detailing(OMRF&amp;SMRF)'!$O$30:$R$41,(ROW()-3)/$O$2,1)</f>
        <v>12</v>
      </c>
      <c r="S21" s="588">
        <f>INDEX('Detailing(OMRF&amp;SMRF)'!$O$30:$R$41,(ROW()-3)/$O$2,2)</f>
        <v>16</v>
      </c>
      <c r="T21" s="396" t="str">
        <f>IF(OR(ISBLANK(R22),R22=0),"","+")</f>
        <v>+</v>
      </c>
      <c r="U21" s="69">
        <f>IF(S21&gt;=S22,R21/4+1)</f>
        <v>4</v>
      </c>
      <c r="V21" s="69"/>
      <c r="W21" s="69"/>
      <c r="X21" s="398"/>
      <c r="Y21" s="348"/>
      <c r="Z21" s="603">
        <f t="shared" si="6"/>
        <v>2.7052603405912107E-3</v>
      </c>
      <c r="AA21" s="587">
        <f>R21</f>
        <v>12</v>
      </c>
      <c r="AB21" s="588">
        <f>S21</f>
        <v>16</v>
      </c>
      <c r="AC21" s="396" t="str">
        <f>IF(OR(ISBLANK(AA22),AA22=0),"","+")</f>
        <v>+</v>
      </c>
      <c r="AD21" s="69"/>
      <c r="AE21" s="69"/>
      <c r="AF21" s="69"/>
      <c r="AG21" s="398"/>
      <c r="AH21" s="348"/>
      <c r="AI21" s="603">
        <f t="shared" si="7"/>
        <v>3.0717794835100204E-3</v>
      </c>
      <c r="AJ21" s="587">
        <f>I21</f>
        <v>6</v>
      </c>
      <c r="AK21" s="588">
        <f>J21</f>
        <v>16</v>
      </c>
      <c r="AL21" s="396" t="str">
        <f>IF(OR(ISBLANK(AJ22),AJ22=0),"","+")</f>
        <v>+</v>
      </c>
    </row>
    <row r="22" spans="7:38" ht="18.75" x14ac:dyDescent="0.35">
      <c r="G22" s="67" t="s">
        <v>380</v>
      </c>
      <c r="H22" s="347">
        <f>I24*PI()*I23^2/4/H23/H18</f>
        <v>6.9813170079773184E-3</v>
      </c>
      <c r="I22" s="589">
        <f>INDEX('Detailing(OMRF&amp;SMRF)'!$O$14:$R$25,(ROW()-4)/$O$2,3)</f>
        <v>12</v>
      </c>
      <c r="J22" s="590">
        <f>INDEX('Detailing(OMRF&amp;SMRF)'!$O$14:$R$25,(ROW()-4)/$O$2,4)</f>
        <v>12</v>
      </c>
      <c r="K22" s="397"/>
      <c r="L22" s="69">
        <f>INDEX('Detailing(OMRF&amp;SMRF)'!$S$14:$S$25,(ROW()-4)/9) - L21</f>
        <v>2</v>
      </c>
      <c r="P22" s="348"/>
      <c r="Q22" s="604">
        <f>R24*PI()*R23^2/4/Q23/Q18</f>
        <v>5.2359877559829881E-3</v>
      </c>
      <c r="R22" s="589">
        <f>INDEX('Detailing(OMRF&amp;SMRF)'!$O$30:$R$41,(ROW()-4)/$O$2,3)</f>
        <v>6</v>
      </c>
      <c r="S22" s="590">
        <f>INDEX('Detailing(OMRF&amp;SMRF)'!$O$30:$R$41,(ROW()-4)/$O$2,4)</f>
        <v>12</v>
      </c>
      <c r="T22" s="96"/>
      <c r="U22" s="69">
        <f>(R22+R21)/4+1-U21</f>
        <v>1.5</v>
      </c>
      <c r="V22" s="69"/>
      <c r="W22" s="69"/>
      <c r="X22" s="398"/>
      <c r="Y22" s="348"/>
      <c r="Z22" s="618">
        <f t="shared" si="6"/>
        <v>5.2359877559829881E-3</v>
      </c>
      <c r="AA22" s="589">
        <f>R22</f>
        <v>6</v>
      </c>
      <c r="AB22" s="590">
        <f>S22</f>
        <v>12</v>
      </c>
      <c r="AC22" s="397"/>
      <c r="AD22" s="69"/>
      <c r="AE22" s="69"/>
      <c r="AF22" s="69"/>
      <c r="AG22" s="398"/>
      <c r="AH22" s="348"/>
      <c r="AI22" s="618">
        <f t="shared" si="7"/>
        <v>6.9813170079773184E-3</v>
      </c>
      <c r="AJ22" s="589">
        <f>I22</f>
        <v>12</v>
      </c>
      <c r="AK22" s="590">
        <f>J22</f>
        <v>12</v>
      </c>
      <c r="AL22" s="397"/>
    </row>
    <row r="23" spans="7:38" x14ac:dyDescent="0.25">
      <c r="G23" s="67" t="s">
        <v>381</v>
      </c>
      <c r="H23" s="591">
        <f>INDEX('Detailing(OMRF&amp;SMRF)'!$AC$14:$AE$25,(ROW()-5)/$O$2,3)</f>
        <v>100</v>
      </c>
      <c r="I23" s="588">
        <f>INDEX('Detailing(OMRF&amp;SMRF)'!$AC$14:$AE$25,(ROW()-5)/$O$2,2)</f>
        <v>10</v>
      </c>
      <c r="J23" s="398"/>
      <c r="K23" s="398"/>
      <c r="P23" s="348"/>
      <c r="Q23" s="607">
        <f>INDEX('Detailing(OMRF&amp;SMRF)'!$AC$30:$AE$41,(ROW()-5)/$O$2,3)</f>
        <v>100</v>
      </c>
      <c r="R23" s="588">
        <f>INDEX('Detailing(OMRF&amp;SMRF)'!$AC$30:$AE$41,(ROW()-5)/$O$2,2)</f>
        <v>10</v>
      </c>
      <c r="S23" s="69"/>
      <c r="T23" s="69"/>
      <c r="U23" s="69"/>
      <c r="V23" s="69"/>
      <c r="W23" s="69"/>
      <c r="X23" s="398"/>
      <c r="Y23" s="348"/>
      <c r="Z23" s="591">
        <f t="shared" si="6"/>
        <v>100</v>
      </c>
      <c r="AA23" s="588">
        <f>R23</f>
        <v>10</v>
      </c>
      <c r="AB23" s="615"/>
      <c r="AC23" s="398"/>
      <c r="AD23" s="69"/>
      <c r="AE23" s="69"/>
      <c r="AF23" s="69"/>
      <c r="AG23" s="398"/>
      <c r="AH23" s="348"/>
      <c r="AI23" s="591">
        <f t="shared" si="7"/>
        <v>100</v>
      </c>
      <c r="AJ23" s="588">
        <f>I23</f>
        <v>10</v>
      </c>
      <c r="AK23" s="615"/>
      <c r="AL23" s="398"/>
    </row>
    <row r="24" spans="7:38" x14ac:dyDescent="0.25">
      <c r="G24" s="67" t="s">
        <v>382</v>
      </c>
      <c r="H24" s="605">
        <f>INDEX('Detailing(OMRF&amp;SMRF)'!A$14:$A$25,(ROW()-6)/$O$2,1)</f>
        <v>3900</v>
      </c>
      <c r="I24" s="592">
        <f>INDEX('Detailing(OMRF&amp;SMRF)'!$AC$14:$AE$25,(ROW()-6)/$O$2,1)</f>
        <v>4</v>
      </c>
      <c r="J24" s="399"/>
      <c r="K24" s="399"/>
      <c r="L24"/>
      <c r="M24"/>
      <c r="N24"/>
      <c r="O24"/>
      <c r="P24" s="348"/>
      <c r="Q24" s="608">
        <f>H24</f>
        <v>3900</v>
      </c>
      <c r="R24" s="592">
        <f>INDEX('Detailing(OMRF&amp;SMRF)'!$AC$30:$AE$41,(ROW()-6)/$O$2,1)</f>
        <v>4</v>
      </c>
      <c r="X24" s="399"/>
      <c r="Y24" s="348"/>
      <c r="Z24" s="605">
        <f t="shared" si="6"/>
        <v>3900</v>
      </c>
      <c r="AA24" s="592">
        <f>R24</f>
        <v>4</v>
      </c>
      <c r="AB24" s="592"/>
      <c r="AC24" s="399"/>
      <c r="AG24" s="399"/>
      <c r="AH24" s="348"/>
      <c r="AI24" s="605">
        <f t="shared" si="7"/>
        <v>3900</v>
      </c>
      <c r="AJ24" s="592">
        <f>I24</f>
        <v>4</v>
      </c>
      <c r="AK24" s="592"/>
      <c r="AL24" s="399"/>
    </row>
    <row r="25" spans="7:38" ht="48.75" customHeight="1" thickBot="1" x14ac:dyDescent="0.35">
      <c r="G25" s="904">
        <f>IFERROR(INDEX('Detailing(OMRF&amp;SMRF)'!L$15:$L$25,(ROW()-6)/$O$2,1), "-")</f>
        <v>0</v>
      </c>
      <c r="H25" s="73"/>
      <c r="I25" s="593">
        <f>INDEX('Detailing(OMRF&amp;SMRF)'!$C$49:$D$60,(ROW()+2)/$O$2,1)</f>
        <v>400</v>
      </c>
      <c r="J25" s="593">
        <f>INDEX('Detailing(OMRF&amp;SMRF)'!$C$49:$D$60,(ROW()+2)/$O$2,2)</f>
        <v>750</v>
      </c>
      <c r="K25" s="78">
        <f>PI()/4*(J26*K26^2+M26*N26^2)/I25/J25</f>
        <v>1.1157889907999747E-2</v>
      </c>
      <c r="L25" s="78">
        <f>PI()/4*(J27*K27^2+M27*N27^2)/I25/J25</f>
        <v>6.5449846949787362E-3</v>
      </c>
      <c r="M25" s="78">
        <f>K28*PI()*L28^2/4/N25/I25</f>
        <v>6.2831853071795866E-3</v>
      </c>
      <c r="N25" s="593">
        <f>INDEX('Detailing(OMRF&amp;SMRF)'!$AB$49:$AE$60,(ROW()+2)/$O$2,3)</f>
        <v>125</v>
      </c>
      <c r="O25" s="393">
        <f>O16</f>
        <v>8200</v>
      </c>
      <c r="P25" s="903">
        <f>IFERROR(INDEX('Detailing(OMRF&amp;SMRF)'!L$31:$L$41,(ROW()-6)/$O$2,1), "-")</f>
        <v>0</v>
      </c>
      <c r="Q25" s="606"/>
      <c r="R25" s="593">
        <f>INDEX('Detailing(OMRF&amp;SMRF)'!$C$65:$D$76,(ROW()+2)/$O$2,1)</f>
        <v>400</v>
      </c>
      <c r="S25" s="593">
        <f>INDEX('Detailing(OMRF&amp;SMRF)'!$C$65:$D$76,(ROW()+2)/$O$2,2)</f>
        <v>750</v>
      </c>
      <c r="T25" s="78">
        <f>PI()/4*(S26*T26^2+V26*W26^2)/R25/S25</f>
        <v>1.1157889907999747E-2</v>
      </c>
      <c r="U25" s="78">
        <f>PI()/4*(S27*T27^2+V27*W27^2)/R25/S25</f>
        <v>5.3668874498825625E-3</v>
      </c>
      <c r="V25" s="78">
        <f>T28*PI()*U28^2/4/W25/R25</f>
        <v>6.2831853071795866E-3</v>
      </c>
      <c r="W25" s="593">
        <f>INDEX('Detailing(OMRF&amp;SMRF)'!$AB$65:$AE$76,(ROW()+2)/$O$2,3)</f>
        <v>125</v>
      </c>
      <c r="X25" s="393">
        <f>X16</f>
        <v>8200</v>
      </c>
      <c r="Y25" s="903">
        <f>P25</f>
        <v>0</v>
      </c>
      <c r="Z25" s="606"/>
      <c r="AA25" s="593">
        <f t="shared" ref="AA25:AG25" si="8">I25</f>
        <v>400</v>
      </c>
      <c r="AB25" s="593">
        <f t="shared" si="8"/>
        <v>750</v>
      </c>
      <c r="AC25" s="612">
        <f t="shared" si="8"/>
        <v>1.1157889907999747E-2</v>
      </c>
      <c r="AD25" s="612">
        <f t="shared" si="8"/>
        <v>6.5449846949787362E-3</v>
      </c>
      <c r="AE25" s="612">
        <f t="shared" si="8"/>
        <v>6.2831853071795866E-3</v>
      </c>
      <c r="AF25" s="593">
        <f t="shared" si="8"/>
        <v>125</v>
      </c>
      <c r="AG25" s="393">
        <f t="shared" si="8"/>
        <v>8200</v>
      </c>
      <c r="AH25" s="903">
        <f>G25</f>
        <v>0</v>
      </c>
      <c r="AI25" s="113" t="str">
        <f>INDEX(RxnCheck!$G$11:$G$23, (ROW()+2)/9)</f>
        <v>Level 3 (12.3 m)</v>
      </c>
    </row>
    <row r="26" spans="7:38" ht="15.75" thickTop="1" x14ac:dyDescent="0.25">
      <c r="H26" s="72"/>
      <c r="I26" s="83" t="s">
        <v>373</v>
      </c>
      <c r="J26" s="595">
        <f>INDEX('Detailing(OMRF&amp;SMRF)'!$M$49:$P$60,(ROW()+1)/$O$2,1)</f>
        <v>6</v>
      </c>
      <c r="K26" s="596">
        <f>INDEX('Detailing(OMRF&amp;SMRF)'!$M$49:$P$60,(ROW()+1)/$O$2,2)</f>
        <v>25</v>
      </c>
      <c r="L26" s="394" t="str">
        <f>IF(ISBLANK(M26),"","+")</f>
        <v>+</v>
      </c>
      <c r="M26" s="595">
        <f>INDEX('Detailing(OMRF&amp;SMRF)'!$M$49:$P$60,(ROW()+1)/$O$2,3)</f>
        <v>2</v>
      </c>
      <c r="N26" s="597">
        <f>INDEX('Detailing(OMRF&amp;SMRF)'!$M$49:$P$60,(ROW()+1)/$O$2,4)</f>
        <v>16</v>
      </c>
      <c r="O26" s="70"/>
      <c r="P26" s="68"/>
      <c r="Q26" s="600"/>
      <c r="R26" s="83" t="s">
        <v>373</v>
      </c>
      <c r="S26" s="595">
        <f>INDEX('Detailing(OMRF&amp;SMRF)'!$M$65:$P$76,(ROW()+1)/$O$2,1)</f>
        <v>6</v>
      </c>
      <c r="T26" s="596">
        <f>INDEX('Detailing(OMRF&amp;SMRF)'!$M$65:$P$76,(ROW()+1)/$O$2,2)</f>
        <v>25</v>
      </c>
      <c r="U26" s="394" t="str">
        <f>IF(ISBLANK(V26),"","+")</f>
        <v>+</v>
      </c>
      <c r="V26" s="595">
        <f>INDEX('Detailing(OMRF&amp;SMRF)'!$M$65:$P$76,(ROW()+1)/$O$2,3)</f>
        <v>2</v>
      </c>
      <c r="W26" s="597">
        <f>INDEX('Detailing(OMRF&amp;SMRF)'!$M$65:$P$76,(ROW()+1)/$O$2,4)</f>
        <v>16</v>
      </c>
      <c r="X26" s="621"/>
      <c r="Y26" s="68"/>
      <c r="Z26" s="72"/>
      <c r="AA26" s="609" t="s">
        <v>373</v>
      </c>
      <c r="AB26" s="595">
        <f t="shared" ref="AB26:AF27" si="9">J26</f>
        <v>6</v>
      </c>
      <c r="AC26" s="596">
        <f t="shared" si="9"/>
        <v>25</v>
      </c>
      <c r="AD26" s="613" t="str">
        <f t="shared" si="9"/>
        <v>+</v>
      </c>
      <c r="AE26" s="595">
        <f t="shared" si="9"/>
        <v>2</v>
      </c>
      <c r="AF26" s="597">
        <f t="shared" si="9"/>
        <v>16</v>
      </c>
      <c r="AG26" s="621"/>
      <c r="AH26" s="68"/>
      <c r="AI26" s="73"/>
    </row>
    <row r="27" spans="7:38" x14ac:dyDescent="0.25">
      <c r="G27" s="4" t="s">
        <v>374</v>
      </c>
      <c r="H27" s="586">
        <f>INDEX('Detailing(OMRF&amp;SMRF)'!$C$14:$D$25,ROW()/$O$2,1)</f>
        <v>450</v>
      </c>
      <c r="I27" s="85" t="s">
        <v>375</v>
      </c>
      <c r="J27" s="592">
        <f>INDEX('Detailing(OMRF&amp;SMRF)'!$T$49:$W$60,(ROW())/$O$2,1)</f>
        <v>2</v>
      </c>
      <c r="K27" s="598">
        <f>INDEX('Detailing(OMRF&amp;SMRF)'!$T$49:$W$60,(ROW())/$O$2,2)</f>
        <v>25</v>
      </c>
      <c r="L27" s="395" t="str">
        <f>IF(OR(ISBLANK(M27),M27=0),"","+")</f>
        <v>+</v>
      </c>
      <c r="M27" s="592">
        <f>INDEX('Detailing(OMRF&amp;SMRF)'!$T$49:$W$60,(ROW())/$O$2,3)</f>
        <v>2</v>
      </c>
      <c r="N27" s="599">
        <f>INDEX('Detailing(OMRF&amp;SMRF)'!$T$49:$W$60,(ROW())/$O$2,4)</f>
        <v>25</v>
      </c>
      <c r="P27" s="348"/>
      <c r="Q27" s="601">
        <f>INDEX('Detailing(OMRF&amp;SMRF)'!$C$30:$D$41,ROW()/$O$2,1)</f>
        <v>600</v>
      </c>
      <c r="R27" s="85" t="s">
        <v>375</v>
      </c>
      <c r="S27" s="592">
        <f>INDEX('Detailing(OMRF&amp;SMRF)'!$T$65:$W$76,(ROW())/$O$2,1)</f>
        <v>2</v>
      </c>
      <c r="T27" s="598">
        <f>INDEX('Detailing(OMRF&amp;SMRF)'!$T$65:$W$76,(ROW())/$O$2,2)</f>
        <v>25</v>
      </c>
      <c r="U27" s="395" t="str">
        <f>IF(OR(ISBLANK(V27),V27=0),"","+")</f>
        <v>+</v>
      </c>
      <c r="V27" s="592">
        <f>INDEX('Detailing(OMRF&amp;SMRF)'!$T$65:$W$76,(ROW())/$O$2,3)</f>
        <v>2</v>
      </c>
      <c r="W27" s="599">
        <f>INDEX('Detailing(OMRF&amp;SMRF)'!$T$65:$W$76,(ROW())/$O$2,4)</f>
        <v>20</v>
      </c>
      <c r="X27" s="398"/>
      <c r="Y27" s="348"/>
      <c r="Z27" s="586">
        <f t="shared" ref="Z27:Z33" si="10">Q27</f>
        <v>600</v>
      </c>
      <c r="AA27" s="610" t="s">
        <v>375</v>
      </c>
      <c r="AB27" s="592">
        <f t="shared" si="9"/>
        <v>2</v>
      </c>
      <c r="AC27" s="598">
        <f t="shared" si="9"/>
        <v>25</v>
      </c>
      <c r="AD27" s="614" t="str">
        <f t="shared" si="9"/>
        <v>+</v>
      </c>
      <c r="AE27" s="592">
        <f t="shared" si="9"/>
        <v>2</v>
      </c>
      <c r="AF27" s="599">
        <f t="shared" si="9"/>
        <v>25</v>
      </c>
      <c r="AG27" s="398"/>
      <c r="AH27" s="348"/>
      <c r="AI27" s="586">
        <f t="shared" ref="AI27:AI33" si="11">H27</f>
        <v>450</v>
      </c>
    </row>
    <row r="28" spans="7:38" x14ac:dyDescent="0.25">
      <c r="G28" s="4" t="s">
        <v>376</v>
      </c>
      <c r="H28" s="586">
        <f>INDEX('Detailing(OMRF&amp;SMRF)'!$C$14:$D$25,(ROW()-1)/$O$2,2)</f>
        <v>600</v>
      </c>
      <c r="I28" s="87" t="s">
        <v>377</v>
      </c>
      <c r="J28" s="88"/>
      <c r="K28" s="594">
        <f>INDEX('Detailing(OMRF&amp;SMRF)'!$AB$49:$AE$60,(ROW()-1)/$O$2,1)</f>
        <v>4</v>
      </c>
      <c r="L28" s="590">
        <f>INDEX('Detailing(OMRF&amp;SMRF)'!$AB$49:$AE$60,(ROW()-1)/$O$2,2)</f>
        <v>10</v>
      </c>
      <c r="M28" s="88"/>
      <c r="N28" s="91"/>
      <c r="P28" s="348"/>
      <c r="Q28" s="601">
        <f>INDEX('Detailing(OMRF&amp;SMRF)'!$C$30:$D$41,(ROW()-1)/$O$2,2)</f>
        <v>600</v>
      </c>
      <c r="R28" s="87" t="s">
        <v>377</v>
      </c>
      <c r="S28" s="88"/>
      <c r="T28" s="594">
        <f>INDEX('Detailing(OMRF&amp;SMRF)'!$AB$65:$AE$76,(ROW()-1)/$O$2,1)</f>
        <v>4</v>
      </c>
      <c r="U28" s="590">
        <f>INDEX('Detailing(OMRF&amp;SMRF)'!$AB$65:$AE$76,(ROW()-1)/$O$2,2)</f>
        <v>10</v>
      </c>
      <c r="V28" s="88"/>
      <c r="W28" s="91"/>
      <c r="X28" s="398"/>
      <c r="Y28" s="348"/>
      <c r="Z28" s="586">
        <f t="shared" si="10"/>
        <v>600</v>
      </c>
      <c r="AA28" s="611" t="s">
        <v>377</v>
      </c>
      <c r="AB28" s="589"/>
      <c r="AC28" s="594">
        <f>K28</f>
        <v>4</v>
      </c>
      <c r="AD28" s="590">
        <f>L28</f>
        <v>10</v>
      </c>
      <c r="AE28" s="589"/>
      <c r="AF28" s="616"/>
      <c r="AG28" s="398"/>
      <c r="AH28" s="348"/>
      <c r="AI28" s="586">
        <f t="shared" si="11"/>
        <v>600</v>
      </c>
    </row>
    <row r="29" spans="7:38" ht="18" x14ac:dyDescent="0.35">
      <c r="G29" s="67" t="s">
        <v>378</v>
      </c>
      <c r="H29" s="97">
        <f>PI()/4*(I30*J30^2+I31*J31^2)/H27/H28</f>
        <v>1.8430676901060122E-2</v>
      </c>
      <c r="J29"/>
      <c r="K29"/>
      <c r="L29"/>
      <c r="M29"/>
      <c r="N29"/>
      <c r="P29" s="348"/>
      <c r="Q29" s="602">
        <f>PI()/4*(R30*S30^2+R31*S31^2)/Q27/Q28</f>
        <v>8.587019919812101E-3</v>
      </c>
      <c r="R29" s="69"/>
      <c r="X29" s="398"/>
      <c r="Y29" s="348"/>
      <c r="Z29" s="617">
        <f t="shared" si="10"/>
        <v>8.587019919812101E-3</v>
      </c>
      <c r="AA29" s="615"/>
      <c r="AB29" s="592"/>
      <c r="AG29" s="398"/>
      <c r="AH29" s="348"/>
      <c r="AI29" s="617">
        <f t="shared" si="11"/>
        <v>1.8430676901060122E-2</v>
      </c>
      <c r="AJ29" s="69"/>
    </row>
    <row r="30" spans="7:38" x14ac:dyDescent="0.25">
      <c r="G30" s="67" t="s">
        <v>379</v>
      </c>
      <c r="H30" s="109">
        <f>PI()/4*(L30*J30^2+L31*J31^2)/H27/H28</f>
        <v>5.817764173314431E-3</v>
      </c>
      <c r="I30" s="587">
        <f>INDEX('Detailing(OMRF&amp;SMRF)'!$O$14:$R$25,(ROW()-3)/$O$2,1)</f>
        <v>12</v>
      </c>
      <c r="J30" s="588">
        <f>INDEX('Detailing(OMRF&amp;SMRF)'!$O$14:$R$25,(ROW()-3)/$O$2,2)</f>
        <v>20</v>
      </c>
      <c r="K30" s="396" t="str">
        <f>IF(OR(ISBLANK(I31),I31=0),"","+")</f>
        <v>+</v>
      </c>
      <c r="L30" s="69">
        <f>IF(AND(J30&gt;=J31,I30 =4), 2, IF(AND(J31&gt;=J30, I31=4), INDEX('Detailing(OMRF&amp;SMRF)'!$S$14:$S$25,((ROW()-3)/9))-2, IF(AND(J30&gt;=J31, I30&gt;=2*INDEX('Detailing(OMRF&amp;SMRF)'!$S$14:$S$25,((ROW()-3)/9))), INDEX('Detailing(OMRF&amp;SMRF)'!$S$14:$S$25,((ROW()-3)/9)), IF(AND(J30&lt;=J31, I31&gt;=2*INDEX('Detailing(OMRF&amp;SMRF)'!$S$14:$S$25,((ROW()-3)/9))), 0, IF(AND(J30&gt;=J31, I30&lt;2*INDEX('Detailing(OMRF&amp;SMRF)'!$S$14:$S$25,((ROW()-3)/9))), IF(I30/2 = 1, 0, IF(AND(ISODD(I30/2), ISEVEN(INDEX('Detailing(OMRF&amp;SMRF)'!$S$14:$S$25,((ROW()-3)/9)))), I30/2 - 1, I30/2)), IF(AND(J30&lt;J31, I31&lt;2*INDEX('Detailing(OMRF&amp;SMRF)'!$S$14:$S$25,((ROW()-3)/9))), IF(I31/2 = 1, INDEX('Detailing(OMRF&amp;SMRF)'!$S$14:$S$25,((ROW()-3)/9)), IF(AND(ISODD(I31/2), ISEVEN(INDEX('Detailing(OMRF&amp;SMRF)'!$S$14:$S$25,((ROW()-3)/9)))), INDEX('Detailing(OMRF&amp;SMRF)'!$S$14:$S$25,((ROW()-3)/9)) - I30/2 + 1, INDEX('Detailing(OMRF&amp;SMRF)'!$S$14:$S$25,((ROW()-3)/9)) - I30/2))))))))</f>
        <v>5</v>
      </c>
      <c r="P30" s="348"/>
      <c r="Q30" s="109">
        <f>PI()/4*(U30*S30^2+U31*S31^2)/Q27/Q28</f>
        <v>2.7052603405912107E-3</v>
      </c>
      <c r="R30" s="587">
        <f>INDEX('Detailing(OMRF&amp;SMRF)'!$O$30:$R$41,(ROW()-3)/$O$2,1)</f>
        <v>12</v>
      </c>
      <c r="S30" s="588">
        <f>INDEX('Detailing(OMRF&amp;SMRF)'!$O$30:$R$41,(ROW()-3)/$O$2,2)</f>
        <v>16</v>
      </c>
      <c r="T30" s="396" t="str">
        <f>IF(OR(ISBLANK(R31),R31=0),"","+")</f>
        <v>+</v>
      </c>
      <c r="U30" s="69">
        <f>IF(S30&gt;=S31,R30/4+1)</f>
        <v>4</v>
      </c>
      <c r="V30" s="69"/>
      <c r="W30" s="69"/>
      <c r="X30" s="398"/>
      <c r="Y30" s="348"/>
      <c r="Z30" s="603">
        <f t="shared" si="10"/>
        <v>2.7052603405912107E-3</v>
      </c>
      <c r="AA30" s="587">
        <f>R30</f>
        <v>12</v>
      </c>
      <c r="AB30" s="588">
        <f>S30</f>
        <v>16</v>
      </c>
      <c r="AC30" s="396" t="str">
        <f>IF(OR(ISBLANK(AA31),AA31=0),"","+")</f>
        <v>+</v>
      </c>
      <c r="AD30" s="69"/>
      <c r="AE30" s="69"/>
      <c r="AF30" s="69"/>
      <c r="AG30" s="398"/>
      <c r="AH30" s="348"/>
      <c r="AI30" s="603">
        <f t="shared" si="11"/>
        <v>5.817764173314431E-3</v>
      </c>
      <c r="AJ30" s="587">
        <f>I30</f>
        <v>12</v>
      </c>
      <c r="AK30" s="588">
        <f>J30</f>
        <v>20</v>
      </c>
      <c r="AL30" s="396" t="str">
        <f>IF(OR(ISBLANK(AJ31),AJ31=0),"","+")</f>
        <v>+</v>
      </c>
    </row>
    <row r="31" spans="7:38" ht="18.75" x14ac:dyDescent="0.35">
      <c r="G31" s="67" t="s">
        <v>380</v>
      </c>
      <c r="H31" s="347">
        <f>I33*PI()*I32^2/4/H32/H27</f>
        <v>6.9813170079773184E-3</v>
      </c>
      <c r="I31" s="589">
        <f>INDEX('Detailing(OMRF&amp;SMRF)'!$O$14:$R$25,(ROW()-4)/$O$2,3)</f>
        <v>6</v>
      </c>
      <c r="J31" s="590">
        <f>INDEX('Detailing(OMRF&amp;SMRF)'!$O$14:$R$25,(ROW()-4)/$O$2,4)</f>
        <v>16</v>
      </c>
      <c r="K31" s="397"/>
      <c r="L31" s="69">
        <f>INDEX('Detailing(OMRF&amp;SMRF)'!$S$14:$S$25,(ROW()-4)/9) - L30</f>
        <v>0</v>
      </c>
      <c r="P31" s="348"/>
      <c r="Q31" s="604">
        <f>R33*PI()*R32^2/4/Q32/Q27</f>
        <v>5.2359877559829881E-3</v>
      </c>
      <c r="R31" s="589">
        <f>INDEX('Detailing(OMRF&amp;SMRF)'!$O$30:$R$41,(ROW()-4)/$O$2,3)</f>
        <v>6</v>
      </c>
      <c r="S31" s="590">
        <f>INDEX('Detailing(OMRF&amp;SMRF)'!$O$30:$R$41,(ROW()-4)/$O$2,4)</f>
        <v>12</v>
      </c>
      <c r="T31" s="96"/>
      <c r="U31" s="69">
        <f>(R31+R30)/4+1-U30</f>
        <v>1.5</v>
      </c>
      <c r="V31" s="69"/>
      <c r="W31" s="69"/>
      <c r="X31" s="398"/>
      <c r="Y31" s="348"/>
      <c r="Z31" s="618">
        <f t="shared" si="10"/>
        <v>5.2359877559829881E-3</v>
      </c>
      <c r="AA31" s="589">
        <f>R31</f>
        <v>6</v>
      </c>
      <c r="AB31" s="590">
        <f>S31</f>
        <v>12</v>
      </c>
      <c r="AC31" s="397"/>
      <c r="AD31" s="69"/>
      <c r="AE31" s="69"/>
      <c r="AF31" s="69"/>
      <c r="AG31" s="398"/>
      <c r="AH31" s="348"/>
      <c r="AI31" s="618">
        <f t="shared" si="11"/>
        <v>6.9813170079773184E-3</v>
      </c>
      <c r="AJ31" s="589">
        <f>I31</f>
        <v>6</v>
      </c>
      <c r="AK31" s="590">
        <f>J31</f>
        <v>16</v>
      </c>
      <c r="AL31" s="397"/>
    </row>
    <row r="32" spans="7:38" x14ac:dyDescent="0.25">
      <c r="G32" s="67" t="s">
        <v>381</v>
      </c>
      <c r="H32" s="591">
        <f>INDEX('Detailing(OMRF&amp;SMRF)'!$AC$14:$AE$25,(ROW()-5)/$O$2,3)</f>
        <v>100</v>
      </c>
      <c r="I32" s="588">
        <f>INDEX('Detailing(OMRF&amp;SMRF)'!$AC$14:$AE$25,(ROW()-5)/$O$2,2)</f>
        <v>10</v>
      </c>
      <c r="J32" s="398"/>
      <c r="K32" s="398"/>
      <c r="P32" s="348"/>
      <c r="Q32" s="607">
        <f>INDEX('Detailing(OMRF&amp;SMRF)'!$AC$30:$AE$41,(ROW()-5)/$O$2,3)</f>
        <v>100</v>
      </c>
      <c r="R32" s="588">
        <f>INDEX('Detailing(OMRF&amp;SMRF)'!$AC$30:$AE$41,(ROW()-5)/$O$2,2)</f>
        <v>10</v>
      </c>
      <c r="S32" s="69"/>
      <c r="T32" s="69"/>
      <c r="U32" s="69"/>
      <c r="V32" s="69"/>
      <c r="W32" s="69"/>
      <c r="X32" s="398"/>
      <c r="Y32" s="348"/>
      <c r="Z32" s="591">
        <f t="shared" si="10"/>
        <v>100</v>
      </c>
      <c r="AA32" s="588">
        <f>R32</f>
        <v>10</v>
      </c>
      <c r="AB32" s="615"/>
      <c r="AC32" s="398"/>
      <c r="AD32" s="69"/>
      <c r="AE32" s="69"/>
      <c r="AF32" s="69"/>
      <c r="AG32" s="398"/>
      <c r="AH32" s="348"/>
      <c r="AI32" s="591">
        <f t="shared" si="11"/>
        <v>100</v>
      </c>
      <c r="AJ32" s="588">
        <f>I32</f>
        <v>10</v>
      </c>
      <c r="AK32" s="615"/>
      <c r="AL32" s="398"/>
    </row>
    <row r="33" spans="7:38" x14ac:dyDescent="0.25">
      <c r="G33" s="67" t="s">
        <v>382</v>
      </c>
      <c r="H33" s="605">
        <f>INDEX('Detailing(OMRF&amp;SMRF)'!A$14:$A$25,(ROW()-6)/$O$2,1)</f>
        <v>3900</v>
      </c>
      <c r="I33" s="592">
        <f>INDEX('Detailing(OMRF&amp;SMRF)'!$AC$14:$AE$25,(ROW()-6)/$O$2,1)</f>
        <v>4</v>
      </c>
      <c r="J33" s="399"/>
      <c r="K33" s="399"/>
      <c r="L33"/>
      <c r="M33"/>
      <c r="N33"/>
      <c r="O33"/>
      <c r="P33" s="348"/>
      <c r="Q33" s="608">
        <f>H33</f>
        <v>3900</v>
      </c>
      <c r="R33" s="592">
        <f>INDEX('Detailing(OMRF&amp;SMRF)'!$AC$30:$AE$41,(ROW()-6)/$O$2,1)</f>
        <v>4</v>
      </c>
      <c r="X33" s="399"/>
      <c r="Y33" s="348"/>
      <c r="Z33" s="605">
        <f t="shared" si="10"/>
        <v>3900</v>
      </c>
      <c r="AA33" s="592">
        <f>R33</f>
        <v>4</v>
      </c>
      <c r="AB33" s="592"/>
      <c r="AC33" s="399"/>
      <c r="AG33" s="399"/>
      <c r="AH33" s="348"/>
      <c r="AI33" s="605">
        <f t="shared" si="11"/>
        <v>3900</v>
      </c>
      <c r="AJ33" s="592">
        <f>I33</f>
        <v>4</v>
      </c>
      <c r="AK33" s="592"/>
      <c r="AL33" s="399"/>
    </row>
    <row r="34" spans="7:38" ht="48.75" customHeight="1" thickBot="1" x14ac:dyDescent="0.35">
      <c r="G34" s="904">
        <f>IFERROR(INDEX('Detailing(OMRF&amp;SMRF)'!L$15:$L$25,(ROW()-6)/$O$2,1), "-")</f>
        <v>0</v>
      </c>
      <c r="H34" s="73"/>
      <c r="I34" s="593">
        <f>INDEX('Detailing(OMRF&amp;SMRF)'!$C$49:$D$60,(ROW()+2)/$O$2,1)</f>
        <v>400</v>
      </c>
      <c r="J34" s="593">
        <f>INDEX('Detailing(OMRF&amp;SMRF)'!$C$49:$D$60,(ROW()+2)/$O$2,2)</f>
        <v>750</v>
      </c>
      <c r="K34" s="78">
        <f>PI()/4*(J35*K35^2+M35*N35^2)/I34/J34</f>
        <v>1.1911872144861299E-2</v>
      </c>
      <c r="L34" s="78">
        <f>PI()/4*(J36*K36^2+M36*N36^2)/I34/J34</f>
        <v>6.5449846949787362E-3</v>
      </c>
      <c r="M34" s="78">
        <f>K37*PI()*L37^2/4/N34/I34</f>
        <v>6.2831853071795866E-3</v>
      </c>
      <c r="N34" s="593">
        <f>INDEX('Detailing(OMRF&amp;SMRF)'!$AB$49:$AE$60,(ROW()+2)/$O$2,3)</f>
        <v>125</v>
      </c>
      <c r="O34" s="393">
        <f>O25</f>
        <v>8200</v>
      </c>
      <c r="P34" s="903">
        <f>IFERROR(INDEX('Detailing(OMRF&amp;SMRF)'!L$31:$L$41,(ROW()-6)/$O$2,1), "-")</f>
        <v>0</v>
      </c>
      <c r="Q34" s="606"/>
      <c r="R34" s="593">
        <f>INDEX('Detailing(OMRF&amp;SMRF)'!$C$65:$D$76,(ROW()+2)/$O$2,1)</f>
        <v>400</v>
      </c>
      <c r="S34" s="593">
        <f>INDEX('Detailing(OMRF&amp;SMRF)'!$C$65:$D$76,(ROW()+2)/$O$2,2)</f>
        <v>750</v>
      </c>
      <c r="T34" s="78">
        <f>PI()/4*(S35*T35^2+V35*W35^2)/R34/S34</f>
        <v>1.1911872144861299E-2</v>
      </c>
      <c r="U34" s="78">
        <f>PI()/4*(S36*T36^2+V36*W36^2)/R34/S34</f>
        <v>6.5449846949787362E-3</v>
      </c>
      <c r="V34" s="78">
        <f>T37*PI()*U37^2/4/W34/R34</f>
        <v>6.2831853071795866E-3</v>
      </c>
      <c r="W34" s="593">
        <f>INDEX('Detailing(OMRF&amp;SMRF)'!$AB$65:$AE$76,(ROW()+2)/$O$2,3)</f>
        <v>125</v>
      </c>
      <c r="X34" s="393">
        <f>X25</f>
        <v>8200</v>
      </c>
      <c r="Y34" s="903">
        <f>P34</f>
        <v>0</v>
      </c>
      <c r="Z34" s="606"/>
      <c r="AA34" s="593">
        <f t="shared" ref="AA34:AG34" si="12">I34</f>
        <v>400</v>
      </c>
      <c r="AB34" s="593">
        <f t="shared" si="12"/>
        <v>750</v>
      </c>
      <c r="AC34" s="612">
        <f t="shared" si="12"/>
        <v>1.1911872144861299E-2</v>
      </c>
      <c r="AD34" s="612">
        <f t="shared" si="12"/>
        <v>6.5449846949787362E-3</v>
      </c>
      <c r="AE34" s="612">
        <f t="shared" si="12"/>
        <v>6.2831853071795866E-3</v>
      </c>
      <c r="AF34" s="593">
        <f t="shared" si="12"/>
        <v>125</v>
      </c>
      <c r="AG34" s="393">
        <f t="shared" si="12"/>
        <v>8200</v>
      </c>
      <c r="AH34" s="903">
        <f>G34</f>
        <v>0</v>
      </c>
      <c r="AI34" s="113" t="str">
        <f>INDEX(RxnCheck!$G$11:$G$23, (ROW()+2)/9)</f>
        <v>Level 2 (8.4 m)</v>
      </c>
    </row>
    <row r="35" spans="7:38" ht="15.75" thickTop="1" x14ac:dyDescent="0.25">
      <c r="H35" s="72"/>
      <c r="I35" s="83" t="s">
        <v>373</v>
      </c>
      <c r="J35" s="595">
        <f>INDEX('Detailing(OMRF&amp;SMRF)'!$M$49:$P$60,(ROW()+1)/$O$2,1)</f>
        <v>6</v>
      </c>
      <c r="K35" s="596">
        <f>INDEX('Detailing(OMRF&amp;SMRF)'!$M$49:$P$60,(ROW()+1)/$O$2,2)</f>
        <v>25</v>
      </c>
      <c r="L35" s="394" t="str">
        <f>IF(ISBLANK(M35),"","+")</f>
        <v>+</v>
      </c>
      <c r="M35" s="595">
        <f>INDEX('Detailing(OMRF&amp;SMRF)'!$M$49:$P$60,(ROW()+1)/$O$2,3)</f>
        <v>2</v>
      </c>
      <c r="N35" s="597">
        <f>INDEX('Detailing(OMRF&amp;SMRF)'!$M$49:$P$60,(ROW()+1)/$O$2,4)</f>
        <v>20</v>
      </c>
      <c r="O35" s="70"/>
      <c r="P35" s="68"/>
      <c r="Q35" s="600"/>
      <c r="R35" s="83" t="s">
        <v>373</v>
      </c>
      <c r="S35" s="595">
        <f>INDEX('Detailing(OMRF&amp;SMRF)'!$M$65:$P$76,(ROW()+1)/$O$2,1)</f>
        <v>6</v>
      </c>
      <c r="T35" s="596">
        <f>INDEX('Detailing(OMRF&amp;SMRF)'!$M$65:$P$76,(ROW()+1)/$O$2,2)</f>
        <v>25</v>
      </c>
      <c r="U35" s="394" t="str">
        <f>IF(ISBLANK(V35),"","+")</f>
        <v>+</v>
      </c>
      <c r="V35" s="595">
        <f>INDEX('Detailing(OMRF&amp;SMRF)'!$M$65:$P$76,(ROW()+1)/$O$2,3)</f>
        <v>2</v>
      </c>
      <c r="W35" s="597">
        <f>INDEX('Detailing(OMRF&amp;SMRF)'!$M$65:$P$76,(ROW()+1)/$O$2,4)</f>
        <v>20</v>
      </c>
      <c r="X35" s="621"/>
      <c r="Y35" s="68"/>
      <c r="Z35" s="72"/>
      <c r="AA35" s="609" t="s">
        <v>373</v>
      </c>
      <c r="AB35" s="595">
        <f t="shared" ref="AB35:AF36" si="13">J35</f>
        <v>6</v>
      </c>
      <c r="AC35" s="596">
        <f t="shared" si="13"/>
        <v>25</v>
      </c>
      <c r="AD35" s="613" t="str">
        <f t="shared" si="13"/>
        <v>+</v>
      </c>
      <c r="AE35" s="595">
        <f t="shared" si="13"/>
        <v>2</v>
      </c>
      <c r="AF35" s="597">
        <f t="shared" si="13"/>
        <v>20</v>
      </c>
      <c r="AG35" s="621"/>
      <c r="AH35" s="68"/>
      <c r="AI35" s="73"/>
    </row>
    <row r="36" spans="7:38" x14ac:dyDescent="0.25">
      <c r="G36" s="4" t="s">
        <v>374</v>
      </c>
      <c r="H36" s="586">
        <f>INDEX('Detailing(OMRF&amp;SMRF)'!$C$14:$D$25,ROW()/$O$2,1)</f>
        <v>450</v>
      </c>
      <c r="I36" s="85" t="s">
        <v>375</v>
      </c>
      <c r="J36" s="592">
        <f>INDEX('Detailing(OMRF&amp;SMRF)'!$T$49:$W$60,(ROW())/$O$2,1)</f>
        <v>2</v>
      </c>
      <c r="K36" s="598">
        <f>INDEX('Detailing(OMRF&amp;SMRF)'!$T$49:$W$60,(ROW())/$O$2,2)</f>
        <v>25</v>
      </c>
      <c r="L36" s="395" t="str">
        <f>IF(OR(ISBLANK(M36),M36=0),"","+")</f>
        <v>+</v>
      </c>
      <c r="M36" s="592">
        <f>INDEX('Detailing(OMRF&amp;SMRF)'!$T$49:$W$60,(ROW())/$O$2,3)</f>
        <v>2</v>
      </c>
      <c r="N36" s="599">
        <f>INDEX('Detailing(OMRF&amp;SMRF)'!$T$49:$W$60,(ROW())/$O$2,4)</f>
        <v>25</v>
      </c>
      <c r="P36" s="348"/>
      <c r="Q36" s="601">
        <f>INDEX('Detailing(OMRF&amp;SMRF)'!$C$30:$D$41,ROW()/$O$2,1)</f>
        <v>600</v>
      </c>
      <c r="R36" s="85" t="s">
        <v>375</v>
      </c>
      <c r="S36" s="592">
        <f>INDEX('Detailing(OMRF&amp;SMRF)'!$T$65:$W$76,(ROW())/$O$2,1)</f>
        <v>2</v>
      </c>
      <c r="T36" s="598">
        <f>INDEX('Detailing(OMRF&amp;SMRF)'!$T$65:$W$76,(ROW())/$O$2,2)</f>
        <v>25</v>
      </c>
      <c r="U36" s="395" t="str">
        <f>IF(OR(ISBLANK(V36),V36=0),"","+")</f>
        <v>+</v>
      </c>
      <c r="V36" s="592">
        <f>INDEX('Detailing(OMRF&amp;SMRF)'!$T$65:$W$76,(ROW())/$O$2,3)</f>
        <v>2</v>
      </c>
      <c r="W36" s="599">
        <f>INDEX('Detailing(OMRF&amp;SMRF)'!$T$65:$W$76,(ROW())/$O$2,4)</f>
        <v>25</v>
      </c>
      <c r="X36" s="398"/>
      <c r="Y36" s="348"/>
      <c r="Z36" s="586">
        <f t="shared" ref="Z36:Z42" si="14">Q36</f>
        <v>600</v>
      </c>
      <c r="AA36" s="610" t="s">
        <v>375</v>
      </c>
      <c r="AB36" s="592">
        <f t="shared" si="13"/>
        <v>2</v>
      </c>
      <c r="AC36" s="598">
        <f t="shared" si="13"/>
        <v>25</v>
      </c>
      <c r="AD36" s="614" t="str">
        <f t="shared" si="13"/>
        <v>+</v>
      </c>
      <c r="AE36" s="592">
        <f t="shared" si="13"/>
        <v>2</v>
      </c>
      <c r="AF36" s="599">
        <f t="shared" si="13"/>
        <v>25</v>
      </c>
      <c r="AG36" s="398"/>
      <c r="AH36" s="348"/>
      <c r="AI36" s="586">
        <f t="shared" ref="AI36:AI42" si="15">H36</f>
        <v>450</v>
      </c>
    </row>
    <row r="37" spans="7:38" x14ac:dyDescent="0.25">
      <c r="G37" s="4" t="s">
        <v>376</v>
      </c>
      <c r="H37" s="586">
        <f>INDEX('Detailing(OMRF&amp;SMRF)'!$C$14:$D$25,(ROW()-1)/$O$2,2)</f>
        <v>600</v>
      </c>
      <c r="I37" s="87" t="s">
        <v>377</v>
      </c>
      <c r="J37" s="88"/>
      <c r="K37" s="594">
        <f>INDEX('Detailing(OMRF&amp;SMRF)'!$AB$49:$AE$60,(ROW()-1)/$O$2,1)</f>
        <v>4</v>
      </c>
      <c r="L37" s="590">
        <f>INDEX('Detailing(OMRF&amp;SMRF)'!$AB$49:$AE$60,(ROW()-1)/$O$2,2)</f>
        <v>10</v>
      </c>
      <c r="M37" s="88"/>
      <c r="N37" s="91"/>
      <c r="P37" s="348"/>
      <c r="Q37" s="601">
        <f>INDEX('Detailing(OMRF&amp;SMRF)'!$C$30:$D$41,(ROW()-1)/$O$2,2)</f>
        <v>600</v>
      </c>
      <c r="R37" s="87" t="s">
        <v>377</v>
      </c>
      <c r="S37" s="88"/>
      <c r="T37" s="594">
        <f>INDEX('Detailing(OMRF&amp;SMRF)'!$AB$65:$AE$76,(ROW()-1)/$O$2,1)</f>
        <v>4</v>
      </c>
      <c r="U37" s="590">
        <f>INDEX('Detailing(OMRF&amp;SMRF)'!$AB$65:$AE$76,(ROW()-1)/$O$2,2)</f>
        <v>10</v>
      </c>
      <c r="V37" s="88"/>
      <c r="W37" s="91"/>
      <c r="X37" s="398"/>
      <c r="Y37" s="348"/>
      <c r="Z37" s="586">
        <f t="shared" si="14"/>
        <v>600</v>
      </c>
      <c r="AA37" s="611" t="s">
        <v>377</v>
      </c>
      <c r="AB37" s="589"/>
      <c r="AC37" s="594">
        <f>K37</f>
        <v>4</v>
      </c>
      <c r="AD37" s="590">
        <f>L37</f>
        <v>10</v>
      </c>
      <c r="AE37" s="589"/>
      <c r="AF37" s="616"/>
      <c r="AG37" s="398"/>
      <c r="AH37" s="348"/>
      <c r="AI37" s="586">
        <f t="shared" si="15"/>
        <v>600</v>
      </c>
    </row>
    <row r="38" spans="7:38" ht="18" x14ac:dyDescent="0.35">
      <c r="G38" s="67" t="s">
        <v>378</v>
      </c>
      <c r="H38" s="97">
        <f>PI()/4*(I39*J39^2+I40*J40^2)/H36/H37</f>
        <v>2.6284658535034602E-2</v>
      </c>
      <c r="J38"/>
      <c r="K38"/>
      <c r="L38"/>
      <c r="M38"/>
      <c r="N38"/>
      <c r="P38" s="348"/>
      <c r="Q38" s="602">
        <f>PI()/4*(R39*S39^2+R40*S40^2)/Q36/Q37</f>
        <v>1.5707963267948967E-2</v>
      </c>
      <c r="R38" s="69"/>
      <c r="X38" s="398"/>
      <c r="Y38" s="348"/>
      <c r="Z38" s="617">
        <f t="shared" si="14"/>
        <v>1.5707963267948967E-2</v>
      </c>
      <c r="AA38" s="615"/>
      <c r="AB38" s="592"/>
      <c r="AG38" s="398"/>
      <c r="AH38" s="348"/>
      <c r="AI38" s="617">
        <f t="shared" si="15"/>
        <v>2.6284658535034602E-2</v>
      </c>
      <c r="AJ38" s="69"/>
    </row>
    <row r="39" spans="7:38" x14ac:dyDescent="0.25">
      <c r="G39" s="67" t="s">
        <v>379</v>
      </c>
      <c r="H39" s="109">
        <f>PI()/4*(L39*J39^2+L40*J40^2)/H36/H37</f>
        <v>9.0902565208037991E-3</v>
      </c>
      <c r="I39" s="587">
        <f>INDEX('Detailing(OMRF&amp;SMRF)'!$O$14:$R$25,(ROW()-3)/$O$2,1)</f>
        <v>12</v>
      </c>
      <c r="J39" s="588">
        <f>INDEX('Detailing(OMRF&amp;SMRF)'!$O$14:$R$25,(ROW()-3)/$O$2,2)</f>
        <v>25</v>
      </c>
      <c r="K39" s="396" t="str">
        <f>IF(OR(ISBLANK(I40),I40=0),"","+")</f>
        <v>+</v>
      </c>
      <c r="L39" s="69">
        <f>IF(AND(J39&gt;=J40,I39 =4), 2, IF(AND(J40&gt;=J39, I40=4), INDEX('Detailing(OMRF&amp;SMRF)'!$S$14:$S$25,((ROW()-3)/9))-2, IF(AND(J39&gt;=J40, I39&gt;=2*INDEX('Detailing(OMRF&amp;SMRF)'!$S$14:$S$25,((ROW()-3)/9))), INDEX('Detailing(OMRF&amp;SMRF)'!$S$14:$S$25,((ROW()-3)/9)), IF(AND(J39&lt;=J40, I40&gt;=2*INDEX('Detailing(OMRF&amp;SMRF)'!$S$14:$S$25,((ROW()-3)/9))), 0, IF(AND(J39&gt;=J40, I39&lt;2*INDEX('Detailing(OMRF&amp;SMRF)'!$S$14:$S$25,((ROW()-3)/9))), IF(I39/2 = 1, 0, IF(AND(ISODD(I39/2), ISEVEN(INDEX('Detailing(OMRF&amp;SMRF)'!$S$14:$S$25,((ROW()-3)/9)))), I39/2 - 1, I39/2)), IF(AND(J39&lt;J40, I40&lt;2*INDEX('Detailing(OMRF&amp;SMRF)'!$S$14:$S$25,((ROW()-3)/9))), IF(I40/2 = 1, INDEX('Detailing(OMRF&amp;SMRF)'!$S$14:$S$25,((ROW()-3)/9)), IF(AND(ISODD(I40/2), ISEVEN(INDEX('Detailing(OMRF&amp;SMRF)'!$S$14:$S$25,((ROW()-3)/9)))), INDEX('Detailing(OMRF&amp;SMRF)'!$S$14:$S$25,((ROW()-3)/9)) - I39/2 + 1, INDEX('Detailing(OMRF&amp;SMRF)'!$S$14:$S$25,((ROW()-3)/9)) - I39/2))))))))</f>
        <v>5</v>
      </c>
      <c r="P39" s="348"/>
      <c r="Q39" s="109">
        <f>PI()/4*(U39*S39^2+U40*S40^2)/Q36/Q37</f>
        <v>4.7996554429844069E-3</v>
      </c>
      <c r="R39" s="587">
        <f>INDEX('Detailing(OMRF&amp;SMRF)'!$O$30:$R$41,(ROW()-3)/$O$2,1)</f>
        <v>12</v>
      </c>
      <c r="S39" s="588">
        <f>INDEX('Detailing(OMRF&amp;SMRF)'!$O$30:$R$41,(ROW()-3)/$O$2,2)</f>
        <v>20</v>
      </c>
      <c r="T39" s="396" t="str">
        <f>IF(OR(ISBLANK(R40),R40=0),"","+")</f>
        <v>+</v>
      </c>
      <c r="U39" s="69">
        <f>IF(S39&gt;=S40,R39/4+1)</f>
        <v>4</v>
      </c>
      <c r="V39" s="69"/>
      <c r="W39" s="69"/>
      <c r="X39" s="398"/>
      <c r="Y39" s="348"/>
      <c r="Z39" s="603">
        <f t="shared" si="14"/>
        <v>4.7996554429844069E-3</v>
      </c>
      <c r="AA39" s="587">
        <f>R39</f>
        <v>12</v>
      </c>
      <c r="AB39" s="588">
        <f>S39</f>
        <v>20</v>
      </c>
      <c r="AC39" s="396" t="str">
        <f>IF(OR(ISBLANK(AA40),AA40=0),"","+")</f>
        <v>+</v>
      </c>
      <c r="AD39" s="69"/>
      <c r="AE39" s="69"/>
      <c r="AF39" s="69"/>
      <c r="AG39" s="398"/>
      <c r="AH39" s="348"/>
      <c r="AI39" s="603">
        <f t="shared" si="15"/>
        <v>9.0902565208037991E-3</v>
      </c>
      <c r="AJ39" s="587">
        <f>I39</f>
        <v>12</v>
      </c>
      <c r="AK39" s="588">
        <f>J39</f>
        <v>25</v>
      </c>
      <c r="AL39" s="396" t="str">
        <f>IF(OR(ISBLANK(AJ40),AJ40=0),"","+")</f>
        <v>+</v>
      </c>
    </row>
    <row r="40" spans="7:38" ht="18.75" x14ac:dyDescent="0.35">
      <c r="G40" s="67" t="s">
        <v>380</v>
      </c>
      <c r="H40" s="347">
        <f>I42*PI()*I41^2/4/H41/H36</f>
        <v>6.9813170079773184E-3</v>
      </c>
      <c r="I40" s="589">
        <f>INDEX('Detailing(OMRF&amp;SMRF)'!$O$14:$R$25,(ROW()-4)/$O$2,3)</f>
        <v>6</v>
      </c>
      <c r="J40" s="590">
        <f>INDEX('Detailing(OMRF&amp;SMRF)'!$O$14:$R$25,(ROW()-4)/$O$2,4)</f>
        <v>16</v>
      </c>
      <c r="K40" s="397"/>
      <c r="L40" s="69">
        <f>INDEX('Detailing(OMRF&amp;SMRF)'!$S$14:$S$25,(ROW()-4)/9) - L39</f>
        <v>0</v>
      </c>
      <c r="P40" s="348"/>
      <c r="Q40" s="604">
        <f>R42*PI()*R41^2/4/Q41/Q36</f>
        <v>5.2359877559829881E-3</v>
      </c>
      <c r="R40" s="589">
        <f>INDEX('Detailing(OMRF&amp;SMRF)'!$O$30:$R$41,(ROW()-4)/$O$2,3)</f>
        <v>6</v>
      </c>
      <c r="S40" s="590">
        <f>INDEX('Detailing(OMRF&amp;SMRF)'!$O$30:$R$41,(ROW()-4)/$O$2,4)</f>
        <v>20</v>
      </c>
      <c r="T40" s="96"/>
      <c r="U40" s="69">
        <f>(R40+R39)/4+1-U39</f>
        <v>1.5</v>
      </c>
      <c r="V40" s="69"/>
      <c r="W40" s="69"/>
      <c r="X40" s="398"/>
      <c r="Y40" s="348"/>
      <c r="Z40" s="618">
        <f t="shared" si="14"/>
        <v>5.2359877559829881E-3</v>
      </c>
      <c r="AA40" s="589">
        <f>R40</f>
        <v>6</v>
      </c>
      <c r="AB40" s="590">
        <f>S40</f>
        <v>20</v>
      </c>
      <c r="AC40" s="397"/>
      <c r="AD40" s="69"/>
      <c r="AE40" s="69"/>
      <c r="AF40" s="69"/>
      <c r="AG40" s="398"/>
      <c r="AH40" s="348"/>
      <c r="AI40" s="618">
        <f t="shared" si="15"/>
        <v>6.9813170079773184E-3</v>
      </c>
      <c r="AJ40" s="589">
        <f>I40</f>
        <v>6</v>
      </c>
      <c r="AK40" s="590">
        <f>J40</f>
        <v>16</v>
      </c>
      <c r="AL40" s="397"/>
    </row>
    <row r="41" spans="7:38" x14ac:dyDescent="0.25">
      <c r="G41" s="67" t="s">
        <v>381</v>
      </c>
      <c r="H41" s="591">
        <f>INDEX('Detailing(OMRF&amp;SMRF)'!$AC$14:$AE$25,(ROW()-5)/$O$2,3)</f>
        <v>100</v>
      </c>
      <c r="I41" s="588">
        <f>INDEX('Detailing(OMRF&amp;SMRF)'!$AC$14:$AE$25,(ROW()-5)/$O$2,2)</f>
        <v>10</v>
      </c>
      <c r="J41" s="398"/>
      <c r="K41" s="398"/>
      <c r="P41" s="348"/>
      <c r="Q41" s="607">
        <f>INDEX('Detailing(OMRF&amp;SMRF)'!$AC$30:$AE$41,(ROW()-5)/$O$2,3)</f>
        <v>100</v>
      </c>
      <c r="R41" s="588">
        <f>INDEX('Detailing(OMRF&amp;SMRF)'!$AC$30:$AE$41,(ROW()-5)/$O$2,2)</f>
        <v>10</v>
      </c>
      <c r="S41" s="69"/>
      <c r="T41" s="69"/>
      <c r="U41" s="69"/>
      <c r="V41" s="69"/>
      <c r="W41" s="69"/>
      <c r="X41" s="398"/>
      <c r="Y41" s="348"/>
      <c r="Z41" s="591">
        <f t="shared" si="14"/>
        <v>100</v>
      </c>
      <c r="AA41" s="588">
        <f>R41</f>
        <v>10</v>
      </c>
      <c r="AB41" s="615"/>
      <c r="AC41" s="398"/>
      <c r="AD41" s="69"/>
      <c r="AE41" s="69"/>
      <c r="AF41" s="69"/>
      <c r="AG41" s="398"/>
      <c r="AH41" s="348"/>
      <c r="AI41" s="591">
        <f t="shared" si="15"/>
        <v>100</v>
      </c>
      <c r="AJ41" s="588">
        <f>I41</f>
        <v>10</v>
      </c>
      <c r="AK41" s="615"/>
      <c r="AL41" s="398"/>
    </row>
    <row r="42" spans="7:38" x14ac:dyDescent="0.25">
      <c r="G42" s="67" t="s">
        <v>382</v>
      </c>
      <c r="H42" s="605">
        <f>INDEX('Detailing(OMRF&amp;SMRF)'!A$14:$A$25,(ROW()-6)/$O$2,1)</f>
        <v>3900</v>
      </c>
      <c r="I42" s="592">
        <f>INDEX('Detailing(OMRF&amp;SMRF)'!$AC$14:$AE$25,(ROW()-6)/$O$2,1)</f>
        <v>4</v>
      </c>
      <c r="J42" s="399"/>
      <c r="K42" s="399"/>
      <c r="L42"/>
      <c r="M42"/>
      <c r="N42"/>
      <c r="O42"/>
      <c r="P42" s="348"/>
      <c r="Q42" s="608">
        <f>H42</f>
        <v>3900</v>
      </c>
      <c r="R42" s="592">
        <f>INDEX('Detailing(OMRF&amp;SMRF)'!$AC$30:$AE$41,(ROW()-6)/$O$2,1)</f>
        <v>4</v>
      </c>
      <c r="X42" s="399"/>
      <c r="Y42" s="348"/>
      <c r="Z42" s="605">
        <f t="shared" si="14"/>
        <v>3900</v>
      </c>
      <c r="AA42" s="592">
        <f>R42</f>
        <v>4</v>
      </c>
      <c r="AB42" s="592"/>
      <c r="AC42" s="399"/>
      <c r="AG42" s="399"/>
      <c r="AH42" s="348"/>
      <c r="AI42" s="605">
        <f t="shared" si="15"/>
        <v>3900</v>
      </c>
      <c r="AJ42" s="592">
        <f>I42</f>
        <v>4</v>
      </c>
      <c r="AK42" s="592"/>
      <c r="AL42" s="399"/>
    </row>
    <row r="43" spans="7:38" ht="48.75" customHeight="1" thickBot="1" x14ac:dyDescent="0.35">
      <c r="G43" s="904">
        <f>IFERROR(INDEX('Detailing(OMRF&amp;SMRF)'!L$15:$L$25,(ROW()-6)/$O$2,1), "-")</f>
        <v>0</v>
      </c>
      <c r="H43" s="73"/>
      <c r="I43" s="593">
        <f>INDEX('Detailing(OMRF&amp;SMRF)'!$C$49:$D$60,(ROW()+2)/$O$2,1)</f>
        <v>400</v>
      </c>
      <c r="J43" s="593">
        <f>INDEX('Detailing(OMRF&amp;SMRF)'!$C$49:$D$60,(ROW()+2)/$O$2,2)</f>
        <v>750</v>
      </c>
      <c r="K43" s="78">
        <f>PI()/4*(J44*K44^2+M44*N44^2)/I43/J43</f>
        <v>1.1911872144861299E-2</v>
      </c>
      <c r="L43" s="78">
        <f>PI()/4*(J45*K45^2+M45*N45^2)/I43/J43</f>
        <v>6.5449846949787362E-3</v>
      </c>
      <c r="M43" s="78">
        <f>K46*PI()*L46^2/4/N43/I43</f>
        <v>6.2831853071795866E-3</v>
      </c>
      <c r="N43" s="593">
        <f>INDEX('Detailing(OMRF&amp;SMRF)'!$AB$49:$AE$60,(ROW()+2)/$O$2,3)</f>
        <v>125</v>
      </c>
      <c r="O43" s="393">
        <f>O34</f>
        <v>8200</v>
      </c>
      <c r="P43" s="903">
        <f>IFERROR(INDEX('Detailing(OMRF&amp;SMRF)'!L$31:$L$41,(ROW()-6)/$O$2,1), "-")</f>
        <v>0</v>
      </c>
      <c r="Q43" s="606"/>
      <c r="R43" s="593">
        <f>INDEX('Detailing(OMRF&amp;SMRF)'!$C$65:$D$76,(ROW()+2)/$O$2,1)</f>
        <v>400</v>
      </c>
      <c r="S43" s="593">
        <f>INDEX('Detailing(OMRF&amp;SMRF)'!$C$65:$D$76,(ROW()+2)/$O$2,2)</f>
        <v>750</v>
      </c>
      <c r="T43" s="78">
        <f>PI()/4*(S44*T44^2+V44*W44^2)/R43/S43</f>
        <v>1.1157889907999747E-2</v>
      </c>
      <c r="U43" s="78">
        <f>PI()/4*(S45*T45^2+V45*W45^2)/R43/S43</f>
        <v>6.5449846949787362E-3</v>
      </c>
      <c r="V43" s="78">
        <f>T46*PI()*U46^2/4/W43/R43</f>
        <v>6.2831853071795866E-3</v>
      </c>
      <c r="W43" s="593">
        <f>INDEX('Detailing(OMRF&amp;SMRF)'!$AB$65:$AE$76,(ROW()+2)/$O$2,3)</f>
        <v>125</v>
      </c>
      <c r="X43" s="393">
        <f>X34</f>
        <v>8200</v>
      </c>
      <c r="Y43" s="903">
        <f>P43</f>
        <v>0</v>
      </c>
      <c r="Z43" s="606"/>
      <c r="AA43" s="593">
        <f t="shared" ref="AA43:AG43" si="16">I43</f>
        <v>400</v>
      </c>
      <c r="AB43" s="593">
        <f t="shared" si="16"/>
        <v>750</v>
      </c>
      <c r="AC43" s="612">
        <f t="shared" si="16"/>
        <v>1.1911872144861299E-2</v>
      </c>
      <c r="AD43" s="612">
        <f t="shared" si="16"/>
        <v>6.5449846949787362E-3</v>
      </c>
      <c r="AE43" s="612">
        <f t="shared" si="16"/>
        <v>6.2831853071795866E-3</v>
      </c>
      <c r="AF43" s="593">
        <f t="shared" si="16"/>
        <v>125</v>
      </c>
      <c r="AG43" s="393">
        <f t="shared" si="16"/>
        <v>8200</v>
      </c>
      <c r="AH43" s="903">
        <f>G43</f>
        <v>0</v>
      </c>
      <c r="AI43" s="113" t="str">
        <f>INDEX(RxnCheck!$G$11:$G$23, (ROW()+2)/9)</f>
        <v>Level 1 (4.5 m)</v>
      </c>
    </row>
    <row r="44" spans="7:38" ht="15.75" thickTop="1" x14ac:dyDescent="0.25">
      <c r="H44" s="72"/>
      <c r="I44" s="83" t="s">
        <v>373</v>
      </c>
      <c r="J44" s="595">
        <f>INDEX('Detailing(OMRF&amp;SMRF)'!$M$49:$P$60,(ROW()+1)/$O$2,1)</f>
        <v>6</v>
      </c>
      <c r="K44" s="596">
        <f>INDEX('Detailing(OMRF&amp;SMRF)'!$M$49:$P$60,(ROW()+1)/$O$2,2)</f>
        <v>25</v>
      </c>
      <c r="L44" s="394" t="str">
        <f>IF(ISBLANK(M44),"","+")</f>
        <v>+</v>
      </c>
      <c r="M44" s="595">
        <f>INDEX('Detailing(OMRF&amp;SMRF)'!$M$49:$P$60,(ROW()+1)/$O$2,3)</f>
        <v>2</v>
      </c>
      <c r="N44" s="597">
        <f>INDEX('Detailing(OMRF&amp;SMRF)'!$M$49:$P$60,(ROW()+1)/$O$2,4)</f>
        <v>20</v>
      </c>
      <c r="O44" s="70"/>
      <c r="P44" s="68"/>
      <c r="Q44" s="600"/>
      <c r="R44" s="83" t="s">
        <v>373</v>
      </c>
      <c r="S44" s="595">
        <f>INDEX('Detailing(OMRF&amp;SMRF)'!$M$65:$P$76,(ROW()+1)/$O$2,1)</f>
        <v>6</v>
      </c>
      <c r="T44" s="596">
        <f>INDEX('Detailing(OMRF&amp;SMRF)'!$M$65:$P$76,(ROW()+1)/$O$2,2)</f>
        <v>25</v>
      </c>
      <c r="U44" s="394" t="str">
        <f>IF(ISBLANK(V44),"","+")</f>
        <v>+</v>
      </c>
      <c r="V44" s="595">
        <f>INDEX('Detailing(OMRF&amp;SMRF)'!$M$65:$P$76,(ROW()+1)/$O$2,3)</f>
        <v>2</v>
      </c>
      <c r="W44" s="597">
        <f>INDEX('Detailing(OMRF&amp;SMRF)'!$M$65:$P$76,(ROW()+1)/$O$2,4)</f>
        <v>16</v>
      </c>
      <c r="X44" s="621"/>
      <c r="Y44" s="68"/>
      <c r="Z44" s="72"/>
      <c r="AA44" s="609" t="s">
        <v>373</v>
      </c>
      <c r="AB44" s="595">
        <f t="shared" ref="AB44:AF45" si="17">J44</f>
        <v>6</v>
      </c>
      <c r="AC44" s="596">
        <f t="shared" si="17"/>
        <v>25</v>
      </c>
      <c r="AD44" s="613" t="str">
        <f t="shared" si="17"/>
        <v>+</v>
      </c>
      <c r="AE44" s="595">
        <f t="shared" si="17"/>
        <v>2</v>
      </c>
      <c r="AF44" s="597">
        <f t="shared" si="17"/>
        <v>20</v>
      </c>
      <c r="AG44" s="621"/>
      <c r="AH44" s="68"/>
      <c r="AI44" s="73"/>
    </row>
    <row r="45" spans="7:38" x14ac:dyDescent="0.25">
      <c r="G45" s="4" t="s">
        <v>374</v>
      </c>
      <c r="H45" s="586">
        <f>INDEX('Detailing(OMRF&amp;SMRF)'!$C$14:$D$25,ROW()/$O$2,1)</f>
        <v>450</v>
      </c>
      <c r="I45" s="85" t="s">
        <v>375</v>
      </c>
      <c r="J45" s="592">
        <f>INDEX('Detailing(OMRF&amp;SMRF)'!$T$49:$W$60,(ROW())/$O$2,1)</f>
        <v>2</v>
      </c>
      <c r="K45" s="598">
        <f>INDEX('Detailing(OMRF&amp;SMRF)'!$T$49:$W$60,(ROW())/$O$2,2)</f>
        <v>25</v>
      </c>
      <c r="L45" s="395" t="str">
        <f>IF(OR(ISBLANK(M45),M45=0),"","+")</f>
        <v>+</v>
      </c>
      <c r="M45" s="592">
        <f>INDEX('Detailing(OMRF&amp;SMRF)'!$T$49:$W$60,(ROW())/$O$2,3)</f>
        <v>2</v>
      </c>
      <c r="N45" s="599">
        <f>INDEX('Detailing(OMRF&amp;SMRF)'!$T$49:$W$60,(ROW())/$O$2,4)</f>
        <v>25</v>
      </c>
      <c r="P45" s="348"/>
      <c r="Q45" s="601">
        <f>INDEX('Detailing(OMRF&amp;SMRF)'!$C$30:$D$41,ROW()/$O$2,1)</f>
        <v>600</v>
      </c>
      <c r="R45" s="85" t="s">
        <v>375</v>
      </c>
      <c r="S45" s="592">
        <f>INDEX('Detailing(OMRF&amp;SMRF)'!$T$65:$W$76,(ROW())/$O$2,1)</f>
        <v>2</v>
      </c>
      <c r="T45" s="598">
        <f>INDEX('Detailing(OMRF&amp;SMRF)'!$T$65:$W$76,(ROW())/$O$2,2)</f>
        <v>25</v>
      </c>
      <c r="U45" s="395" t="str">
        <f>IF(OR(ISBLANK(V45),V45=0),"","+")</f>
        <v>+</v>
      </c>
      <c r="V45" s="592">
        <f>INDEX('Detailing(OMRF&amp;SMRF)'!$T$65:$W$76,(ROW())/$O$2,3)</f>
        <v>2</v>
      </c>
      <c r="W45" s="599">
        <f>INDEX('Detailing(OMRF&amp;SMRF)'!$T$65:$W$76,(ROW())/$O$2,4)</f>
        <v>25</v>
      </c>
      <c r="X45" s="398"/>
      <c r="Y45" s="348"/>
      <c r="Z45" s="586">
        <f t="shared" ref="Z45:Z51" si="18">Q45</f>
        <v>600</v>
      </c>
      <c r="AA45" s="610" t="s">
        <v>375</v>
      </c>
      <c r="AB45" s="592">
        <f t="shared" si="17"/>
        <v>2</v>
      </c>
      <c r="AC45" s="598">
        <f t="shared" si="17"/>
        <v>25</v>
      </c>
      <c r="AD45" s="614" t="str">
        <f t="shared" si="17"/>
        <v>+</v>
      </c>
      <c r="AE45" s="592">
        <f t="shared" si="17"/>
        <v>2</v>
      </c>
      <c r="AF45" s="599">
        <f t="shared" si="17"/>
        <v>25</v>
      </c>
      <c r="AG45" s="398"/>
      <c r="AH45" s="348"/>
      <c r="AI45" s="586">
        <f t="shared" ref="AI45:AI51" si="19">H45</f>
        <v>450</v>
      </c>
    </row>
    <row r="46" spans="7:38" x14ac:dyDescent="0.25">
      <c r="G46" s="4" t="s">
        <v>376</v>
      </c>
      <c r="H46" s="586">
        <f>INDEX('Detailing(OMRF&amp;SMRF)'!$C$14:$D$25,(ROW()-1)/$O$2,2)</f>
        <v>600</v>
      </c>
      <c r="I46" s="87" t="s">
        <v>377</v>
      </c>
      <c r="J46" s="88"/>
      <c r="K46" s="594">
        <f>INDEX('Detailing(OMRF&amp;SMRF)'!$AB$49:$AE$60,(ROW()-1)/$O$2,1)</f>
        <v>4</v>
      </c>
      <c r="L46" s="590">
        <f>INDEX('Detailing(OMRF&amp;SMRF)'!$AB$49:$AE$60,(ROW()-1)/$O$2,2)</f>
        <v>10</v>
      </c>
      <c r="M46" s="88"/>
      <c r="N46" s="91"/>
      <c r="P46" s="348"/>
      <c r="Q46" s="601">
        <f>INDEX('Detailing(OMRF&amp;SMRF)'!$C$30:$D$41,(ROW()-1)/$O$2,2)</f>
        <v>600</v>
      </c>
      <c r="R46" s="87" t="s">
        <v>377</v>
      </c>
      <c r="S46" s="88"/>
      <c r="T46" s="594">
        <f>INDEX('Detailing(OMRF&amp;SMRF)'!$AB$65:$AE$76,(ROW()-1)/$O$2,1)</f>
        <v>4</v>
      </c>
      <c r="U46" s="590">
        <f>INDEX('Detailing(OMRF&amp;SMRF)'!$AB$65:$AE$76,(ROW()-1)/$O$2,2)</f>
        <v>10</v>
      </c>
      <c r="V46" s="88"/>
      <c r="W46" s="91"/>
      <c r="X46" s="398"/>
      <c r="Y46" s="348"/>
      <c r="Z46" s="586">
        <f t="shared" si="18"/>
        <v>600</v>
      </c>
      <c r="AA46" s="611" t="s">
        <v>377</v>
      </c>
      <c r="AB46" s="589"/>
      <c r="AC46" s="594">
        <f>K46</f>
        <v>4</v>
      </c>
      <c r="AD46" s="590">
        <f>L46</f>
        <v>10</v>
      </c>
      <c r="AE46" s="589"/>
      <c r="AF46" s="616"/>
      <c r="AG46" s="398"/>
      <c r="AH46" s="348"/>
      <c r="AI46" s="586">
        <f t="shared" si="19"/>
        <v>600</v>
      </c>
    </row>
    <row r="47" spans="7:38" ht="18" x14ac:dyDescent="0.35">
      <c r="G47" s="67" t="s">
        <v>378</v>
      </c>
      <c r="H47" s="97">
        <f>PI()/4*(I48*J48^2+I49*J49^2)/H45/H46</f>
        <v>3.2724923474893683E-2</v>
      </c>
      <c r="J47"/>
      <c r="K47"/>
      <c r="L47"/>
      <c r="M47"/>
      <c r="N47"/>
      <c r="P47" s="348"/>
      <c r="Q47" s="602">
        <f>PI()/4*(R48*S48^2+R49*S49^2)/Q45/Q46</f>
        <v>3.4989488179356321E-2</v>
      </c>
      <c r="R47" s="69"/>
      <c r="X47" s="398"/>
      <c r="Y47" s="348"/>
      <c r="Z47" s="617">
        <f t="shared" si="18"/>
        <v>3.4989488179356321E-2</v>
      </c>
      <c r="AA47" s="615"/>
      <c r="AB47" s="592"/>
      <c r="AG47" s="398"/>
      <c r="AH47" s="348"/>
      <c r="AI47" s="617">
        <f t="shared" si="19"/>
        <v>3.2724923474893683E-2</v>
      </c>
      <c r="AJ47" s="69"/>
    </row>
    <row r="48" spans="7:38" x14ac:dyDescent="0.25">
      <c r="G48" s="67" t="s">
        <v>379</v>
      </c>
      <c r="H48" s="109">
        <f>PI()/4*(L48*J48^2+L49*J49^2)/H45/H46</f>
        <v>9.0902565208037991E-3</v>
      </c>
      <c r="I48" s="587">
        <f>INDEX('Detailing(OMRF&amp;SMRF)'!$O$14:$R$25,(ROW()-3)/$O$2,1)</f>
        <v>12</v>
      </c>
      <c r="J48" s="588">
        <f>INDEX('Detailing(OMRF&amp;SMRF)'!$O$14:$R$25,(ROW()-3)/$O$2,2)</f>
        <v>25</v>
      </c>
      <c r="K48" s="396" t="str">
        <f>IF(OR(ISBLANK(I49),I49=0),"","+")</f>
        <v>+</v>
      </c>
      <c r="L48" s="69">
        <f>IF(AND(J48&gt;=J49,I48 =4), 2, IF(AND(J49&gt;=J48, I49=4), INDEX('Detailing(OMRF&amp;SMRF)'!$S$14:$S$25,((ROW()-3)/9))-2, IF(AND(J48&gt;=J49, I48&gt;=2*INDEX('Detailing(OMRF&amp;SMRF)'!$S$14:$S$25,((ROW()-3)/9))), INDEX('Detailing(OMRF&amp;SMRF)'!$S$14:$S$25,((ROW()-3)/9)), IF(AND(J48&lt;=J49, I49&gt;=2*INDEX('Detailing(OMRF&amp;SMRF)'!$S$14:$S$25,((ROW()-3)/9))), 0, IF(AND(J48&gt;=J49, I48&lt;2*INDEX('Detailing(OMRF&amp;SMRF)'!$S$14:$S$25,((ROW()-3)/9))), IF(I48/2 = 1, 0, IF(AND(ISODD(I48/2), ISEVEN(INDEX('Detailing(OMRF&amp;SMRF)'!$S$14:$S$25,((ROW()-3)/9)))), I48/2 - 1, I48/2)), IF(AND(J48&lt;J49, I49&lt;2*INDEX('Detailing(OMRF&amp;SMRF)'!$S$14:$S$25,((ROW()-3)/9))), IF(I49/2 = 1, INDEX('Detailing(OMRF&amp;SMRF)'!$S$14:$S$25,((ROW()-3)/9)), IF(AND(ISODD(I49/2), ISEVEN(INDEX('Detailing(OMRF&amp;SMRF)'!$S$14:$S$25,((ROW()-3)/9)))), INDEX('Detailing(OMRF&amp;SMRF)'!$S$14:$S$25,((ROW()-3)/9)) - I48/2 + 1, INDEX('Detailing(OMRF&amp;SMRF)'!$S$14:$S$25,((ROW()-3)/9)) - I48/2))))))))</f>
        <v>5</v>
      </c>
      <c r="P48" s="348"/>
      <c r="Q48" s="109">
        <f>PI()/4*(U48*S48^2+U49*S49^2)/Q45/Q46</f>
        <v>1.0981393487391822E-2</v>
      </c>
      <c r="R48" s="587">
        <f>INDEX('Detailing(OMRF&amp;SMRF)'!$O$30:$R$41,(ROW()-3)/$O$2,1)</f>
        <v>12</v>
      </c>
      <c r="S48" s="588">
        <f>INDEX('Detailing(OMRF&amp;SMRF)'!$O$30:$R$41,(ROW()-3)/$O$2,2)</f>
        <v>32</v>
      </c>
      <c r="T48" s="396" t="str">
        <f>IF(OR(ISBLANK(R49),R49=0),"","+")</f>
        <v>+</v>
      </c>
      <c r="U48" s="69">
        <f>IF(S48&gt;=S49,R48/4+1)</f>
        <v>4</v>
      </c>
      <c r="V48" s="69"/>
      <c r="W48" s="69"/>
      <c r="X48" s="398"/>
      <c r="Y48" s="348"/>
      <c r="Z48" s="603">
        <f t="shared" si="18"/>
        <v>1.0981393487391822E-2</v>
      </c>
      <c r="AA48" s="587">
        <f>R48</f>
        <v>12</v>
      </c>
      <c r="AB48" s="588">
        <f>S48</f>
        <v>32</v>
      </c>
      <c r="AC48" s="396" t="str">
        <f>IF(OR(ISBLANK(AA49),AA49=0),"","+")</f>
        <v>+</v>
      </c>
      <c r="AD48" s="69"/>
      <c r="AE48" s="69"/>
      <c r="AF48" s="69"/>
      <c r="AG48" s="398"/>
      <c r="AH48" s="348"/>
      <c r="AI48" s="603">
        <f t="shared" si="19"/>
        <v>9.0902565208037991E-3</v>
      </c>
      <c r="AJ48" s="587">
        <f>I48</f>
        <v>12</v>
      </c>
      <c r="AK48" s="588">
        <f>J48</f>
        <v>25</v>
      </c>
      <c r="AL48" s="396" t="str">
        <f>IF(OR(ISBLANK(AJ49),AJ49=0),"","+")</f>
        <v>+</v>
      </c>
    </row>
    <row r="49" spans="7:38" ht="18.75" x14ac:dyDescent="0.35">
      <c r="G49" s="67" t="s">
        <v>380</v>
      </c>
      <c r="H49" s="347">
        <f>I51*PI()*I50^2/4/H50/H45</f>
        <v>6.9813170079773184E-3</v>
      </c>
      <c r="I49" s="589">
        <f>INDEX('Detailing(OMRF&amp;SMRF)'!$O$14:$R$25,(ROW()-4)/$O$2,3)</f>
        <v>6</v>
      </c>
      <c r="J49" s="590">
        <f>INDEX('Detailing(OMRF&amp;SMRF)'!$O$14:$R$25,(ROW()-4)/$O$2,4)</f>
        <v>25</v>
      </c>
      <c r="K49" s="397"/>
      <c r="L49" s="69">
        <f>INDEX('Detailing(OMRF&amp;SMRF)'!$S$14:$S$25,(ROW()-4)/9) - L48</f>
        <v>0</v>
      </c>
      <c r="P49" s="348"/>
      <c r="Q49" s="604">
        <f>R51*PI()*R50^2/4/Q50/Q45</f>
        <v>5.2359877559829881E-3</v>
      </c>
      <c r="R49" s="589">
        <f>INDEX('Detailing(OMRF&amp;SMRF)'!$O$30:$R$41,(ROW()-4)/$O$2,3)</f>
        <v>6</v>
      </c>
      <c r="S49" s="590">
        <f>INDEX('Detailing(OMRF&amp;SMRF)'!$O$30:$R$41,(ROW()-4)/$O$2,4)</f>
        <v>25</v>
      </c>
      <c r="T49" s="96"/>
      <c r="U49" s="69">
        <f>(R49+R48)/4+1-U48</f>
        <v>1.5</v>
      </c>
      <c r="V49" s="69"/>
      <c r="W49" s="69"/>
      <c r="X49" s="398"/>
      <c r="Y49" s="348"/>
      <c r="Z49" s="618">
        <f t="shared" si="18"/>
        <v>5.2359877559829881E-3</v>
      </c>
      <c r="AA49" s="589">
        <f>R49</f>
        <v>6</v>
      </c>
      <c r="AB49" s="590">
        <f>S49</f>
        <v>25</v>
      </c>
      <c r="AC49" s="397"/>
      <c r="AD49" s="69"/>
      <c r="AE49" s="69"/>
      <c r="AF49" s="69"/>
      <c r="AG49" s="398"/>
      <c r="AH49" s="348"/>
      <c r="AI49" s="618">
        <f t="shared" si="19"/>
        <v>6.9813170079773184E-3</v>
      </c>
      <c r="AJ49" s="589">
        <f>I49</f>
        <v>6</v>
      </c>
      <c r="AK49" s="590">
        <f>J49</f>
        <v>25</v>
      </c>
      <c r="AL49" s="397"/>
    </row>
    <row r="50" spans="7:38" x14ac:dyDescent="0.25">
      <c r="G50" s="67" t="s">
        <v>381</v>
      </c>
      <c r="H50" s="591">
        <f>INDEX('Detailing(OMRF&amp;SMRF)'!$AC$14:$AE$25,(ROW()-5)/$O$2,3)</f>
        <v>100</v>
      </c>
      <c r="I50" s="588">
        <f>INDEX('Detailing(OMRF&amp;SMRF)'!$AC$14:$AE$25,(ROW()-5)/$O$2,2)</f>
        <v>10</v>
      </c>
      <c r="J50" s="398"/>
      <c r="K50" s="398"/>
      <c r="P50" s="348"/>
      <c r="Q50" s="607">
        <f>INDEX('Detailing(OMRF&amp;SMRF)'!$AC$30:$AE$41,(ROW()-5)/$O$2,3)</f>
        <v>100</v>
      </c>
      <c r="R50" s="588">
        <f>INDEX('Detailing(OMRF&amp;SMRF)'!$AC$30:$AE$41,(ROW()-5)/$O$2,2)</f>
        <v>10</v>
      </c>
      <c r="S50" s="69"/>
      <c r="T50" s="69"/>
      <c r="U50" s="69"/>
      <c r="V50" s="69"/>
      <c r="W50" s="69"/>
      <c r="X50" s="398"/>
      <c r="Y50" s="348"/>
      <c r="Z50" s="591">
        <f t="shared" si="18"/>
        <v>100</v>
      </c>
      <c r="AA50" s="588">
        <f>R50</f>
        <v>10</v>
      </c>
      <c r="AB50" s="615"/>
      <c r="AC50" s="398"/>
      <c r="AD50" s="69"/>
      <c r="AE50" s="69"/>
      <c r="AF50" s="69"/>
      <c r="AG50" s="398"/>
      <c r="AH50" s="348"/>
      <c r="AI50" s="591">
        <f t="shared" si="19"/>
        <v>100</v>
      </c>
      <c r="AJ50" s="588">
        <f>I50</f>
        <v>10</v>
      </c>
      <c r="AK50" s="615"/>
      <c r="AL50" s="398"/>
    </row>
    <row r="51" spans="7:38" x14ac:dyDescent="0.25">
      <c r="G51" s="67" t="s">
        <v>382</v>
      </c>
      <c r="H51" s="605">
        <f>INDEX('Detailing(OMRF&amp;SMRF)'!A$14:$A$25,(ROW()-6)/$O$2,1)</f>
        <v>4500</v>
      </c>
      <c r="I51" s="592">
        <f>INDEX('Detailing(OMRF&amp;SMRF)'!$AC$14:$AE$25,(ROW()-6)/$O$2,1)</f>
        <v>4</v>
      </c>
      <c r="J51" s="399"/>
      <c r="K51" s="399"/>
      <c r="L51"/>
      <c r="M51"/>
      <c r="N51"/>
      <c r="O51"/>
      <c r="P51" s="348"/>
      <c r="Q51" s="608">
        <f>H51</f>
        <v>4500</v>
      </c>
      <c r="R51" s="592">
        <f>INDEX('Detailing(OMRF&amp;SMRF)'!$AC$30:$AE$41,(ROW()-6)/$O$2,1)</f>
        <v>4</v>
      </c>
      <c r="X51" s="399"/>
      <c r="Y51" s="348"/>
      <c r="Z51" s="605">
        <f t="shared" si="18"/>
        <v>4500</v>
      </c>
      <c r="AA51" s="592">
        <f>R51</f>
        <v>4</v>
      </c>
      <c r="AB51" s="592"/>
      <c r="AC51" s="399"/>
      <c r="AG51" s="399"/>
      <c r="AH51" s="348"/>
      <c r="AI51" s="605">
        <f t="shared" si="19"/>
        <v>4500</v>
      </c>
      <c r="AJ51" s="592">
        <f>I51</f>
        <v>4</v>
      </c>
      <c r="AK51" s="592"/>
      <c r="AL51" s="399"/>
    </row>
    <row r="52" spans="7:38" ht="48.75" customHeight="1" thickBot="1" x14ac:dyDescent="0.35">
      <c r="G52" s="962"/>
      <c r="H52" s="606"/>
      <c r="I52" s="963"/>
      <c r="J52" s="963"/>
      <c r="K52" s="964"/>
      <c r="L52" s="964"/>
      <c r="M52" s="964"/>
      <c r="N52" s="963"/>
      <c r="O52" s="965"/>
      <c r="P52" s="903"/>
      <c r="Q52" s="606"/>
      <c r="R52" s="963"/>
      <c r="S52" s="963"/>
      <c r="T52" s="964"/>
      <c r="U52" s="964"/>
      <c r="V52" s="964"/>
      <c r="W52" s="963"/>
      <c r="X52" s="965"/>
      <c r="Y52" s="903"/>
      <c r="Z52" s="606"/>
      <c r="AA52" s="963"/>
      <c r="AB52" s="963"/>
      <c r="AC52" s="966"/>
      <c r="AD52" s="966"/>
      <c r="AE52" s="966"/>
      <c r="AF52" s="963"/>
      <c r="AG52" s="965"/>
      <c r="AH52" s="903"/>
      <c r="AI52" s="945" t="str">
        <f>INDEX(RxnCheck!$G$11:$G$23, (ROW()+2)/9)</f>
        <v>Level 0 (0.0 m)</v>
      </c>
    </row>
    <row r="53" spans="7:38" ht="15.75" thickTop="1" x14ac:dyDescent="0.25">
      <c r="H53"/>
      <c r="I53"/>
      <c r="J53" t="s">
        <v>383</v>
      </c>
      <c r="K53"/>
      <c r="L53"/>
      <c r="M53"/>
      <c r="N53"/>
      <c r="O53"/>
      <c r="P53" s="1">
        <v>750</v>
      </c>
    </row>
    <row r="54" spans="7:38" x14ac:dyDescent="0.25">
      <c r="H54"/>
      <c r="I54"/>
      <c r="J54"/>
      <c r="K54"/>
      <c r="L54"/>
      <c r="M54"/>
      <c r="N54"/>
      <c r="O54"/>
    </row>
    <row r="55" spans="7:38" x14ac:dyDescent="0.25">
      <c r="H55"/>
      <c r="I55"/>
      <c r="J55"/>
      <c r="K55"/>
      <c r="L55"/>
      <c r="M55"/>
      <c r="N55"/>
      <c r="O55"/>
    </row>
    <row r="56" spans="7:38" x14ac:dyDescent="0.25">
      <c r="H56"/>
      <c r="I56"/>
      <c r="J56"/>
      <c r="K56"/>
      <c r="L56"/>
      <c r="M56"/>
      <c r="N56"/>
      <c r="O56"/>
    </row>
    <row r="57" spans="7:38" x14ac:dyDescent="0.25">
      <c r="H57"/>
      <c r="I57"/>
      <c r="J57"/>
      <c r="K57"/>
      <c r="L57"/>
      <c r="M57"/>
      <c r="N57"/>
      <c r="O57"/>
    </row>
    <row r="58" spans="7:38" x14ac:dyDescent="0.25">
      <c r="H58"/>
      <c r="I58"/>
      <c r="J58"/>
      <c r="K58"/>
      <c r="L58"/>
      <c r="M58"/>
      <c r="N58"/>
      <c r="O58"/>
    </row>
    <row r="59" spans="7:38" x14ac:dyDescent="0.25">
      <c r="H59"/>
      <c r="I59"/>
      <c r="J59"/>
      <c r="K59"/>
      <c r="L59"/>
      <c r="M59"/>
      <c r="N59"/>
      <c r="O59"/>
    </row>
    <row r="60" spans="7:38" x14ac:dyDescent="0.25">
      <c r="H60"/>
      <c r="I60"/>
      <c r="J60"/>
      <c r="K60"/>
      <c r="L60"/>
      <c r="M60"/>
      <c r="N60"/>
      <c r="O60"/>
    </row>
    <row r="61" spans="7:38" ht="48.75" customHeight="1" x14ac:dyDescent="0.25">
      <c r="H61"/>
      <c r="I61"/>
      <c r="J61"/>
      <c r="K61"/>
      <c r="L61"/>
      <c r="M61"/>
      <c r="N61"/>
      <c r="O61"/>
    </row>
    <row r="62" spans="7:38" x14ac:dyDescent="0.25">
      <c r="H62"/>
      <c r="I62"/>
      <c r="J62"/>
      <c r="K62"/>
      <c r="L62"/>
      <c r="M62"/>
      <c r="N62"/>
      <c r="O62"/>
    </row>
    <row r="63" spans="7:38" x14ac:dyDescent="0.25">
      <c r="H63"/>
      <c r="I63"/>
      <c r="J63"/>
      <c r="K63"/>
      <c r="L63"/>
      <c r="M63"/>
      <c r="N63"/>
      <c r="O63"/>
    </row>
    <row r="64" spans="7:38" x14ac:dyDescent="0.25">
      <c r="H64"/>
      <c r="I64"/>
      <c r="J64"/>
      <c r="K64"/>
      <c r="L64"/>
      <c r="M64"/>
      <c r="N64"/>
      <c r="O64"/>
    </row>
    <row r="65" customFormat="1" x14ac:dyDescent="0.25"/>
    <row r="66" customFormat="1" x14ac:dyDescent="0.25"/>
    <row r="67" customFormat="1" x14ac:dyDescent="0.25"/>
    <row r="68" customFormat="1" x14ac:dyDescent="0.25"/>
    <row r="69" customFormat="1" x14ac:dyDescent="0.25"/>
    <row r="70" customFormat="1" ht="48.75" customHeigh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ht="48.75" customHeigh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ht="48.75" customHeigh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ht="48.75" customHeigh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ht="48.75" customHeigh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ht="48.75" customHeigh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ht="48.75" customHeigh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ht="48.75" customHeigh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ht="48.75" customHeigh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ht="48.75" customHeigh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ht="48.75" customHeigh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ht="48.75" customHeigh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ht="48.75" customHeigh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ht="48.75" customHeigh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ht="48.75" customHeigh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ht="48.75" customHeigh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ht="48.75" customHeigh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ht="48.75" customHeigh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ht="48.75" customHeigh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ht="48.75" customHeigh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ht="48.75" customHeigh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ht="48.75" customHeigh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ht="48.75" customHeigh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ht="48.75" customHeigh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ht="48.75" customHeigh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ht="48.75" customHeigh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ht="48.75" customHeigh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ht="48.75" customHeigh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ht="48.75" customHeigh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ht="48.75" customHeigh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ht="48.75" customHeigh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ht="48.75" customHeigh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ht="48.75" customHeigh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ht="48.75" customHeigh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ht="48.75" customHeigh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ht="48.75" customHeigh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ht="48.75" customHeigh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ht="48.75" customHeigh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ht="48.75" customHeigh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ht="48.75" customHeigh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ht="48.75" customHeigh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ht="48.75" customHeigh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ht="48.75" customHeigh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ht="48.75" customHeigh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ht="48.75" customHeigh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ht="48.75" customHeigh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ht="48.75" customHeigh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ht="48.75" customHeigh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ht="48.75" customHeigh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ht="48.75" customHeigh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ht="48.75" customHeigh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ht="48.75" customHeigh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ht="48.75" customHeigh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ht="48.75" customHeigh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ht="48.75" customHeigh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ht="48.75" customHeigh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ht="48.75" customHeigh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ht="48.75" customHeigh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ht="48.75" customHeigh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ht="48.75" customHeigh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ht="48.75" customHeigh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ht="48.75" customHeigh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ht="48.75" customHeigh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ht="48.75" customHeigh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ht="48.75" customHeigh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ht="48.75" customHeigh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ht="48.75" customHeigh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ht="48.75" customHeigh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ht="48.75" customHeigh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ht="48.75" customHeigh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ht="48.75" customHeigh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ht="48.75" customHeigh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ht="48.75" customHeigh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ht="48.75" customHeigh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sheetData>
  <printOptions horizontalCentered="1" verticalCentered="1"/>
  <pageMargins left="0" right="0" top="0.38" bottom="0.27" header="0.3" footer="0.3"/>
  <pageSetup scale="54" orientation="landscape" r:id="rId1"/>
  <drawing r:id="rId2"/>
  <legacyDrawing r:id="rId3"/>
  <controls>
    <mc:AlternateContent xmlns:mc="http://schemas.openxmlformats.org/markup-compatibility/2006">
      <mc:Choice Requires="x14">
        <control shapeId="9223" r:id="rId4" name="CheckBox1">
          <controlPr defaultSize="0" autoLine="0" r:id="rId5">
            <anchor moveWithCells="1">
              <from>
                <xdr:col>0</xdr:col>
                <xdr:colOff>133350</xdr:colOff>
                <xdr:row>4</xdr:row>
                <xdr:rowOff>0</xdr:rowOff>
              </from>
              <to>
                <xdr:col>2</xdr:col>
                <xdr:colOff>533400</xdr:colOff>
                <xdr:row>5</xdr:row>
                <xdr:rowOff>238125</xdr:rowOff>
              </to>
            </anchor>
          </controlPr>
        </control>
      </mc:Choice>
      <mc:Fallback>
        <control shapeId="9223" r:id="rId4" name="CheckBox1"/>
      </mc:Fallback>
    </mc:AlternateContent>
    <mc:AlternateContent xmlns:mc="http://schemas.openxmlformats.org/markup-compatibility/2006">
      <mc:Choice Requires="x14">
        <control shapeId="9217" r:id="rId6" name="Button 1">
          <controlPr defaultSize="0" print="0" autoFill="0" autoPict="0" macro="[0]!Sheet7.ClearAll">
            <anchor moveWithCells="1" sizeWithCells="1">
              <from>
                <xdr:col>3</xdr:col>
                <xdr:colOff>533400</xdr:colOff>
                <xdr:row>1</xdr:row>
                <xdr:rowOff>38100</xdr:rowOff>
              </from>
              <to>
                <xdr:col>6</xdr:col>
                <xdr:colOff>200025</xdr:colOff>
                <xdr:row>4</xdr:row>
                <xdr:rowOff>19050</xdr:rowOff>
              </to>
            </anchor>
          </controlPr>
        </control>
      </mc:Choice>
    </mc:AlternateContent>
    <mc:AlternateContent xmlns:mc="http://schemas.openxmlformats.org/markup-compatibility/2006">
      <mc:Choice Requires="x14">
        <control shapeId="9218" r:id="rId7" name="Button 2">
          <controlPr defaultSize="0" print="0" autoFill="0" autoPict="0" macro="[0]!Sheet7.PopulateTheSheet">
            <anchor moveWithCells="1" sizeWithCells="1">
              <from>
                <xdr:col>6</xdr:col>
                <xdr:colOff>628650</xdr:colOff>
                <xdr:row>1</xdr:row>
                <xdr:rowOff>0</xdr:rowOff>
              </from>
              <to>
                <xdr:col>7</xdr:col>
                <xdr:colOff>828675</xdr:colOff>
                <xdr:row>3</xdr:row>
                <xdr:rowOff>19050</xdr:rowOff>
              </to>
            </anchor>
          </controlPr>
        </control>
      </mc:Choice>
    </mc:AlternateContent>
    <mc:AlternateContent xmlns:mc="http://schemas.openxmlformats.org/markup-compatibility/2006">
      <mc:Choice Requires="x14">
        <control shapeId="9219" r:id="rId8" name="Button 3">
          <controlPr defaultSize="0" print="0" autoFill="0" autoPict="0" macro="[0]!Sheet7.RepeatGrid1">
            <anchor moveWithCells="1" sizeWithCells="1">
              <from>
                <xdr:col>3</xdr:col>
                <xdr:colOff>552450</xdr:colOff>
                <xdr:row>5</xdr:row>
                <xdr:rowOff>438150</xdr:rowOff>
              </from>
              <to>
                <xdr:col>5</xdr:col>
                <xdr:colOff>495300</xdr:colOff>
                <xdr:row>5</xdr:row>
                <xdr:rowOff>847725</xdr:rowOff>
              </to>
            </anchor>
          </controlPr>
        </control>
      </mc:Choice>
    </mc:AlternateContent>
    <mc:AlternateContent xmlns:mc="http://schemas.openxmlformats.org/markup-compatibility/2006">
      <mc:Choice Requires="x14">
        <control shapeId="9220" r:id="rId9" name="Button 4">
          <controlPr defaultSize="0" print="0" disabled="1" autoFill="0" autoPict="0" macro="[0]!Sheet7.trial">
            <anchor moveWithCells="1" sizeWithCells="1">
              <from>
                <xdr:col>0</xdr:col>
                <xdr:colOff>495300</xdr:colOff>
                <xdr:row>5</xdr:row>
                <xdr:rowOff>504825</xdr:rowOff>
              </from>
              <to>
                <xdr:col>2</xdr:col>
                <xdr:colOff>371475</xdr:colOff>
                <xdr:row>5</xdr:row>
                <xdr:rowOff>771525</xdr:rowOff>
              </to>
            </anchor>
          </controlPr>
        </control>
      </mc:Choice>
    </mc:AlternateContent>
    <mc:AlternateContent xmlns:mc="http://schemas.openxmlformats.org/markup-compatibility/2006">
      <mc:Choice Requires="x14">
        <control shapeId="9221" r:id="rId10" name="Button 5">
          <controlPr defaultSize="0" print="0" autoFill="0" autoPict="0" macro="[0]!Sheet7.ClearAllButGridOne">
            <anchor moveWithCells="1" sizeWithCells="1">
              <from>
                <xdr:col>16</xdr:col>
                <xdr:colOff>847725</xdr:colOff>
                <xdr:row>1</xdr:row>
                <xdr:rowOff>0</xdr:rowOff>
              </from>
              <to>
                <xdr:col>22</xdr:col>
                <xdr:colOff>209550</xdr:colOff>
                <xdr:row>3</xdr:row>
                <xdr:rowOff>123825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M135"/>
  <sheetViews>
    <sheetView zoomScale="85" zoomScaleNormal="85" workbookViewId="0">
      <selection activeCell="D11" sqref="D11"/>
    </sheetView>
  </sheetViews>
  <sheetFormatPr defaultRowHeight="15" x14ac:dyDescent="0.25"/>
  <cols>
    <col min="1" max="1" width="10.140625" bestFit="1" customWidth="1"/>
    <col min="2" max="2" width="14.140625" customWidth="1"/>
    <col min="3" max="3" width="12.28515625" customWidth="1"/>
    <col min="4" max="4" width="9.42578125" customWidth="1"/>
    <col min="5" max="5" width="12" bestFit="1" customWidth="1"/>
    <col min="6" max="6" width="11.7109375" customWidth="1"/>
    <col min="7" max="8" width="10.85546875" bestFit="1" customWidth="1"/>
    <col min="9" max="9" width="10.85546875" customWidth="1"/>
    <col min="10" max="10" width="12.85546875" customWidth="1"/>
    <col min="11" max="11" width="12" bestFit="1" customWidth="1"/>
    <col min="12" max="12" width="13" customWidth="1"/>
    <col min="13" max="13" width="12" bestFit="1" customWidth="1"/>
    <col min="14" max="14" width="11.7109375" customWidth="1"/>
    <col min="15" max="15" width="10.85546875" bestFit="1" customWidth="1"/>
    <col min="16" max="16" width="13.140625" customWidth="1"/>
    <col min="17" max="17" width="10.85546875" customWidth="1"/>
    <col min="18" max="18" width="10.85546875" bestFit="1" customWidth="1"/>
    <col min="19" max="19" width="12.7109375" customWidth="1"/>
    <col min="28" max="28" width="12.85546875" bestFit="1" customWidth="1"/>
    <col min="31" max="31" width="13.140625" customWidth="1"/>
    <col min="35" max="35" width="9.28515625" customWidth="1"/>
    <col min="37" max="37" width="12.85546875" bestFit="1" customWidth="1"/>
    <col min="46" max="46" width="12.85546875" bestFit="1" customWidth="1"/>
    <col min="55" max="55" width="12.85546875" bestFit="1" customWidth="1"/>
  </cols>
  <sheetData>
    <row r="1" spans="1:91" x14ac:dyDescent="0.25">
      <c r="I1" s="5" t="s">
        <v>384</v>
      </c>
    </row>
    <row r="2" spans="1:91" ht="15.75" thickBot="1" x14ac:dyDescent="0.3">
      <c r="I2" s="5" t="s">
        <v>385</v>
      </c>
    </row>
    <row r="3" spans="1:91" ht="15.75" thickBot="1" x14ac:dyDescent="0.3">
      <c r="B3" s="117" t="s">
        <v>333</v>
      </c>
      <c r="C3" s="119">
        <f>GeneralInput!C7</f>
        <v>5</v>
      </c>
      <c r="E3" s="319" t="s">
        <v>386</v>
      </c>
      <c r="F3" s="320">
        <v>9810</v>
      </c>
      <c r="G3" s="204" t="s">
        <v>387</v>
      </c>
      <c r="I3" s="391" t="s">
        <v>388</v>
      </c>
    </row>
    <row r="4" spans="1:91" ht="15.75" thickBot="1" x14ac:dyDescent="0.3">
      <c r="B4" s="118" t="s">
        <v>389</v>
      </c>
      <c r="C4" s="120">
        <f>GeneralInput!C8</f>
        <v>3</v>
      </c>
      <c r="K4" s="901"/>
    </row>
    <row r="5" spans="1:91" x14ac:dyDescent="0.25">
      <c r="B5" t="s">
        <v>87</v>
      </c>
      <c r="D5" s="131">
        <v>25</v>
      </c>
      <c r="E5" t="s">
        <v>88</v>
      </c>
    </row>
    <row r="6" spans="1:91" x14ac:dyDescent="0.25">
      <c r="B6" t="s">
        <v>390</v>
      </c>
      <c r="D6" s="125">
        <v>0</v>
      </c>
      <c r="E6" t="s">
        <v>88</v>
      </c>
    </row>
    <row r="7" spans="1:91" x14ac:dyDescent="0.25">
      <c r="B7" s="22" t="s">
        <v>84</v>
      </c>
      <c r="D7" s="982">
        <f>RxnCheck!C20</f>
        <v>2</v>
      </c>
      <c r="E7" t="s">
        <v>391</v>
      </c>
      <c r="K7" s="901" t="s">
        <v>392</v>
      </c>
      <c r="L7" s="175">
        <f>IFERROR((SUMPRODUCT(RxnCheck!$X$11:$X$22,RxnCheck!$Y$11:$Y$22)*RxnCheck!$C$23)/(SUMPRODUCT(RxnCheck!N$11:N$22,RxnCheck!O$11:O$22)*RxnCheck!O8)*(RxnCheck!$C$12+1)/RxnCheck!$C$12, 1)</f>
        <v>1.3333333333333333</v>
      </c>
      <c r="N7" s="175">
        <f>IFERROR((SUMPRODUCT(RxnCheck!$X$11:$X$22,RxnCheck!$Y$11:$Y$22)*RxnCheck!$C$23)/(SUMPRODUCT(RxnCheck!P$11:P$22,RxnCheck!Q$11:Q$22)*RxnCheck!Q8)*(RxnCheck!$C$12+1)/RxnCheck!$C$12, 1)</f>
        <v>1.3333333333333333</v>
      </c>
      <c r="P7" s="175">
        <f>IFERROR((SUMPRODUCT(RxnCheck!$X$11:$X$22,RxnCheck!$Y$11:$Y$22)*RxnCheck!$C$23)/(SUMPRODUCT(RxnCheck!R$11:R$22,RxnCheck!S$11:S$22)*RxnCheck!S8)*(RxnCheck!$C$12+1)/RxnCheck!$C$12, 1)</f>
        <v>1.3333333333333333</v>
      </c>
      <c r="R7" s="175">
        <f>IFERROR((SUMPRODUCT(RxnCheck!$X$11:$X$22,RxnCheck!$Y$11:$Y$22)*RxnCheck!$C$23)/(SUMPRODUCT(RxnCheck!T$11:T$22,RxnCheck!U$11:U$22)*RxnCheck!U8)*(RxnCheck!$C$12+1)/RxnCheck!$C$12, 1)</f>
        <v>1</v>
      </c>
      <c r="T7" s="175">
        <f>IFERROR((SUMPRODUCT(RxnCheck!$X$11:$X$22,RxnCheck!$Y$11:$Y$22)*RxnCheck!$C$23)/(SUMPRODUCT(RxnCheck!V$11:V$22,RxnCheck!W$11:W$22)*RxnCheck!W8)*(RxnCheck!$C$12+1)/RxnCheck!$C$12, 1)</f>
        <v>1</v>
      </c>
      <c r="V7" s="175"/>
    </row>
    <row r="8" spans="1:91" x14ac:dyDescent="0.25">
      <c r="B8" s="130"/>
      <c r="D8" s="146"/>
    </row>
    <row r="9" spans="1:91" ht="15.75" thickBot="1" x14ac:dyDescent="0.3">
      <c r="B9" s="22" t="s">
        <v>393</v>
      </c>
      <c r="D9">
        <v>1</v>
      </c>
      <c r="E9" t="s">
        <v>394</v>
      </c>
    </row>
    <row r="10" spans="1:91" ht="19.5" thickBot="1" x14ac:dyDescent="0.35">
      <c r="B10" s="22" t="s">
        <v>395</v>
      </c>
      <c r="D10" s="125">
        <v>0.25</v>
      </c>
      <c r="E10" t="s">
        <v>394</v>
      </c>
      <c r="G10" s="147" t="s">
        <v>396</v>
      </c>
      <c r="N10" s="127"/>
      <c r="O10" s="388" t="s">
        <v>397</v>
      </c>
      <c r="P10" s="204">
        <v>9</v>
      </c>
    </row>
    <row r="11" spans="1:91" ht="15.75" thickBot="1" x14ac:dyDescent="0.3">
      <c r="B11" s="130"/>
    </row>
    <row r="12" spans="1:91" ht="19.5" thickBot="1" x14ac:dyDescent="0.35">
      <c r="A12" s="166" t="s">
        <v>398</v>
      </c>
      <c r="B12" s="130"/>
      <c r="O12" s="220" t="s">
        <v>399</v>
      </c>
      <c r="P12" s="204">
        <v>9</v>
      </c>
      <c r="S12" s="224" t="s">
        <v>400</v>
      </c>
      <c r="T12" s="204">
        <v>9</v>
      </c>
    </row>
    <row r="13" spans="1:91" ht="19.5" thickBot="1" x14ac:dyDescent="0.35">
      <c r="A13" s="166"/>
      <c r="B13" s="130"/>
      <c r="C13" s="342" t="s">
        <v>401</v>
      </c>
      <c r="O13" s="316"/>
      <c r="P13" s="318"/>
      <c r="S13" s="317"/>
      <c r="T13" s="318"/>
    </row>
    <row r="14" spans="1:91" ht="19.5" thickBot="1" x14ac:dyDescent="0.35">
      <c r="B14" s="155" t="s">
        <v>402</v>
      </c>
      <c r="C14" s="1083">
        <v>1</v>
      </c>
      <c r="D14" s="1084"/>
      <c r="E14" s="1084"/>
      <c r="F14" s="1084"/>
      <c r="G14" s="1084"/>
      <c r="H14" s="1084"/>
      <c r="I14" s="1084"/>
      <c r="J14" s="1084"/>
      <c r="K14" s="1084"/>
      <c r="L14" s="1084"/>
      <c r="M14" s="1084"/>
      <c r="N14" s="1084"/>
      <c r="O14" s="1084"/>
      <c r="P14" s="1085"/>
      <c r="R14" s="1083">
        <v>2</v>
      </c>
      <c r="S14" s="1084"/>
      <c r="T14" s="1084"/>
      <c r="U14" s="1084"/>
      <c r="V14" s="1084"/>
      <c r="W14" s="1084"/>
      <c r="X14" s="1084"/>
      <c r="Y14" s="1084"/>
      <c r="Z14" s="1084"/>
      <c r="AA14" s="1084"/>
      <c r="AB14" s="1084"/>
      <c r="AC14" s="1084"/>
      <c r="AD14" s="1084"/>
      <c r="AE14" s="1085"/>
      <c r="AG14" s="1083">
        <v>3</v>
      </c>
      <c r="AH14" s="1084"/>
      <c r="AI14" s="1084"/>
      <c r="AJ14" s="1084"/>
      <c r="AK14" s="1084"/>
      <c r="AL14" s="1084"/>
      <c r="AM14" s="1084"/>
      <c r="AN14" s="1084"/>
      <c r="AO14" s="1084"/>
      <c r="AP14" s="1084"/>
      <c r="AQ14" s="1084"/>
      <c r="AR14" s="1084"/>
      <c r="AS14" s="1084"/>
      <c r="AT14" s="1085"/>
      <c r="AV14" s="1083">
        <v>4</v>
      </c>
      <c r="AW14" s="1084"/>
      <c r="AX14" s="1084"/>
      <c r="AY14" s="1084"/>
      <c r="AZ14" s="1084"/>
      <c r="BA14" s="1084"/>
      <c r="BB14" s="1084"/>
      <c r="BC14" s="1084"/>
      <c r="BD14" s="1084"/>
      <c r="BE14" s="1084"/>
      <c r="BF14" s="1084"/>
      <c r="BG14" s="1084"/>
      <c r="BH14" s="1084"/>
      <c r="BI14" s="1085"/>
      <c r="BK14" s="1083">
        <v>5</v>
      </c>
      <c r="BL14" s="1084"/>
      <c r="BM14" s="1084"/>
      <c r="BN14" s="1084"/>
      <c r="BO14" s="1084"/>
      <c r="BP14" s="1084"/>
      <c r="BQ14" s="1084"/>
      <c r="BR14" s="1084"/>
      <c r="BS14" s="1084"/>
      <c r="BT14" s="1084"/>
      <c r="BU14" s="1084"/>
      <c r="BV14" s="1084"/>
      <c r="BW14" s="1084"/>
      <c r="BX14" s="1085"/>
      <c r="BZ14" s="1083">
        <v>6</v>
      </c>
      <c r="CA14" s="1084"/>
      <c r="CB14" s="1084"/>
      <c r="CC14" s="1084"/>
      <c r="CD14" s="1084"/>
      <c r="CE14" s="1084"/>
      <c r="CF14" s="1084"/>
      <c r="CG14" s="1084"/>
      <c r="CH14" s="1084"/>
      <c r="CI14" s="1084"/>
      <c r="CJ14" s="1084"/>
      <c r="CK14" s="1084"/>
      <c r="CL14" s="1084"/>
      <c r="CM14" s="1085"/>
    </row>
    <row r="15" spans="1:91" ht="16.5" thickBot="1" x14ac:dyDescent="0.3">
      <c r="B15" s="130"/>
      <c r="C15" s="127" t="s">
        <v>343</v>
      </c>
      <c r="D15" s="129">
        <f ca="1">OFFSET($L$43,0,C14-1)</f>
        <v>8200</v>
      </c>
      <c r="E15" s="7"/>
      <c r="F15" s="386"/>
      <c r="G15" s="7"/>
      <c r="H15" s="7"/>
      <c r="I15" s="7"/>
      <c r="J15" s="7"/>
      <c r="K15" s="1086" t="s">
        <v>403</v>
      </c>
      <c r="L15" s="1087"/>
      <c r="M15" s="1087"/>
      <c r="N15" s="1087"/>
      <c r="O15" s="1088"/>
      <c r="P15" s="140"/>
      <c r="R15" s="127" t="s">
        <v>343</v>
      </c>
      <c r="S15" s="129">
        <f ca="1">OFFSET($L$43,0,R14-1)</f>
        <v>8200</v>
      </c>
      <c r="T15" s="7"/>
      <c r="U15" s="7"/>
      <c r="V15" s="7"/>
      <c r="W15" s="7"/>
      <c r="X15" s="7"/>
      <c r="Y15" s="7"/>
      <c r="Z15" s="1086" t="s">
        <v>403</v>
      </c>
      <c r="AA15" s="1087"/>
      <c r="AB15" s="1087"/>
      <c r="AC15" s="1087"/>
      <c r="AD15" s="1088"/>
      <c r="AE15" s="140"/>
      <c r="AG15" s="127" t="s">
        <v>343</v>
      </c>
      <c r="AH15" s="129">
        <f ca="1">OFFSET($L$43,0,AG14-1)</f>
        <v>8200</v>
      </c>
      <c r="AI15" s="7"/>
      <c r="AJ15" s="7"/>
      <c r="AK15" s="7"/>
      <c r="AL15" s="7"/>
      <c r="AM15" s="7"/>
      <c r="AN15" s="7"/>
      <c r="AO15" s="1086" t="s">
        <v>403</v>
      </c>
      <c r="AP15" s="1087"/>
      <c r="AQ15" s="1087"/>
      <c r="AR15" s="1087"/>
      <c r="AS15" s="1088"/>
      <c r="AT15" s="140"/>
      <c r="AV15" s="127" t="s">
        <v>343</v>
      </c>
      <c r="AW15" s="129">
        <f ca="1">OFFSET($L$43,0,AV14-1)</f>
        <v>0</v>
      </c>
      <c r="AX15" s="7"/>
      <c r="AY15" s="7"/>
      <c r="AZ15" s="7"/>
      <c r="BA15" s="7"/>
      <c r="BB15" s="7"/>
      <c r="BC15" s="7"/>
      <c r="BD15" s="1086" t="s">
        <v>403</v>
      </c>
      <c r="BE15" s="1087"/>
      <c r="BF15" s="1087"/>
      <c r="BG15" s="1087"/>
      <c r="BH15" s="1088"/>
      <c r="BI15" s="140"/>
      <c r="BK15" s="127" t="s">
        <v>343</v>
      </c>
      <c r="BL15" s="129">
        <f ca="1">OFFSET($L$43,0,BK14-1)</f>
        <v>0</v>
      </c>
      <c r="BM15" s="7"/>
      <c r="BN15" s="7"/>
      <c r="BO15" s="7"/>
      <c r="BP15" s="7"/>
      <c r="BQ15" s="7"/>
      <c r="BR15" s="7"/>
      <c r="BS15" s="1086" t="s">
        <v>403</v>
      </c>
      <c r="BT15" s="1087"/>
      <c r="BU15" s="1087"/>
      <c r="BV15" s="1087"/>
      <c r="BW15" s="1088"/>
      <c r="BX15" s="140"/>
      <c r="BZ15" s="127" t="s">
        <v>343</v>
      </c>
      <c r="CA15" s="129">
        <f ca="1">OFFSET($L$43,0,BZ14-1)</f>
        <v>0</v>
      </c>
      <c r="CB15" s="7"/>
      <c r="CC15" s="7"/>
      <c r="CD15" s="7"/>
      <c r="CE15" s="7"/>
      <c r="CF15" s="7"/>
      <c r="CG15" s="7"/>
      <c r="CH15" s="1086" t="s">
        <v>403</v>
      </c>
      <c r="CI15" s="1087"/>
      <c r="CJ15" s="1087"/>
      <c r="CK15" s="1087"/>
      <c r="CL15" s="1088"/>
      <c r="CM15" s="140"/>
    </row>
    <row r="16" spans="1:91" ht="105" x14ac:dyDescent="0.25">
      <c r="A16" s="387"/>
      <c r="B16" s="159" t="s">
        <v>404</v>
      </c>
      <c r="C16" s="134" t="s">
        <v>405</v>
      </c>
      <c r="D16" s="64" t="s">
        <v>44</v>
      </c>
      <c r="E16" s="64" t="s">
        <v>406</v>
      </c>
      <c r="F16" s="64" t="s">
        <v>407</v>
      </c>
      <c r="G16" s="64" t="s">
        <v>408</v>
      </c>
      <c r="H16" s="64" t="s">
        <v>409</v>
      </c>
      <c r="I16" s="64" t="s">
        <v>410</v>
      </c>
      <c r="J16" s="387" t="s">
        <v>411</v>
      </c>
      <c r="K16" s="134" t="s">
        <v>412</v>
      </c>
      <c r="L16" s="64" t="s">
        <v>413</v>
      </c>
      <c r="M16" s="64" t="s">
        <v>414</v>
      </c>
      <c r="N16" s="64" t="s">
        <v>415</v>
      </c>
      <c r="O16" s="135" t="s">
        <v>44</v>
      </c>
      <c r="P16" s="141" t="s">
        <v>416</v>
      </c>
      <c r="Q16" s="387"/>
      <c r="R16" s="134" t="s">
        <v>405</v>
      </c>
      <c r="S16" s="64" t="s">
        <v>44</v>
      </c>
      <c r="T16" s="64" t="s">
        <v>406</v>
      </c>
      <c r="U16" s="64" t="s">
        <v>407</v>
      </c>
      <c r="V16" s="64" t="s">
        <v>408</v>
      </c>
      <c r="W16" s="64" t="s">
        <v>409</v>
      </c>
      <c r="X16" s="64" t="s">
        <v>410</v>
      </c>
      <c r="Y16" s="390" t="s">
        <v>411</v>
      </c>
      <c r="Z16" s="134" t="s">
        <v>412</v>
      </c>
      <c r="AA16" s="64" t="s">
        <v>413</v>
      </c>
      <c r="AB16" s="64" t="s">
        <v>414</v>
      </c>
      <c r="AC16" s="64" t="s">
        <v>415</v>
      </c>
      <c r="AD16" s="135" t="s">
        <v>44</v>
      </c>
      <c r="AE16" s="141" t="s">
        <v>416</v>
      </c>
      <c r="AG16" s="134" t="s">
        <v>405</v>
      </c>
      <c r="AH16" s="64" t="s">
        <v>44</v>
      </c>
      <c r="AI16" s="64" t="s">
        <v>406</v>
      </c>
      <c r="AJ16" s="64" t="s">
        <v>407</v>
      </c>
      <c r="AK16" s="64" t="s">
        <v>417</v>
      </c>
      <c r="AL16" s="64" t="s">
        <v>409</v>
      </c>
      <c r="AM16" s="64" t="s">
        <v>410</v>
      </c>
      <c r="AN16" s="387" t="s">
        <v>411</v>
      </c>
      <c r="AO16" s="134" t="s">
        <v>412</v>
      </c>
      <c r="AP16" s="64" t="s">
        <v>413</v>
      </c>
      <c r="AQ16" s="64" t="s">
        <v>414</v>
      </c>
      <c r="AR16" s="64" t="s">
        <v>415</v>
      </c>
      <c r="AS16" s="135" t="s">
        <v>44</v>
      </c>
      <c r="AT16" s="141" t="s">
        <v>416</v>
      </c>
      <c r="AV16" s="134" t="s">
        <v>405</v>
      </c>
      <c r="AW16" s="64" t="s">
        <v>44</v>
      </c>
      <c r="AX16" s="64" t="s">
        <v>406</v>
      </c>
      <c r="AY16" s="64" t="s">
        <v>407</v>
      </c>
      <c r="AZ16" s="64" t="s">
        <v>408</v>
      </c>
      <c r="BA16" s="64" t="s">
        <v>409</v>
      </c>
      <c r="BB16" s="64" t="s">
        <v>410</v>
      </c>
      <c r="BC16" s="387" t="s">
        <v>411</v>
      </c>
      <c r="BD16" s="134" t="s">
        <v>412</v>
      </c>
      <c r="BE16" s="64" t="s">
        <v>413</v>
      </c>
      <c r="BF16" s="64" t="s">
        <v>414</v>
      </c>
      <c r="BG16" s="64" t="s">
        <v>415</v>
      </c>
      <c r="BH16" s="135" t="s">
        <v>44</v>
      </c>
      <c r="BI16" s="141" t="s">
        <v>416</v>
      </c>
      <c r="BK16" s="134" t="s">
        <v>405</v>
      </c>
      <c r="BL16" s="64" t="s">
        <v>44</v>
      </c>
      <c r="BM16" s="64" t="s">
        <v>406</v>
      </c>
      <c r="BN16" s="64" t="s">
        <v>407</v>
      </c>
      <c r="BO16" s="64" t="s">
        <v>417</v>
      </c>
      <c r="BP16" s="64" t="s">
        <v>409</v>
      </c>
      <c r="BQ16" s="64" t="s">
        <v>410</v>
      </c>
      <c r="BR16" s="387" t="s">
        <v>411</v>
      </c>
      <c r="BS16" s="134" t="s">
        <v>412</v>
      </c>
      <c r="BT16" s="64" t="s">
        <v>413</v>
      </c>
      <c r="BU16" s="64" t="s">
        <v>414</v>
      </c>
      <c r="BV16" s="64" t="s">
        <v>415</v>
      </c>
      <c r="BW16" s="135" t="s">
        <v>44</v>
      </c>
      <c r="BX16" s="141" t="s">
        <v>416</v>
      </c>
      <c r="BZ16" s="134" t="s">
        <v>405</v>
      </c>
      <c r="CA16" s="64" t="s">
        <v>44</v>
      </c>
      <c r="CB16" s="64" t="s">
        <v>406</v>
      </c>
      <c r="CC16" s="64" t="s">
        <v>407</v>
      </c>
      <c r="CD16" s="64" t="s">
        <v>408</v>
      </c>
      <c r="CE16" s="64" t="s">
        <v>409</v>
      </c>
      <c r="CF16" s="64" t="s">
        <v>410</v>
      </c>
      <c r="CG16" s="387" t="s">
        <v>411</v>
      </c>
      <c r="CH16" s="134" t="s">
        <v>412</v>
      </c>
      <c r="CI16" s="64" t="s">
        <v>413</v>
      </c>
      <c r="CJ16" s="64" t="s">
        <v>414</v>
      </c>
      <c r="CK16" s="64" t="s">
        <v>415</v>
      </c>
      <c r="CL16" s="135" t="s">
        <v>44</v>
      </c>
      <c r="CM16" s="141" t="s">
        <v>416</v>
      </c>
    </row>
    <row r="17" spans="1:91" ht="30.75" thickBot="1" x14ac:dyDescent="0.3">
      <c r="B17" s="160"/>
      <c r="C17" s="149" t="s">
        <v>282</v>
      </c>
      <c r="D17" s="150" t="s">
        <v>418</v>
      </c>
      <c r="E17" s="150" t="s">
        <v>282</v>
      </c>
      <c r="F17" s="150" t="s">
        <v>282</v>
      </c>
      <c r="G17" s="150" t="s">
        <v>282</v>
      </c>
      <c r="H17" s="150" t="s">
        <v>282</v>
      </c>
      <c r="I17" s="150" t="s">
        <v>282</v>
      </c>
      <c r="J17" s="124"/>
      <c r="K17" s="149" t="s">
        <v>419</v>
      </c>
      <c r="L17" s="150" t="s">
        <v>419</v>
      </c>
      <c r="M17" s="150" t="s">
        <v>419</v>
      </c>
      <c r="N17" s="150" t="s">
        <v>419</v>
      </c>
      <c r="O17" s="151" t="s">
        <v>419</v>
      </c>
      <c r="P17" s="152" t="s">
        <v>419</v>
      </c>
      <c r="R17" s="149" t="s">
        <v>282</v>
      </c>
      <c r="S17" s="150" t="s">
        <v>418</v>
      </c>
      <c r="T17" s="150" t="s">
        <v>282</v>
      </c>
      <c r="U17" s="150" t="s">
        <v>282</v>
      </c>
      <c r="V17" s="150" t="s">
        <v>282</v>
      </c>
      <c r="W17" s="150" t="s">
        <v>282</v>
      </c>
      <c r="X17" s="150" t="s">
        <v>282</v>
      </c>
      <c r="Y17" s="124"/>
      <c r="Z17" s="149" t="s">
        <v>419</v>
      </c>
      <c r="AA17" s="150" t="s">
        <v>419</v>
      </c>
      <c r="AB17" s="150" t="s">
        <v>419</v>
      </c>
      <c r="AC17" s="150" t="s">
        <v>419</v>
      </c>
      <c r="AD17" s="151" t="s">
        <v>419</v>
      </c>
      <c r="AE17" s="152" t="s">
        <v>419</v>
      </c>
      <c r="AG17" s="149" t="s">
        <v>282</v>
      </c>
      <c r="AH17" s="150" t="s">
        <v>418</v>
      </c>
      <c r="AI17" s="150" t="s">
        <v>282</v>
      </c>
      <c r="AJ17" s="150" t="s">
        <v>282</v>
      </c>
      <c r="AK17" s="150" t="s">
        <v>282</v>
      </c>
      <c r="AL17" s="150" t="s">
        <v>282</v>
      </c>
      <c r="AM17" s="150" t="s">
        <v>282</v>
      </c>
      <c r="AN17" s="124"/>
      <c r="AO17" s="149" t="s">
        <v>419</v>
      </c>
      <c r="AP17" s="150" t="s">
        <v>419</v>
      </c>
      <c r="AQ17" s="150" t="s">
        <v>419</v>
      </c>
      <c r="AR17" s="150" t="s">
        <v>419</v>
      </c>
      <c r="AS17" s="151" t="s">
        <v>419</v>
      </c>
      <c r="AT17" s="152" t="s">
        <v>419</v>
      </c>
      <c r="AV17" s="149" t="s">
        <v>282</v>
      </c>
      <c r="AW17" s="150" t="s">
        <v>418</v>
      </c>
      <c r="AX17" s="150" t="s">
        <v>282</v>
      </c>
      <c r="AY17" s="150" t="s">
        <v>282</v>
      </c>
      <c r="AZ17" s="150" t="s">
        <v>282</v>
      </c>
      <c r="BA17" s="150" t="s">
        <v>282</v>
      </c>
      <c r="BB17" s="150" t="s">
        <v>282</v>
      </c>
      <c r="BC17" s="98"/>
      <c r="BD17" s="149" t="s">
        <v>419</v>
      </c>
      <c r="BE17" s="150" t="s">
        <v>419</v>
      </c>
      <c r="BF17" s="150" t="s">
        <v>419</v>
      </c>
      <c r="BG17" s="150" t="s">
        <v>419</v>
      </c>
      <c r="BH17" s="151" t="s">
        <v>419</v>
      </c>
      <c r="BI17" s="152" t="s">
        <v>419</v>
      </c>
      <c r="BK17" s="149" t="s">
        <v>282</v>
      </c>
      <c r="BL17" s="150" t="s">
        <v>418</v>
      </c>
      <c r="BM17" s="150" t="s">
        <v>282</v>
      </c>
      <c r="BN17" s="150" t="s">
        <v>282</v>
      </c>
      <c r="BO17" s="150" t="s">
        <v>282</v>
      </c>
      <c r="BP17" s="150" t="s">
        <v>282</v>
      </c>
      <c r="BQ17" s="150" t="s">
        <v>282</v>
      </c>
      <c r="BR17" s="98"/>
      <c r="BS17" s="149" t="s">
        <v>419</v>
      </c>
      <c r="BT17" s="150" t="s">
        <v>419</v>
      </c>
      <c r="BU17" s="150" t="s">
        <v>419</v>
      </c>
      <c r="BV17" s="150" t="s">
        <v>419</v>
      </c>
      <c r="BW17" s="151" t="s">
        <v>419</v>
      </c>
      <c r="BX17" s="152" t="s">
        <v>419</v>
      </c>
      <c r="BZ17" s="149" t="s">
        <v>282</v>
      </c>
      <c r="CA17" s="150" t="s">
        <v>418</v>
      </c>
      <c r="CB17" s="150" t="s">
        <v>282</v>
      </c>
      <c r="CC17" s="150" t="s">
        <v>282</v>
      </c>
      <c r="CD17" s="150" t="s">
        <v>282</v>
      </c>
      <c r="CE17" s="150" t="s">
        <v>282</v>
      </c>
      <c r="CF17" s="150" t="s">
        <v>282</v>
      </c>
      <c r="CG17" s="98"/>
      <c r="CH17" s="149" t="s">
        <v>419</v>
      </c>
      <c r="CI17" s="150" t="s">
        <v>419</v>
      </c>
      <c r="CJ17" s="150" t="s">
        <v>419</v>
      </c>
      <c r="CK17" s="150" t="s">
        <v>419</v>
      </c>
      <c r="CL17" s="151" t="s">
        <v>419</v>
      </c>
      <c r="CM17" s="152" t="s">
        <v>419</v>
      </c>
    </row>
    <row r="18" spans="1:91" x14ac:dyDescent="0.25">
      <c r="A18" s="1"/>
      <c r="B18" s="25">
        <f>$C$3+1</f>
        <v>6</v>
      </c>
      <c r="C18" s="156">
        <f>RxnCheck!C21</f>
        <v>250</v>
      </c>
      <c r="D18" s="157">
        <f>RxnCheck!C19</f>
        <v>4</v>
      </c>
      <c r="E18" s="157">
        <f>RxnCheck!C23</f>
        <v>8200</v>
      </c>
      <c r="F18" s="157">
        <v>0</v>
      </c>
      <c r="G18" s="158">
        <f ca="1">OFFSET(DesignFile!$I$7,$T$12*($C$3+1-$B18),$P$12*(C$14-1))</f>
        <v>400</v>
      </c>
      <c r="H18" s="158">
        <f ca="1">OFFSET(DesignFile!$J$7,$T$12*($C$3+1-$B18),$P$12*(C$14-1))</f>
        <v>750</v>
      </c>
      <c r="I18" s="158">
        <f ca="1">IF(F18=0,0,OFFSET(DesignFile!$H$15,$T$12*($C$3+1-$B18),$P$12*(C$14-1))-H18)</f>
        <v>0</v>
      </c>
      <c r="J18" s="132">
        <f t="shared" ref="J18:J29" ca="1" si="0">(OFFSET($D54,0,$P$10*(C$14-1))+(OFFSET($M54,0,$P$10*(C$14-1))))/2</f>
        <v>600</v>
      </c>
      <c r="K18" s="50">
        <f t="shared" ref="K18:K23" si="1">$D$5*C18*E18/1000000</f>
        <v>51.25</v>
      </c>
      <c r="L18" s="50">
        <f t="shared" ref="L18:L29" ca="1" si="2">($D$5*G18*(H18-C18)/1000000) * (1+INDEX($L$7:$W$7,1, 2*C$14-1))</f>
        <v>11.666666666666664</v>
      </c>
      <c r="M18" s="1">
        <f t="shared" ref="M18:M23" si="3">$D$7*E18/1000</f>
        <v>16.399999999999999</v>
      </c>
      <c r="N18" s="1">
        <f t="shared" ref="N18:N23" ca="1" si="4">$D$6*F18*I18/1000000</f>
        <v>0</v>
      </c>
      <c r="O18" s="137">
        <f t="shared" ref="O18:O23" si="5">D18*E18/1000</f>
        <v>32.799999999999997</v>
      </c>
      <c r="P18" s="389">
        <f t="shared" ref="P18:P29" ca="1" si="6">(SUM(K18:N18)*$D$9+O18*$D$10)*(D$15/(D$15-J18))</f>
        <v>94.425877192982455</v>
      </c>
      <c r="Q18" s="50"/>
      <c r="R18" s="154">
        <f>C18</f>
        <v>250</v>
      </c>
      <c r="S18" s="14">
        <f>D18</f>
        <v>4</v>
      </c>
      <c r="T18" s="1">
        <f>$E18</f>
        <v>8200</v>
      </c>
      <c r="U18" s="14">
        <v>0</v>
      </c>
      <c r="V18" s="158">
        <f ca="1">OFFSET(DesignFile!$I$7,$T$12*($C$3+1-$B18),$P$12*(R$14-1))</f>
        <v>400</v>
      </c>
      <c r="W18" s="158">
        <f ca="1">OFFSET(DesignFile!$J$7,$T$12*($C$3+1-$B18),$P$12*(R$14-1))</f>
        <v>750</v>
      </c>
      <c r="X18" s="158">
        <f ca="1">IF(U18=0,0,OFFSET(DesignFile!$H$15,$T$12*($C$3+1-$B18),$P$12*(R$14-1))-W18)</f>
        <v>0</v>
      </c>
      <c r="Y18" s="132">
        <f t="shared" ref="Y18:Y29" ca="1" si="7">(OFFSET($D54,0,$P$10*(R$14-1))+(OFFSET($M54,0,$P$10*(R$14-1))))/2</f>
        <v>600</v>
      </c>
      <c r="Z18" s="136">
        <f t="shared" ref="Z18:Z23" si="8">$D$5*R18*T18/1000000</f>
        <v>51.25</v>
      </c>
      <c r="AA18" s="50">
        <f t="shared" ref="AA18:AA29" ca="1" si="9">($D$5*V18*(W18-R18)/1000000) * (1+INDEX($L$7:$W$7,1, 2*R$14-1))</f>
        <v>11.666666666666664</v>
      </c>
      <c r="AB18" s="1">
        <f t="shared" ref="AB18:AB23" si="10">$D$7*T18/1000</f>
        <v>16.399999999999999</v>
      </c>
      <c r="AC18" s="1">
        <f t="shared" ref="AC18:AC23" ca="1" si="11">$D$6*U18*X18/1000000</f>
        <v>0</v>
      </c>
      <c r="AD18" s="137">
        <f t="shared" ref="AD18:AD23" si="12">S18*T18/1000</f>
        <v>32.799999999999997</v>
      </c>
      <c r="AE18" s="389">
        <f t="shared" ref="AE18:AE29" ca="1" si="13">(SUM(Z18:AC18)*$D$9+AD18*$D$10)*(S$15/(S$15-Y18))</f>
        <v>94.425877192982455</v>
      </c>
      <c r="AG18" s="153">
        <f>C18</f>
        <v>250</v>
      </c>
      <c r="AH18" s="148">
        <f>D18</f>
        <v>4</v>
      </c>
      <c r="AI18" s="1">
        <f>$E18</f>
        <v>8200</v>
      </c>
      <c r="AJ18" s="148">
        <v>0</v>
      </c>
      <c r="AK18" s="158">
        <f ca="1">OFFSET(DesignFile!$I$7,$T$12*($C$3+1-$B18),$P$12*(AG$14-1))</f>
        <v>400</v>
      </c>
      <c r="AL18" s="158">
        <f ca="1">OFFSET(DesignFile!$J$7,$T$12*($C$3+1-$B18),$P$12*(AG$14-1))</f>
        <v>750</v>
      </c>
      <c r="AM18" s="158">
        <f ca="1">IF(AJ18=0,0,OFFSET(DesignFile!$H$15,$T$12*($C$3+1-$B18),$P$12*(AG$14-1))-AL18)</f>
        <v>0</v>
      </c>
      <c r="AN18" s="132">
        <f t="shared" ref="AN18:AN29" ca="1" si="14">(OFFSET($D54,0,$P$10*(AG$14-1))+(OFFSET($M54,0,$P$10*(AG$14-1))))/2</f>
        <v>600</v>
      </c>
      <c r="AO18" s="136">
        <f t="shared" ref="AO18:AO23" si="15">$D$5*AG18*AI18/1000000</f>
        <v>51.25</v>
      </c>
      <c r="AP18" s="50">
        <f t="shared" ref="AP18:AP29" ca="1" si="16">($D$5*AK18*(AL18-AG18)/1000000) * (1+INDEX($L$7:$W$7,1, 2*AG$14-1))</f>
        <v>11.666666666666664</v>
      </c>
      <c r="AQ18" s="1">
        <f t="shared" ref="AQ18:AQ23" si="17">$D$7*AI18/1000</f>
        <v>16.399999999999999</v>
      </c>
      <c r="AR18" s="1">
        <f t="shared" ref="AR18:AR23" ca="1" si="18">$D$6*AJ18*AM18/1000000</f>
        <v>0</v>
      </c>
      <c r="AS18" s="137">
        <f t="shared" ref="AS18:AS23" si="19">AH18*AI18/1000</f>
        <v>32.799999999999997</v>
      </c>
      <c r="AT18" s="389">
        <f t="shared" ref="AT18:AT29" ca="1" si="20">(SUM(AO18:AR18)*$D$9+AS18*$D$10)*(AH$15/(AH$15-AN18))</f>
        <v>94.425877192982455</v>
      </c>
      <c r="AV18" s="154">
        <v>0</v>
      </c>
      <c r="AW18" s="14">
        <v>0</v>
      </c>
      <c r="AX18" s="1">
        <f>$E18</f>
        <v>8200</v>
      </c>
      <c r="AY18" s="14">
        <v>0</v>
      </c>
      <c r="AZ18" s="158">
        <f ca="1">OFFSET(DesignFile!$I$7,$T$12*($C$3+1-$B18),$P$12*(AV$14-1))</f>
        <v>0</v>
      </c>
      <c r="BA18" s="158">
        <f ca="1">OFFSET(DesignFile!$J$7,$T$12*($C$3+1-$B18),$P$12*(AV$14-1))</f>
        <v>0</v>
      </c>
      <c r="BB18" s="158">
        <f ca="1">IF(AY18=0,0,OFFSET(DesignFile!$H$15,$T$12*($C$3+1-$B18),$P$12*(AV$14-1))-BA18)</f>
        <v>0</v>
      </c>
      <c r="BC18" s="132">
        <f t="shared" ref="BC18:BC29" ca="1" si="21">(OFFSET($D54,0,$P$10*(AV$14-1))+(OFFSET($M54,0,$P$10*(AV$14-1))))/2</f>
        <v>300</v>
      </c>
      <c r="BD18" s="136">
        <f t="shared" ref="BD18:BD23" si="22">$D$5*AV18*AX18/1000000</f>
        <v>0</v>
      </c>
      <c r="BE18" s="50">
        <f t="shared" ref="BE18:BE29" ca="1" si="23">($D$5*AZ18*(BA18-AV18)/1000000) * (1+INDEX($L$7:$W$7,1, 2*AV$14-1))</f>
        <v>0</v>
      </c>
      <c r="BF18" s="1">
        <f t="shared" ref="BF18:BF23" si="24">$D$7*AX18/1000</f>
        <v>16.399999999999999</v>
      </c>
      <c r="BG18" s="1">
        <f t="shared" ref="BG18:BG23" ca="1" si="25">$D$6*AY18*BB18/1000000</f>
        <v>0</v>
      </c>
      <c r="BH18" s="137">
        <f t="shared" ref="BH18:BH23" si="26">AW18*AX18/1000</f>
        <v>0</v>
      </c>
      <c r="BI18" s="389">
        <f t="shared" ref="BI18:BI29" ca="1" si="27">(SUM(BD18:BG18)*$D$9+BH18*$D$10)*(AW$15/(AW$15-BC18))</f>
        <v>0</v>
      </c>
      <c r="BK18" s="153">
        <v>0</v>
      </c>
      <c r="BL18" s="148">
        <v>0</v>
      </c>
      <c r="BM18" s="1">
        <f>$E18</f>
        <v>8200</v>
      </c>
      <c r="BN18" s="148">
        <v>0</v>
      </c>
      <c r="BO18" s="158">
        <f ca="1">OFFSET(DesignFile!$I$7,$T$12*($C$3+1-$B18),$P$12*(BK$14-1))</f>
        <v>0</v>
      </c>
      <c r="BP18" s="158">
        <f ca="1">OFFSET(DesignFile!$J$7,$T$12*($C$3+1-$B18),$P$12*(BK$14-1))</f>
        <v>0</v>
      </c>
      <c r="BQ18" s="158">
        <f ca="1">IF(BN18=0,0,OFFSET(DesignFile!$H$15,$T$12*($C$3+1-$B18),$P$12*(BK$14-1))-BP18)</f>
        <v>0</v>
      </c>
      <c r="BR18" s="132">
        <f t="shared" ref="BR18:BR29" ca="1" si="28">(OFFSET($D54,0,$P$10*(BK$14-1))+(OFFSET($M54,0,$P$10*(BK$14-1))))/2</f>
        <v>0</v>
      </c>
      <c r="BS18" s="136">
        <f t="shared" ref="BS18:BS23" si="29">$D$5*BK18*BM18/1000000</f>
        <v>0</v>
      </c>
      <c r="BT18" s="50">
        <f t="shared" ref="BT18:BT29" ca="1" si="30">($D$5*BO18*(BP18-BK18)/1000000) * (1+INDEX($L$7:$W$7,1, 2*BK$14-1))</f>
        <v>0</v>
      </c>
      <c r="BU18" s="1">
        <f t="shared" ref="BU18:BU23" si="31">$D$7*BM18/1000</f>
        <v>16.399999999999999</v>
      </c>
      <c r="BV18" s="1">
        <f t="shared" ref="BV18:BV23" ca="1" si="32">$D$6*BN18*BQ18/1000000</f>
        <v>0</v>
      </c>
      <c r="BW18" s="137">
        <f t="shared" ref="BW18:BW23" si="33">BL18*BM18/1000</f>
        <v>0</v>
      </c>
      <c r="BX18" s="389" t="e">
        <f t="shared" ref="BX18:BX29" ca="1" si="34">(SUM(BS18:BV18)*$D$9+BW18*$D$10)*(BL$15/(BL$15-BR18))</f>
        <v>#DIV/0!</v>
      </c>
      <c r="BZ18" s="154">
        <v>0</v>
      </c>
      <c r="CA18" s="14">
        <v>0</v>
      </c>
      <c r="CB18" s="1">
        <f>$E18</f>
        <v>8200</v>
      </c>
      <c r="CC18" s="14">
        <v>0</v>
      </c>
      <c r="CD18" s="158">
        <f ca="1">OFFSET(DesignFile!$I$7,$T$12*($C$3+1-$B18),$P$12*(BZ$14-1))</f>
        <v>0</v>
      </c>
      <c r="CE18" s="158">
        <f ca="1">OFFSET(DesignFile!$J$7,$T$12*($C$3+1-$B18),$P$12*(BZ$14-1))</f>
        <v>0</v>
      </c>
      <c r="CF18" s="158">
        <f ca="1">IF(CC18=0,0,OFFSET(DesignFile!$H$15,$T$12*($C$3+1-$B18),$P$12*(BZ$14-1))-CE18)</f>
        <v>0</v>
      </c>
      <c r="CG18" s="132">
        <f t="shared" ref="CG18:CG29" ca="1" si="35">(OFFSET($D54,0,$P$10*(BZ$14-1))+(OFFSET($M54,0,$P$10*(BZ$14-1))))/2</f>
        <v>0</v>
      </c>
      <c r="CH18" s="136">
        <f t="shared" ref="CH18:CH23" si="36">$D$5*BZ18*CB18/1000000</f>
        <v>0</v>
      </c>
      <c r="CI18" s="50">
        <f t="shared" ref="CI18:CI23" ca="1" si="37">$D$5*CD18*(CE18-BZ18)/1000000</f>
        <v>0</v>
      </c>
      <c r="CJ18" s="1">
        <f t="shared" ref="CJ18:CJ23" si="38">$D$7*CB18/1000</f>
        <v>16.399999999999999</v>
      </c>
      <c r="CK18" s="1">
        <f t="shared" ref="CK18:CK23" ca="1" si="39">$D$6*CC18*CF18/1000000</f>
        <v>0</v>
      </c>
      <c r="CL18" s="137">
        <f t="shared" ref="CL18:CL23" si="40">CA18*CB18/1000</f>
        <v>0</v>
      </c>
      <c r="CM18" s="389" t="e">
        <f t="shared" ref="CM18:CM29" ca="1" si="41">(SUM(CH18:CK18)*$D$9+CL18*$D$10)*(CA$15/(CA$15-CG18))</f>
        <v>#DIV/0!</v>
      </c>
    </row>
    <row r="19" spans="1:91" x14ac:dyDescent="0.25">
      <c r="A19" s="1"/>
      <c r="B19" s="25">
        <f t="shared" ref="B19:B29" si="42">IF(B18-1&gt;=2,B18-1,NA())</f>
        <v>5</v>
      </c>
      <c r="C19" s="9">
        <f t="shared" ref="C19:F20" si="43">C18</f>
        <v>250</v>
      </c>
      <c r="D19" s="1">
        <f t="shared" si="43"/>
        <v>4</v>
      </c>
      <c r="E19" s="1">
        <f t="shared" si="43"/>
        <v>8200</v>
      </c>
      <c r="F19" s="1">
        <f t="shared" si="43"/>
        <v>0</v>
      </c>
      <c r="G19" s="1">
        <f ca="1">OFFSET(DesignFile!$I$7,$T$12*($C$3+1-$B19),$P$12*(C$14-1))</f>
        <v>400</v>
      </c>
      <c r="H19" s="1">
        <f ca="1">OFFSET(DesignFile!$J$7,$T$12*($C$3+1-$B19),$P$12*(C$14-1))</f>
        <v>750</v>
      </c>
      <c r="I19" s="1">
        <f ca="1">IF(F19=0,0,OFFSET(DesignFile!$H$15,$T$12*($C$3+1-$B19),$P$12*(C$14-1))-H19)</f>
        <v>0</v>
      </c>
      <c r="J19" s="137">
        <f t="shared" ca="1" si="0"/>
        <v>600</v>
      </c>
      <c r="K19" s="50">
        <f t="shared" si="1"/>
        <v>51.25</v>
      </c>
      <c r="L19" s="50">
        <f t="shared" ca="1" si="2"/>
        <v>11.666666666666664</v>
      </c>
      <c r="M19" s="1">
        <f t="shared" si="3"/>
        <v>16.399999999999999</v>
      </c>
      <c r="N19" s="1">
        <f t="shared" ca="1" si="4"/>
        <v>0</v>
      </c>
      <c r="O19" s="137">
        <f t="shared" si="5"/>
        <v>32.799999999999997</v>
      </c>
      <c r="P19" s="389">
        <f t="shared" ca="1" si="6"/>
        <v>94.425877192982455</v>
      </c>
      <c r="Q19" s="50"/>
      <c r="R19" s="9">
        <f t="shared" ref="R19:U20" si="44">R18</f>
        <v>250</v>
      </c>
      <c r="S19" s="1">
        <f t="shared" si="44"/>
        <v>4</v>
      </c>
      <c r="T19" s="1">
        <f t="shared" si="44"/>
        <v>8200</v>
      </c>
      <c r="U19" s="1">
        <f t="shared" si="44"/>
        <v>0</v>
      </c>
      <c r="V19" s="1">
        <f ca="1">OFFSET(DesignFile!$I$7,$T$12*($C$3+1-$B19),$P$12*(R$14-1))</f>
        <v>400</v>
      </c>
      <c r="W19" s="1">
        <f ca="1">OFFSET(DesignFile!$J$7,$T$12*($C$3+1-$B19),$P$12*(R$14-1))</f>
        <v>750</v>
      </c>
      <c r="X19" s="1">
        <f ca="1">IF(U19=0,0,OFFSET(DesignFile!$H$15,$T$12*($C$3+1-$B19),$P$12*(R$14-1))-W19)</f>
        <v>0</v>
      </c>
      <c r="Y19" s="137">
        <f t="shared" ca="1" si="7"/>
        <v>600</v>
      </c>
      <c r="Z19" s="136">
        <f t="shared" si="8"/>
        <v>51.25</v>
      </c>
      <c r="AA19" s="50">
        <f t="shared" ca="1" si="9"/>
        <v>11.666666666666664</v>
      </c>
      <c r="AB19" s="1">
        <f t="shared" si="10"/>
        <v>16.399999999999999</v>
      </c>
      <c r="AC19" s="1">
        <f t="shared" ca="1" si="11"/>
        <v>0</v>
      </c>
      <c r="AD19" s="137">
        <f t="shared" si="12"/>
        <v>32.799999999999997</v>
      </c>
      <c r="AE19" s="389">
        <f t="shared" ca="1" si="13"/>
        <v>94.425877192982455</v>
      </c>
      <c r="AG19" s="9">
        <f t="shared" ref="AG19:AJ20" si="45">AG18</f>
        <v>250</v>
      </c>
      <c r="AH19" s="1">
        <f t="shared" si="45"/>
        <v>4</v>
      </c>
      <c r="AI19" s="1">
        <f t="shared" si="45"/>
        <v>8200</v>
      </c>
      <c r="AJ19" s="1">
        <f t="shared" si="45"/>
        <v>0</v>
      </c>
      <c r="AK19" s="1">
        <f ca="1">OFFSET(DesignFile!$I$7,$T$12*($C$3+1-$B19),$P$12*(AG$14-1))</f>
        <v>400</v>
      </c>
      <c r="AL19" s="1">
        <f ca="1">OFFSET(DesignFile!$J$7,$T$12*($C$3+1-$B19),$P$12*(AG$14-1))</f>
        <v>750</v>
      </c>
      <c r="AM19" s="1">
        <f ca="1">IF(AJ19=0,0,OFFSET(DesignFile!$H$15,$T$12*($C$3+1-$B19),$P$12*(AG$14-1))-AL19)</f>
        <v>0</v>
      </c>
      <c r="AN19" s="137">
        <f t="shared" ca="1" si="14"/>
        <v>600</v>
      </c>
      <c r="AO19" s="136">
        <f t="shared" si="15"/>
        <v>51.25</v>
      </c>
      <c r="AP19" s="50">
        <f t="shared" ca="1" si="16"/>
        <v>11.666666666666664</v>
      </c>
      <c r="AQ19" s="1">
        <f t="shared" si="17"/>
        <v>16.399999999999999</v>
      </c>
      <c r="AR19" s="1">
        <f t="shared" ca="1" si="18"/>
        <v>0</v>
      </c>
      <c r="AS19" s="137">
        <f t="shared" si="19"/>
        <v>32.799999999999997</v>
      </c>
      <c r="AT19" s="389">
        <f t="shared" ca="1" si="20"/>
        <v>94.425877192982455</v>
      </c>
      <c r="AV19" s="9">
        <f t="shared" ref="AV19:AY20" si="46">AV18</f>
        <v>0</v>
      </c>
      <c r="AW19" s="1">
        <f t="shared" si="46"/>
        <v>0</v>
      </c>
      <c r="AX19" s="1">
        <f t="shared" si="46"/>
        <v>8200</v>
      </c>
      <c r="AY19" s="1">
        <f t="shared" si="46"/>
        <v>0</v>
      </c>
      <c r="AZ19" s="1">
        <f ca="1">OFFSET(DesignFile!$I$7,$T$12*($C$3+1-$B19),$P$12*(AV$14-1))</f>
        <v>0</v>
      </c>
      <c r="BA19" s="1">
        <f ca="1">OFFSET(DesignFile!$J$7,$T$12*($C$3+1-$B19),$P$12*(AV$14-1))</f>
        <v>0</v>
      </c>
      <c r="BB19" s="1">
        <f ca="1">IF(AY19=0,0,OFFSET(DesignFile!$H$15,$T$12*($C$3+1-$B19),$P$12*(AV$14-1))-BA19)</f>
        <v>0</v>
      </c>
      <c r="BC19" s="137">
        <f t="shared" ca="1" si="21"/>
        <v>300</v>
      </c>
      <c r="BD19" s="136">
        <f t="shared" si="22"/>
        <v>0</v>
      </c>
      <c r="BE19" s="50">
        <f t="shared" ca="1" si="23"/>
        <v>0</v>
      </c>
      <c r="BF19" s="1">
        <f t="shared" si="24"/>
        <v>16.399999999999999</v>
      </c>
      <c r="BG19" s="1">
        <f t="shared" ca="1" si="25"/>
        <v>0</v>
      </c>
      <c r="BH19" s="137">
        <f t="shared" si="26"/>
        <v>0</v>
      </c>
      <c r="BI19" s="389">
        <f t="shared" ca="1" si="27"/>
        <v>0</v>
      </c>
      <c r="BK19" s="9">
        <f t="shared" ref="BK19:BN20" si="47">BK18</f>
        <v>0</v>
      </c>
      <c r="BL19" s="1">
        <f t="shared" si="47"/>
        <v>0</v>
      </c>
      <c r="BM19" s="1">
        <f t="shared" si="47"/>
        <v>8200</v>
      </c>
      <c r="BN19" s="1">
        <f t="shared" si="47"/>
        <v>0</v>
      </c>
      <c r="BO19" s="1">
        <f ca="1">OFFSET(DesignFile!$I$7,$T$12*($C$3+1-$B19),$P$12*(BK$14-1))</f>
        <v>0</v>
      </c>
      <c r="BP19" s="1">
        <f ca="1">OFFSET(DesignFile!$J$7,$T$12*($C$3+1-$B19),$P$12*(BK$14-1))</f>
        <v>0</v>
      </c>
      <c r="BQ19" s="1">
        <f ca="1">IF(BN19=0,0,OFFSET(DesignFile!$H$15,$T$12*($C$3+1-$B19),$P$12*(BK$14-1))-BP19)</f>
        <v>0</v>
      </c>
      <c r="BR19" s="137">
        <f t="shared" ca="1" si="28"/>
        <v>0</v>
      </c>
      <c r="BS19" s="136">
        <f t="shared" si="29"/>
        <v>0</v>
      </c>
      <c r="BT19" s="50">
        <f t="shared" ca="1" si="30"/>
        <v>0</v>
      </c>
      <c r="BU19" s="1">
        <f t="shared" si="31"/>
        <v>16.399999999999999</v>
      </c>
      <c r="BV19" s="1">
        <f t="shared" ca="1" si="32"/>
        <v>0</v>
      </c>
      <c r="BW19" s="137">
        <f t="shared" si="33"/>
        <v>0</v>
      </c>
      <c r="BX19" s="389" t="e">
        <f t="shared" ca="1" si="34"/>
        <v>#DIV/0!</v>
      </c>
      <c r="BZ19" s="9">
        <f t="shared" ref="BZ19:CC20" si="48">BZ18</f>
        <v>0</v>
      </c>
      <c r="CA19" s="1">
        <f t="shared" si="48"/>
        <v>0</v>
      </c>
      <c r="CB19" s="1">
        <f t="shared" si="48"/>
        <v>8200</v>
      </c>
      <c r="CC19" s="1">
        <f t="shared" si="48"/>
        <v>0</v>
      </c>
      <c r="CD19" s="1">
        <f ca="1">OFFSET(DesignFile!$I$7,$T$12*($C$3+1-$B19),$P$12*(BZ$14-1))</f>
        <v>0</v>
      </c>
      <c r="CE19" s="1">
        <f ca="1">OFFSET(DesignFile!$J$7,$T$12*($C$3+1-$B19),$P$12*(BZ$14-1))</f>
        <v>0</v>
      </c>
      <c r="CF19" s="1">
        <f ca="1">IF(CC19=0,0,OFFSET(DesignFile!$H$15,$T$12*($C$3+1-$B19),$P$12*(BZ$14-1))-CE19)</f>
        <v>0</v>
      </c>
      <c r="CG19" s="137">
        <f t="shared" ca="1" si="35"/>
        <v>0</v>
      </c>
      <c r="CH19" s="136">
        <f t="shared" si="36"/>
        <v>0</v>
      </c>
      <c r="CI19" s="50">
        <f t="shared" ca="1" si="37"/>
        <v>0</v>
      </c>
      <c r="CJ19" s="1">
        <f t="shared" si="38"/>
        <v>16.399999999999999</v>
      </c>
      <c r="CK19" s="1">
        <f t="shared" ca="1" si="39"/>
        <v>0</v>
      </c>
      <c r="CL19" s="137">
        <f t="shared" si="40"/>
        <v>0</v>
      </c>
      <c r="CM19" s="389" t="e">
        <f t="shared" ca="1" si="41"/>
        <v>#DIV/0!</v>
      </c>
    </row>
    <row r="20" spans="1:91" x14ac:dyDescent="0.25">
      <c r="A20" s="1"/>
      <c r="B20" s="25">
        <f t="shared" si="42"/>
        <v>4</v>
      </c>
      <c r="C20" s="9">
        <f t="shared" si="43"/>
        <v>250</v>
      </c>
      <c r="D20" s="1">
        <f t="shared" si="43"/>
        <v>4</v>
      </c>
      <c r="E20" s="1">
        <f t="shared" si="43"/>
        <v>8200</v>
      </c>
      <c r="F20" s="1">
        <f t="shared" si="43"/>
        <v>0</v>
      </c>
      <c r="G20" s="1">
        <f ca="1">OFFSET(DesignFile!$I$7,$T$12*($C$3+1-$B20),$P$12*(C$14-1))</f>
        <v>400</v>
      </c>
      <c r="H20" s="1">
        <f ca="1">OFFSET(DesignFile!$J$7,$T$12*($C$3+1-$B20),$P$12*(C$14-1))</f>
        <v>750</v>
      </c>
      <c r="I20" s="1">
        <f ca="1">IF(F20=0,0,OFFSET(DesignFile!$H$15,$T$12*($C$3+1-$B20),$P$12*(C$14-1))-H20)</f>
        <v>0</v>
      </c>
      <c r="J20" s="137">
        <f t="shared" ca="1" si="0"/>
        <v>600</v>
      </c>
      <c r="K20" s="50">
        <f t="shared" si="1"/>
        <v>51.25</v>
      </c>
      <c r="L20" s="50">
        <f t="shared" ca="1" si="2"/>
        <v>11.666666666666664</v>
      </c>
      <c r="M20" s="1">
        <f t="shared" si="3"/>
        <v>16.399999999999999</v>
      </c>
      <c r="N20" s="1">
        <f t="shared" ca="1" si="4"/>
        <v>0</v>
      </c>
      <c r="O20" s="137">
        <f t="shared" si="5"/>
        <v>32.799999999999997</v>
      </c>
      <c r="P20" s="389">
        <f t="shared" ca="1" si="6"/>
        <v>94.425877192982455</v>
      </c>
      <c r="Q20" s="50"/>
      <c r="R20" s="9">
        <f t="shared" si="44"/>
        <v>250</v>
      </c>
      <c r="S20" s="1">
        <f t="shared" si="44"/>
        <v>4</v>
      </c>
      <c r="T20" s="1">
        <f t="shared" si="44"/>
        <v>8200</v>
      </c>
      <c r="U20" s="1">
        <f t="shared" si="44"/>
        <v>0</v>
      </c>
      <c r="V20" s="1">
        <f ca="1">OFFSET(DesignFile!$I$7,$T$12*($C$3+1-$B20),$P$12*(R$14-1))</f>
        <v>400</v>
      </c>
      <c r="W20" s="1">
        <f ca="1">OFFSET(DesignFile!$J$7,$T$12*($C$3+1-$B20),$P$12*(R$14-1))</f>
        <v>750</v>
      </c>
      <c r="X20" s="1">
        <f ca="1">IF(U20=0,0,OFFSET(DesignFile!$H$15,$T$12*($C$3+1-$B20),$P$12*(R$14-1))-W20)</f>
        <v>0</v>
      </c>
      <c r="Y20" s="137">
        <f t="shared" ca="1" si="7"/>
        <v>600</v>
      </c>
      <c r="Z20" s="136">
        <f t="shared" si="8"/>
        <v>51.25</v>
      </c>
      <c r="AA20" s="50">
        <f t="shared" ca="1" si="9"/>
        <v>11.666666666666664</v>
      </c>
      <c r="AB20" s="1">
        <f t="shared" si="10"/>
        <v>16.399999999999999</v>
      </c>
      <c r="AC20" s="1">
        <f t="shared" ca="1" si="11"/>
        <v>0</v>
      </c>
      <c r="AD20" s="137">
        <f t="shared" si="12"/>
        <v>32.799999999999997</v>
      </c>
      <c r="AE20" s="389">
        <f t="shared" ca="1" si="13"/>
        <v>94.425877192982455</v>
      </c>
      <c r="AG20" s="9">
        <f t="shared" si="45"/>
        <v>250</v>
      </c>
      <c r="AH20" s="1">
        <f t="shared" si="45"/>
        <v>4</v>
      </c>
      <c r="AI20" s="1">
        <f t="shared" si="45"/>
        <v>8200</v>
      </c>
      <c r="AJ20" s="1">
        <f t="shared" si="45"/>
        <v>0</v>
      </c>
      <c r="AK20" s="1">
        <f ca="1">OFFSET(DesignFile!$I$7,$T$12*($C$3+1-$B20),$P$12*(AG$14-1))</f>
        <v>400</v>
      </c>
      <c r="AL20" s="1">
        <f ca="1">OFFSET(DesignFile!$J$7,$T$12*($C$3+1-$B20),$P$12*(AG$14-1))</f>
        <v>750</v>
      </c>
      <c r="AM20" s="1">
        <f ca="1">IF(AJ20=0,0,OFFSET(DesignFile!$H$15,$T$12*($C$3+1-$B20),$P$12*(AG$14-1))-AL20)</f>
        <v>0</v>
      </c>
      <c r="AN20" s="137">
        <f t="shared" ca="1" si="14"/>
        <v>600</v>
      </c>
      <c r="AO20" s="136">
        <f t="shared" si="15"/>
        <v>51.25</v>
      </c>
      <c r="AP20" s="50">
        <f t="shared" ca="1" si="16"/>
        <v>11.666666666666664</v>
      </c>
      <c r="AQ20" s="1">
        <f t="shared" si="17"/>
        <v>16.399999999999999</v>
      </c>
      <c r="AR20" s="1">
        <f t="shared" ca="1" si="18"/>
        <v>0</v>
      </c>
      <c r="AS20" s="137">
        <f t="shared" si="19"/>
        <v>32.799999999999997</v>
      </c>
      <c r="AT20" s="389">
        <f t="shared" ca="1" si="20"/>
        <v>94.425877192982455</v>
      </c>
      <c r="AV20" s="9">
        <f t="shared" si="46"/>
        <v>0</v>
      </c>
      <c r="AW20" s="1">
        <f t="shared" si="46"/>
        <v>0</v>
      </c>
      <c r="AX20" s="1">
        <f t="shared" si="46"/>
        <v>8200</v>
      </c>
      <c r="AY20" s="1">
        <f t="shared" si="46"/>
        <v>0</v>
      </c>
      <c r="AZ20" s="1">
        <f ca="1">OFFSET(DesignFile!$I$7,$T$12*($C$3+1-$B20),$P$12*(AV$14-1))</f>
        <v>0</v>
      </c>
      <c r="BA20" s="1">
        <f ca="1">OFFSET(DesignFile!$J$7,$T$12*($C$3+1-$B20),$P$12*(AV$14-1))</f>
        <v>0</v>
      </c>
      <c r="BB20" s="1">
        <f ca="1">IF(AY20=0,0,OFFSET(DesignFile!$H$15,$T$12*($C$3+1-$B20),$P$12*(AV$14-1))-BA20)</f>
        <v>0</v>
      </c>
      <c r="BC20" s="137">
        <f t="shared" ca="1" si="21"/>
        <v>300</v>
      </c>
      <c r="BD20" s="136">
        <f t="shared" si="22"/>
        <v>0</v>
      </c>
      <c r="BE20" s="50">
        <f t="shared" ca="1" si="23"/>
        <v>0</v>
      </c>
      <c r="BF20" s="1">
        <f t="shared" si="24"/>
        <v>16.399999999999999</v>
      </c>
      <c r="BG20" s="1">
        <f t="shared" ca="1" si="25"/>
        <v>0</v>
      </c>
      <c r="BH20" s="137">
        <f t="shared" si="26"/>
        <v>0</v>
      </c>
      <c r="BI20" s="389">
        <f t="shared" ca="1" si="27"/>
        <v>0</v>
      </c>
      <c r="BK20" s="9">
        <f t="shared" si="47"/>
        <v>0</v>
      </c>
      <c r="BL20" s="1">
        <f t="shared" si="47"/>
        <v>0</v>
      </c>
      <c r="BM20" s="1">
        <f t="shared" si="47"/>
        <v>8200</v>
      </c>
      <c r="BN20" s="1">
        <f t="shared" si="47"/>
        <v>0</v>
      </c>
      <c r="BO20" s="1">
        <f ca="1">OFFSET(DesignFile!$I$7,$T$12*($C$3+1-$B20),$P$12*(BK$14-1))</f>
        <v>0</v>
      </c>
      <c r="BP20" s="1">
        <f ca="1">OFFSET(DesignFile!$J$7,$T$12*($C$3+1-$B20),$P$12*(BK$14-1))</f>
        <v>0</v>
      </c>
      <c r="BQ20" s="1">
        <f ca="1">IF(BN20=0,0,OFFSET(DesignFile!$H$15,$T$12*($C$3+1-$B20),$P$12*(BK$14-1))-BP20)</f>
        <v>0</v>
      </c>
      <c r="BR20" s="137">
        <f t="shared" ca="1" si="28"/>
        <v>0</v>
      </c>
      <c r="BS20" s="136">
        <f t="shared" si="29"/>
        <v>0</v>
      </c>
      <c r="BT20" s="50">
        <f t="shared" ca="1" si="30"/>
        <v>0</v>
      </c>
      <c r="BU20" s="1">
        <f t="shared" si="31"/>
        <v>16.399999999999999</v>
      </c>
      <c r="BV20" s="1">
        <f t="shared" ca="1" si="32"/>
        <v>0</v>
      </c>
      <c r="BW20" s="137">
        <f t="shared" si="33"/>
        <v>0</v>
      </c>
      <c r="BX20" s="389" t="e">
        <f t="shared" ca="1" si="34"/>
        <v>#DIV/0!</v>
      </c>
      <c r="BZ20" s="9">
        <f t="shared" si="48"/>
        <v>0</v>
      </c>
      <c r="CA20" s="1">
        <f t="shared" si="48"/>
        <v>0</v>
      </c>
      <c r="CB20" s="1">
        <f t="shared" si="48"/>
        <v>8200</v>
      </c>
      <c r="CC20" s="1">
        <f t="shared" si="48"/>
        <v>0</v>
      </c>
      <c r="CD20" s="1">
        <f ca="1">OFFSET(DesignFile!$I$7,$T$12*($C$3+1-$B20),$P$12*(BZ$14-1))</f>
        <v>0</v>
      </c>
      <c r="CE20" s="1">
        <f ca="1">OFFSET(DesignFile!$J$7,$T$12*($C$3+1-$B20),$P$12*(BZ$14-1))</f>
        <v>0</v>
      </c>
      <c r="CF20" s="1">
        <f ca="1">IF(CC20=0,0,OFFSET(DesignFile!$H$15,$T$12*($C$3+1-$B20),$P$12*(BZ$14-1))-CE20)</f>
        <v>0</v>
      </c>
      <c r="CG20" s="137">
        <f t="shared" ca="1" si="35"/>
        <v>0</v>
      </c>
      <c r="CH20" s="136">
        <f t="shared" si="36"/>
        <v>0</v>
      </c>
      <c r="CI20" s="50">
        <f t="shared" ca="1" si="37"/>
        <v>0</v>
      </c>
      <c r="CJ20" s="1">
        <f t="shared" si="38"/>
        <v>16.399999999999999</v>
      </c>
      <c r="CK20" s="1">
        <f t="shared" ca="1" si="39"/>
        <v>0</v>
      </c>
      <c r="CL20" s="137">
        <f t="shared" si="40"/>
        <v>0</v>
      </c>
      <c r="CM20" s="389" t="e">
        <f t="shared" ca="1" si="41"/>
        <v>#DIV/0!</v>
      </c>
    </row>
    <row r="21" spans="1:91" x14ac:dyDescent="0.25">
      <c r="A21" s="1"/>
      <c r="B21" s="25">
        <f t="shared" si="42"/>
        <v>3</v>
      </c>
      <c r="C21" s="9">
        <f t="shared" ref="C21:F23" si="49">C20</f>
        <v>250</v>
      </c>
      <c r="D21" s="1">
        <f t="shared" si="49"/>
        <v>4</v>
      </c>
      <c r="E21" s="1">
        <f t="shared" si="49"/>
        <v>8200</v>
      </c>
      <c r="F21" s="1">
        <f t="shared" si="49"/>
        <v>0</v>
      </c>
      <c r="G21" s="1">
        <f ca="1">OFFSET(DesignFile!$I$7,$T$12*($C$3+1-$B21),$P$12*(C$14-1))</f>
        <v>400</v>
      </c>
      <c r="H21" s="1">
        <f ca="1">OFFSET(DesignFile!$J$7,$T$12*($C$3+1-$B21),$P$12*(C$14-1))</f>
        <v>750</v>
      </c>
      <c r="I21" s="1">
        <f ca="1">IF(F21=0,0,OFFSET(DesignFile!$H$15,$T$12*($C$3+1-$B21),$P$12*(C$14-1))-H21)</f>
        <v>0</v>
      </c>
      <c r="J21" s="137">
        <f t="shared" ca="1" si="0"/>
        <v>600</v>
      </c>
      <c r="K21" s="50">
        <f t="shared" si="1"/>
        <v>51.25</v>
      </c>
      <c r="L21" s="50">
        <f t="shared" ca="1" si="2"/>
        <v>11.666666666666664</v>
      </c>
      <c r="M21" s="1">
        <f t="shared" si="3"/>
        <v>16.399999999999999</v>
      </c>
      <c r="N21" s="1">
        <f t="shared" ca="1" si="4"/>
        <v>0</v>
      </c>
      <c r="O21" s="137">
        <f t="shared" si="5"/>
        <v>32.799999999999997</v>
      </c>
      <c r="P21" s="389">
        <f t="shared" ca="1" si="6"/>
        <v>94.425877192982455</v>
      </c>
      <c r="Q21" s="50"/>
      <c r="R21" s="9">
        <f t="shared" ref="R21:R29" si="50">R20</f>
        <v>250</v>
      </c>
      <c r="S21" s="1">
        <f t="shared" ref="S21:U23" si="51">S20</f>
        <v>4</v>
      </c>
      <c r="T21" s="1">
        <f t="shared" si="51"/>
        <v>8200</v>
      </c>
      <c r="U21" s="1">
        <f t="shared" si="51"/>
        <v>0</v>
      </c>
      <c r="V21" s="1">
        <f ca="1">OFFSET(DesignFile!$I$7,$T$12*($C$3+1-$B21),$P$12*(R$14-1))</f>
        <v>400</v>
      </c>
      <c r="W21" s="1">
        <f ca="1">OFFSET(DesignFile!$J$7,$T$12*($C$3+1-$B21),$P$12*(R$14-1))</f>
        <v>750</v>
      </c>
      <c r="X21" s="1">
        <f ca="1">IF(U21=0,0,OFFSET(DesignFile!$H$15,$T$12*($C$3+1-$B21),$P$12*(R$14-1))-W21)</f>
        <v>0</v>
      </c>
      <c r="Y21" s="137">
        <f t="shared" ca="1" si="7"/>
        <v>600</v>
      </c>
      <c r="Z21" s="136">
        <f t="shared" si="8"/>
        <v>51.25</v>
      </c>
      <c r="AA21" s="50">
        <f t="shared" ca="1" si="9"/>
        <v>11.666666666666664</v>
      </c>
      <c r="AB21" s="1">
        <f t="shared" si="10"/>
        <v>16.399999999999999</v>
      </c>
      <c r="AC21" s="1">
        <f t="shared" ca="1" si="11"/>
        <v>0</v>
      </c>
      <c r="AD21" s="137">
        <f t="shared" si="12"/>
        <v>32.799999999999997</v>
      </c>
      <c r="AE21" s="389">
        <f t="shared" ca="1" si="13"/>
        <v>94.425877192982455</v>
      </c>
      <c r="AG21" s="9">
        <f t="shared" ref="AG21:AJ23" si="52">AG20</f>
        <v>250</v>
      </c>
      <c r="AH21" s="1">
        <f t="shared" si="52"/>
        <v>4</v>
      </c>
      <c r="AI21" s="1">
        <f t="shared" si="52"/>
        <v>8200</v>
      </c>
      <c r="AJ21" s="1">
        <f t="shared" si="52"/>
        <v>0</v>
      </c>
      <c r="AK21" s="1">
        <f ca="1">OFFSET(DesignFile!$I$7,$T$12*($C$3+1-$B21),$P$12*(AG$14-1))</f>
        <v>400</v>
      </c>
      <c r="AL21" s="1">
        <f ca="1">OFFSET(DesignFile!$J$7,$T$12*($C$3+1-$B21),$P$12*(AG$14-1))</f>
        <v>750</v>
      </c>
      <c r="AM21" s="1">
        <f ca="1">IF(AJ21=0,0,OFFSET(DesignFile!$H$15,$T$12*($C$3+1-$B21),$P$12*(AG$14-1))-AL21)</f>
        <v>0</v>
      </c>
      <c r="AN21" s="137">
        <f t="shared" ca="1" si="14"/>
        <v>600</v>
      </c>
      <c r="AO21" s="136">
        <f t="shared" si="15"/>
        <v>51.25</v>
      </c>
      <c r="AP21" s="50">
        <f t="shared" ca="1" si="16"/>
        <v>11.666666666666664</v>
      </c>
      <c r="AQ21" s="1">
        <f t="shared" si="17"/>
        <v>16.399999999999999</v>
      </c>
      <c r="AR21" s="1">
        <f t="shared" ca="1" si="18"/>
        <v>0</v>
      </c>
      <c r="AS21" s="137">
        <f t="shared" si="19"/>
        <v>32.799999999999997</v>
      </c>
      <c r="AT21" s="389">
        <f t="shared" ca="1" si="20"/>
        <v>94.425877192982455</v>
      </c>
      <c r="AV21" s="9">
        <f t="shared" ref="AV21:AY23" si="53">AV20</f>
        <v>0</v>
      </c>
      <c r="AW21" s="1">
        <f t="shared" si="53"/>
        <v>0</v>
      </c>
      <c r="AX21" s="1">
        <f t="shared" si="53"/>
        <v>8200</v>
      </c>
      <c r="AY21" s="1">
        <f t="shared" si="53"/>
        <v>0</v>
      </c>
      <c r="AZ21" s="1">
        <f ca="1">OFFSET(DesignFile!$I$7,$T$12*($C$3+1-$B21),$P$12*(AV$14-1))</f>
        <v>0</v>
      </c>
      <c r="BA21" s="1">
        <f ca="1">OFFSET(DesignFile!$J$7,$T$12*($C$3+1-$B21),$P$12*(AV$14-1))</f>
        <v>0</v>
      </c>
      <c r="BB21" s="1">
        <f ca="1">IF(AY21=0,0,OFFSET(DesignFile!$H$15,$T$12*($C$3+1-$B21),$P$12*(AV$14-1))-BA21)</f>
        <v>0</v>
      </c>
      <c r="BC21" s="137">
        <f t="shared" ca="1" si="21"/>
        <v>300</v>
      </c>
      <c r="BD21" s="136">
        <f t="shared" si="22"/>
        <v>0</v>
      </c>
      <c r="BE21" s="50">
        <f t="shared" ca="1" si="23"/>
        <v>0</v>
      </c>
      <c r="BF21" s="1">
        <f t="shared" si="24"/>
        <v>16.399999999999999</v>
      </c>
      <c r="BG21" s="1">
        <f t="shared" ca="1" si="25"/>
        <v>0</v>
      </c>
      <c r="BH21" s="137">
        <f t="shared" si="26"/>
        <v>0</v>
      </c>
      <c r="BI21" s="389">
        <f t="shared" ca="1" si="27"/>
        <v>0</v>
      </c>
      <c r="BK21" s="9">
        <f t="shared" ref="BK21:BN23" si="54">BK20</f>
        <v>0</v>
      </c>
      <c r="BL21" s="1">
        <f t="shared" si="54"/>
        <v>0</v>
      </c>
      <c r="BM21" s="1">
        <f t="shared" si="54"/>
        <v>8200</v>
      </c>
      <c r="BN21" s="1">
        <f t="shared" si="54"/>
        <v>0</v>
      </c>
      <c r="BO21" s="1">
        <f ca="1">OFFSET(DesignFile!$I$7,$T$12*($C$3+1-$B21),$P$12*(BK$14-1))</f>
        <v>0</v>
      </c>
      <c r="BP21" s="1">
        <f ca="1">OFFSET(DesignFile!$J$7,$T$12*($C$3+1-$B21),$P$12*(BK$14-1))</f>
        <v>0</v>
      </c>
      <c r="BQ21" s="1">
        <f ca="1">IF(BN21=0,0,OFFSET(DesignFile!$H$15,$T$12*($C$3+1-$B21),$P$12*(BK$14-1))-BP21)</f>
        <v>0</v>
      </c>
      <c r="BR21" s="137">
        <f t="shared" ca="1" si="28"/>
        <v>0</v>
      </c>
      <c r="BS21" s="136">
        <f t="shared" si="29"/>
        <v>0</v>
      </c>
      <c r="BT21" s="50">
        <f t="shared" ca="1" si="30"/>
        <v>0</v>
      </c>
      <c r="BU21" s="1">
        <f t="shared" si="31"/>
        <v>16.399999999999999</v>
      </c>
      <c r="BV21" s="1">
        <f t="shared" ca="1" si="32"/>
        <v>0</v>
      </c>
      <c r="BW21" s="137">
        <f t="shared" si="33"/>
        <v>0</v>
      </c>
      <c r="BX21" s="389" t="e">
        <f t="shared" ca="1" si="34"/>
        <v>#DIV/0!</v>
      </c>
      <c r="BZ21" s="9">
        <f t="shared" ref="BZ21:CC23" si="55">BZ20</f>
        <v>0</v>
      </c>
      <c r="CA21" s="1">
        <f t="shared" si="55"/>
        <v>0</v>
      </c>
      <c r="CB21" s="1">
        <f t="shared" si="55"/>
        <v>8200</v>
      </c>
      <c r="CC21" s="1">
        <f t="shared" si="55"/>
        <v>0</v>
      </c>
      <c r="CD21" s="1">
        <f ca="1">OFFSET(DesignFile!$I$7,$T$12*($C$3+1-$B21),$P$12*(BZ$14-1))</f>
        <v>0</v>
      </c>
      <c r="CE21" s="1">
        <f ca="1">OFFSET(DesignFile!$J$7,$T$12*($C$3+1-$B21),$P$12*(BZ$14-1))</f>
        <v>0</v>
      </c>
      <c r="CF21" s="1">
        <f ca="1">IF(CC21=0,0,OFFSET(DesignFile!$H$15,$T$12*($C$3+1-$B21),$P$12*(BZ$14-1))-CE21)</f>
        <v>0</v>
      </c>
      <c r="CG21" s="137">
        <f t="shared" ca="1" si="35"/>
        <v>0</v>
      </c>
      <c r="CH21" s="136">
        <f t="shared" si="36"/>
        <v>0</v>
      </c>
      <c r="CI21" s="50">
        <f t="shared" ca="1" si="37"/>
        <v>0</v>
      </c>
      <c r="CJ21" s="1">
        <f t="shared" si="38"/>
        <v>16.399999999999999</v>
      </c>
      <c r="CK21" s="1">
        <f t="shared" ca="1" si="39"/>
        <v>0</v>
      </c>
      <c r="CL21" s="137">
        <f t="shared" si="40"/>
        <v>0</v>
      </c>
      <c r="CM21" s="389" t="e">
        <f t="shared" ca="1" si="41"/>
        <v>#DIV/0!</v>
      </c>
    </row>
    <row r="22" spans="1:91" x14ac:dyDescent="0.25">
      <c r="A22" s="1"/>
      <c r="B22" s="25">
        <f t="shared" si="42"/>
        <v>2</v>
      </c>
      <c r="C22" s="9">
        <f t="shared" si="49"/>
        <v>250</v>
      </c>
      <c r="D22" s="1">
        <f t="shared" si="49"/>
        <v>4</v>
      </c>
      <c r="E22" s="1">
        <f t="shared" si="49"/>
        <v>8200</v>
      </c>
      <c r="F22" s="1">
        <f t="shared" si="49"/>
        <v>0</v>
      </c>
      <c r="G22" s="1">
        <f ca="1">OFFSET(DesignFile!$I$7,$T$12*($C$3+1-$B22),$P$12*(C$14-1))</f>
        <v>400</v>
      </c>
      <c r="H22" s="1">
        <f ca="1">OFFSET(DesignFile!$J$7,$T$12*($C$3+1-$B22),$P$12*(C$14-1))</f>
        <v>750</v>
      </c>
      <c r="I22" s="1">
        <f ca="1">IF(F22=0,0,OFFSET(DesignFile!$H$15,$T$12*($C$3+1-$B22),$P$12*(C$14-1))-H22)</f>
        <v>0</v>
      </c>
      <c r="J22" s="137">
        <f t="shared" ca="1" si="0"/>
        <v>600</v>
      </c>
      <c r="K22" s="50">
        <f t="shared" si="1"/>
        <v>51.25</v>
      </c>
      <c r="L22" s="50">
        <f t="shared" ca="1" si="2"/>
        <v>11.666666666666664</v>
      </c>
      <c r="M22" s="1">
        <f t="shared" si="3"/>
        <v>16.399999999999999</v>
      </c>
      <c r="N22" s="1">
        <f t="shared" ca="1" si="4"/>
        <v>0</v>
      </c>
      <c r="O22" s="137">
        <f t="shared" si="5"/>
        <v>32.799999999999997</v>
      </c>
      <c r="P22" s="389">
        <f t="shared" ca="1" si="6"/>
        <v>94.425877192982455</v>
      </c>
      <c r="Q22" s="50"/>
      <c r="R22" s="9">
        <f t="shared" si="50"/>
        <v>250</v>
      </c>
      <c r="S22" s="1">
        <f t="shared" si="51"/>
        <v>4</v>
      </c>
      <c r="T22" s="1">
        <f t="shared" si="51"/>
        <v>8200</v>
      </c>
      <c r="U22" s="1">
        <f t="shared" si="51"/>
        <v>0</v>
      </c>
      <c r="V22" s="1">
        <f ca="1">OFFSET(DesignFile!$I$7,$T$12*($C$3+1-$B22),$P$12*(R$14-1))</f>
        <v>400</v>
      </c>
      <c r="W22" s="1">
        <f ca="1">OFFSET(DesignFile!$J$7,$T$12*($C$3+1-$B22),$P$12*(R$14-1))</f>
        <v>750</v>
      </c>
      <c r="X22" s="1">
        <f ca="1">IF(U22=0,0,OFFSET(DesignFile!$H$15,$T$12*($C$3+1-$B22),$P$12*(R$14-1))-W22)</f>
        <v>0</v>
      </c>
      <c r="Y22" s="137">
        <f t="shared" ca="1" si="7"/>
        <v>600</v>
      </c>
      <c r="Z22" s="136">
        <f t="shared" si="8"/>
        <v>51.25</v>
      </c>
      <c r="AA22" s="50">
        <f t="shared" ca="1" si="9"/>
        <v>11.666666666666664</v>
      </c>
      <c r="AB22" s="1">
        <f t="shared" si="10"/>
        <v>16.399999999999999</v>
      </c>
      <c r="AC22" s="1">
        <f t="shared" ca="1" si="11"/>
        <v>0</v>
      </c>
      <c r="AD22" s="137">
        <f t="shared" si="12"/>
        <v>32.799999999999997</v>
      </c>
      <c r="AE22" s="389">
        <f t="shared" ca="1" si="13"/>
        <v>94.425877192982455</v>
      </c>
      <c r="AG22" s="9">
        <f t="shared" si="52"/>
        <v>250</v>
      </c>
      <c r="AH22" s="1">
        <f t="shared" si="52"/>
        <v>4</v>
      </c>
      <c r="AI22" s="1">
        <f t="shared" si="52"/>
        <v>8200</v>
      </c>
      <c r="AJ22" s="1">
        <f t="shared" si="52"/>
        <v>0</v>
      </c>
      <c r="AK22" s="1">
        <f ca="1">OFFSET(DesignFile!$I$7,$T$12*($C$3+1-$B22),$P$12*(AG$14-1))</f>
        <v>400</v>
      </c>
      <c r="AL22" s="1">
        <f ca="1">OFFSET(DesignFile!$J$7,$T$12*($C$3+1-$B22),$P$12*(AG$14-1))</f>
        <v>750</v>
      </c>
      <c r="AM22" s="1">
        <f ca="1">IF(AJ22=0,0,OFFSET(DesignFile!$H$15,$T$12*($C$3+1-$B22),$P$12*(AG$14-1))-AL22)</f>
        <v>0</v>
      </c>
      <c r="AN22" s="137">
        <f t="shared" ca="1" si="14"/>
        <v>600</v>
      </c>
      <c r="AO22" s="136">
        <f t="shared" si="15"/>
        <v>51.25</v>
      </c>
      <c r="AP22" s="50">
        <f t="shared" ca="1" si="16"/>
        <v>11.666666666666664</v>
      </c>
      <c r="AQ22" s="1">
        <f t="shared" si="17"/>
        <v>16.399999999999999</v>
      </c>
      <c r="AR22" s="1">
        <f t="shared" ca="1" si="18"/>
        <v>0</v>
      </c>
      <c r="AS22" s="137">
        <f t="shared" si="19"/>
        <v>32.799999999999997</v>
      </c>
      <c r="AT22" s="389">
        <f t="shared" ca="1" si="20"/>
        <v>94.425877192982455</v>
      </c>
      <c r="AV22" s="9">
        <f t="shared" si="53"/>
        <v>0</v>
      </c>
      <c r="AW22" s="1">
        <f t="shared" si="53"/>
        <v>0</v>
      </c>
      <c r="AX22" s="1">
        <f t="shared" si="53"/>
        <v>8200</v>
      </c>
      <c r="AY22" s="1">
        <f t="shared" si="53"/>
        <v>0</v>
      </c>
      <c r="AZ22" s="1">
        <f ca="1">OFFSET(DesignFile!$I$7,$T$12*($C$3+1-$B22),$P$12*(AV$14-1))</f>
        <v>0</v>
      </c>
      <c r="BA22" s="1">
        <f ca="1">OFFSET(DesignFile!$J$7,$T$12*($C$3+1-$B22),$P$12*(AV$14-1))</f>
        <v>0</v>
      </c>
      <c r="BB22" s="1">
        <f ca="1">IF(AY22=0,0,OFFSET(DesignFile!$H$15,$T$12*($C$3+1-$B22),$P$12*(AV$14-1))-BA22)</f>
        <v>0</v>
      </c>
      <c r="BC22" s="137">
        <f t="shared" ca="1" si="21"/>
        <v>300</v>
      </c>
      <c r="BD22" s="136">
        <f t="shared" si="22"/>
        <v>0</v>
      </c>
      <c r="BE22" s="50">
        <f t="shared" ca="1" si="23"/>
        <v>0</v>
      </c>
      <c r="BF22" s="1">
        <f t="shared" si="24"/>
        <v>16.399999999999999</v>
      </c>
      <c r="BG22" s="1">
        <f t="shared" ca="1" si="25"/>
        <v>0</v>
      </c>
      <c r="BH22" s="137">
        <f t="shared" si="26"/>
        <v>0</v>
      </c>
      <c r="BI22" s="389">
        <f t="shared" ca="1" si="27"/>
        <v>0</v>
      </c>
      <c r="BK22" s="9">
        <f t="shared" si="54"/>
        <v>0</v>
      </c>
      <c r="BL22" s="1">
        <f t="shared" si="54"/>
        <v>0</v>
      </c>
      <c r="BM22" s="1">
        <f t="shared" si="54"/>
        <v>8200</v>
      </c>
      <c r="BN22" s="1">
        <f t="shared" si="54"/>
        <v>0</v>
      </c>
      <c r="BO22" s="1">
        <f ca="1">OFFSET(DesignFile!$I$7,$T$12*($C$3+1-$B22),$P$12*(BK$14-1))</f>
        <v>0</v>
      </c>
      <c r="BP22" s="1">
        <f ca="1">OFFSET(DesignFile!$J$7,$T$12*($C$3+1-$B22),$P$12*(BK$14-1))</f>
        <v>0</v>
      </c>
      <c r="BQ22" s="1">
        <f ca="1">IF(BN22=0,0,OFFSET(DesignFile!$H$15,$T$12*($C$3+1-$B22),$P$12*(BK$14-1))-BP22)</f>
        <v>0</v>
      </c>
      <c r="BR22" s="137">
        <f t="shared" ca="1" si="28"/>
        <v>0</v>
      </c>
      <c r="BS22" s="136">
        <f t="shared" si="29"/>
        <v>0</v>
      </c>
      <c r="BT22" s="50">
        <f t="shared" ca="1" si="30"/>
        <v>0</v>
      </c>
      <c r="BU22" s="1">
        <f t="shared" si="31"/>
        <v>16.399999999999999</v>
      </c>
      <c r="BV22" s="1">
        <f t="shared" ca="1" si="32"/>
        <v>0</v>
      </c>
      <c r="BW22" s="137">
        <f t="shared" si="33"/>
        <v>0</v>
      </c>
      <c r="BX22" s="389" t="e">
        <f t="shared" ca="1" si="34"/>
        <v>#DIV/0!</v>
      </c>
      <c r="BZ22" s="9">
        <f t="shared" si="55"/>
        <v>0</v>
      </c>
      <c r="CA22" s="1">
        <f t="shared" si="55"/>
        <v>0</v>
      </c>
      <c r="CB22" s="1">
        <f t="shared" si="55"/>
        <v>8200</v>
      </c>
      <c r="CC22" s="1">
        <f t="shared" si="55"/>
        <v>0</v>
      </c>
      <c r="CD22" s="1">
        <f ca="1">OFFSET(DesignFile!$I$7,$T$12*($C$3+1-$B22),$P$12*(BZ$14-1))</f>
        <v>0</v>
      </c>
      <c r="CE22" s="1">
        <f ca="1">OFFSET(DesignFile!$J$7,$T$12*($C$3+1-$B22),$P$12*(BZ$14-1))</f>
        <v>0</v>
      </c>
      <c r="CF22" s="1">
        <f ca="1">IF(CC22=0,0,OFFSET(DesignFile!$H$15,$T$12*($C$3+1-$B22),$P$12*(BZ$14-1))-CE22)</f>
        <v>0</v>
      </c>
      <c r="CG22" s="137">
        <f t="shared" ca="1" si="35"/>
        <v>0</v>
      </c>
      <c r="CH22" s="136">
        <f t="shared" si="36"/>
        <v>0</v>
      </c>
      <c r="CI22" s="50">
        <f t="shared" ca="1" si="37"/>
        <v>0</v>
      </c>
      <c r="CJ22" s="1">
        <f t="shared" si="38"/>
        <v>16.399999999999999</v>
      </c>
      <c r="CK22" s="1">
        <f t="shared" ca="1" si="39"/>
        <v>0</v>
      </c>
      <c r="CL22" s="137">
        <f t="shared" si="40"/>
        <v>0</v>
      </c>
      <c r="CM22" s="389" t="e">
        <f t="shared" ca="1" si="41"/>
        <v>#DIV/0!</v>
      </c>
    </row>
    <row r="23" spans="1:91" x14ac:dyDescent="0.25">
      <c r="A23" s="1"/>
      <c r="B23" s="25" t="e">
        <f t="shared" si="42"/>
        <v>#N/A</v>
      </c>
      <c r="C23" s="9">
        <f t="shared" si="49"/>
        <v>250</v>
      </c>
      <c r="D23" s="1">
        <f t="shared" si="49"/>
        <v>4</v>
      </c>
      <c r="E23" s="1">
        <f t="shared" si="49"/>
        <v>8200</v>
      </c>
      <c r="F23" s="1">
        <f t="shared" si="49"/>
        <v>0</v>
      </c>
      <c r="G23" s="1" t="e">
        <f ca="1">OFFSET(DesignFile!$I$7,$T$12*($C$3+1-$B23),$P$12*(C$14-1))</f>
        <v>#N/A</v>
      </c>
      <c r="H23" s="1" t="e">
        <f ca="1">OFFSET(DesignFile!$J$7,$T$12*($C$3+1-$B23),$P$12*(C$14-1))</f>
        <v>#N/A</v>
      </c>
      <c r="I23" s="1">
        <f ca="1">IF(F23=0,0,OFFSET(DesignFile!$H$15,$T$12*($C$3+1-$B23),$P$12*(C$14-1))-H23)</f>
        <v>0</v>
      </c>
      <c r="J23" s="137" t="e">
        <f t="shared" ca="1" si="0"/>
        <v>#N/A</v>
      </c>
      <c r="K23" s="50">
        <f t="shared" si="1"/>
        <v>51.25</v>
      </c>
      <c r="L23" s="50" t="e">
        <f t="shared" ca="1" si="2"/>
        <v>#N/A</v>
      </c>
      <c r="M23" s="1">
        <f t="shared" si="3"/>
        <v>16.399999999999999</v>
      </c>
      <c r="N23" s="1">
        <f t="shared" ca="1" si="4"/>
        <v>0</v>
      </c>
      <c r="O23" s="137">
        <f t="shared" si="5"/>
        <v>32.799999999999997</v>
      </c>
      <c r="P23" s="389" t="e">
        <f t="shared" ca="1" si="6"/>
        <v>#N/A</v>
      </c>
      <c r="Q23" s="50"/>
      <c r="R23" s="9">
        <f t="shared" si="50"/>
        <v>250</v>
      </c>
      <c r="S23" s="1">
        <f t="shared" si="51"/>
        <v>4</v>
      </c>
      <c r="T23" s="1">
        <f t="shared" si="51"/>
        <v>8200</v>
      </c>
      <c r="U23" s="1">
        <f t="shared" si="51"/>
        <v>0</v>
      </c>
      <c r="V23" s="1" t="e">
        <f ca="1">OFFSET(DesignFile!$I$7,$T$12*($C$3+1-$B23),$P$12*(R$14-1))</f>
        <v>#N/A</v>
      </c>
      <c r="W23" s="1" t="e">
        <f ca="1">OFFSET(DesignFile!$J$7,$T$12*($C$3+1-$B23),$P$12*(R$14-1))</f>
        <v>#N/A</v>
      </c>
      <c r="X23" s="1">
        <f ca="1">IF(U23=0,0,OFFSET(DesignFile!$H$15,$T$12*($C$3+1-$B23),$P$12*(R$14-1))-W23)</f>
        <v>0</v>
      </c>
      <c r="Y23" s="137" t="e">
        <f t="shared" ca="1" si="7"/>
        <v>#N/A</v>
      </c>
      <c r="Z23" s="136">
        <f t="shared" si="8"/>
        <v>51.25</v>
      </c>
      <c r="AA23" s="50" t="e">
        <f t="shared" ca="1" si="9"/>
        <v>#N/A</v>
      </c>
      <c r="AB23" s="1">
        <f t="shared" si="10"/>
        <v>16.399999999999999</v>
      </c>
      <c r="AC23" s="1">
        <f t="shared" ca="1" si="11"/>
        <v>0</v>
      </c>
      <c r="AD23" s="137">
        <f t="shared" si="12"/>
        <v>32.799999999999997</v>
      </c>
      <c r="AE23" s="389" t="e">
        <f t="shared" ca="1" si="13"/>
        <v>#N/A</v>
      </c>
      <c r="AG23" s="9">
        <f t="shared" si="52"/>
        <v>250</v>
      </c>
      <c r="AH23" s="1">
        <f t="shared" si="52"/>
        <v>4</v>
      </c>
      <c r="AI23" s="1">
        <f t="shared" si="52"/>
        <v>8200</v>
      </c>
      <c r="AJ23" s="1">
        <f t="shared" si="52"/>
        <v>0</v>
      </c>
      <c r="AK23" s="1" t="e">
        <f ca="1">OFFSET(DesignFile!$I$7,$T$12*($C$3+1-$B23),$P$12*(AG$14-1))</f>
        <v>#N/A</v>
      </c>
      <c r="AL23" s="1" t="e">
        <f ca="1">OFFSET(DesignFile!$J$7,$T$12*($C$3+1-$B23),$P$12*(AG$14-1))</f>
        <v>#N/A</v>
      </c>
      <c r="AM23" s="1">
        <f ca="1">IF(AJ23=0,0,OFFSET(DesignFile!$H$15,$T$12*($C$3+1-$B23),$P$12*(AG$14-1))-AL23)</f>
        <v>0</v>
      </c>
      <c r="AN23" s="137" t="e">
        <f t="shared" ca="1" si="14"/>
        <v>#N/A</v>
      </c>
      <c r="AO23" s="136">
        <f t="shared" si="15"/>
        <v>51.25</v>
      </c>
      <c r="AP23" s="50" t="e">
        <f t="shared" ca="1" si="16"/>
        <v>#N/A</v>
      </c>
      <c r="AQ23" s="1">
        <f t="shared" si="17"/>
        <v>16.399999999999999</v>
      </c>
      <c r="AR23" s="1">
        <f t="shared" ca="1" si="18"/>
        <v>0</v>
      </c>
      <c r="AS23" s="137">
        <f t="shared" si="19"/>
        <v>32.799999999999997</v>
      </c>
      <c r="AT23" s="389" t="e">
        <f t="shared" ca="1" si="20"/>
        <v>#N/A</v>
      </c>
      <c r="AV23" s="9">
        <f t="shared" si="53"/>
        <v>0</v>
      </c>
      <c r="AW23" s="1">
        <f t="shared" si="53"/>
        <v>0</v>
      </c>
      <c r="AX23" s="1">
        <f t="shared" si="53"/>
        <v>8200</v>
      </c>
      <c r="AY23" s="1">
        <f t="shared" si="53"/>
        <v>0</v>
      </c>
      <c r="AZ23" s="1" t="e">
        <f ca="1">OFFSET(DesignFile!$I$7,$T$12*($C$3+1-$B23),$P$12*(AV$14-1))</f>
        <v>#N/A</v>
      </c>
      <c r="BA23" s="1" t="e">
        <f ca="1">OFFSET(DesignFile!$J$7,$T$12*($C$3+1-$B23),$P$12*(AV$14-1))</f>
        <v>#N/A</v>
      </c>
      <c r="BB23" s="1">
        <f ca="1">IF(AY23=0,0,OFFSET(DesignFile!$H$15,$T$12*($C$3+1-$B23),$P$12*(AV$14-1))-BA23)</f>
        <v>0</v>
      </c>
      <c r="BC23" s="137" t="e">
        <f t="shared" ca="1" si="21"/>
        <v>#N/A</v>
      </c>
      <c r="BD23" s="136">
        <f t="shared" si="22"/>
        <v>0</v>
      </c>
      <c r="BE23" s="50" t="e">
        <f t="shared" ca="1" si="23"/>
        <v>#N/A</v>
      </c>
      <c r="BF23" s="1">
        <f t="shared" si="24"/>
        <v>16.399999999999999</v>
      </c>
      <c r="BG23" s="1">
        <f t="shared" ca="1" si="25"/>
        <v>0</v>
      </c>
      <c r="BH23" s="137">
        <f t="shared" si="26"/>
        <v>0</v>
      </c>
      <c r="BI23" s="389" t="e">
        <f t="shared" ca="1" si="27"/>
        <v>#N/A</v>
      </c>
      <c r="BK23" s="9">
        <f t="shared" si="54"/>
        <v>0</v>
      </c>
      <c r="BL23" s="1">
        <f t="shared" si="54"/>
        <v>0</v>
      </c>
      <c r="BM23" s="1">
        <f t="shared" si="54"/>
        <v>8200</v>
      </c>
      <c r="BN23" s="1">
        <f t="shared" si="54"/>
        <v>0</v>
      </c>
      <c r="BO23" s="1" t="e">
        <f ca="1">OFFSET(DesignFile!$I$7,$T$12*($C$3+1-$B23),$P$12*(BK$14-1))</f>
        <v>#N/A</v>
      </c>
      <c r="BP23" s="1" t="e">
        <f ca="1">OFFSET(DesignFile!$J$7,$T$12*($C$3+1-$B23),$P$12*(BK$14-1))</f>
        <v>#N/A</v>
      </c>
      <c r="BQ23" s="1">
        <f ca="1">IF(BN23=0,0,OFFSET(DesignFile!$H$15,$T$12*($C$3+1-$B23),$P$12*(BK$14-1))-BP23)</f>
        <v>0</v>
      </c>
      <c r="BR23" s="137" t="e">
        <f t="shared" ca="1" si="28"/>
        <v>#N/A</v>
      </c>
      <c r="BS23" s="136">
        <f t="shared" si="29"/>
        <v>0</v>
      </c>
      <c r="BT23" s="50" t="e">
        <f t="shared" ca="1" si="30"/>
        <v>#N/A</v>
      </c>
      <c r="BU23" s="1">
        <f t="shared" si="31"/>
        <v>16.399999999999999</v>
      </c>
      <c r="BV23" s="1">
        <f t="shared" ca="1" si="32"/>
        <v>0</v>
      </c>
      <c r="BW23" s="137">
        <f t="shared" si="33"/>
        <v>0</v>
      </c>
      <c r="BX23" s="389" t="e">
        <f t="shared" ca="1" si="34"/>
        <v>#N/A</v>
      </c>
      <c r="BZ23" s="9">
        <f t="shared" si="55"/>
        <v>0</v>
      </c>
      <c r="CA23" s="1">
        <f t="shared" si="55"/>
        <v>0</v>
      </c>
      <c r="CB23" s="1">
        <f t="shared" si="55"/>
        <v>8200</v>
      </c>
      <c r="CC23" s="1">
        <f t="shared" si="55"/>
        <v>0</v>
      </c>
      <c r="CD23" s="1" t="e">
        <f ca="1">OFFSET(DesignFile!$I$7,$T$12*($C$3+1-$B23),$P$12*(BZ$14-1))</f>
        <v>#N/A</v>
      </c>
      <c r="CE23" s="1" t="e">
        <f ca="1">OFFSET(DesignFile!$J$7,$T$12*($C$3+1-$B23),$P$12*(BZ$14-1))</f>
        <v>#N/A</v>
      </c>
      <c r="CF23" s="1">
        <f ca="1">IF(CC23=0,0,OFFSET(DesignFile!$H$15,$T$12*($C$3+1-$B23),$P$12*(BZ$14-1))-CE23)</f>
        <v>0</v>
      </c>
      <c r="CG23" s="137" t="e">
        <f t="shared" ca="1" si="35"/>
        <v>#N/A</v>
      </c>
      <c r="CH23" s="136">
        <f t="shared" si="36"/>
        <v>0</v>
      </c>
      <c r="CI23" s="50" t="e">
        <f t="shared" ca="1" si="37"/>
        <v>#N/A</v>
      </c>
      <c r="CJ23" s="1">
        <f t="shared" si="38"/>
        <v>16.399999999999999</v>
      </c>
      <c r="CK23" s="1">
        <f t="shared" ca="1" si="39"/>
        <v>0</v>
      </c>
      <c r="CL23" s="137">
        <f t="shared" si="40"/>
        <v>0</v>
      </c>
      <c r="CM23" s="389" t="e">
        <f t="shared" ca="1" si="41"/>
        <v>#N/A</v>
      </c>
    </row>
    <row r="24" spans="1:91" x14ac:dyDescent="0.25">
      <c r="A24" s="1"/>
      <c r="B24" s="25" t="e">
        <f t="shared" si="42"/>
        <v>#N/A</v>
      </c>
      <c r="C24" s="9">
        <f t="shared" ref="C24:F29" si="56">C23</f>
        <v>250</v>
      </c>
      <c r="D24" s="1">
        <f t="shared" si="56"/>
        <v>4</v>
      </c>
      <c r="E24" s="1">
        <f t="shared" si="56"/>
        <v>8200</v>
      </c>
      <c r="F24" s="1">
        <f t="shared" si="56"/>
        <v>0</v>
      </c>
      <c r="G24" s="1" t="e">
        <f ca="1">OFFSET(DesignFile!$I$7,$T$12*($C$3+1-$B24),$P$12*(C$14-1))</f>
        <v>#N/A</v>
      </c>
      <c r="H24" s="1" t="e">
        <f ca="1">OFFSET(DesignFile!$J$7,$T$12*($C$3+1-$B24),$P$12*(C$14-1))</f>
        <v>#N/A</v>
      </c>
      <c r="I24" s="1">
        <f ca="1">IF(F24=0,0,OFFSET(DesignFile!$H$15,$T$12*($C$3+1-$B24),$P$12*(C$14-1))-H24)</f>
        <v>0</v>
      </c>
      <c r="J24" s="137" t="e">
        <f t="shared" ca="1" si="0"/>
        <v>#N/A</v>
      </c>
      <c r="K24" s="50">
        <f t="shared" ref="K24:K29" si="57">$D$5*C24*E24/1000000</f>
        <v>51.25</v>
      </c>
      <c r="L24" s="50" t="e">
        <f t="shared" ca="1" si="2"/>
        <v>#N/A</v>
      </c>
      <c r="M24" s="1">
        <f t="shared" ref="M24:M29" si="58">$D$7*E24/1000</f>
        <v>16.399999999999999</v>
      </c>
      <c r="N24" s="1">
        <f t="shared" ref="N24:N29" ca="1" si="59">$D$6*F24*I24/1000000</f>
        <v>0</v>
      </c>
      <c r="O24" s="137">
        <f t="shared" ref="O24:O29" si="60">D24*E24/1000</f>
        <v>32.799999999999997</v>
      </c>
      <c r="P24" s="389" t="e">
        <f t="shared" ca="1" si="6"/>
        <v>#N/A</v>
      </c>
      <c r="Q24" s="50"/>
      <c r="R24" s="9">
        <f t="shared" si="50"/>
        <v>250</v>
      </c>
      <c r="S24" s="1">
        <f t="shared" ref="S24:U29" si="61">S23</f>
        <v>4</v>
      </c>
      <c r="T24" s="1">
        <f t="shared" si="61"/>
        <v>8200</v>
      </c>
      <c r="U24" s="1">
        <f t="shared" si="61"/>
        <v>0</v>
      </c>
      <c r="V24" s="1" t="e">
        <f ca="1">OFFSET(DesignFile!$I$7,$T$12*($C$3+1-$B24),$P$12*(R$14-1))</f>
        <v>#N/A</v>
      </c>
      <c r="W24" s="1" t="e">
        <f ca="1">OFFSET(DesignFile!$J$7,$T$12*($C$3+1-$B24),$P$12*(R$14-1))</f>
        <v>#N/A</v>
      </c>
      <c r="X24" s="1">
        <f ca="1">IF(U24=0,0,OFFSET(DesignFile!$H$15,$T$12*($C$3+1-$B24),$P$12*(R$14-1))-W24)</f>
        <v>0</v>
      </c>
      <c r="Y24" s="137" t="e">
        <f t="shared" ca="1" si="7"/>
        <v>#N/A</v>
      </c>
      <c r="Z24" s="136">
        <f t="shared" ref="Z24:Z29" si="62">$D$5*R24*T24/1000000</f>
        <v>51.25</v>
      </c>
      <c r="AA24" s="50" t="e">
        <f t="shared" ca="1" si="9"/>
        <v>#N/A</v>
      </c>
      <c r="AB24" s="1">
        <f t="shared" ref="AB24:AB29" si="63">$D$7*T24/1000</f>
        <v>16.399999999999999</v>
      </c>
      <c r="AC24" s="1">
        <f t="shared" ref="AC24:AC29" ca="1" si="64">$D$6*U24*X24/1000000</f>
        <v>0</v>
      </c>
      <c r="AD24" s="137">
        <f t="shared" ref="AD24:AD29" si="65">S24*T24/1000</f>
        <v>32.799999999999997</v>
      </c>
      <c r="AE24" s="389" t="e">
        <f t="shared" ca="1" si="13"/>
        <v>#N/A</v>
      </c>
      <c r="AG24" s="9">
        <f t="shared" ref="AG24:AJ29" si="66">AG23</f>
        <v>250</v>
      </c>
      <c r="AH24" s="1">
        <f t="shared" si="66"/>
        <v>4</v>
      </c>
      <c r="AI24" s="1">
        <f t="shared" si="66"/>
        <v>8200</v>
      </c>
      <c r="AJ24" s="1">
        <f t="shared" si="66"/>
        <v>0</v>
      </c>
      <c r="AK24" s="1" t="e">
        <f ca="1">OFFSET(DesignFile!$I$7,$T$12*($C$3+1-$B24),$P$12*(AG$14-1))</f>
        <v>#N/A</v>
      </c>
      <c r="AL24" s="1" t="e">
        <f ca="1">OFFSET(DesignFile!$J$7,$T$12*($C$3+1-$B24),$P$12*(AG$14-1))</f>
        <v>#N/A</v>
      </c>
      <c r="AM24" s="1">
        <f ca="1">IF(AJ24=0,0,OFFSET(DesignFile!$H$15,$T$12*($C$3+1-$B24),$P$12*(AG$14-1))-AL24)</f>
        <v>0</v>
      </c>
      <c r="AN24" s="137" t="e">
        <f t="shared" ca="1" si="14"/>
        <v>#N/A</v>
      </c>
      <c r="AO24" s="136">
        <f t="shared" ref="AO24:AO29" si="67">$D$5*AG24*AI24/1000000</f>
        <v>51.25</v>
      </c>
      <c r="AP24" s="50" t="e">
        <f t="shared" ca="1" si="16"/>
        <v>#N/A</v>
      </c>
      <c r="AQ24" s="1">
        <f t="shared" ref="AQ24:AQ29" si="68">$D$7*AI24/1000</f>
        <v>16.399999999999999</v>
      </c>
      <c r="AR24" s="1">
        <f t="shared" ref="AR24:AR29" ca="1" si="69">$D$6*AJ24*AM24/1000000</f>
        <v>0</v>
      </c>
      <c r="AS24" s="137">
        <f t="shared" ref="AS24:AS29" si="70">AH24*AI24/1000</f>
        <v>32.799999999999997</v>
      </c>
      <c r="AT24" s="389" t="e">
        <f t="shared" ca="1" si="20"/>
        <v>#N/A</v>
      </c>
      <c r="AV24" s="9">
        <f t="shared" ref="AV24:AY29" si="71">AV23</f>
        <v>0</v>
      </c>
      <c r="AW24" s="1">
        <f t="shared" si="71"/>
        <v>0</v>
      </c>
      <c r="AX24" s="1">
        <f t="shared" si="71"/>
        <v>8200</v>
      </c>
      <c r="AY24" s="1">
        <f t="shared" si="71"/>
        <v>0</v>
      </c>
      <c r="AZ24" s="1" t="e">
        <f ca="1">OFFSET(DesignFile!$I$7,$T$12*($C$3+1-$B24),$P$12*(AV$14-1))</f>
        <v>#N/A</v>
      </c>
      <c r="BA24" s="1" t="e">
        <f ca="1">OFFSET(DesignFile!$J$7,$T$12*($C$3+1-$B24),$P$12*(AV$14-1))</f>
        <v>#N/A</v>
      </c>
      <c r="BB24" s="1">
        <f ca="1">IF(AY24=0,0,OFFSET(DesignFile!$H$15,$T$12*($C$3+1-$B24),$P$12*(AV$14-1))-BA24)</f>
        <v>0</v>
      </c>
      <c r="BC24" s="137" t="e">
        <f t="shared" ca="1" si="21"/>
        <v>#N/A</v>
      </c>
      <c r="BD24" s="136">
        <f t="shared" ref="BD24:BD29" si="72">$D$5*AV24*AX24/1000000</f>
        <v>0</v>
      </c>
      <c r="BE24" s="50" t="e">
        <f t="shared" ca="1" si="23"/>
        <v>#N/A</v>
      </c>
      <c r="BF24" s="1">
        <f t="shared" ref="BF24:BF29" si="73">$D$7*AX24/1000</f>
        <v>16.399999999999999</v>
      </c>
      <c r="BG24" s="1">
        <f t="shared" ref="BG24:BG29" ca="1" si="74">$D$6*AY24*BB24/1000000</f>
        <v>0</v>
      </c>
      <c r="BH24" s="137">
        <f t="shared" ref="BH24:BH29" si="75">AW24*AX24/1000</f>
        <v>0</v>
      </c>
      <c r="BI24" s="389" t="e">
        <f t="shared" ca="1" si="27"/>
        <v>#N/A</v>
      </c>
      <c r="BK24" s="9">
        <f t="shared" ref="BK24:BN29" si="76">BK23</f>
        <v>0</v>
      </c>
      <c r="BL24" s="1">
        <f t="shared" si="76"/>
        <v>0</v>
      </c>
      <c r="BM24" s="1">
        <f t="shared" si="76"/>
        <v>8200</v>
      </c>
      <c r="BN24" s="1">
        <f t="shared" si="76"/>
        <v>0</v>
      </c>
      <c r="BO24" s="1" t="e">
        <f ca="1">OFFSET(DesignFile!$I$7,$T$12*($C$3+1-$B24),$P$12*(BK$14-1))</f>
        <v>#N/A</v>
      </c>
      <c r="BP24" s="1" t="e">
        <f ca="1">OFFSET(DesignFile!$J$7,$T$12*($C$3+1-$B24),$P$12*(BK$14-1))</f>
        <v>#N/A</v>
      </c>
      <c r="BQ24" s="1">
        <f ca="1">IF(BN24=0,0,OFFSET(DesignFile!$H$15,$T$12*($C$3+1-$B24),$P$12*(BK$14-1))-BP24)</f>
        <v>0</v>
      </c>
      <c r="BR24" s="137" t="e">
        <f t="shared" ca="1" si="28"/>
        <v>#N/A</v>
      </c>
      <c r="BS24" s="136">
        <f t="shared" ref="BS24:BS29" si="77">$D$5*BK24*BM24/1000000</f>
        <v>0</v>
      </c>
      <c r="BT24" s="50" t="e">
        <f t="shared" ca="1" si="30"/>
        <v>#N/A</v>
      </c>
      <c r="BU24" s="1">
        <f t="shared" ref="BU24:BU29" si="78">$D$7*BM24/1000</f>
        <v>16.399999999999999</v>
      </c>
      <c r="BV24" s="1">
        <f t="shared" ref="BV24:BV29" ca="1" si="79">$D$6*BN24*BQ24/1000000</f>
        <v>0</v>
      </c>
      <c r="BW24" s="137">
        <f t="shared" ref="BW24:BW29" si="80">BL24*BM24/1000</f>
        <v>0</v>
      </c>
      <c r="BX24" s="389" t="e">
        <f t="shared" ca="1" si="34"/>
        <v>#N/A</v>
      </c>
      <c r="BZ24" s="9">
        <f t="shared" ref="BZ24:CC29" si="81">BZ23</f>
        <v>0</v>
      </c>
      <c r="CA24" s="1">
        <f t="shared" si="81"/>
        <v>0</v>
      </c>
      <c r="CB24" s="1">
        <f t="shared" si="81"/>
        <v>8200</v>
      </c>
      <c r="CC24" s="1">
        <f t="shared" si="81"/>
        <v>0</v>
      </c>
      <c r="CD24" s="1" t="e">
        <f ca="1">OFFSET(DesignFile!$I$7,$T$12*($C$3+1-$B24),$P$12*(BZ$14-1))</f>
        <v>#N/A</v>
      </c>
      <c r="CE24" s="1" t="e">
        <f ca="1">OFFSET(DesignFile!$J$7,$T$12*($C$3+1-$B24),$P$12*(BZ$14-1))</f>
        <v>#N/A</v>
      </c>
      <c r="CF24" s="1">
        <f ca="1">IF(CC24=0,0,OFFSET(DesignFile!$H$15,$T$12*($C$3+1-$B24),$P$12*(BZ$14-1))-CE24)</f>
        <v>0</v>
      </c>
      <c r="CG24" s="137" t="e">
        <f t="shared" ca="1" si="35"/>
        <v>#N/A</v>
      </c>
      <c r="CH24" s="136">
        <f t="shared" ref="CH24:CH29" si="82">$D$5*BZ24*CB24/1000000</f>
        <v>0</v>
      </c>
      <c r="CI24" s="50" t="e">
        <f t="shared" ref="CI24:CI29" ca="1" si="83">$D$5*CD24*(CE24-BZ24)/1000000</f>
        <v>#N/A</v>
      </c>
      <c r="CJ24" s="1">
        <f t="shared" ref="CJ24:CJ29" si="84">$D$7*CB24/1000</f>
        <v>16.399999999999999</v>
      </c>
      <c r="CK24" s="1">
        <f t="shared" ref="CK24:CK29" ca="1" si="85">$D$6*CC24*CF24/1000000</f>
        <v>0</v>
      </c>
      <c r="CL24" s="137">
        <f t="shared" ref="CL24:CL29" si="86">CA24*CB24/1000</f>
        <v>0</v>
      </c>
      <c r="CM24" s="389" t="e">
        <f t="shared" ca="1" si="41"/>
        <v>#N/A</v>
      </c>
    </row>
    <row r="25" spans="1:91" x14ac:dyDescent="0.25">
      <c r="A25" s="1"/>
      <c r="B25" s="25" t="e">
        <f t="shared" si="42"/>
        <v>#N/A</v>
      </c>
      <c r="C25" s="9">
        <f t="shared" si="56"/>
        <v>250</v>
      </c>
      <c r="D25" s="1">
        <f t="shared" si="56"/>
        <v>4</v>
      </c>
      <c r="E25" s="1">
        <f t="shared" si="56"/>
        <v>8200</v>
      </c>
      <c r="F25" s="1">
        <f t="shared" si="56"/>
        <v>0</v>
      </c>
      <c r="G25" s="1" t="e">
        <f ca="1">OFFSET(DesignFile!$I$7,$T$12*($C$3+1-$B25),$P$12*(C$14-1))</f>
        <v>#N/A</v>
      </c>
      <c r="H25" s="1" t="e">
        <f ca="1">OFFSET(DesignFile!$J$7,$T$12*($C$3+1-$B25),$P$12*(C$14-1))</f>
        <v>#N/A</v>
      </c>
      <c r="I25" s="1">
        <f ca="1">IF(F25=0,0,OFFSET(DesignFile!$H$15,$T$12*($C$3+1-$B25),$P$12*(C$14-1))-H25)</f>
        <v>0</v>
      </c>
      <c r="J25" s="137" t="e">
        <f t="shared" ca="1" si="0"/>
        <v>#N/A</v>
      </c>
      <c r="K25" s="50">
        <f t="shared" si="57"/>
        <v>51.25</v>
      </c>
      <c r="L25" s="50" t="e">
        <f t="shared" ca="1" si="2"/>
        <v>#N/A</v>
      </c>
      <c r="M25" s="1">
        <f t="shared" si="58"/>
        <v>16.399999999999999</v>
      </c>
      <c r="N25" s="1">
        <f t="shared" ca="1" si="59"/>
        <v>0</v>
      </c>
      <c r="O25" s="137">
        <f t="shared" si="60"/>
        <v>32.799999999999997</v>
      </c>
      <c r="P25" s="389" t="e">
        <f t="shared" ca="1" si="6"/>
        <v>#N/A</v>
      </c>
      <c r="Q25" s="50"/>
      <c r="R25" s="9">
        <f t="shared" si="50"/>
        <v>250</v>
      </c>
      <c r="S25" s="1">
        <f t="shared" si="61"/>
        <v>4</v>
      </c>
      <c r="T25" s="1">
        <f t="shared" si="61"/>
        <v>8200</v>
      </c>
      <c r="U25" s="1">
        <f t="shared" si="61"/>
        <v>0</v>
      </c>
      <c r="V25" s="1" t="e">
        <f ca="1">OFFSET(DesignFile!$I$7,$T$12*($C$3+1-$B25),$P$12*(R$14-1))</f>
        <v>#N/A</v>
      </c>
      <c r="W25" s="1" t="e">
        <f ca="1">OFFSET(DesignFile!$J$7,$T$12*($C$3+1-$B25),$P$12*(R$14-1))</f>
        <v>#N/A</v>
      </c>
      <c r="X25" s="1">
        <f ca="1">IF(U25=0,0,OFFSET(DesignFile!$H$15,$T$12*($C$3+1-$B25),$P$12*(R$14-1))-W25)</f>
        <v>0</v>
      </c>
      <c r="Y25" s="137" t="e">
        <f t="shared" ca="1" si="7"/>
        <v>#N/A</v>
      </c>
      <c r="Z25" s="136">
        <f t="shared" si="62"/>
        <v>51.25</v>
      </c>
      <c r="AA25" s="50" t="e">
        <f t="shared" ca="1" si="9"/>
        <v>#N/A</v>
      </c>
      <c r="AB25" s="1">
        <f t="shared" si="63"/>
        <v>16.399999999999999</v>
      </c>
      <c r="AC25" s="1">
        <f t="shared" ca="1" si="64"/>
        <v>0</v>
      </c>
      <c r="AD25" s="137">
        <f t="shared" si="65"/>
        <v>32.799999999999997</v>
      </c>
      <c r="AE25" s="389" t="e">
        <f t="shared" ca="1" si="13"/>
        <v>#N/A</v>
      </c>
      <c r="AG25" s="9">
        <f t="shared" si="66"/>
        <v>250</v>
      </c>
      <c r="AH25" s="1">
        <f t="shared" si="66"/>
        <v>4</v>
      </c>
      <c r="AI25" s="1">
        <f t="shared" si="66"/>
        <v>8200</v>
      </c>
      <c r="AJ25" s="1">
        <f t="shared" si="66"/>
        <v>0</v>
      </c>
      <c r="AK25" s="1" t="e">
        <f ca="1">OFFSET(DesignFile!$I$7,$T$12*($C$3+1-$B25),$P$12*(AG$14-1))</f>
        <v>#N/A</v>
      </c>
      <c r="AL25" s="1" t="e">
        <f ca="1">OFFSET(DesignFile!$J$7,$T$12*($C$3+1-$B25),$P$12*(AG$14-1))</f>
        <v>#N/A</v>
      </c>
      <c r="AM25" s="1">
        <f ca="1">IF(AJ25=0,0,OFFSET(DesignFile!$H$15,$T$12*($C$3+1-$B25),$P$12*(AG$14-1))-AL25)</f>
        <v>0</v>
      </c>
      <c r="AN25" s="137" t="e">
        <f t="shared" ca="1" si="14"/>
        <v>#N/A</v>
      </c>
      <c r="AO25" s="136">
        <f t="shared" si="67"/>
        <v>51.25</v>
      </c>
      <c r="AP25" s="50" t="e">
        <f t="shared" ca="1" si="16"/>
        <v>#N/A</v>
      </c>
      <c r="AQ25" s="1">
        <f t="shared" si="68"/>
        <v>16.399999999999999</v>
      </c>
      <c r="AR25" s="1">
        <f t="shared" ca="1" si="69"/>
        <v>0</v>
      </c>
      <c r="AS25" s="137">
        <f t="shared" si="70"/>
        <v>32.799999999999997</v>
      </c>
      <c r="AT25" s="389" t="e">
        <f t="shared" ca="1" si="20"/>
        <v>#N/A</v>
      </c>
      <c r="AV25" s="9">
        <f t="shared" si="71"/>
        <v>0</v>
      </c>
      <c r="AW25" s="1">
        <f t="shared" si="71"/>
        <v>0</v>
      </c>
      <c r="AX25" s="1">
        <f t="shared" si="71"/>
        <v>8200</v>
      </c>
      <c r="AY25" s="1">
        <f t="shared" si="71"/>
        <v>0</v>
      </c>
      <c r="AZ25" s="1" t="e">
        <f ca="1">OFFSET(DesignFile!$I$7,$T$12*($C$3+1-$B25),$P$12*(AV$14-1))</f>
        <v>#N/A</v>
      </c>
      <c r="BA25" s="1" t="e">
        <f ca="1">OFFSET(DesignFile!$J$7,$T$12*($C$3+1-$B25),$P$12*(AV$14-1))</f>
        <v>#N/A</v>
      </c>
      <c r="BB25" s="1">
        <f ca="1">IF(AY25=0,0,OFFSET(DesignFile!$H$15,$T$12*($C$3+1-$B25),$P$12*(AV$14-1))-BA25)</f>
        <v>0</v>
      </c>
      <c r="BC25" s="137" t="e">
        <f t="shared" ca="1" si="21"/>
        <v>#N/A</v>
      </c>
      <c r="BD25" s="136">
        <f t="shared" si="72"/>
        <v>0</v>
      </c>
      <c r="BE25" s="50" t="e">
        <f t="shared" ca="1" si="23"/>
        <v>#N/A</v>
      </c>
      <c r="BF25" s="1">
        <f t="shared" si="73"/>
        <v>16.399999999999999</v>
      </c>
      <c r="BG25" s="1">
        <f t="shared" ca="1" si="74"/>
        <v>0</v>
      </c>
      <c r="BH25" s="137">
        <f t="shared" si="75"/>
        <v>0</v>
      </c>
      <c r="BI25" s="389" t="e">
        <f t="shared" ca="1" si="27"/>
        <v>#N/A</v>
      </c>
      <c r="BK25" s="9">
        <f t="shared" si="76"/>
        <v>0</v>
      </c>
      <c r="BL25" s="1">
        <f t="shared" si="76"/>
        <v>0</v>
      </c>
      <c r="BM25" s="1">
        <f t="shared" si="76"/>
        <v>8200</v>
      </c>
      <c r="BN25" s="1">
        <f t="shared" si="76"/>
        <v>0</v>
      </c>
      <c r="BO25" s="1" t="e">
        <f ca="1">OFFSET(DesignFile!$I$7,$T$12*($C$3+1-$B25),$P$12*(BK$14-1))</f>
        <v>#N/A</v>
      </c>
      <c r="BP25" s="1" t="e">
        <f ca="1">OFFSET(DesignFile!$J$7,$T$12*($C$3+1-$B25),$P$12*(BK$14-1))</f>
        <v>#N/A</v>
      </c>
      <c r="BQ25" s="1">
        <f ca="1">IF(BN25=0,0,OFFSET(DesignFile!$H$15,$T$12*($C$3+1-$B25),$P$12*(BK$14-1))-BP25)</f>
        <v>0</v>
      </c>
      <c r="BR25" s="137" t="e">
        <f t="shared" ca="1" si="28"/>
        <v>#N/A</v>
      </c>
      <c r="BS25" s="136">
        <f t="shared" si="77"/>
        <v>0</v>
      </c>
      <c r="BT25" s="50" t="e">
        <f t="shared" ca="1" si="30"/>
        <v>#N/A</v>
      </c>
      <c r="BU25" s="1">
        <f t="shared" si="78"/>
        <v>16.399999999999999</v>
      </c>
      <c r="BV25" s="1">
        <f t="shared" ca="1" si="79"/>
        <v>0</v>
      </c>
      <c r="BW25" s="137">
        <f t="shared" si="80"/>
        <v>0</v>
      </c>
      <c r="BX25" s="389" t="e">
        <f t="shared" ca="1" si="34"/>
        <v>#N/A</v>
      </c>
      <c r="BZ25" s="9">
        <f t="shared" si="81"/>
        <v>0</v>
      </c>
      <c r="CA25" s="1">
        <f t="shared" si="81"/>
        <v>0</v>
      </c>
      <c r="CB25" s="1">
        <f t="shared" si="81"/>
        <v>8200</v>
      </c>
      <c r="CC25" s="1">
        <f t="shared" si="81"/>
        <v>0</v>
      </c>
      <c r="CD25" s="1" t="e">
        <f ca="1">OFFSET(DesignFile!$I$7,$T$12*($C$3+1-$B25),$P$12*(BZ$14-1))</f>
        <v>#N/A</v>
      </c>
      <c r="CE25" s="1" t="e">
        <f ca="1">OFFSET(DesignFile!$J$7,$T$12*($C$3+1-$B25),$P$12*(BZ$14-1))</f>
        <v>#N/A</v>
      </c>
      <c r="CF25" s="1">
        <f ca="1">IF(CC25=0,0,OFFSET(DesignFile!$H$15,$T$12*($C$3+1-$B25),$P$12*(BZ$14-1))-CE25)</f>
        <v>0</v>
      </c>
      <c r="CG25" s="137" t="e">
        <f t="shared" ca="1" si="35"/>
        <v>#N/A</v>
      </c>
      <c r="CH25" s="136">
        <f t="shared" si="82"/>
        <v>0</v>
      </c>
      <c r="CI25" s="50" t="e">
        <f t="shared" ca="1" si="83"/>
        <v>#N/A</v>
      </c>
      <c r="CJ25" s="1">
        <f t="shared" si="84"/>
        <v>16.399999999999999</v>
      </c>
      <c r="CK25" s="1">
        <f t="shared" ca="1" si="85"/>
        <v>0</v>
      </c>
      <c r="CL25" s="137">
        <f t="shared" si="86"/>
        <v>0</v>
      </c>
      <c r="CM25" s="389" t="e">
        <f t="shared" ca="1" si="41"/>
        <v>#N/A</v>
      </c>
    </row>
    <row r="26" spans="1:91" x14ac:dyDescent="0.25">
      <c r="A26" s="1"/>
      <c r="B26" s="25" t="e">
        <f t="shared" si="42"/>
        <v>#N/A</v>
      </c>
      <c r="C26" s="9">
        <f t="shared" si="56"/>
        <v>250</v>
      </c>
      <c r="D26" s="1">
        <f t="shared" si="56"/>
        <v>4</v>
      </c>
      <c r="E26" s="1">
        <f t="shared" si="56"/>
        <v>8200</v>
      </c>
      <c r="F26" s="1">
        <f t="shared" si="56"/>
        <v>0</v>
      </c>
      <c r="G26" s="1" t="e">
        <f ca="1">OFFSET(DesignFile!$I$7,$T$12*($C$3+1-$B26),$P$12*(C$14-1))</f>
        <v>#N/A</v>
      </c>
      <c r="H26" s="1" t="e">
        <f ca="1">OFFSET(DesignFile!$J$7,$T$12*($C$3+1-$B26),$P$12*(C$14-1))</f>
        <v>#N/A</v>
      </c>
      <c r="I26" s="1">
        <f ca="1">IF(F26=0,0,OFFSET(DesignFile!$H$15,$T$12*($C$3+1-$B26),$P$12*(C$14-1))-H26)</f>
        <v>0</v>
      </c>
      <c r="J26" s="137" t="e">
        <f t="shared" ca="1" si="0"/>
        <v>#N/A</v>
      </c>
      <c r="K26" s="50">
        <f t="shared" si="57"/>
        <v>51.25</v>
      </c>
      <c r="L26" s="50" t="e">
        <f t="shared" ca="1" si="2"/>
        <v>#N/A</v>
      </c>
      <c r="M26" s="1">
        <f t="shared" si="58"/>
        <v>16.399999999999999</v>
      </c>
      <c r="N26" s="1">
        <f t="shared" ca="1" si="59"/>
        <v>0</v>
      </c>
      <c r="O26" s="137">
        <f t="shared" si="60"/>
        <v>32.799999999999997</v>
      </c>
      <c r="P26" s="389" t="e">
        <f t="shared" ca="1" si="6"/>
        <v>#N/A</v>
      </c>
      <c r="Q26" s="50"/>
      <c r="R26" s="9">
        <f t="shared" si="50"/>
        <v>250</v>
      </c>
      <c r="S26" s="1">
        <f t="shared" si="61"/>
        <v>4</v>
      </c>
      <c r="T26" s="1">
        <f t="shared" si="61"/>
        <v>8200</v>
      </c>
      <c r="U26" s="1">
        <f t="shared" si="61"/>
        <v>0</v>
      </c>
      <c r="V26" s="1" t="e">
        <f ca="1">OFFSET(DesignFile!$I$7,$T$12*($C$3+1-$B26),$P$12*(R$14-1))</f>
        <v>#N/A</v>
      </c>
      <c r="W26" s="1" t="e">
        <f ca="1">OFFSET(DesignFile!$J$7,$T$12*($C$3+1-$B26),$P$12*(R$14-1))</f>
        <v>#N/A</v>
      </c>
      <c r="X26" s="1">
        <f ca="1">IF(U26=0,0,OFFSET(DesignFile!$H$15,$T$12*($C$3+1-$B26),$P$12*(R$14-1))-W26)</f>
        <v>0</v>
      </c>
      <c r="Y26" s="137" t="e">
        <f t="shared" ca="1" si="7"/>
        <v>#N/A</v>
      </c>
      <c r="Z26" s="136">
        <f t="shared" si="62"/>
        <v>51.25</v>
      </c>
      <c r="AA26" s="50" t="e">
        <f t="shared" ca="1" si="9"/>
        <v>#N/A</v>
      </c>
      <c r="AB26" s="1">
        <f t="shared" si="63"/>
        <v>16.399999999999999</v>
      </c>
      <c r="AC26" s="1">
        <f t="shared" ca="1" si="64"/>
        <v>0</v>
      </c>
      <c r="AD26" s="137">
        <f t="shared" si="65"/>
        <v>32.799999999999997</v>
      </c>
      <c r="AE26" s="389" t="e">
        <f t="shared" ca="1" si="13"/>
        <v>#N/A</v>
      </c>
      <c r="AG26" s="9">
        <f t="shared" si="66"/>
        <v>250</v>
      </c>
      <c r="AH26" s="1">
        <f t="shared" si="66"/>
        <v>4</v>
      </c>
      <c r="AI26" s="1">
        <f t="shared" si="66"/>
        <v>8200</v>
      </c>
      <c r="AJ26" s="1">
        <f t="shared" si="66"/>
        <v>0</v>
      </c>
      <c r="AK26" s="1" t="e">
        <f ca="1">OFFSET(DesignFile!$I$7,$T$12*($C$3+1-$B26),$P$12*(AG$14-1))</f>
        <v>#N/A</v>
      </c>
      <c r="AL26" s="1" t="e">
        <f ca="1">OFFSET(DesignFile!$J$7,$T$12*($C$3+1-$B26),$P$12*(AG$14-1))</f>
        <v>#N/A</v>
      </c>
      <c r="AM26" s="1">
        <f ca="1">IF(AJ26=0,0,OFFSET(DesignFile!$H$15,$T$12*($C$3+1-$B26),$P$12*(AG$14-1))-AL26)</f>
        <v>0</v>
      </c>
      <c r="AN26" s="137" t="e">
        <f t="shared" ca="1" si="14"/>
        <v>#N/A</v>
      </c>
      <c r="AO26" s="136">
        <f t="shared" si="67"/>
        <v>51.25</v>
      </c>
      <c r="AP26" s="50" t="e">
        <f t="shared" ca="1" si="16"/>
        <v>#N/A</v>
      </c>
      <c r="AQ26" s="1">
        <f t="shared" si="68"/>
        <v>16.399999999999999</v>
      </c>
      <c r="AR26" s="1">
        <f t="shared" ca="1" si="69"/>
        <v>0</v>
      </c>
      <c r="AS26" s="137">
        <f t="shared" si="70"/>
        <v>32.799999999999997</v>
      </c>
      <c r="AT26" s="389" t="e">
        <f t="shared" ca="1" si="20"/>
        <v>#N/A</v>
      </c>
      <c r="AV26" s="9">
        <f t="shared" si="71"/>
        <v>0</v>
      </c>
      <c r="AW26" s="1">
        <f t="shared" si="71"/>
        <v>0</v>
      </c>
      <c r="AX26" s="1">
        <f t="shared" si="71"/>
        <v>8200</v>
      </c>
      <c r="AY26" s="1">
        <f t="shared" si="71"/>
        <v>0</v>
      </c>
      <c r="AZ26" s="1" t="e">
        <f ca="1">OFFSET(DesignFile!$I$7,$T$12*($C$3+1-$B26),$P$12*(AV$14-1))</f>
        <v>#N/A</v>
      </c>
      <c r="BA26" s="1" t="e">
        <f ca="1">OFFSET(DesignFile!$J$7,$T$12*($C$3+1-$B26),$P$12*(AV$14-1))</f>
        <v>#N/A</v>
      </c>
      <c r="BB26" s="1">
        <f ca="1">IF(AY26=0,0,OFFSET(DesignFile!$H$15,$T$12*($C$3+1-$B26),$P$12*(AV$14-1))-BA26)</f>
        <v>0</v>
      </c>
      <c r="BC26" s="137" t="e">
        <f t="shared" ca="1" si="21"/>
        <v>#N/A</v>
      </c>
      <c r="BD26" s="136">
        <f t="shared" si="72"/>
        <v>0</v>
      </c>
      <c r="BE26" s="50" t="e">
        <f t="shared" ca="1" si="23"/>
        <v>#N/A</v>
      </c>
      <c r="BF26" s="1">
        <f t="shared" si="73"/>
        <v>16.399999999999999</v>
      </c>
      <c r="BG26" s="1">
        <f t="shared" ca="1" si="74"/>
        <v>0</v>
      </c>
      <c r="BH26" s="137">
        <f t="shared" si="75"/>
        <v>0</v>
      </c>
      <c r="BI26" s="389" t="e">
        <f t="shared" ca="1" si="27"/>
        <v>#N/A</v>
      </c>
      <c r="BK26" s="9">
        <f t="shared" si="76"/>
        <v>0</v>
      </c>
      <c r="BL26" s="1">
        <f t="shared" si="76"/>
        <v>0</v>
      </c>
      <c r="BM26" s="1">
        <f t="shared" si="76"/>
        <v>8200</v>
      </c>
      <c r="BN26" s="1">
        <f t="shared" si="76"/>
        <v>0</v>
      </c>
      <c r="BO26" s="1" t="e">
        <f ca="1">OFFSET(DesignFile!$I$7,$T$12*($C$3+1-$B26),$P$12*(BK$14-1))</f>
        <v>#N/A</v>
      </c>
      <c r="BP26" s="1" t="e">
        <f ca="1">OFFSET(DesignFile!$J$7,$T$12*($C$3+1-$B26),$P$12*(BK$14-1))</f>
        <v>#N/A</v>
      </c>
      <c r="BQ26" s="1">
        <f ca="1">IF(BN26=0,0,OFFSET(DesignFile!$H$15,$T$12*($C$3+1-$B26),$P$12*(BK$14-1))-BP26)</f>
        <v>0</v>
      </c>
      <c r="BR26" s="137" t="e">
        <f t="shared" ca="1" si="28"/>
        <v>#N/A</v>
      </c>
      <c r="BS26" s="136">
        <f t="shared" si="77"/>
        <v>0</v>
      </c>
      <c r="BT26" s="50" t="e">
        <f t="shared" ca="1" si="30"/>
        <v>#N/A</v>
      </c>
      <c r="BU26" s="1">
        <f t="shared" si="78"/>
        <v>16.399999999999999</v>
      </c>
      <c r="BV26" s="1">
        <f t="shared" ca="1" si="79"/>
        <v>0</v>
      </c>
      <c r="BW26" s="137">
        <f t="shared" si="80"/>
        <v>0</v>
      </c>
      <c r="BX26" s="389" t="e">
        <f t="shared" ca="1" si="34"/>
        <v>#N/A</v>
      </c>
      <c r="BZ26" s="9">
        <f t="shared" si="81"/>
        <v>0</v>
      </c>
      <c r="CA26" s="1">
        <f t="shared" si="81"/>
        <v>0</v>
      </c>
      <c r="CB26" s="1">
        <f t="shared" si="81"/>
        <v>8200</v>
      </c>
      <c r="CC26" s="1">
        <f t="shared" si="81"/>
        <v>0</v>
      </c>
      <c r="CD26" s="1" t="e">
        <f ca="1">OFFSET(DesignFile!$I$7,$T$12*($C$3+1-$B26),$P$12*(BZ$14-1))</f>
        <v>#N/A</v>
      </c>
      <c r="CE26" s="1" t="e">
        <f ca="1">OFFSET(DesignFile!$J$7,$T$12*($C$3+1-$B26),$P$12*(BZ$14-1))</f>
        <v>#N/A</v>
      </c>
      <c r="CF26" s="1">
        <f ca="1">IF(CC26=0,0,OFFSET(DesignFile!$H$15,$T$12*($C$3+1-$B26),$P$12*(BZ$14-1))-CE26)</f>
        <v>0</v>
      </c>
      <c r="CG26" s="137" t="e">
        <f t="shared" ca="1" si="35"/>
        <v>#N/A</v>
      </c>
      <c r="CH26" s="136">
        <f t="shared" si="82"/>
        <v>0</v>
      </c>
      <c r="CI26" s="50" t="e">
        <f t="shared" ca="1" si="83"/>
        <v>#N/A</v>
      </c>
      <c r="CJ26" s="1">
        <f t="shared" si="84"/>
        <v>16.399999999999999</v>
      </c>
      <c r="CK26" s="1">
        <f t="shared" ca="1" si="85"/>
        <v>0</v>
      </c>
      <c r="CL26" s="137">
        <f t="shared" si="86"/>
        <v>0</v>
      </c>
      <c r="CM26" s="389" t="e">
        <f t="shared" ca="1" si="41"/>
        <v>#N/A</v>
      </c>
    </row>
    <row r="27" spans="1:91" x14ac:dyDescent="0.25">
      <c r="A27" s="1"/>
      <c r="B27" s="25" t="e">
        <f t="shared" si="42"/>
        <v>#N/A</v>
      </c>
      <c r="C27" s="9">
        <f t="shared" si="56"/>
        <v>250</v>
      </c>
      <c r="D27" s="1">
        <f t="shared" si="56"/>
        <v>4</v>
      </c>
      <c r="E27" s="1">
        <f t="shared" si="56"/>
        <v>8200</v>
      </c>
      <c r="F27" s="1">
        <f t="shared" si="56"/>
        <v>0</v>
      </c>
      <c r="G27" s="1" t="e">
        <f ca="1">OFFSET(DesignFile!$I$7,$T$12*($C$3+1-$B27),$P$12*(C$14-1))</f>
        <v>#N/A</v>
      </c>
      <c r="H27" s="1" t="e">
        <f ca="1">OFFSET(DesignFile!$J$7,$T$12*($C$3+1-$B27),$P$12*(C$14-1))</f>
        <v>#N/A</v>
      </c>
      <c r="I27" s="1">
        <f ca="1">IF(F27=0,0,OFFSET(DesignFile!$H$15,$T$12*($C$3+1-$B27),$P$12*(C$14-1))-H27)</f>
        <v>0</v>
      </c>
      <c r="J27" s="137" t="e">
        <f t="shared" ca="1" si="0"/>
        <v>#N/A</v>
      </c>
      <c r="K27" s="50">
        <f t="shared" si="57"/>
        <v>51.25</v>
      </c>
      <c r="L27" s="50" t="e">
        <f t="shared" ca="1" si="2"/>
        <v>#N/A</v>
      </c>
      <c r="M27" s="1">
        <f t="shared" si="58"/>
        <v>16.399999999999999</v>
      </c>
      <c r="N27" s="1">
        <f t="shared" ca="1" si="59"/>
        <v>0</v>
      </c>
      <c r="O27" s="137">
        <f t="shared" si="60"/>
        <v>32.799999999999997</v>
      </c>
      <c r="P27" s="389" t="e">
        <f t="shared" ca="1" si="6"/>
        <v>#N/A</v>
      </c>
      <c r="Q27" s="50"/>
      <c r="R27" s="9">
        <f t="shared" si="50"/>
        <v>250</v>
      </c>
      <c r="S27" s="1">
        <f t="shared" si="61"/>
        <v>4</v>
      </c>
      <c r="T27" s="1">
        <f t="shared" si="61"/>
        <v>8200</v>
      </c>
      <c r="U27" s="1">
        <f t="shared" si="61"/>
        <v>0</v>
      </c>
      <c r="V27" s="1" t="e">
        <f ca="1">OFFSET(DesignFile!$I$7,$T$12*($C$3+1-$B27),$P$12*(R$14-1))</f>
        <v>#N/A</v>
      </c>
      <c r="W27" s="1" t="e">
        <f ca="1">OFFSET(DesignFile!$J$7,$T$12*($C$3+1-$B27),$P$12*(R$14-1))</f>
        <v>#N/A</v>
      </c>
      <c r="X27" s="1">
        <f ca="1">IF(U27=0,0,OFFSET(DesignFile!$H$15,$T$12*($C$3+1-$B27),$P$12*(R$14-1))-W27)</f>
        <v>0</v>
      </c>
      <c r="Y27" s="137" t="e">
        <f t="shared" ca="1" si="7"/>
        <v>#N/A</v>
      </c>
      <c r="Z27" s="136">
        <f t="shared" si="62"/>
        <v>51.25</v>
      </c>
      <c r="AA27" s="50" t="e">
        <f t="shared" ca="1" si="9"/>
        <v>#N/A</v>
      </c>
      <c r="AB27" s="1">
        <f t="shared" si="63"/>
        <v>16.399999999999999</v>
      </c>
      <c r="AC27" s="1">
        <f t="shared" ca="1" si="64"/>
        <v>0</v>
      </c>
      <c r="AD27" s="137">
        <f t="shared" si="65"/>
        <v>32.799999999999997</v>
      </c>
      <c r="AE27" s="389" t="e">
        <f t="shared" ca="1" si="13"/>
        <v>#N/A</v>
      </c>
      <c r="AG27" s="9">
        <f t="shared" si="66"/>
        <v>250</v>
      </c>
      <c r="AH27" s="1">
        <f t="shared" si="66"/>
        <v>4</v>
      </c>
      <c r="AI27" s="1">
        <f t="shared" si="66"/>
        <v>8200</v>
      </c>
      <c r="AJ27" s="1">
        <f t="shared" si="66"/>
        <v>0</v>
      </c>
      <c r="AK27" s="1" t="e">
        <f ca="1">OFFSET(DesignFile!$I$7,$T$12*($C$3+1-$B27),$P$12*(AG$14-1))</f>
        <v>#N/A</v>
      </c>
      <c r="AL27" s="1" t="e">
        <f ca="1">OFFSET(DesignFile!$J$7,$T$12*($C$3+1-$B27),$P$12*(AG$14-1))</f>
        <v>#N/A</v>
      </c>
      <c r="AM27" s="1">
        <f ca="1">IF(AJ27=0,0,OFFSET(DesignFile!$H$15,$T$12*($C$3+1-$B27),$P$12*(AG$14-1))-AL27)</f>
        <v>0</v>
      </c>
      <c r="AN27" s="137" t="e">
        <f t="shared" ca="1" si="14"/>
        <v>#N/A</v>
      </c>
      <c r="AO27" s="136">
        <f t="shared" si="67"/>
        <v>51.25</v>
      </c>
      <c r="AP27" s="50" t="e">
        <f t="shared" ca="1" si="16"/>
        <v>#N/A</v>
      </c>
      <c r="AQ27" s="1">
        <f t="shared" si="68"/>
        <v>16.399999999999999</v>
      </c>
      <c r="AR27" s="1">
        <f t="shared" ca="1" si="69"/>
        <v>0</v>
      </c>
      <c r="AS27" s="137">
        <f t="shared" si="70"/>
        <v>32.799999999999997</v>
      </c>
      <c r="AT27" s="389" t="e">
        <f t="shared" ca="1" si="20"/>
        <v>#N/A</v>
      </c>
      <c r="AV27" s="9">
        <f t="shared" si="71"/>
        <v>0</v>
      </c>
      <c r="AW27" s="1">
        <f t="shared" si="71"/>
        <v>0</v>
      </c>
      <c r="AX27" s="1">
        <f t="shared" si="71"/>
        <v>8200</v>
      </c>
      <c r="AY27" s="1">
        <f t="shared" si="71"/>
        <v>0</v>
      </c>
      <c r="AZ27" s="1" t="e">
        <f ca="1">OFFSET(DesignFile!$I$7,$T$12*($C$3+1-$B27),$P$12*(AV$14-1))</f>
        <v>#N/A</v>
      </c>
      <c r="BA27" s="1" t="e">
        <f ca="1">OFFSET(DesignFile!$J$7,$T$12*($C$3+1-$B27),$P$12*(AV$14-1))</f>
        <v>#N/A</v>
      </c>
      <c r="BB27" s="1">
        <f ca="1">IF(AY27=0,0,OFFSET(DesignFile!$H$15,$T$12*($C$3+1-$B27),$P$12*(AV$14-1))-BA27)</f>
        <v>0</v>
      </c>
      <c r="BC27" s="137" t="e">
        <f t="shared" ca="1" si="21"/>
        <v>#N/A</v>
      </c>
      <c r="BD27" s="136">
        <f t="shared" si="72"/>
        <v>0</v>
      </c>
      <c r="BE27" s="50" t="e">
        <f t="shared" ca="1" si="23"/>
        <v>#N/A</v>
      </c>
      <c r="BF27" s="1">
        <f t="shared" si="73"/>
        <v>16.399999999999999</v>
      </c>
      <c r="BG27" s="1">
        <f t="shared" ca="1" si="74"/>
        <v>0</v>
      </c>
      <c r="BH27" s="137">
        <f t="shared" si="75"/>
        <v>0</v>
      </c>
      <c r="BI27" s="389" t="e">
        <f t="shared" ca="1" si="27"/>
        <v>#N/A</v>
      </c>
      <c r="BK27" s="9">
        <f t="shared" si="76"/>
        <v>0</v>
      </c>
      <c r="BL27" s="1">
        <f t="shared" si="76"/>
        <v>0</v>
      </c>
      <c r="BM27" s="1">
        <f t="shared" si="76"/>
        <v>8200</v>
      </c>
      <c r="BN27" s="1">
        <f t="shared" si="76"/>
        <v>0</v>
      </c>
      <c r="BO27" s="1" t="e">
        <f ca="1">OFFSET(DesignFile!$I$7,$T$12*($C$3+1-$B27),$P$12*(BK$14-1))</f>
        <v>#N/A</v>
      </c>
      <c r="BP27" s="1" t="e">
        <f ca="1">OFFSET(DesignFile!$J$7,$T$12*($C$3+1-$B27),$P$12*(BK$14-1))</f>
        <v>#N/A</v>
      </c>
      <c r="BQ27" s="1">
        <f ca="1">IF(BN27=0,0,OFFSET(DesignFile!$H$15,$T$12*($C$3+1-$B27),$P$12*(BK$14-1))-BP27)</f>
        <v>0</v>
      </c>
      <c r="BR27" s="137" t="e">
        <f t="shared" ca="1" si="28"/>
        <v>#N/A</v>
      </c>
      <c r="BS27" s="136">
        <f t="shared" si="77"/>
        <v>0</v>
      </c>
      <c r="BT27" s="50" t="e">
        <f t="shared" ca="1" si="30"/>
        <v>#N/A</v>
      </c>
      <c r="BU27" s="1">
        <f t="shared" si="78"/>
        <v>16.399999999999999</v>
      </c>
      <c r="BV27" s="1">
        <f t="shared" ca="1" si="79"/>
        <v>0</v>
      </c>
      <c r="BW27" s="137">
        <f t="shared" si="80"/>
        <v>0</v>
      </c>
      <c r="BX27" s="389" t="e">
        <f t="shared" ca="1" si="34"/>
        <v>#N/A</v>
      </c>
      <c r="BZ27" s="9">
        <f t="shared" si="81"/>
        <v>0</v>
      </c>
      <c r="CA27" s="1">
        <f t="shared" si="81"/>
        <v>0</v>
      </c>
      <c r="CB27" s="1">
        <f t="shared" si="81"/>
        <v>8200</v>
      </c>
      <c r="CC27" s="1">
        <f t="shared" si="81"/>
        <v>0</v>
      </c>
      <c r="CD27" s="1" t="e">
        <f ca="1">OFFSET(DesignFile!$I$7,$T$12*($C$3+1-$B27),$P$12*(BZ$14-1))</f>
        <v>#N/A</v>
      </c>
      <c r="CE27" s="1" t="e">
        <f ca="1">OFFSET(DesignFile!$J$7,$T$12*($C$3+1-$B27),$P$12*(BZ$14-1))</f>
        <v>#N/A</v>
      </c>
      <c r="CF27" s="1">
        <f ca="1">IF(CC27=0,0,OFFSET(DesignFile!$H$15,$T$12*($C$3+1-$B27),$P$12*(BZ$14-1))-CE27)</f>
        <v>0</v>
      </c>
      <c r="CG27" s="137" t="e">
        <f t="shared" ca="1" si="35"/>
        <v>#N/A</v>
      </c>
      <c r="CH27" s="136">
        <f t="shared" si="82"/>
        <v>0</v>
      </c>
      <c r="CI27" s="50" t="e">
        <f t="shared" ca="1" si="83"/>
        <v>#N/A</v>
      </c>
      <c r="CJ27" s="1">
        <f t="shared" si="84"/>
        <v>16.399999999999999</v>
      </c>
      <c r="CK27" s="1">
        <f t="shared" ca="1" si="85"/>
        <v>0</v>
      </c>
      <c r="CL27" s="137">
        <f t="shared" si="86"/>
        <v>0</v>
      </c>
      <c r="CM27" s="389" t="e">
        <f t="shared" ca="1" si="41"/>
        <v>#N/A</v>
      </c>
    </row>
    <row r="28" spans="1:91" x14ac:dyDescent="0.25">
      <c r="A28" s="1"/>
      <c r="B28" s="25" t="e">
        <f t="shared" si="42"/>
        <v>#N/A</v>
      </c>
      <c r="C28" s="9">
        <f t="shared" si="56"/>
        <v>250</v>
      </c>
      <c r="D28" s="1">
        <f t="shared" si="56"/>
        <v>4</v>
      </c>
      <c r="E28" s="1">
        <f t="shared" si="56"/>
        <v>8200</v>
      </c>
      <c r="F28" s="1">
        <f t="shared" si="56"/>
        <v>0</v>
      </c>
      <c r="G28" s="1" t="e">
        <f ca="1">OFFSET(DesignFile!$I$7,$T$12*($C$3+1-$B28),$P$12*(C$14-1))</f>
        <v>#N/A</v>
      </c>
      <c r="H28" s="1" t="e">
        <f ca="1">OFFSET(DesignFile!$J$7,$T$12*($C$3+1-$B28),$P$12*(C$14-1))</f>
        <v>#N/A</v>
      </c>
      <c r="I28" s="1">
        <f ca="1">IF(F28=0,0,OFFSET(DesignFile!$H$15,$T$12*($C$3+1-$B28),$P$12*(C$14-1))-H28)</f>
        <v>0</v>
      </c>
      <c r="J28" s="137" t="e">
        <f t="shared" ca="1" si="0"/>
        <v>#N/A</v>
      </c>
      <c r="K28" s="50">
        <f t="shared" si="57"/>
        <v>51.25</v>
      </c>
      <c r="L28" s="50" t="e">
        <f t="shared" ca="1" si="2"/>
        <v>#N/A</v>
      </c>
      <c r="M28" s="1">
        <f t="shared" si="58"/>
        <v>16.399999999999999</v>
      </c>
      <c r="N28" s="1">
        <f t="shared" ca="1" si="59"/>
        <v>0</v>
      </c>
      <c r="O28" s="137">
        <f t="shared" si="60"/>
        <v>32.799999999999997</v>
      </c>
      <c r="P28" s="389" t="e">
        <f t="shared" ca="1" si="6"/>
        <v>#N/A</v>
      </c>
      <c r="Q28" s="50"/>
      <c r="R28" s="9">
        <f t="shared" si="50"/>
        <v>250</v>
      </c>
      <c r="S28" s="1">
        <f t="shared" si="61"/>
        <v>4</v>
      </c>
      <c r="T28" s="1">
        <f t="shared" si="61"/>
        <v>8200</v>
      </c>
      <c r="U28" s="1">
        <f t="shared" si="61"/>
        <v>0</v>
      </c>
      <c r="V28" s="1" t="e">
        <f ca="1">OFFSET(DesignFile!$I$7,$T$12*($C$3+1-$B28),$P$12*(R$14-1))</f>
        <v>#N/A</v>
      </c>
      <c r="W28" s="1" t="e">
        <f ca="1">OFFSET(DesignFile!$J$7,$T$12*($C$3+1-$B28),$P$12*(R$14-1))</f>
        <v>#N/A</v>
      </c>
      <c r="X28" s="1">
        <f ca="1">IF(U28=0,0,OFFSET(DesignFile!$H$15,$T$12*($C$3+1-$B28),$P$12*(R$14-1))-W28)</f>
        <v>0</v>
      </c>
      <c r="Y28" s="137" t="e">
        <f t="shared" ca="1" si="7"/>
        <v>#N/A</v>
      </c>
      <c r="Z28" s="136">
        <f t="shared" si="62"/>
        <v>51.25</v>
      </c>
      <c r="AA28" s="50" t="e">
        <f t="shared" ca="1" si="9"/>
        <v>#N/A</v>
      </c>
      <c r="AB28" s="1">
        <f t="shared" si="63"/>
        <v>16.399999999999999</v>
      </c>
      <c r="AC28" s="1">
        <f t="shared" ca="1" si="64"/>
        <v>0</v>
      </c>
      <c r="AD28" s="137">
        <f t="shared" si="65"/>
        <v>32.799999999999997</v>
      </c>
      <c r="AE28" s="389" t="e">
        <f t="shared" ca="1" si="13"/>
        <v>#N/A</v>
      </c>
      <c r="AG28" s="9">
        <f t="shared" si="66"/>
        <v>250</v>
      </c>
      <c r="AH28" s="1">
        <f t="shared" si="66"/>
        <v>4</v>
      </c>
      <c r="AI28" s="1">
        <f t="shared" si="66"/>
        <v>8200</v>
      </c>
      <c r="AJ28" s="1">
        <f t="shared" si="66"/>
        <v>0</v>
      </c>
      <c r="AK28" s="1" t="e">
        <f ca="1">OFFSET(DesignFile!$I$7,$T$12*($C$3+1-$B28),$P$12*(AG$14-1))</f>
        <v>#N/A</v>
      </c>
      <c r="AL28" s="1" t="e">
        <f ca="1">OFFSET(DesignFile!$J$7,$T$12*($C$3+1-$B28),$P$12*(AG$14-1))</f>
        <v>#N/A</v>
      </c>
      <c r="AM28" s="1">
        <f ca="1">IF(AJ28=0,0,OFFSET(DesignFile!$H$15,$T$12*($C$3+1-$B28),$P$12*(AG$14-1))-AL28)</f>
        <v>0</v>
      </c>
      <c r="AN28" s="137" t="e">
        <f t="shared" ca="1" si="14"/>
        <v>#N/A</v>
      </c>
      <c r="AO28" s="136">
        <f t="shared" si="67"/>
        <v>51.25</v>
      </c>
      <c r="AP28" s="50" t="e">
        <f t="shared" ca="1" si="16"/>
        <v>#N/A</v>
      </c>
      <c r="AQ28" s="1">
        <f t="shared" si="68"/>
        <v>16.399999999999999</v>
      </c>
      <c r="AR28" s="1">
        <f t="shared" ca="1" si="69"/>
        <v>0</v>
      </c>
      <c r="AS28" s="137">
        <f t="shared" si="70"/>
        <v>32.799999999999997</v>
      </c>
      <c r="AT28" s="389" t="e">
        <f t="shared" ca="1" si="20"/>
        <v>#N/A</v>
      </c>
      <c r="AV28" s="9">
        <f t="shared" si="71"/>
        <v>0</v>
      </c>
      <c r="AW28" s="1">
        <f t="shared" si="71"/>
        <v>0</v>
      </c>
      <c r="AX28" s="1">
        <f t="shared" si="71"/>
        <v>8200</v>
      </c>
      <c r="AY28" s="1">
        <f t="shared" si="71"/>
        <v>0</v>
      </c>
      <c r="AZ28" s="1" t="e">
        <f ca="1">OFFSET(DesignFile!$I$7,$T$12*($C$3+1-$B28),$P$12*(AV$14-1))</f>
        <v>#N/A</v>
      </c>
      <c r="BA28" s="1" t="e">
        <f ca="1">OFFSET(DesignFile!$J$7,$T$12*($C$3+1-$B28),$P$12*(AV$14-1))</f>
        <v>#N/A</v>
      </c>
      <c r="BB28" s="1">
        <f ca="1">IF(AY28=0,0,OFFSET(DesignFile!$H$15,$T$12*($C$3+1-$B28),$P$12*(AV$14-1))-BA28)</f>
        <v>0</v>
      </c>
      <c r="BC28" s="137" t="e">
        <f t="shared" ca="1" si="21"/>
        <v>#N/A</v>
      </c>
      <c r="BD28" s="136">
        <f t="shared" si="72"/>
        <v>0</v>
      </c>
      <c r="BE28" s="50" t="e">
        <f t="shared" ca="1" si="23"/>
        <v>#N/A</v>
      </c>
      <c r="BF28" s="1">
        <f t="shared" si="73"/>
        <v>16.399999999999999</v>
      </c>
      <c r="BG28" s="1">
        <f t="shared" ca="1" si="74"/>
        <v>0</v>
      </c>
      <c r="BH28" s="137">
        <f t="shared" si="75"/>
        <v>0</v>
      </c>
      <c r="BI28" s="389" t="e">
        <f t="shared" ca="1" si="27"/>
        <v>#N/A</v>
      </c>
      <c r="BK28" s="9">
        <f t="shared" si="76"/>
        <v>0</v>
      </c>
      <c r="BL28" s="1">
        <f t="shared" si="76"/>
        <v>0</v>
      </c>
      <c r="BM28" s="1">
        <f t="shared" si="76"/>
        <v>8200</v>
      </c>
      <c r="BN28" s="1">
        <f t="shared" si="76"/>
        <v>0</v>
      </c>
      <c r="BO28" s="1" t="e">
        <f ca="1">OFFSET(DesignFile!$I$7,$T$12*($C$3+1-$B28),$P$12*(BK$14-1))</f>
        <v>#N/A</v>
      </c>
      <c r="BP28" s="1" t="e">
        <f ca="1">OFFSET(DesignFile!$J$7,$T$12*($C$3+1-$B28),$P$12*(BK$14-1))</f>
        <v>#N/A</v>
      </c>
      <c r="BQ28" s="1">
        <f ca="1">IF(BN28=0,0,OFFSET(DesignFile!$H$15,$T$12*($C$3+1-$B28),$P$12*(BK$14-1))-BP28)</f>
        <v>0</v>
      </c>
      <c r="BR28" s="137" t="e">
        <f t="shared" ca="1" si="28"/>
        <v>#N/A</v>
      </c>
      <c r="BS28" s="136">
        <f t="shared" si="77"/>
        <v>0</v>
      </c>
      <c r="BT28" s="50" t="e">
        <f t="shared" ca="1" si="30"/>
        <v>#N/A</v>
      </c>
      <c r="BU28" s="1">
        <f t="shared" si="78"/>
        <v>16.399999999999999</v>
      </c>
      <c r="BV28" s="1">
        <f t="shared" ca="1" si="79"/>
        <v>0</v>
      </c>
      <c r="BW28" s="137">
        <f t="shared" si="80"/>
        <v>0</v>
      </c>
      <c r="BX28" s="389" t="e">
        <f t="shared" ca="1" si="34"/>
        <v>#N/A</v>
      </c>
      <c r="BZ28" s="9">
        <f t="shared" si="81"/>
        <v>0</v>
      </c>
      <c r="CA28" s="1">
        <f t="shared" si="81"/>
        <v>0</v>
      </c>
      <c r="CB28" s="1">
        <f t="shared" si="81"/>
        <v>8200</v>
      </c>
      <c r="CC28" s="1">
        <f t="shared" si="81"/>
        <v>0</v>
      </c>
      <c r="CD28" s="1" t="e">
        <f ca="1">OFFSET(DesignFile!$I$7,$T$12*($C$3+1-$B28),$P$12*(BZ$14-1))</f>
        <v>#N/A</v>
      </c>
      <c r="CE28" s="1" t="e">
        <f ca="1">OFFSET(DesignFile!$J$7,$T$12*($C$3+1-$B28),$P$12*(BZ$14-1))</f>
        <v>#N/A</v>
      </c>
      <c r="CF28" s="1">
        <f ca="1">IF(CC28=0,0,OFFSET(DesignFile!$H$15,$T$12*($C$3+1-$B28),$P$12*(BZ$14-1))-CE28)</f>
        <v>0</v>
      </c>
      <c r="CG28" s="137" t="e">
        <f t="shared" ca="1" si="35"/>
        <v>#N/A</v>
      </c>
      <c r="CH28" s="136">
        <f t="shared" si="82"/>
        <v>0</v>
      </c>
      <c r="CI28" s="50" t="e">
        <f t="shared" ca="1" si="83"/>
        <v>#N/A</v>
      </c>
      <c r="CJ28" s="1">
        <f t="shared" si="84"/>
        <v>16.399999999999999</v>
      </c>
      <c r="CK28" s="1">
        <f t="shared" ca="1" si="85"/>
        <v>0</v>
      </c>
      <c r="CL28" s="137">
        <f t="shared" si="86"/>
        <v>0</v>
      </c>
      <c r="CM28" s="389" t="e">
        <f t="shared" ca="1" si="41"/>
        <v>#N/A</v>
      </c>
    </row>
    <row r="29" spans="1:91" x14ac:dyDescent="0.25">
      <c r="A29" s="1"/>
      <c r="B29" s="25" t="e">
        <f t="shared" si="42"/>
        <v>#N/A</v>
      </c>
      <c r="C29" s="9">
        <f t="shared" si="56"/>
        <v>250</v>
      </c>
      <c r="D29" s="1">
        <f t="shared" si="56"/>
        <v>4</v>
      </c>
      <c r="E29" s="1">
        <f t="shared" si="56"/>
        <v>8200</v>
      </c>
      <c r="F29" s="1">
        <f t="shared" si="56"/>
        <v>0</v>
      </c>
      <c r="G29" s="1" t="e">
        <f ca="1">OFFSET(DesignFile!$I$7,$T$12*($C$3+1-$B29),$P$12*(C$14-1))</f>
        <v>#N/A</v>
      </c>
      <c r="H29" s="1" t="e">
        <f ca="1">OFFSET(DesignFile!$J$7,$T$12*($C$3+1-$B29),$P$12*(C$14-1))</f>
        <v>#N/A</v>
      </c>
      <c r="I29" s="1">
        <f ca="1">IF(F29=0,0,OFFSET(DesignFile!$H$15,$T$12*($C$3+1-$B29),$P$12*(C$14-1))-H29)</f>
        <v>0</v>
      </c>
      <c r="J29" s="137" t="e">
        <f t="shared" ca="1" si="0"/>
        <v>#N/A</v>
      </c>
      <c r="K29" s="50">
        <f t="shared" si="57"/>
        <v>51.25</v>
      </c>
      <c r="L29" s="50" t="e">
        <f t="shared" ca="1" si="2"/>
        <v>#N/A</v>
      </c>
      <c r="M29" s="1">
        <f t="shared" si="58"/>
        <v>16.399999999999999</v>
      </c>
      <c r="N29" s="1">
        <f t="shared" ca="1" si="59"/>
        <v>0</v>
      </c>
      <c r="O29" s="137">
        <f t="shared" si="60"/>
        <v>32.799999999999997</v>
      </c>
      <c r="P29" s="389" t="e">
        <f t="shared" ca="1" si="6"/>
        <v>#N/A</v>
      </c>
      <c r="Q29" s="50"/>
      <c r="R29" s="9">
        <f t="shared" si="50"/>
        <v>250</v>
      </c>
      <c r="S29" s="1">
        <f t="shared" si="61"/>
        <v>4</v>
      </c>
      <c r="T29" s="1">
        <f t="shared" si="61"/>
        <v>8200</v>
      </c>
      <c r="U29" s="1">
        <f t="shared" si="61"/>
        <v>0</v>
      </c>
      <c r="V29" s="1" t="e">
        <f ca="1">OFFSET(DesignFile!$I$7,$T$12*($C$3+1-$B29),$P$12*(R$14-1))</f>
        <v>#N/A</v>
      </c>
      <c r="W29" s="1" t="e">
        <f ca="1">OFFSET(DesignFile!$J$7,$T$12*($C$3+1-$B29),$P$12*(R$14-1))</f>
        <v>#N/A</v>
      </c>
      <c r="X29" s="1">
        <f ca="1">IF(U29=0,0,OFFSET(DesignFile!$H$15,$T$12*($C$3+1-$B29),$P$12*(R$14-1))-W29)</f>
        <v>0</v>
      </c>
      <c r="Y29" s="137" t="e">
        <f t="shared" ca="1" si="7"/>
        <v>#N/A</v>
      </c>
      <c r="Z29" s="136">
        <f t="shared" si="62"/>
        <v>51.25</v>
      </c>
      <c r="AA29" s="50" t="e">
        <f t="shared" ca="1" si="9"/>
        <v>#N/A</v>
      </c>
      <c r="AB29" s="1">
        <f t="shared" si="63"/>
        <v>16.399999999999999</v>
      </c>
      <c r="AC29" s="1">
        <f t="shared" ca="1" si="64"/>
        <v>0</v>
      </c>
      <c r="AD29" s="137">
        <f t="shared" si="65"/>
        <v>32.799999999999997</v>
      </c>
      <c r="AE29" s="389" t="e">
        <f t="shared" ca="1" si="13"/>
        <v>#N/A</v>
      </c>
      <c r="AG29" s="9">
        <f t="shared" si="66"/>
        <v>250</v>
      </c>
      <c r="AH29" s="1">
        <f t="shared" si="66"/>
        <v>4</v>
      </c>
      <c r="AI29" s="1">
        <f t="shared" si="66"/>
        <v>8200</v>
      </c>
      <c r="AJ29" s="1">
        <f t="shared" si="66"/>
        <v>0</v>
      </c>
      <c r="AK29" s="1" t="e">
        <f ca="1">OFFSET(DesignFile!$I$7,$T$12*($C$3+1-$B29),$P$12*(AG$14-1))</f>
        <v>#N/A</v>
      </c>
      <c r="AL29" s="1" t="e">
        <f ca="1">OFFSET(DesignFile!$J$7,$T$12*($C$3+1-$B29),$P$12*(AG$14-1))</f>
        <v>#N/A</v>
      </c>
      <c r="AM29" s="1">
        <f ca="1">IF(AJ29=0,0,OFFSET(DesignFile!$H$15,$T$12*($C$3+1-$B29),$P$12*(AG$14-1))-AL29)</f>
        <v>0</v>
      </c>
      <c r="AN29" s="137" t="e">
        <f t="shared" ca="1" si="14"/>
        <v>#N/A</v>
      </c>
      <c r="AO29" s="136">
        <f t="shared" si="67"/>
        <v>51.25</v>
      </c>
      <c r="AP29" s="50" t="e">
        <f t="shared" ca="1" si="16"/>
        <v>#N/A</v>
      </c>
      <c r="AQ29" s="1">
        <f t="shared" si="68"/>
        <v>16.399999999999999</v>
      </c>
      <c r="AR29" s="1">
        <f t="shared" ca="1" si="69"/>
        <v>0</v>
      </c>
      <c r="AS29" s="137">
        <f t="shared" si="70"/>
        <v>32.799999999999997</v>
      </c>
      <c r="AT29" s="389" t="e">
        <f t="shared" ca="1" si="20"/>
        <v>#N/A</v>
      </c>
      <c r="AV29" s="9">
        <f t="shared" si="71"/>
        <v>0</v>
      </c>
      <c r="AW29" s="1">
        <f t="shared" si="71"/>
        <v>0</v>
      </c>
      <c r="AX29" s="1">
        <f t="shared" si="71"/>
        <v>8200</v>
      </c>
      <c r="AY29" s="1">
        <f t="shared" si="71"/>
        <v>0</v>
      </c>
      <c r="AZ29" s="1" t="e">
        <f ca="1">OFFSET(DesignFile!$I$7,$T$12*($C$3+1-$B29),$P$12*(AV$14-1))</f>
        <v>#N/A</v>
      </c>
      <c r="BA29" s="1" t="e">
        <f ca="1">OFFSET(DesignFile!$J$7,$T$12*($C$3+1-$B29),$P$12*(AV$14-1))</f>
        <v>#N/A</v>
      </c>
      <c r="BB29" s="1">
        <f ca="1">IF(AY29=0,0,OFFSET(DesignFile!$H$15,$T$12*($C$3+1-$B29),$P$12*(AV$14-1))-BA29)</f>
        <v>0</v>
      </c>
      <c r="BC29" s="137" t="e">
        <f t="shared" ca="1" si="21"/>
        <v>#N/A</v>
      </c>
      <c r="BD29" s="136">
        <f t="shared" si="72"/>
        <v>0</v>
      </c>
      <c r="BE29" s="50" t="e">
        <f t="shared" ca="1" si="23"/>
        <v>#N/A</v>
      </c>
      <c r="BF29" s="1">
        <f t="shared" si="73"/>
        <v>16.399999999999999</v>
      </c>
      <c r="BG29" s="1">
        <f t="shared" ca="1" si="74"/>
        <v>0</v>
      </c>
      <c r="BH29" s="137">
        <f t="shared" si="75"/>
        <v>0</v>
      </c>
      <c r="BI29" s="389" t="e">
        <f t="shared" ca="1" si="27"/>
        <v>#N/A</v>
      </c>
      <c r="BK29" s="9">
        <f t="shared" si="76"/>
        <v>0</v>
      </c>
      <c r="BL29" s="1">
        <f t="shared" si="76"/>
        <v>0</v>
      </c>
      <c r="BM29" s="1">
        <f t="shared" si="76"/>
        <v>8200</v>
      </c>
      <c r="BN29" s="1">
        <f t="shared" si="76"/>
        <v>0</v>
      </c>
      <c r="BO29" s="1" t="e">
        <f ca="1">OFFSET(DesignFile!$I$7,$T$12*($C$3+1-$B29),$P$12*(BK$14-1))</f>
        <v>#N/A</v>
      </c>
      <c r="BP29" s="1" t="e">
        <f ca="1">OFFSET(DesignFile!$J$7,$T$12*($C$3+1-$B29),$P$12*(BK$14-1))</f>
        <v>#N/A</v>
      </c>
      <c r="BQ29" s="1">
        <f ca="1">IF(BN29=0,0,OFFSET(DesignFile!$H$15,$T$12*($C$3+1-$B29),$P$12*(BK$14-1))-BP29)</f>
        <v>0</v>
      </c>
      <c r="BR29" s="137" t="e">
        <f t="shared" ca="1" si="28"/>
        <v>#N/A</v>
      </c>
      <c r="BS29" s="136">
        <f t="shared" si="77"/>
        <v>0</v>
      </c>
      <c r="BT29" s="50" t="e">
        <f t="shared" ca="1" si="30"/>
        <v>#N/A</v>
      </c>
      <c r="BU29" s="1">
        <f t="shared" si="78"/>
        <v>16.399999999999999</v>
      </c>
      <c r="BV29" s="1">
        <f t="shared" ca="1" si="79"/>
        <v>0</v>
      </c>
      <c r="BW29" s="137">
        <f t="shared" si="80"/>
        <v>0</v>
      </c>
      <c r="BX29" s="389" t="e">
        <f t="shared" ca="1" si="34"/>
        <v>#N/A</v>
      </c>
      <c r="BZ29" s="9">
        <f t="shared" si="81"/>
        <v>0</v>
      </c>
      <c r="CA29" s="1">
        <f t="shared" si="81"/>
        <v>0</v>
      </c>
      <c r="CB29" s="1">
        <f t="shared" si="81"/>
        <v>8200</v>
      </c>
      <c r="CC29" s="1">
        <f t="shared" si="81"/>
        <v>0</v>
      </c>
      <c r="CD29" s="1" t="e">
        <f ca="1">OFFSET(DesignFile!$I$7,$T$12*($C$3+1-$B29),$P$12*(BZ$14-1))</f>
        <v>#N/A</v>
      </c>
      <c r="CE29" s="1" t="e">
        <f ca="1">OFFSET(DesignFile!$J$7,$T$12*($C$3+1-$B29),$P$12*(BZ$14-1))</f>
        <v>#N/A</v>
      </c>
      <c r="CF29" s="1">
        <f ca="1">IF(CC29=0,0,OFFSET(DesignFile!$H$15,$T$12*($C$3+1-$B29),$P$12*(BZ$14-1))-CE29)</f>
        <v>0</v>
      </c>
      <c r="CG29" s="137" t="e">
        <f t="shared" ca="1" si="35"/>
        <v>#N/A</v>
      </c>
      <c r="CH29" s="136">
        <f t="shared" si="82"/>
        <v>0</v>
      </c>
      <c r="CI29" s="50" t="e">
        <f t="shared" ca="1" si="83"/>
        <v>#N/A</v>
      </c>
      <c r="CJ29" s="1">
        <f t="shared" si="84"/>
        <v>16.399999999999999</v>
      </c>
      <c r="CK29" s="1">
        <f t="shared" ca="1" si="85"/>
        <v>0</v>
      </c>
      <c r="CL29" s="137">
        <f t="shared" si="86"/>
        <v>0</v>
      </c>
      <c r="CM29" s="389" t="e">
        <f t="shared" ca="1" si="41"/>
        <v>#N/A</v>
      </c>
    </row>
    <row r="41" spans="1:20" ht="15.75" thickBot="1" x14ac:dyDescent="0.3"/>
    <row r="42" spans="1:20" x14ac:dyDescent="0.25">
      <c r="B42" s="163" t="s">
        <v>420</v>
      </c>
      <c r="D42" s="177" t="s">
        <v>421</v>
      </c>
      <c r="K42" s="121" t="s">
        <v>422</v>
      </c>
      <c r="L42" s="7">
        <v>1</v>
      </c>
      <c r="M42" s="7">
        <v>2</v>
      </c>
      <c r="N42" s="7">
        <v>3</v>
      </c>
      <c r="O42" s="7">
        <v>4</v>
      </c>
      <c r="P42" s="7">
        <v>5</v>
      </c>
      <c r="Q42" s="8">
        <v>6</v>
      </c>
    </row>
    <row r="43" spans="1:20" ht="15.75" thickBot="1" x14ac:dyDescent="0.3">
      <c r="B43" t="s">
        <v>423</v>
      </c>
      <c r="D43" s="125">
        <v>0.25</v>
      </c>
      <c r="E43" t="s">
        <v>424</v>
      </c>
      <c r="G43" s="4" t="s">
        <v>425</v>
      </c>
      <c r="H43" s="175">
        <f ca="1">D44*(D45-D46)/D43/1000</f>
        <v>8611.64</v>
      </c>
      <c r="I43" t="s">
        <v>40</v>
      </c>
      <c r="K43" s="123" t="s">
        <v>426</v>
      </c>
      <c r="L43" s="124">
        <f ca="1">OFFSET(DesignFile!$O$7,0,$P$12*(L42-1))</f>
        <v>8200</v>
      </c>
      <c r="M43" s="124">
        <f ca="1">OFFSET(DesignFile!$O$7,0,$P$12*(M42-1))</f>
        <v>8200</v>
      </c>
      <c r="N43" s="124">
        <f ca="1">OFFSET(DesignFile!$O$7,0,$P$12*(N42-1))</f>
        <v>8200</v>
      </c>
      <c r="O43" s="124">
        <f ca="1">OFFSET(DesignFile!$O$7,0,$P$12*(O42-1))</f>
        <v>0</v>
      </c>
      <c r="P43" s="124">
        <f ca="1">OFFSET(DesignFile!$O$7,0,$P$12*(P42-1))</f>
        <v>0</v>
      </c>
      <c r="Q43" s="98">
        <f ca="1">OFFSET(DesignFile!$O$7,0,$P$12*(Q42-1))</f>
        <v>0</v>
      </c>
    </row>
    <row r="44" spans="1:20" x14ac:dyDescent="0.25">
      <c r="B44" t="s">
        <v>427</v>
      </c>
      <c r="D44" s="176">
        <f ca="1">P18</f>
        <v>94.425877192982455</v>
      </c>
      <c r="E44" t="s">
        <v>428</v>
      </c>
    </row>
    <row r="45" spans="1:20" x14ac:dyDescent="0.25">
      <c r="B45" t="s">
        <v>429</v>
      </c>
      <c r="D45" s="125">
        <f>SUM(DesignFile!O7,DesignFile!X7,DesignFile!AG7)</f>
        <v>24600</v>
      </c>
      <c r="E45" t="s">
        <v>86</v>
      </c>
    </row>
    <row r="46" spans="1:20" x14ac:dyDescent="0.25">
      <c r="B46" t="s">
        <v>430</v>
      </c>
      <c r="D46" s="125">
        <f>SUM(DesignFile!H10,DesignFile!Q10,DesignFile!Z10)</f>
        <v>1800</v>
      </c>
      <c r="E46" t="s">
        <v>86</v>
      </c>
    </row>
    <row r="47" spans="1:20" ht="15.75" thickBot="1" x14ac:dyDescent="0.3"/>
    <row r="48" spans="1:20" ht="19.5" thickBot="1" x14ac:dyDescent="0.35">
      <c r="A48" s="166" t="s">
        <v>431</v>
      </c>
      <c r="O48" s="220" t="s">
        <v>399</v>
      </c>
      <c r="P48" s="204">
        <f>P12</f>
        <v>9</v>
      </c>
      <c r="S48" s="224" t="s">
        <v>400</v>
      </c>
      <c r="T48" s="204">
        <f>T12</f>
        <v>9</v>
      </c>
    </row>
    <row r="49" spans="2:55" ht="15.75" thickBot="1" x14ac:dyDescent="0.3"/>
    <row r="50" spans="2:55" ht="19.5" thickBot="1" x14ac:dyDescent="0.35">
      <c r="B50" s="155" t="s">
        <v>432</v>
      </c>
      <c r="C50" s="1">
        <v>1</v>
      </c>
      <c r="D50" s="1">
        <v>1</v>
      </c>
      <c r="E50" s="1">
        <v>1</v>
      </c>
      <c r="F50" s="1">
        <v>1</v>
      </c>
      <c r="G50" s="1">
        <v>1</v>
      </c>
      <c r="H50" s="1">
        <v>1</v>
      </c>
      <c r="I50" s="1">
        <v>1</v>
      </c>
      <c r="J50" s="1">
        <v>1</v>
      </c>
      <c r="L50" s="1">
        <f t="shared" ref="L50:S50" si="87">C50+1</f>
        <v>2</v>
      </c>
      <c r="M50" s="1">
        <f t="shared" si="87"/>
        <v>2</v>
      </c>
      <c r="N50" s="1">
        <f t="shared" si="87"/>
        <v>2</v>
      </c>
      <c r="O50" s="1">
        <f t="shared" si="87"/>
        <v>2</v>
      </c>
      <c r="P50" s="1">
        <f t="shared" si="87"/>
        <v>2</v>
      </c>
      <c r="Q50" s="1">
        <f t="shared" si="87"/>
        <v>2</v>
      </c>
      <c r="R50" s="1">
        <f t="shared" si="87"/>
        <v>2</v>
      </c>
      <c r="S50" s="1">
        <f t="shared" si="87"/>
        <v>2</v>
      </c>
      <c r="U50" s="1">
        <f t="shared" ref="U50:AB50" si="88">L50+1</f>
        <v>3</v>
      </c>
      <c r="V50" s="1">
        <f t="shared" si="88"/>
        <v>3</v>
      </c>
      <c r="W50" s="1">
        <f t="shared" si="88"/>
        <v>3</v>
      </c>
      <c r="X50" s="1">
        <f t="shared" si="88"/>
        <v>3</v>
      </c>
      <c r="Y50" s="1">
        <f t="shared" si="88"/>
        <v>3</v>
      </c>
      <c r="Z50" s="1">
        <f t="shared" si="88"/>
        <v>3</v>
      </c>
      <c r="AA50" s="1">
        <f t="shared" si="88"/>
        <v>3</v>
      </c>
      <c r="AB50" s="1">
        <f t="shared" si="88"/>
        <v>3</v>
      </c>
      <c r="AD50" s="1">
        <f t="shared" ref="AD50:AK50" si="89">U50+1</f>
        <v>4</v>
      </c>
      <c r="AE50" s="1">
        <f t="shared" si="89"/>
        <v>4</v>
      </c>
      <c r="AF50" s="1">
        <f t="shared" si="89"/>
        <v>4</v>
      </c>
      <c r="AG50" s="1">
        <f t="shared" si="89"/>
        <v>4</v>
      </c>
      <c r="AH50" s="1">
        <f t="shared" si="89"/>
        <v>4</v>
      </c>
      <c r="AI50" s="1">
        <f t="shared" si="89"/>
        <v>4</v>
      </c>
      <c r="AJ50" s="1">
        <f t="shared" si="89"/>
        <v>4</v>
      </c>
      <c r="AK50" s="1">
        <f t="shared" si="89"/>
        <v>4</v>
      </c>
      <c r="AM50" s="1">
        <f t="shared" ref="AM50:AT50" si="90">AD50+1</f>
        <v>5</v>
      </c>
      <c r="AN50" s="1">
        <f t="shared" si="90"/>
        <v>5</v>
      </c>
      <c r="AO50" s="1">
        <f t="shared" si="90"/>
        <v>5</v>
      </c>
      <c r="AP50" s="1">
        <f t="shared" si="90"/>
        <v>5</v>
      </c>
      <c r="AQ50" s="1">
        <f t="shared" si="90"/>
        <v>5</v>
      </c>
      <c r="AR50" s="1">
        <f t="shared" si="90"/>
        <v>5</v>
      </c>
      <c r="AS50" s="1">
        <f t="shared" si="90"/>
        <v>5</v>
      </c>
      <c r="AT50" s="1">
        <f t="shared" si="90"/>
        <v>5</v>
      </c>
      <c r="AV50" s="1">
        <f t="shared" ref="AV50:BC50" si="91">AM50+1</f>
        <v>6</v>
      </c>
      <c r="AW50" s="1">
        <f t="shared" si="91"/>
        <v>6</v>
      </c>
      <c r="AX50" s="1">
        <f t="shared" si="91"/>
        <v>6</v>
      </c>
      <c r="AY50" s="1">
        <f t="shared" si="91"/>
        <v>6</v>
      </c>
      <c r="AZ50" s="1">
        <f t="shared" si="91"/>
        <v>6</v>
      </c>
      <c r="BA50" s="1">
        <f t="shared" si="91"/>
        <v>6</v>
      </c>
      <c r="BB50" s="1">
        <f t="shared" si="91"/>
        <v>6</v>
      </c>
      <c r="BC50" s="1">
        <f t="shared" si="91"/>
        <v>6</v>
      </c>
    </row>
    <row r="51" spans="2:55" ht="15.75" thickBot="1" x14ac:dyDescent="0.3"/>
    <row r="52" spans="2:55" ht="75" x14ac:dyDescent="0.25">
      <c r="B52" s="6" t="s">
        <v>404</v>
      </c>
      <c r="C52" s="170" t="s">
        <v>433</v>
      </c>
      <c r="D52" s="168" t="s">
        <v>434</v>
      </c>
      <c r="E52" s="158" t="s">
        <v>435</v>
      </c>
      <c r="F52" s="168" t="s">
        <v>436</v>
      </c>
      <c r="G52" s="168" t="s">
        <v>437</v>
      </c>
      <c r="H52" s="7" t="s">
        <v>438</v>
      </c>
      <c r="I52" s="169" t="s">
        <v>420</v>
      </c>
      <c r="J52" s="171" t="s">
        <v>439</v>
      </c>
      <c r="L52" s="170" t="s">
        <v>433</v>
      </c>
      <c r="M52" s="168" t="s">
        <v>434</v>
      </c>
      <c r="N52" s="158" t="s">
        <v>435</v>
      </c>
      <c r="O52" s="168" t="s">
        <v>436</v>
      </c>
      <c r="P52" s="168" t="s">
        <v>437</v>
      </c>
      <c r="Q52" s="7" t="s">
        <v>438</v>
      </c>
      <c r="R52" s="169" t="s">
        <v>420</v>
      </c>
      <c r="S52" s="171" t="s">
        <v>439</v>
      </c>
      <c r="U52" s="170" t="s">
        <v>433</v>
      </c>
      <c r="V52" s="168" t="s">
        <v>434</v>
      </c>
      <c r="W52" s="158" t="s">
        <v>435</v>
      </c>
      <c r="X52" s="168" t="s">
        <v>436</v>
      </c>
      <c r="Y52" s="168" t="s">
        <v>437</v>
      </c>
      <c r="Z52" s="7" t="s">
        <v>438</v>
      </c>
      <c r="AA52" s="169" t="s">
        <v>420</v>
      </c>
      <c r="AB52" s="171" t="s">
        <v>439</v>
      </c>
      <c r="AD52" s="170" t="s">
        <v>433</v>
      </c>
      <c r="AE52" s="168" t="s">
        <v>434</v>
      </c>
      <c r="AF52" s="158" t="s">
        <v>435</v>
      </c>
      <c r="AG52" s="168" t="s">
        <v>436</v>
      </c>
      <c r="AH52" s="168" t="s">
        <v>437</v>
      </c>
      <c r="AI52" s="7" t="s">
        <v>438</v>
      </c>
      <c r="AJ52" s="169" t="s">
        <v>420</v>
      </c>
      <c r="AK52" s="171" t="s">
        <v>439</v>
      </c>
      <c r="AM52" s="170" t="s">
        <v>433</v>
      </c>
      <c r="AN52" s="168" t="s">
        <v>434</v>
      </c>
      <c r="AO52" s="158" t="s">
        <v>435</v>
      </c>
      <c r="AP52" s="168" t="s">
        <v>436</v>
      </c>
      <c r="AQ52" s="168" t="s">
        <v>437</v>
      </c>
      <c r="AR52" s="7" t="s">
        <v>438</v>
      </c>
      <c r="AS52" s="169" t="s">
        <v>420</v>
      </c>
      <c r="AT52" s="171" t="s">
        <v>439</v>
      </c>
      <c r="AV52" s="170" t="s">
        <v>433</v>
      </c>
      <c r="AW52" s="168" t="s">
        <v>434</v>
      </c>
      <c r="AX52" s="158" t="s">
        <v>435</v>
      </c>
      <c r="AY52" s="168" t="s">
        <v>436</v>
      </c>
      <c r="AZ52" s="168" t="s">
        <v>437</v>
      </c>
      <c r="BA52" s="7" t="s">
        <v>438</v>
      </c>
      <c r="BB52" s="169" t="s">
        <v>420</v>
      </c>
      <c r="BC52" s="171" t="s">
        <v>439</v>
      </c>
    </row>
    <row r="53" spans="2:55" ht="15.75" thickBot="1" x14ac:dyDescent="0.3">
      <c r="B53" s="123"/>
      <c r="C53" s="134" t="s">
        <v>282</v>
      </c>
      <c r="D53" s="64" t="s">
        <v>282</v>
      </c>
      <c r="E53" s="1" t="s">
        <v>282</v>
      </c>
      <c r="F53" s="1" t="s">
        <v>282</v>
      </c>
      <c r="G53" s="1" t="s">
        <v>282</v>
      </c>
      <c r="H53" s="1" t="s">
        <v>73</v>
      </c>
      <c r="I53" s="10"/>
      <c r="J53" s="357" t="s">
        <v>73</v>
      </c>
      <c r="L53" s="149" t="s">
        <v>282</v>
      </c>
      <c r="M53" s="150" t="s">
        <v>282</v>
      </c>
      <c r="N53" s="17" t="s">
        <v>282</v>
      </c>
      <c r="O53" s="17" t="s">
        <v>282</v>
      </c>
      <c r="P53" s="17" t="s">
        <v>282</v>
      </c>
      <c r="Q53" s="17" t="s">
        <v>73</v>
      </c>
      <c r="R53" s="98"/>
      <c r="S53" s="172" t="s">
        <v>73</v>
      </c>
      <c r="U53" s="149" t="s">
        <v>282</v>
      </c>
      <c r="V53" s="150" t="s">
        <v>282</v>
      </c>
      <c r="W53" s="17" t="s">
        <v>282</v>
      </c>
      <c r="X53" s="17" t="s">
        <v>282</v>
      </c>
      <c r="Y53" s="17" t="s">
        <v>282</v>
      </c>
      <c r="Z53" s="17" t="s">
        <v>73</v>
      </c>
      <c r="AA53" s="98"/>
      <c r="AB53" s="172" t="s">
        <v>73</v>
      </c>
      <c r="AD53" s="149" t="s">
        <v>282</v>
      </c>
      <c r="AE53" s="150" t="s">
        <v>282</v>
      </c>
      <c r="AF53" s="17" t="s">
        <v>282</v>
      </c>
      <c r="AG53" s="17" t="s">
        <v>282</v>
      </c>
      <c r="AH53" s="17" t="s">
        <v>282</v>
      </c>
      <c r="AI53" s="17" t="s">
        <v>73</v>
      </c>
      <c r="AJ53" s="98"/>
      <c r="AK53" s="172" t="s">
        <v>73</v>
      </c>
      <c r="AM53" s="149" t="s">
        <v>282</v>
      </c>
      <c r="AN53" s="150" t="s">
        <v>282</v>
      </c>
      <c r="AO53" s="17" t="s">
        <v>282</v>
      </c>
      <c r="AP53" s="17" t="s">
        <v>282</v>
      </c>
      <c r="AQ53" s="17" t="s">
        <v>282</v>
      </c>
      <c r="AR53" s="17" t="s">
        <v>73</v>
      </c>
      <c r="AS53" s="98"/>
      <c r="AT53" s="172" t="s">
        <v>73</v>
      </c>
      <c r="AV53" s="149" t="s">
        <v>282</v>
      </c>
      <c r="AW53" s="150" t="s">
        <v>282</v>
      </c>
      <c r="AX53" s="17" t="s">
        <v>282</v>
      </c>
      <c r="AY53" s="17" t="s">
        <v>282</v>
      </c>
      <c r="AZ53" s="17" t="s">
        <v>282</v>
      </c>
      <c r="BA53" s="17" t="s">
        <v>73</v>
      </c>
      <c r="BB53" s="98"/>
      <c r="BC53" s="172" t="s">
        <v>73</v>
      </c>
    </row>
    <row r="54" spans="2:55" x14ac:dyDescent="0.25">
      <c r="B54" s="9">
        <f>$C$3</f>
        <v>5</v>
      </c>
      <c r="C54" s="6">
        <f ca="1">OFFSET(DesignFile!$H$9,$T$48*($C$3-$B54),$P$48*(C$50-1))</f>
        <v>450</v>
      </c>
      <c r="D54" s="158">
        <f ca="1">OFFSET(DesignFile!$H$10,$T$48*($C$3-$B54),$P$48*(D$50-1))</f>
        <v>600</v>
      </c>
      <c r="E54" s="158">
        <f ca="1">OFFSET(DesignFile!$H$15,$T$48*($C$3-$B54),$P$48*(E$50-1))</f>
        <v>3900</v>
      </c>
      <c r="F54" s="158">
        <f ca="1">OFFSET(DesignFile!$J$7,$T$48*($C$3-$B54),$P$48*(F$50-2))</f>
        <v>-2</v>
      </c>
      <c r="G54" s="158">
        <f ca="1">OFFSET(DesignFile!$J$7,$T$48*($C$3-$B54),$P$48*(G$50-1))</f>
        <v>750</v>
      </c>
      <c r="H54" s="173">
        <f t="shared" ref="H54:H60" ca="1" si="92">$D$5*C54*D54*(E54-MAX(F54,G54))/1000000000</f>
        <v>21.262499999999999</v>
      </c>
      <c r="I54" s="158"/>
      <c r="J54" s="174">
        <f t="shared" ref="J54:J60" ca="1" si="93">SUM(H54,I54)</f>
        <v>21.262499999999999</v>
      </c>
      <c r="L54" s="6">
        <f ca="1">OFFSET(DesignFile!$H$9,$T$48*($C$3-$B54),$P$48*(L$50-1))</f>
        <v>600</v>
      </c>
      <c r="M54" s="158">
        <f ca="1">OFFSET(DesignFile!$H$10,$T$48*($C$3-$B54),$P$48*(M$50-1))</f>
        <v>600</v>
      </c>
      <c r="N54" s="158">
        <f ca="1">OFFSET(DesignFile!$H$15,$T$48*($C$3-$B54),$P$48*(N$50-1))</f>
        <v>3900</v>
      </c>
      <c r="O54" s="158">
        <f ca="1">OFFSET(DesignFile!$J$7,$T$48*($C$3-$B54),$P$48*(O$50-2))</f>
        <v>750</v>
      </c>
      <c r="P54" s="158">
        <f ca="1">OFFSET(DesignFile!$J$7,$T$48*($C$3-$B54),$P$48*(P$50-1))</f>
        <v>750</v>
      </c>
      <c r="Q54" s="173">
        <f t="shared" ref="Q54:Q60" ca="1" si="94">$D$5*L54*M54*(N54-MAX(O54,P54))/1000000000</f>
        <v>28.35</v>
      </c>
      <c r="R54" s="158"/>
      <c r="S54" s="174">
        <f t="shared" ref="S54:S60" ca="1" si="95">SUM(Q54,R54)</f>
        <v>28.35</v>
      </c>
      <c r="U54" s="6">
        <f ca="1">OFFSET(DesignFile!$H$9,$T$48*($C$3-$B54),$P$48*(U$50-1))</f>
        <v>600</v>
      </c>
      <c r="V54" s="158">
        <f ca="1">OFFSET(DesignFile!$H$10,$T$48*($C$3-$B54),$P$48*(V$50-1))</f>
        <v>600</v>
      </c>
      <c r="W54" s="158">
        <f ca="1">OFFSET(DesignFile!$H$15,$T$48*($C$3-$B54),$P$48*(W$50-1))</f>
        <v>3900</v>
      </c>
      <c r="X54" s="158">
        <f ca="1">OFFSET(DesignFile!$J$7,$T$48*($C$3-$B54),$P$48*(X$50-2))</f>
        <v>750</v>
      </c>
      <c r="Y54" s="158">
        <f ca="1">OFFSET(DesignFile!$J$7,$T$48*($C$3-$B54),$P$48*(Y$50-1))</f>
        <v>750</v>
      </c>
      <c r="Z54" s="173">
        <f t="shared" ref="Z54:Z60" ca="1" si="96">$D$5*U54*V54*(W54-MAX(X54,Y54))/1000000000</f>
        <v>28.35</v>
      </c>
      <c r="AA54" s="158"/>
      <c r="AB54" s="174">
        <f t="shared" ref="AB54:AB60" ca="1" si="97">SUM(Z54,AA54)</f>
        <v>28.35</v>
      </c>
      <c r="AD54" s="6">
        <f ca="1">OFFSET(DesignFile!$H$9,$T$48*($C$3-$B54),$P$48*(AD$50-1))</f>
        <v>450</v>
      </c>
      <c r="AE54" s="158">
        <f ca="1">OFFSET(DesignFile!$H$10,$T$48*($C$3-$B54),$P$48*(AE$50-1))</f>
        <v>600</v>
      </c>
      <c r="AF54" s="158">
        <f ca="1">OFFSET(DesignFile!$H$15,$T$48*($C$3-$B54),$P$48*(AF$50-1))</f>
        <v>3900</v>
      </c>
      <c r="AG54" s="158">
        <f ca="1">OFFSET(DesignFile!$J$7,$T$48*($C$3-$B54),$P$48*(AG$50-2))</f>
        <v>750</v>
      </c>
      <c r="AH54" s="158">
        <f ca="1">OFFSET(DesignFile!$J$7,$T$48*($C$3-$B54),$P$48*(AH$50-1))</f>
        <v>0</v>
      </c>
      <c r="AI54" s="173">
        <f t="shared" ref="AI54:AI60" ca="1" si="98">$D$5*AD54*AE54*(AF54-MAX(AG54,AH54))/1000000000</f>
        <v>21.262499999999999</v>
      </c>
      <c r="AJ54" s="158"/>
      <c r="AK54" s="174">
        <f t="shared" ref="AK54:AK60" ca="1" si="99">SUM(AI54,AJ54)</f>
        <v>21.262499999999999</v>
      </c>
      <c r="AM54" s="6">
        <f ca="1">OFFSET(DesignFile!$H$9,$T$48*($C$3-$B54),$P$48*(AM$50-1))</f>
        <v>0</v>
      </c>
      <c r="AN54" s="158">
        <f ca="1">OFFSET(DesignFile!$H$10,$T$48*($C$3-$B54),$P$48*(AN$50-1))</f>
        <v>0</v>
      </c>
      <c r="AO54" s="158">
        <f ca="1">OFFSET(DesignFile!$H$15,$T$48*($C$3-$B54),$P$48*(AO$50-1))</f>
        <v>0</v>
      </c>
      <c r="AP54" s="158">
        <f ca="1">OFFSET(DesignFile!$J$7,$T$48*($C$3-$B54),$P$48*(AP$50-2))</f>
        <v>0</v>
      </c>
      <c r="AQ54" s="158">
        <f ca="1">OFFSET(DesignFile!$J$7,$T$48*($C$3-$B54),$P$48*(AQ$50-1))</f>
        <v>0</v>
      </c>
      <c r="AR54" s="173">
        <f t="shared" ref="AR54:AR60" ca="1" si="100">$D$5*AM54*AN54*(AO54-MAX(AP54,AQ54))/1000000000</f>
        <v>0</v>
      </c>
      <c r="AS54" s="158"/>
      <c r="AT54" s="174">
        <f t="shared" ref="AT54:AT60" ca="1" si="101">SUM(AR54,AS54)</f>
        <v>0</v>
      </c>
      <c r="AV54" s="6">
        <f ca="1">OFFSET(DesignFile!$H$9,$T$48*($C$3-$B54),$P$48*(AV$50-1))</f>
        <v>0</v>
      </c>
      <c r="AW54" s="158">
        <f ca="1">OFFSET(DesignFile!$H$10,$T$48*($C$3-$B54),$P$48*(AW$50-1))</f>
        <v>0</v>
      </c>
      <c r="AX54" s="158">
        <f ca="1">OFFSET(DesignFile!$H$15,$T$48*($C$3-$B54),$P$48*(AX$50-1))</f>
        <v>0</v>
      </c>
      <c r="AY54" s="158">
        <f ca="1">OFFSET(DesignFile!$J$7,$T$48*($C$3-$B54),$P$48*(AY$50-2))</f>
        <v>0</v>
      </c>
      <c r="AZ54" s="158">
        <f ca="1">OFFSET(DesignFile!$J$7,$T$48*($C$3-$B54),$P$48*(AZ$50-1))</f>
        <v>0</v>
      </c>
      <c r="BA54" s="173">
        <f t="shared" ref="BA54:BA60" ca="1" si="102">$D$5*AV54*AW54*(AX54-MAX(AY54,AZ54))/1000000000</f>
        <v>0</v>
      </c>
      <c r="BB54" s="158"/>
      <c r="BC54" s="174">
        <f t="shared" ref="BC54:BC60" ca="1" si="103">SUM(BA54,BB54)</f>
        <v>0</v>
      </c>
    </row>
    <row r="55" spans="2:55" x14ac:dyDescent="0.25">
      <c r="B55" s="9">
        <f t="shared" ref="B55:B65" si="104">IF(B54-1&gt;=1,B54-1,NA())</f>
        <v>4</v>
      </c>
      <c r="C55" s="9">
        <f ca="1">OFFSET(DesignFile!$H$9,$T$48*($C$3-$B55),$P$48*(C$50-1))</f>
        <v>450</v>
      </c>
      <c r="D55" s="1">
        <f ca="1">OFFSET(DesignFile!$H$10,$T$48*($C$3-$B55),$P$48*(D$50-1))</f>
        <v>600</v>
      </c>
      <c r="E55" s="1">
        <f ca="1">OFFSET(DesignFile!$H$15,$T$48*($C$3-$B55),$P$48*(E$50-1))</f>
        <v>3900</v>
      </c>
      <c r="F55" s="1">
        <f ca="1">OFFSET(DesignFile!$J$7,$T$48*($C$3-$B55),$P$48*(F$50-2))</f>
        <v>0</v>
      </c>
      <c r="G55" s="1">
        <f ca="1">OFFSET(DesignFile!$J$7,$T$48*($C$3-$B55),$P$48*(G$50-1))</f>
        <v>750</v>
      </c>
      <c r="H55" s="27">
        <f t="shared" ca="1" si="92"/>
        <v>21.262499999999999</v>
      </c>
      <c r="I55" s="1"/>
      <c r="J55" s="142">
        <f t="shared" ca="1" si="93"/>
        <v>21.262499999999999</v>
      </c>
      <c r="L55" s="9">
        <f ca="1">OFFSET(DesignFile!$H$9,$T$48*($C$3-$B55),$P$48*(L$50-1))</f>
        <v>600</v>
      </c>
      <c r="M55" s="1">
        <f ca="1">OFFSET(DesignFile!$H$10,$T$48*($C$3-$B55),$P$48*(M$50-1))</f>
        <v>600</v>
      </c>
      <c r="N55" s="1">
        <f ca="1">OFFSET(DesignFile!$H$15,$T$48*($C$3-$B55),$P$48*(N$50-1))</f>
        <v>3900</v>
      </c>
      <c r="O55" s="1">
        <f ca="1">OFFSET(DesignFile!$J$7,$T$48*($C$3-$B55),$P$48*(O$50-2))</f>
        <v>750</v>
      </c>
      <c r="P55" s="1">
        <f ca="1">OFFSET(DesignFile!$J$7,$T$48*($C$3-$B55),$P$48*(P$50-1))</f>
        <v>750</v>
      </c>
      <c r="Q55" s="27">
        <f t="shared" ca="1" si="94"/>
        <v>28.35</v>
      </c>
      <c r="R55" s="1"/>
      <c r="S55" s="142">
        <f t="shared" ca="1" si="95"/>
        <v>28.35</v>
      </c>
      <c r="U55" s="9">
        <f ca="1">OFFSET(DesignFile!$H$9,$T$48*($C$3-$B55),$P$48*(U$50-1))</f>
        <v>600</v>
      </c>
      <c r="V55" s="1">
        <f ca="1">OFFSET(DesignFile!$H$10,$T$48*($C$3-$B55),$P$48*(V$50-1))</f>
        <v>600</v>
      </c>
      <c r="W55" s="1">
        <f ca="1">OFFSET(DesignFile!$H$15,$T$48*($C$3-$B55),$P$48*(W$50-1))</f>
        <v>3900</v>
      </c>
      <c r="X55" s="1">
        <f ca="1">OFFSET(DesignFile!$J$7,$T$48*($C$3-$B55),$P$48*(X$50-2))</f>
        <v>750</v>
      </c>
      <c r="Y55" s="1">
        <f ca="1">OFFSET(DesignFile!$J$7,$T$48*($C$3-$B55),$P$48*(Y$50-1))</f>
        <v>750</v>
      </c>
      <c r="Z55" s="27">
        <f t="shared" ca="1" si="96"/>
        <v>28.35</v>
      </c>
      <c r="AA55" s="1"/>
      <c r="AB55" s="142">
        <f t="shared" ca="1" si="97"/>
        <v>28.35</v>
      </c>
      <c r="AD55" s="9">
        <f ca="1">OFFSET(DesignFile!$H$9,$T$48*($C$3-$B55),$P$48*(AD$50-1))</f>
        <v>450</v>
      </c>
      <c r="AE55" s="1">
        <f ca="1">OFFSET(DesignFile!$H$10,$T$48*($C$3-$B55),$P$48*(AE$50-1))</f>
        <v>600</v>
      </c>
      <c r="AF55" s="1">
        <f ca="1">OFFSET(DesignFile!$H$15,$T$48*($C$3-$B55),$P$48*(AF$50-1))</f>
        <v>3900</v>
      </c>
      <c r="AG55" s="1">
        <f ca="1">OFFSET(DesignFile!$J$7,$T$48*($C$3-$B55),$P$48*(AG$50-2))</f>
        <v>750</v>
      </c>
      <c r="AH55" s="1">
        <f ca="1">OFFSET(DesignFile!$J$7,$T$48*($C$3-$B55),$P$48*(AH$50-1))</f>
        <v>0</v>
      </c>
      <c r="AI55" s="27">
        <f t="shared" ca="1" si="98"/>
        <v>21.262499999999999</v>
      </c>
      <c r="AJ55" s="1"/>
      <c r="AK55" s="142">
        <f t="shared" ca="1" si="99"/>
        <v>21.262499999999999</v>
      </c>
      <c r="AM55" s="9">
        <f ca="1">OFFSET(DesignFile!$H$9,$T$48*($C$3-$B55),$P$48*(AM$50-1))</f>
        <v>0</v>
      </c>
      <c r="AN55" s="1">
        <f ca="1">OFFSET(DesignFile!$H$10,$T$48*($C$3-$B55),$P$48*(AN$50-1))</f>
        <v>0</v>
      </c>
      <c r="AO55" s="1">
        <f ca="1">OFFSET(DesignFile!$H$15,$T$48*($C$3-$B55),$P$48*(AO$50-1))</f>
        <v>0</v>
      </c>
      <c r="AP55" s="1">
        <f ca="1">OFFSET(DesignFile!$J$7,$T$48*($C$3-$B55),$P$48*(AP$50-2))</f>
        <v>0</v>
      </c>
      <c r="AQ55" s="1">
        <f ca="1">OFFSET(DesignFile!$J$7,$T$48*($C$3-$B55),$P$48*(AQ$50-1))</f>
        <v>0</v>
      </c>
      <c r="AR55" s="27">
        <f t="shared" ca="1" si="100"/>
        <v>0</v>
      </c>
      <c r="AS55" s="1"/>
      <c r="AT55" s="142">
        <f t="shared" ca="1" si="101"/>
        <v>0</v>
      </c>
      <c r="AV55" s="9">
        <f ca="1">OFFSET(DesignFile!$H$9,$T$48*($C$3-$B55),$P$48*(AV$50-1))</f>
        <v>0</v>
      </c>
      <c r="AW55" s="1">
        <f ca="1">OFFSET(DesignFile!$H$10,$T$48*($C$3-$B55),$P$48*(AW$50-1))</f>
        <v>0</v>
      </c>
      <c r="AX55" s="1">
        <f ca="1">OFFSET(DesignFile!$H$15,$T$48*($C$3-$B55),$P$48*(AX$50-1))</f>
        <v>0</v>
      </c>
      <c r="AY55" s="1">
        <f ca="1">OFFSET(DesignFile!$J$7,$T$48*($C$3-$B55),$P$48*(AY$50-2))</f>
        <v>0</v>
      </c>
      <c r="AZ55" s="1">
        <f ca="1">OFFSET(DesignFile!$J$7,$T$48*($C$3-$B55),$P$48*(AZ$50-1))</f>
        <v>0</v>
      </c>
      <c r="BA55" s="27">
        <f t="shared" ca="1" si="102"/>
        <v>0</v>
      </c>
      <c r="BB55" s="1"/>
      <c r="BC55" s="142">
        <f t="shared" ca="1" si="103"/>
        <v>0</v>
      </c>
    </row>
    <row r="56" spans="2:55" x14ac:dyDescent="0.25">
      <c r="B56" s="9">
        <f t="shared" si="104"/>
        <v>3</v>
      </c>
      <c r="C56" s="9">
        <f ca="1">OFFSET(DesignFile!$H$9,$T$48*($C$3-$B56),$P$48*(C$50-1))</f>
        <v>450</v>
      </c>
      <c r="D56" s="1">
        <f ca="1">OFFSET(DesignFile!$H$10,$T$48*($C$3-$B56),$P$48*(D$50-1))</f>
        <v>600</v>
      </c>
      <c r="E56" s="1">
        <f ca="1">OFFSET(DesignFile!$H$15,$T$48*($C$3-$B56),$P$48*(E$50-1))</f>
        <v>3900</v>
      </c>
      <c r="F56" s="1">
        <f ca="1">OFFSET(DesignFile!$J$7,$T$48*($C$3-$B56),$P$48*(F$50-2))</f>
        <v>0</v>
      </c>
      <c r="G56" s="1">
        <f ca="1">OFFSET(DesignFile!$J$7,$T$48*($C$3-$B56),$P$48*(G$50-1))</f>
        <v>750</v>
      </c>
      <c r="H56" s="27">
        <f t="shared" ca="1" si="92"/>
        <v>21.262499999999999</v>
      </c>
      <c r="I56" s="1"/>
      <c r="J56" s="142">
        <f t="shared" ca="1" si="93"/>
        <v>21.262499999999999</v>
      </c>
      <c r="L56" s="9">
        <f ca="1">OFFSET(DesignFile!$H$9,$T$48*($C$3-$B56),$P$48*(L$50-1))</f>
        <v>600</v>
      </c>
      <c r="M56" s="1">
        <f ca="1">OFFSET(DesignFile!$H$10,$T$48*($C$3-$B56),$P$48*(M$50-1))</f>
        <v>600</v>
      </c>
      <c r="N56" s="1">
        <f ca="1">OFFSET(DesignFile!$H$15,$T$48*($C$3-$B56),$P$48*(N$50-1))</f>
        <v>3900</v>
      </c>
      <c r="O56" s="1">
        <f ca="1">OFFSET(DesignFile!$J$7,$T$48*($C$3-$B56),$P$48*(O$50-2))</f>
        <v>750</v>
      </c>
      <c r="P56" s="1">
        <f ca="1">OFFSET(DesignFile!$J$7,$T$48*($C$3-$B56),$P$48*(P$50-1))</f>
        <v>750</v>
      </c>
      <c r="Q56" s="27">
        <f t="shared" ca="1" si="94"/>
        <v>28.35</v>
      </c>
      <c r="R56" s="1"/>
      <c r="S56" s="142">
        <f t="shared" ca="1" si="95"/>
        <v>28.35</v>
      </c>
      <c r="U56" s="9">
        <f ca="1">OFFSET(DesignFile!$H$9,$T$48*($C$3-$B56),$P$48*(U$50-1))</f>
        <v>600</v>
      </c>
      <c r="V56" s="1">
        <f ca="1">OFFSET(DesignFile!$H$10,$T$48*($C$3-$B56),$P$48*(V$50-1))</f>
        <v>600</v>
      </c>
      <c r="W56" s="1">
        <f ca="1">OFFSET(DesignFile!$H$15,$T$48*($C$3-$B56),$P$48*(W$50-1))</f>
        <v>3900</v>
      </c>
      <c r="X56" s="1">
        <f ca="1">OFFSET(DesignFile!$J$7,$T$48*($C$3-$B56),$P$48*(X$50-2))</f>
        <v>750</v>
      </c>
      <c r="Y56" s="1">
        <f ca="1">OFFSET(DesignFile!$J$7,$T$48*($C$3-$B56),$P$48*(Y$50-1))</f>
        <v>750</v>
      </c>
      <c r="Z56" s="27">
        <f t="shared" ca="1" si="96"/>
        <v>28.35</v>
      </c>
      <c r="AA56" s="1"/>
      <c r="AB56" s="142">
        <f t="shared" ca="1" si="97"/>
        <v>28.35</v>
      </c>
      <c r="AD56" s="9">
        <f ca="1">OFFSET(DesignFile!$H$9,$T$48*($C$3-$B56),$P$48*(AD$50-1))</f>
        <v>450</v>
      </c>
      <c r="AE56" s="1">
        <f ca="1">OFFSET(DesignFile!$H$10,$T$48*($C$3-$B56),$P$48*(AE$50-1))</f>
        <v>600</v>
      </c>
      <c r="AF56" s="1">
        <f ca="1">OFFSET(DesignFile!$H$15,$T$48*($C$3-$B56),$P$48*(AF$50-1))</f>
        <v>3900</v>
      </c>
      <c r="AG56" s="1">
        <f ca="1">OFFSET(DesignFile!$J$7,$T$48*($C$3-$B56),$P$48*(AG$50-2))</f>
        <v>750</v>
      </c>
      <c r="AH56" s="1">
        <f ca="1">OFFSET(DesignFile!$J$7,$T$48*($C$3-$B56),$P$48*(AH$50-1))</f>
        <v>0</v>
      </c>
      <c r="AI56" s="27">
        <f t="shared" ca="1" si="98"/>
        <v>21.262499999999999</v>
      </c>
      <c r="AJ56" s="1"/>
      <c r="AK56" s="142">
        <f t="shared" ca="1" si="99"/>
        <v>21.262499999999999</v>
      </c>
      <c r="AM56" s="9">
        <f ca="1">OFFSET(DesignFile!$H$9,$T$48*($C$3-$B56),$P$48*(AM$50-1))</f>
        <v>0</v>
      </c>
      <c r="AN56" s="1">
        <f ca="1">OFFSET(DesignFile!$H$10,$T$48*($C$3-$B56),$P$48*(AN$50-1))</f>
        <v>0</v>
      </c>
      <c r="AO56" s="1">
        <f ca="1">OFFSET(DesignFile!$H$15,$T$48*($C$3-$B56),$P$48*(AO$50-1))</f>
        <v>0</v>
      </c>
      <c r="AP56" s="1">
        <f ca="1">OFFSET(DesignFile!$J$7,$T$48*($C$3-$B56),$P$48*(AP$50-2))</f>
        <v>0</v>
      </c>
      <c r="AQ56" s="1">
        <f ca="1">OFFSET(DesignFile!$J$7,$T$48*($C$3-$B56),$P$48*(AQ$50-1))</f>
        <v>0</v>
      </c>
      <c r="AR56" s="27">
        <f t="shared" ca="1" si="100"/>
        <v>0</v>
      </c>
      <c r="AS56" s="1"/>
      <c r="AT56" s="142">
        <f t="shared" ca="1" si="101"/>
        <v>0</v>
      </c>
      <c r="AV56" s="9">
        <f ca="1">OFFSET(DesignFile!$H$9,$T$48*($C$3-$B56),$P$48*(AV$50-1))</f>
        <v>0</v>
      </c>
      <c r="AW56" s="1">
        <f ca="1">OFFSET(DesignFile!$H$10,$T$48*($C$3-$B56),$P$48*(AW$50-1))</f>
        <v>0</v>
      </c>
      <c r="AX56" s="1">
        <f ca="1">OFFSET(DesignFile!$H$15,$T$48*($C$3-$B56),$P$48*(AX$50-1))</f>
        <v>0</v>
      </c>
      <c r="AY56" s="1">
        <f ca="1">OFFSET(DesignFile!$J$7,$T$48*($C$3-$B56),$P$48*(AY$50-2))</f>
        <v>0</v>
      </c>
      <c r="AZ56" s="1">
        <f ca="1">OFFSET(DesignFile!$J$7,$T$48*($C$3-$B56),$P$48*(AZ$50-1))</f>
        <v>0</v>
      </c>
      <c r="BA56" s="27">
        <f t="shared" ca="1" si="102"/>
        <v>0</v>
      </c>
      <c r="BB56" s="1"/>
      <c r="BC56" s="142">
        <f t="shared" ca="1" si="103"/>
        <v>0</v>
      </c>
    </row>
    <row r="57" spans="2:55" x14ac:dyDescent="0.25">
      <c r="B57" s="9">
        <f t="shared" si="104"/>
        <v>2</v>
      </c>
      <c r="C57" s="9">
        <f ca="1">OFFSET(DesignFile!$H$9,$T$48*($C$3-$B57),$P$48*(C$50-1))</f>
        <v>450</v>
      </c>
      <c r="D57" s="1">
        <f ca="1">OFFSET(DesignFile!$H$10,$T$48*($C$3-$B57),$P$48*(D$50-1))</f>
        <v>600</v>
      </c>
      <c r="E57" s="1">
        <f ca="1">OFFSET(DesignFile!$H$15,$T$48*($C$3-$B57),$P$48*(E$50-1))</f>
        <v>3900</v>
      </c>
      <c r="F57" s="1">
        <f ca="1">OFFSET(DesignFile!$J$7,$T$48*($C$3-$B57),$P$48*(F$50-2))</f>
        <v>0</v>
      </c>
      <c r="G57" s="1">
        <f ca="1">OFFSET(DesignFile!$J$7,$T$48*($C$3-$B57),$P$48*(G$50-1))</f>
        <v>750</v>
      </c>
      <c r="H57" s="27">
        <f t="shared" ca="1" si="92"/>
        <v>21.262499999999999</v>
      </c>
      <c r="I57" s="1"/>
      <c r="J57" s="142">
        <f t="shared" ca="1" si="93"/>
        <v>21.262499999999999</v>
      </c>
      <c r="L57" s="9">
        <f ca="1">OFFSET(DesignFile!$H$9,$T$48*($C$3-$B57),$P$48*(L$50-1))</f>
        <v>600</v>
      </c>
      <c r="M57" s="1">
        <f ca="1">OFFSET(DesignFile!$H$10,$T$48*($C$3-$B57),$P$48*(M$50-1))</f>
        <v>600</v>
      </c>
      <c r="N57" s="1">
        <f ca="1">OFFSET(DesignFile!$H$15,$T$48*($C$3-$B57),$P$48*(N$50-1))</f>
        <v>3900</v>
      </c>
      <c r="O57" s="1">
        <f ca="1">OFFSET(DesignFile!$J$7,$T$48*($C$3-$B57),$P$48*(O$50-2))</f>
        <v>750</v>
      </c>
      <c r="P57" s="1">
        <f ca="1">OFFSET(DesignFile!$J$7,$T$48*($C$3-$B57),$P$48*(P$50-1))</f>
        <v>750</v>
      </c>
      <c r="Q57" s="27">
        <f t="shared" ca="1" si="94"/>
        <v>28.35</v>
      </c>
      <c r="R57" s="1"/>
      <c r="S57" s="142">
        <f t="shared" ca="1" si="95"/>
        <v>28.35</v>
      </c>
      <c r="U57" s="9">
        <f ca="1">OFFSET(DesignFile!$H$9,$T$48*($C$3-$B57),$P$48*(U$50-1))</f>
        <v>600</v>
      </c>
      <c r="V57" s="1">
        <f ca="1">OFFSET(DesignFile!$H$10,$T$48*($C$3-$B57),$P$48*(V$50-1))</f>
        <v>600</v>
      </c>
      <c r="W57" s="1">
        <f ca="1">OFFSET(DesignFile!$H$15,$T$48*($C$3-$B57),$P$48*(W$50-1))</f>
        <v>3900</v>
      </c>
      <c r="X57" s="1">
        <f ca="1">OFFSET(DesignFile!$J$7,$T$48*($C$3-$B57),$P$48*(X$50-2))</f>
        <v>750</v>
      </c>
      <c r="Y57" s="1">
        <f ca="1">OFFSET(DesignFile!$J$7,$T$48*($C$3-$B57),$P$48*(Y$50-1))</f>
        <v>750</v>
      </c>
      <c r="Z57" s="27">
        <f t="shared" ca="1" si="96"/>
        <v>28.35</v>
      </c>
      <c r="AA57" s="1"/>
      <c r="AB57" s="142">
        <f t="shared" ca="1" si="97"/>
        <v>28.35</v>
      </c>
      <c r="AD57" s="9">
        <f ca="1">OFFSET(DesignFile!$H$9,$T$48*($C$3-$B57),$P$48*(AD$50-1))</f>
        <v>450</v>
      </c>
      <c r="AE57" s="1">
        <f ca="1">OFFSET(DesignFile!$H$10,$T$48*($C$3-$B57),$P$48*(AE$50-1))</f>
        <v>600</v>
      </c>
      <c r="AF57" s="1">
        <f ca="1">OFFSET(DesignFile!$H$15,$T$48*($C$3-$B57),$P$48*(AF$50-1))</f>
        <v>3900</v>
      </c>
      <c r="AG57" s="1">
        <f ca="1">OFFSET(DesignFile!$J$7,$T$48*($C$3-$B57),$P$48*(AG$50-2))</f>
        <v>750</v>
      </c>
      <c r="AH57" s="1">
        <f ca="1">OFFSET(DesignFile!$J$7,$T$48*($C$3-$B57),$P$48*(AH$50-1))</f>
        <v>0</v>
      </c>
      <c r="AI57" s="27">
        <f t="shared" ca="1" si="98"/>
        <v>21.262499999999999</v>
      </c>
      <c r="AJ57" s="1"/>
      <c r="AK57" s="142">
        <f t="shared" ca="1" si="99"/>
        <v>21.262499999999999</v>
      </c>
      <c r="AM57" s="9">
        <f ca="1">OFFSET(DesignFile!$H$9,$T$48*($C$3-$B57),$P$48*(AM$50-1))</f>
        <v>0</v>
      </c>
      <c r="AN57" s="1">
        <f ca="1">OFFSET(DesignFile!$H$10,$T$48*($C$3-$B57),$P$48*(AN$50-1))</f>
        <v>0</v>
      </c>
      <c r="AO57" s="1">
        <f ca="1">OFFSET(DesignFile!$H$15,$T$48*($C$3-$B57),$P$48*(AO$50-1))</f>
        <v>0</v>
      </c>
      <c r="AP57" s="1">
        <f ca="1">OFFSET(DesignFile!$J$7,$T$48*($C$3-$B57),$P$48*(AP$50-2))</f>
        <v>0</v>
      </c>
      <c r="AQ57" s="1">
        <f ca="1">OFFSET(DesignFile!$J$7,$T$48*($C$3-$B57),$P$48*(AQ$50-1))</f>
        <v>0</v>
      </c>
      <c r="AR57" s="27">
        <f t="shared" ca="1" si="100"/>
        <v>0</v>
      </c>
      <c r="AS57" s="1"/>
      <c r="AT57" s="142">
        <f t="shared" ca="1" si="101"/>
        <v>0</v>
      </c>
      <c r="AV57" s="9">
        <f ca="1">OFFSET(DesignFile!$H$9,$T$48*($C$3-$B57),$P$48*(AV$50-1))</f>
        <v>0</v>
      </c>
      <c r="AW57" s="1">
        <f ca="1">OFFSET(DesignFile!$H$10,$T$48*($C$3-$B57),$P$48*(AW$50-1))</f>
        <v>0</v>
      </c>
      <c r="AX57" s="1">
        <f ca="1">OFFSET(DesignFile!$H$15,$T$48*($C$3-$B57),$P$48*(AX$50-1))</f>
        <v>0</v>
      </c>
      <c r="AY57" s="1">
        <f ca="1">OFFSET(DesignFile!$J$7,$T$48*($C$3-$B57),$P$48*(AY$50-2))</f>
        <v>0</v>
      </c>
      <c r="AZ57" s="1">
        <f ca="1">OFFSET(DesignFile!$J$7,$T$48*($C$3-$B57),$P$48*(AZ$50-1))</f>
        <v>0</v>
      </c>
      <c r="BA57" s="27">
        <f t="shared" ca="1" si="102"/>
        <v>0</v>
      </c>
      <c r="BB57" s="1"/>
      <c r="BC57" s="142">
        <f t="shared" ca="1" si="103"/>
        <v>0</v>
      </c>
    </row>
    <row r="58" spans="2:55" x14ac:dyDescent="0.25">
      <c r="B58" s="9">
        <f t="shared" si="104"/>
        <v>1</v>
      </c>
      <c r="C58" s="9">
        <f ca="1">OFFSET(DesignFile!$H$9,$T$48*($C$3-$B58),$P$48*(C$50-1))</f>
        <v>450</v>
      </c>
      <c r="D58" s="1">
        <f ca="1">OFFSET(DesignFile!$H$10,$T$48*($C$3-$B58),$P$48*(D$50-1))</f>
        <v>600</v>
      </c>
      <c r="E58" s="1">
        <f ca="1">OFFSET(DesignFile!$H$15,$T$48*($C$3-$B58),$P$48*(E$50-1))</f>
        <v>4500</v>
      </c>
      <c r="F58" s="1">
        <f ca="1">OFFSET(DesignFile!$J$7,$T$48*($C$3-$B58),$P$48*(F$50-2))</f>
        <v>0</v>
      </c>
      <c r="G58" s="1">
        <f ca="1">OFFSET(DesignFile!$J$7,$T$48*($C$3-$B58),$P$48*(G$50-1))</f>
        <v>750</v>
      </c>
      <c r="H58" s="27">
        <f t="shared" ca="1" si="92"/>
        <v>25.3125</v>
      </c>
      <c r="I58" s="1"/>
      <c r="J58" s="142">
        <f t="shared" ca="1" si="93"/>
        <v>25.3125</v>
      </c>
      <c r="L58" s="9">
        <f ca="1">OFFSET(DesignFile!$H$9,$T$48*($C$3-$B58),$P$48*(L$50-1))</f>
        <v>600</v>
      </c>
      <c r="M58" s="1">
        <f ca="1">OFFSET(DesignFile!$H$10,$T$48*($C$3-$B58),$P$48*(M$50-1))</f>
        <v>600</v>
      </c>
      <c r="N58" s="1">
        <f ca="1">OFFSET(DesignFile!$H$15,$T$48*($C$3-$B58),$P$48*(N$50-1))</f>
        <v>4500</v>
      </c>
      <c r="O58" s="1">
        <f ca="1">OFFSET(DesignFile!$J$7,$T$48*($C$3-$B58),$P$48*(O$50-2))</f>
        <v>750</v>
      </c>
      <c r="P58" s="1">
        <f ca="1">OFFSET(DesignFile!$J$7,$T$48*($C$3-$B58),$P$48*(P$50-1))</f>
        <v>750</v>
      </c>
      <c r="Q58" s="27">
        <f t="shared" ca="1" si="94"/>
        <v>33.75</v>
      </c>
      <c r="R58" s="1"/>
      <c r="S58" s="142">
        <f t="shared" ca="1" si="95"/>
        <v>33.75</v>
      </c>
      <c r="U58" s="9">
        <f ca="1">OFFSET(DesignFile!$H$9,$T$48*($C$3-$B58),$P$48*(U$50-1))</f>
        <v>600</v>
      </c>
      <c r="V58" s="1">
        <f ca="1">OFFSET(DesignFile!$H$10,$T$48*($C$3-$B58),$P$48*(V$50-1))</f>
        <v>600</v>
      </c>
      <c r="W58" s="1">
        <f ca="1">OFFSET(DesignFile!$H$15,$T$48*($C$3-$B58),$P$48*(W$50-1))</f>
        <v>4500</v>
      </c>
      <c r="X58" s="1">
        <f ca="1">OFFSET(DesignFile!$J$7,$T$48*($C$3-$B58),$P$48*(X$50-2))</f>
        <v>750</v>
      </c>
      <c r="Y58" s="1">
        <f ca="1">OFFSET(DesignFile!$J$7,$T$48*($C$3-$B58),$P$48*(Y$50-1))</f>
        <v>750</v>
      </c>
      <c r="Z58" s="27">
        <f t="shared" ca="1" si="96"/>
        <v>33.75</v>
      </c>
      <c r="AA58" s="1"/>
      <c r="AB58" s="142">
        <f t="shared" ca="1" si="97"/>
        <v>33.75</v>
      </c>
      <c r="AD58" s="9">
        <f ca="1">OFFSET(DesignFile!$H$9,$T$48*($C$3-$B58),$P$48*(AD$50-1))</f>
        <v>450</v>
      </c>
      <c r="AE58" s="1">
        <f ca="1">OFFSET(DesignFile!$H$10,$T$48*($C$3-$B58),$P$48*(AE$50-1))</f>
        <v>600</v>
      </c>
      <c r="AF58" s="1">
        <f ca="1">OFFSET(DesignFile!$H$15,$T$48*($C$3-$B58),$P$48*(AF$50-1))</f>
        <v>4500</v>
      </c>
      <c r="AG58" s="1">
        <f ca="1">OFFSET(DesignFile!$J$7,$T$48*($C$3-$B58),$P$48*(AG$50-2))</f>
        <v>750</v>
      </c>
      <c r="AH58" s="1">
        <f ca="1">OFFSET(DesignFile!$J$7,$T$48*($C$3-$B58),$P$48*(AH$50-1))</f>
        <v>0</v>
      </c>
      <c r="AI58" s="27">
        <f t="shared" ca="1" si="98"/>
        <v>25.3125</v>
      </c>
      <c r="AJ58" s="1"/>
      <c r="AK58" s="142">
        <f t="shared" ca="1" si="99"/>
        <v>25.3125</v>
      </c>
      <c r="AM58" s="9">
        <f ca="1">OFFSET(DesignFile!$H$9,$T$48*($C$3-$B58),$P$48*(AM$50-1))</f>
        <v>0</v>
      </c>
      <c r="AN58" s="1">
        <f ca="1">OFFSET(DesignFile!$H$10,$T$48*($C$3-$B58),$P$48*(AN$50-1))</f>
        <v>0</v>
      </c>
      <c r="AO58" s="1">
        <f ca="1">OFFSET(DesignFile!$H$15,$T$48*($C$3-$B58),$P$48*(AO$50-1))</f>
        <v>0</v>
      </c>
      <c r="AP58" s="1">
        <f ca="1">OFFSET(DesignFile!$J$7,$T$48*($C$3-$B58),$P$48*(AP$50-2))</f>
        <v>0</v>
      </c>
      <c r="AQ58" s="1">
        <f ca="1">OFFSET(DesignFile!$J$7,$T$48*($C$3-$B58),$P$48*(AQ$50-1))</f>
        <v>0</v>
      </c>
      <c r="AR58" s="27">
        <f t="shared" ca="1" si="100"/>
        <v>0</v>
      </c>
      <c r="AS58" s="1"/>
      <c r="AT58" s="142">
        <f t="shared" ca="1" si="101"/>
        <v>0</v>
      </c>
      <c r="AV58" s="9">
        <f ca="1">OFFSET(DesignFile!$H$9,$T$48*($C$3-$B58),$P$48*(AV$50-1))</f>
        <v>0</v>
      </c>
      <c r="AW58" s="1">
        <f ca="1">OFFSET(DesignFile!$H$10,$T$48*($C$3-$B58),$P$48*(AW$50-1))</f>
        <v>0</v>
      </c>
      <c r="AX58" s="1">
        <f ca="1">OFFSET(DesignFile!$H$15,$T$48*($C$3-$B58),$P$48*(AX$50-1))</f>
        <v>0</v>
      </c>
      <c r="AY58" s="1">
        <f ca="1">OFFSET(DesignFile!$J$7,$T$48*($C$3-$B58),$P$48*(AY$50-2))</f>
        <v>0</v>
      </c>
      <c r="AZ58" s="1">
        <f ca="1">OFFSET(DesignFile!$J$7,$T$48*($C$3-$B58),$P$48*(AZ$50-1))</f>
        <v>0</v>
      </c>
      <c r="BA58" s="27">
        <f t="shared" ca="1" si="102"/>
        <v>0</v>
      </c>
      <c r="BB58" s="1"/>
      <c r="BC58" s="142">
        <f t="shared" ca="1" si="103"/>
        <v>0</v>
      </c>
    </row>
    <row r="59" spans="2:55" x14ac:dyDescent="0.25">
      <c r="B59" s="9" t="e">
        <f t="shared" si="104"/>
        <v>#N/A</v>
      </c>
      <c r="C59" s="9" t="e">
        <f ca="1">OFFSET(DesignFile!$H$9,$T$48*($C$3-$B59),$P$48*(C$50-1))</f>
        <v>#N/A</v>
      </c>
      <c r="D59" s="1" t="e">
        <f ca="1">OFFSET(DesignFile!$H$10,$T$48*($C$3-$B59),$P$48*(D$50-1))</f>
        <v>#N/A</v>
      </c>
      <c r="E59" s="1" t="e">
        <f ca="1">OFFSET(DesignFile!$H$15,$T$48*($C$3-$B59),$P$48*(E$50-1))</f>
        <v>#N/A</v>
      </c>
      <c r="F59" s="1" t="e">
        <f ca="1">OFFSET(DesignFile!$J$7,$T$48*($C$3-$B59),$P$48*(F$50-2))</f>
        <v>#N/A</v>
      </c>
      <c r="G59" s="1" t="e">
        <f ca="1">OFFSET(DesignFile!$J$7,$T$48*($C$3-$B59),$P$48*(G$50-1))</f>
        <v>#N/A</v>
      </c>
      <c r="H59" s="27" t="e">
        <f t="shared" ca="1" si="92"/>
        <v>#N/A</v>
      </c>
      <c r="I59" s="1"/>
      <c r="J59" s="142" t="e">
        <f t="shared" ca="1" si="93"/>
        <v>#N/A</v>
      </c>
      <c r="L59" s="9" t="e">
        <f ca="1">OFFSET(DesignFile!$H$9,$T$48*($C$3-$B59),$P$48*(L$50-1))</f>
        <v>#N/A</v>
      </c>
      <c r="M59" s="1" t="e">
        <f ca="1">OFFSET(DesignFile!$H$10,$T$48*($C$3-$B59),$P$48*(M$50-1))</f>
        <v>#N/A</v>
      </c>
      <c r="N59" s="1" t="e">
        <f ca="1">OFFSET(DesignFile!$H$15,$T$48*($C$3-$B59),$P$48*(N$50-1))</f>
        <v>#N/A</v>
      </c>
      <c r="O59" s="1" t="e">
        <f ca="1">OFFSET(DesignFile!$J$7,$T$48*($C$3-$B59),$P$48*(O$50-2))</f>
        <v>#N/A</v>
      </c>
      <c r="P59" s="1" t="e">
        <f ca="1">OFFSET(DesignFile!$J$7,$T$48*($C$3-$B59),$P$48*(P$50-1))</f>
        <v>#N/A</v>
      </c>
      <c r="Q59" s="27" t="e">
        <f t="shared" ca="1" si="94"/>
        <v>#N/A</v>
      </c>
      <c r="R59" s="1"/>
      <c r="S59" s="142" t="e">
        <f t="shared" ca="1" si="95"/>
        <v>#N/A</v>
      </c>
      <c r="U59" s="9" t="e">
        <f ca="1">OFFSET(DesignFile!$H$9,$T$48*($C$3-$B59),$P$48*(U$50-1))</f>
        <v>#N/A</v>
      </c>
      <c r="V59" s="1" t="e">
        <f ca="1">OFFSET(DesignFile!$H$10,$T$48*($C$3-$B59),$P$48*(V$50-1))</f>
        <v>#N/A</v>
      </c>
      <c r="W59" s="1" t="e">
        <f ca="1">OFFSET(DesignFile!$H$15,$T$48*($C$3-$B59),$P$48*(W$50-1))</f>
        <v>#N/A</v>
      </c>
      <c r="X59" s="1" t="e">
        <f ca="1">OFFSET(DesignFile!$J$7,$T$48*($C$3-$B59),$P$48*(X$50-2))</f>
        <v>#N/A</v>
      </c>
      <c r="Y59" s="1" t="e">
        <f ca="1">OFFSET(DesignFile!$J$7,$T$48*($C$3-$B59),$P$48*(Y$50-1))</f>
        <v>#N/A</v>
      </c>
      <c r="Z59" s="27" t="e">
        <f t="shared" ca="1" si="96"/>
        <v>#N/A</v>
      </c>
      <c r="AA59" s="1"/>
      <c r="AB59" s="142" t="e">
        <f t="shared" ca="1" si="97"/>
        <v>#N/A</v>
      </c>
      <c r="AD59" s="9" t="e">
        <f ca="1">OFFSET(DesignFile!$H$9,$T$48*($C$3-$B59),$P$48*(AD$50-1))</f>
        <v>#N/A</v>
      </c>
      <c r="AE59" s="1" t="e">
        <f ca="1">OFFSET(DesignFile!$H$10,$T$48*($C$3-$B59),$P$48*(AE$50-1))</f>
        <v>#N/A</v>
      </c>
      <c r="AF59" s="1" t="e">
        <f ca="1">OFFSET(DesignFile!$H$15,$T$48*($C$3-$B59),$P$48*(AF$50-1))</f>
        <v>#N/A</v>
      </c>
      <c r="AG59" s="1" t="e">
        <f ca="1">OFFSET(DesignFile!$J$7,$T$48*($C$3-$B59),$P$48*(AG$50-2))</f>
        <v>#N/A</v>
      </c>
      <c r="AH59" s="1" t="e">
        <f ca="1">OFFSET(DesignFile!$J$7,$T$48*($C$3-$B59),$P$48*(AH$50-1))</f>
        <v>#N/A</v>
      </c>
      <c r="AI59" s="27" t="e">
        <f t="shared" ca="1" si="98"/>
        <v>#N/A</v>
      </c>
      <c r="AJ59" s="1"/>
      <c r="AK59" s="142" t="e">
        <f t="shared" ca="1" si="99"/>
        <v>#N/A</v>
      </c>
      <c r="AM59" s="9" t="e">
        <f ca="1">OFFSET(DesignFile!$H$9,$T$48*($C$3-$B59),$P$48*(AM$50-1))</f>
        <v>#N/A</v>
      </c>
      <c r="AN59" s="1" t="e">
        <f ca="1">OFFSET(DesignFile!$H$10,$T$48*($C$3-$B59),$P$48*(AN$50-1))</f>
        <v>#N/A</v>
      </c>
      <c r="AO59" s="1" t="e">
        <f ca="1">OFFSET(DesignFile!$H$15,$T$48*($C$3-$B59),$P$48*(AO$50-1))</f>
        <v>#N/A</v>
      </c>
      <c r="AP59" s="1" t="e">
        <f ca="1">OFFSET(DesignFile!$J$7,$T$48*($C$3-$B59),$P$48*(AP$50-2))</f>
        <v>#N/A</v>
      </c>
      <c r="AQ59" s="1" t="e">
        <f ca="1">OFFSET(DesignFile!$J$7,$T$48*($C$3-$B59),$P$48*(AQ$50-1))</f>
        <v>#N/A</v>
      </c>
      <c r="AR59" s="27" t="e">
        <f t="shared" ca="1" si="100"/>
        <v>#N/A</v>
      </c>
      <c r="AS59" s="1"/>
      <c r="AT59" s="142" t="e">
        <f t="shared" ca="1" si="101"/>
        <v>#N/A</v>
      </c>
      <c r="AV59" s="9" t="e">
        <f ca="1">OFFSET(DesignFile!$H$9,$T$48*($C$3-$B59),$P$48*(AV$50-1))</f>
        <v>#N/A</v>
      </c>
      <c r="AW59" s="1" t="e">
        <f ca="1">OFFSET(DesignFile!$H$10,$T$48*($C$3-$B59),$P$48*(AW$50-1))</f>
        <v>#N/A</v>
      </c>
      <c r="AX59" s="1" t="e">
        <f ca="1">OFFSET(DesignFile!$H$15,$T$48*($C$3-$B59),$P$48*(AX$50-1))</f>
        <v>#N/A</v>
      </c>
      <c r="AY59" s="1" t="e">
        <f ca="1">OFFSET(DesignFile!$J$7,$T$48*($C$3-$B59),$P$48*(AY$50-2))</f>
        <v>#N/A</v>
      </c>
      <c r="AZ59" s="1" t="e">
        <f ca="1">OFFSET(DesignFile!$J$7,$T$48*($C$3-$B59),$P$48*(AZ$50-1))</f>
        <v>#N/A</v>
      </c>
      <c r="BA59" s="27" t="e">
        <f t="shared" ca="1" si="102"/>
        <v>#N/A</v>
      </c>
      <c r="BB59" s="1"/>
      <c r="BC59" s="142" t="e">
        <f t="shared" ca="1" si="103"/>
        <v>#N/A</v>
      </c>
    </row>
    <row r="60" spans="2:55" x14ac:dyDescent="0.25">
      <c r="B60" s="9" t="e">
        <f t="shared" si="104"/>
        <v>#N/A</v>
      </c>
      <c r="C60" s="9" t="e">
        <f ca="1">OFFSET(DesignFile!$H$9,$T$48*($C$3-$B60),$P$48*(C$50-1))</f>
        <v>#N/A</v>
      </c>
      <c r="D60" s="1" t="e">
        <f ca="1">OFFSET(DesignFile!$H$10,$T$48*($C$3-$B60),$P$48*(D$50-1))</f>
        <v>#N/A</v>
      </c>
      <c r="E60" s="1" t="e">
        <f ca="1">OFFSET(DesignFile!$H$15,$T$48*($C$3-$B60),$P$48*(E$50-1))</f>
        <v>#N/A</v>
      </c>
      <c r="F60" s="1" t="e">
        <f ca="1">OFFSET(DesignFile!$J$7,$T$48*($C$3-$B60),$P$48*(F$50-2))</f>
        <v>#N/A</v>
      </c>
      <c r="G60" s="1" t="e">
        <f ca="1">OFFSET(DesignFile!$J$7,$T$48*($C$3-$B60),$P$48*(G$50-1))</f>
        <v>#N/A</v>
      </c>
      <c r="H60" s="27" t="e">
        <f t="shared" ca="1" si="92"/>
        <v>#N/A</v>
      </c>
      <c r="I60" s="1"/>
      <c r="J60" s="142" t="e">
        <f t="shared" ca="1" si="93"/>
        <v>#N/A</v>
      </c>
      <c r="L60" s="9" t="e">
        <f ca="1">OFFSET(DesignFile!$H$9,$T$48*($C$3-$B60),$P$48*(L$50-1))</f>
        <v>#N/A</v>
      </c>
      <c r="M60" s="1" t="e">
        <f ca="1">OFFSET(DesignFile!$H$10,$T$48*($C$3-$B60),$P$48*(M$50-1))</f>
        <v>#N/A</v>
      </c>
      <c r="N60" s="1" t="e">
        <f ca="1">OFFSET(DesignFile!$H$15,$T$48*($C$3-$B60),$P$48*(N$50-1))</f>
        <v>#N/A</v>
      </c>
      <c r="O60" s="1" t="e">
        <f ca="1">OFFSET(DesignFile!$J$7,$T$48*($C$3-$B60),$P$48*(O$50-2))</f>
        <v>#N/A</v>
      </c>
      <c r="P60" s="1" t="e">
        <f ca="1">OFFSET(DesignFile!$J$7,$T$48*($C$3-$B60),$P$48*(P$50-1))</f>
        <v>#N/A</v>
      </c>
      <c r="Q60" s="27" t="e">
        <f t="shared" ca="1" si="94"/>
        <v>#N/A</v>
      </c>
      <c r="R60" s="1"/>
      <c r="S60" s="142" t="e">
        <f t="shared" ca="1" si="95"/>
        <v>#N/A</v>
      </c>
      <c r="U60" s="9" t="e">
        <f ca="1">OFFSET(DesignFile!$H$9,$T$48*($C$3-$B60),$P$48*(U$50-1))</f>
        <v>#N/A</v>
      </c>
      <c r="V60" s="1" t="e">
        <f ca="1">OFFSET(DesignFile!$H$10,$T$48*($C$3-$B60),$P$48*(V$50-1))</f>
        <v>#N/A</v>
      </c>
      <c r="W60" s="1" t="e">
        <f ca="1">OFFSET(DesignFile!$H$15,$T$48*($C$3-$B60),$P$48*(W$50-1))</f>
        <v>#N/A</v>
      </c>
      <c r="X60" s="1" t="e">
        <f ca="1">OFFSET(DesignFile!$J$7,$T$48*($C$3-$B60),$P$48*(X$50-2))</f>
        <v>#N/A</v>
      </c>
      <c r="Y60" s="1" t="e">
        <f ca="1">OFFSET(DesignFile!$J$7,$T$48*($C$3-$B60),$P$48*(Y$50-1))</f>
        <v>#N/A</v>
      </c>
      <c r="Z60" s="27" t="e">
        <f t="shared" ca="1" si="96"/>
        <v>#N/A</v>
      </c>
      <c r="AA60" s="1"/>
      <c r="AB60" s="142" t="e">
        <f t="shared" ca="1" si="97"/>
        <v>#N/A</v>
      </c>
      <c r="AD60" s="9" t="e">
        <f ca="1">OFFSET(DesignFile!$H$9,$T$48*($C$3-$B60),$P$48*(AD$50-1))</f>
        <v>#N/A</v>
      </c>
      <c r="AE60" s="1" t="e">
        <f ca="1">OFFSET(DesignFile!$H$10,$T$48*($C$3-$B60),$P$48*(AE$50-1))</f>
        <v>#N/A</v>
      </c>
      <c r="AF60" s="1" t="e">
        <f ca="1">OFFSET(DesignFile!$H$15,$T$48*($C$3-$B60),$P$48*(AF$50-1))</f>
        <v>#N/A</v>
      </c>
      <c r="AG60" s="1" t="e">
        <f ca="1">OFFSET(DesignFile!$J$7,$T$48*($C$3-$B60),$P$48*(AG$50-2))</f>
        <v>#N/A</v>
      </c>
      <c r="AH60" s="1" t="e">
        <f ca="1">OFFSET(DesignFile!$J$7,$T$48*($C$3-$B60),$P$48*(AH$50-1))</f>
        <v>#N/A</v>
      </c>
      <c r="AI60" s="27" t="e">
        <f t="shared" ca="1" si="98"/>
        <v>#N/A</v>
      </c>
      <c r="AJ60" s="1"/>
      <c r="AK60" s="142" t="e">
        <f t="shared" ca="1" si="99"/>
        <v>#N/A</v>
      </c>
      <c r="AM60" s="9" t="e">
        <f ca="1">OFFSET(DesignFile!$H$9,$T$48*($C$3-$B60),$P$48*(AM$50-1))</f>
        <v>#N/A</v>
      </c>
      <c r="AN60" s="1" t="e">
        <f ca="1">OFFSET(DesignFile!$H$10,$T$48*($C$3-$B60),$P$48*(AN$50-1))</f>
        <v>#N/A</v>
      </c>
      <c r="AO60" s="1" t="e">
        <f ca="1">OFFSET(DesignFile!$H$15,$T$48*($C$3-$B60),$P$48*(AO$50-1))</f>
        <v>#N/A</v>
      </c>
      <c r="AP60" s="1" t="e">
        <f ca="1">OFFSET(DesignFile!$J$7,$T$48*($C$3-$B60),$P$48*(AP$50-2))</f>
        <v>#N/A</v>
      </c>
      <c r="AQ60" s="1" t="e">
        <f ca="1">OFFSET(DesignFile!$J$7,$T$48*($C$3-$B60),$P$48*(AQ$50-1))</f>
        <v>#N/A</v>
      </c>
      <c r="AR60" s="27" t="e">
        <f t="shared" ca="1" si="100"/>
        <v>#N/A</v>
      </c>
      <c r="AS60" s="1"/>
      <c r="AT60" s="142" t="e">
        <f t="shared" ca="1" si="101"/>
        <v>#N/A</v>
      </c>
      <c r="AV60" s="9" t="e">
        <f ca="1">OFFSET(DesignFile!$H$9,$T$48*($C$3-$B60),$P$48*(AV$50-1))</f>
        <v>#N/A</v>
      </c>
      <c r="AW60" s="1" t="e">
        <f ca="1">OFFSET(DesignFile!$H$10,$T$48*($C$3-$B60),$P$48*(AW$50-1))</f>
        <v>#N/A</v>
      </c>
      <c r="AX60" s="1" t="e">
        <f ca="1">OFFSET(DesignFile!$H$15,$T$48*($C$3-$B60),$P$48*(AX$50-1))</f>
        <v>#N/A</v>
      </c>
      <c r="AY60" s="1" t="e">
        <f ca="1">OFFSET(DesignFile!$J$7,$T$48*($C$3-$B60),$P$48*(AY$50-2))</f>
        <v>#N/A</v>
      </c>
      <c r="AZ60" s="1" t="e">
        <f ca="1">OFFSET(DesignFile!$J$7,$T$48*($C$3-$B60),$P$48*(AZ$50-1))</f>
        <v>#N/A</v>
      </c>
      <c r="BA60" s="27" t="e">
        <f t="shared" ca="1" si="102"/>
        <v>#N/A</v>
      </c>
      <c r="BB60" s="1"/>
      <c r="BC60" s="142" t="e">
        <f t="shared" ca="1" si="103"/>
        <v>#N/A</v>
      </c>
    </row>
    <row r="61" spans="2:55" x14ac:dyDescent="0.25">
      <c r="B61" s="9" t="e">
        <f t="shared" si="104"/>
        <v>#N/A</v>
      </c>
      <c r="C61" s="9" t="e">
        <f ca="1">OFFSET(DesignFile!$H$9,$T$48*($C$3-$B61),$P$48*(C$50-1))</f>
        <v>#N/A</v>
      </c>
      <c r="D61" s="1" t="e">
        <f ca="1">OFFSET(DesignFile!$H$10,$T$48*($C$3-$B61),$P$48*(D$50-1))</f>
        <v>#N/A</v>
      </c>
      <c r="E61" s="1" t="e">
        <f ca="1">OFFSET(DesignFile!$H$15,$T$48*($C$3-$B61),$P$48*(E$50-1))</f>
        <v>#N/A</v>
      </c>
      <c r="F61" s="1" t="e">
        <f ca="1">OFFSET(DesignFile!$J$7,$T$48*($C$3-$B61),$P$48*(F$50-2))</f>
        <v>#N/A</v>
      </c>
      <c r="G61" s="1" t="e">
        <f ca="1">OFFSET(DesignFile!$J$7,$T$48*($C$3-$B61),$P$48*(G$50-1))</f>
        <v>#N/A</v>
      </c>
      <c r="H61" s="27" t="e">
        <f ca="1">$D$5*C61*D61*(E61-MAX(F61,G61))/1000000000</f>
        <v>#N/A</v>
      </c>
      <c r="I61" s="1"/>
      <c r="J61" s="142" t="e">
        <f ca="1">SUM(H61,I61)</f>
        <v>#N/A</v>
      </c>
      <c r="L61" s="9" t="e">
        <f ca="1">OFFSET(DesignFile!$H$9,$T$48*($C$3-$B61),$P$48*(L$50-1))</f>
        <v>#N/A</v>
      </c>
      <c r="M61" s="1" t="e">
        <f ca="1">OFFSET(DesignFile!$H$10,$T$48*($C$3-$B61),$P$48*(M$50-1))</f>
        <v>#N/A</v>
      </c>
      <c r="N61" s="1" t="e">
        <f ca="1">OFFSET(DesignFile!$H$15,$T$48*($C$3-$B61),$P$48*(N$50-1))</f>
        <v>#N/A</v>
      </c>
      <c r="O61" s="1" t="e">
        <f ca="1">OFFSET(DesignFile!$J$7,$T$48*($C$3-$B61),$P$48*(O$50-2))</f>
        <v>#N/A</v>
      </c>
      <c r="P61" s="1" t="e">
        <f ca="1">OFFSET(DesignFile!$J$7,$T$48*($C$3-$B61),$P$48*(P$50-1))</f>
        <v>#N/A</v>
      </c>
      <c r="Q61" s="27" t="e">
        <f ca="1">$D$5*L61*M61*(N61-MAX(O61,P61))/1000000000</f>
        <v>#N/A</v>
      </c>
      <c r="R61" s="1"/>
      <c r="S61" s="142" t="e">
        <f ca="1">SUM(Q61,R61)</f>
        <v>#N/A</v>
      </c>
      <c r="U61" s="9" t="e">
        <f ca="1">OFFSET(DesignFile!$H$9,$T$48*($C$3-$B61),$P$48*(U$50-1))</f>
        <v>#N/A</v>
      </c>
      <c r="V61" s="1" t="e">
        <f ca="1">OFFSET(DesignFile!$H$10,$T$48*($C$3-$B61),$P$48*(V$50-1))</f>
        <v>#N/A</v>
      </c>
      <c r="W61" s="1" t="e">
        <f ca="1">OFFSET(DesignFile!$H$15,$T$48*($C$3-$B61),$P$48*(W$50-1))</f>
        <v>#N/A</v>
      </c>
      <c r="X61" s="1" t="e">
        <f ca="1">OFFSET(DesignFile!$J$7,$T$48*($C$3-$B61),$P$48*(X$50-2))</f>
        <v>#N/A</v>
      </c>
      <c r="Y61" s="1" t="e">
        <f ca="1">OFFSET(DesignFile!$J$7,$T$48*($C$3-$B61),$P$48*(Y$50-1))</f>
        <v>#N/A</v>
      </c>
      <c r="Z61" s="27" t="e">
        <f ca="1">$D$5*U61*V61*(W61-MAX(X61,Y61))/1000000000</f>
        <v>#N/A</v>
      </c>
      <c r="AA61" s="1"/>
      <c r="AB61" s="142" t="e">
        <f ca="1">SUM(Z61,AA61)</f>
        <v>#N/A</v>
      </c>
      <c r="AD61" s="9" t="e">
        <f ca="1">OFFSET(DesignFile!$H$9,$T$48*($C$3-$B61),$P$48*(AD$50-1))</f>
        <v>#N/A</v>
      </c>
      <c r="AE61" s="1" t="e">
        <f ca="1">OFFSET(DesignFile!$H$10,$T$48*($C$3-$B61),$P$48*(AE$50-1))</f>
        <v>#N/A</v>
      </c>
      <c r="AF61" s="1" t="e">
        <f ca="1">OFFSET(DesignFile!$H$15,$T$48*($C$3-$B61),$P$48*(AF$50-1))</f>
        <v>#N/A</v>
      </c>
      <c r="AG61" s="1" t="e">
        <f ca="1">OFFSET(DesignFile!$J$7,$T$48*($C$3-$B61),$P$48*(AG$50-2))</f>
        <v>#N/A</v>
      </c>
      <c r="AH61" s="1" t="e">
        <f ca="1">OFFSET(DesignFile!$J$7,$T$48*($C$3-$B61),$P$48*(AH$50-1))</f>
        <v>#N/A</v>
      </c>
      <c r="AI61" s="27" t="e">
        <f ca="1">$D$5*AD61*AE61*(AF61-MAX(AG61,AH61))/1000000000</f>
        <v>#N/A</v>
      </c>
      <c r="AJ61" s="1"/>
      <c r="AK61" s="142" t="e">
        <f ca="1">SUM(AI61,AJ61)</f>
        <v>#N/A</v>
      </c>
      <c r="AM61" s="9" t="e">
        <f ca="1">OFFSET(DesignFile!$H$9,$T$48*($C$3-$B61),$P$48*(AM$50-1))</f>
        <v>#N/A</v>
      </c>
      <c r="AN61" s="1" t="e">
        <f ca="1">OFFSET(DesignFile!$H$10,$T$48*($C$3-$B61),$P$48*(AN$50-1))</f>
        <v>#N/A</v>
      </c>
      <c r="AO61" s="1" t="e">
        <f ca="1">OFFSET(DesignFile!$H$15,$T$48*($C$3-$B61),$P$48*(AO$50-1))</f>
        <v>#N/A</v>
      </c>
      <c r="AP61" s="1" t="e">
        <f ca="1">OFFSET(DesignFile!$J$7,$T$48*($C$3-$B61),$P$48*(AP$50-2))</f>
        <v>#N/A</v>
      </c>
      <c r="AQ61" s="1" t="e">
        <f ca="1">OFFSET(DesignFile!$J$7,$T$48*($C$3-$B61),$P$48*(AQ$50-1))</f>
        <v>#N/A</v>
      </c>
      <c r="AR61" s="27" t="e">
        <f ca="1">$D$5*AM61*AN61*(AO61-MAX(AP61,AQ61))/1000000000</f>
        <v>#N/A</v>
      </c>
      <c r="AS61" s="1"/>
      <c r="AT61" s="142" t="e">
        <f ca="1">SUM(AR61,AS61)</f>
        <v>#N/A</v>
      </c>
      <c r="AV61" s="9" t="e">
        <f ca="1">OFFSET(DesignFile!$H$9,$T$48*($C$3-$B61),$P$48*(AV$50-1))</f>
        <v>#N/A</v>
      </c>
      <c r="AW61" s="1" t="e">
        <f ca="1">OFFSET(DesignFile!$H$10,$T$48*($C$3-$B61),$P$48*(AW$50-1))</f>
        <v>#N/A</v>
      </c>
      <c r="AX61" s="1" t="e">
        <f ca="1">OFFSET(DesignFile!$H$15,$T$48*($C$3-$B61),$P$48*(AX$50-1))</f>
        <v>#N/A</v>
      </c>
      <c r="AY61" s="1" t="e">
        <f ca="1">OFFSET(DesignFile!$J$7,$T$48*($C$3-$B61),$P$48*(AY$50-2))</f>
        <v>#N/A</v>
      </c>
      <c r="AZ61" s="1" t="e">
        <f ca="1">OFFSET(DesignFile!$J$7,$T$48*($C$3-$B61),$P$48*(AZ$50-1))</f>
        <v>#N/A</v>
      </c>
      <c r="BA61" s="27" t="e">
        <f ca="1">$D$5*AV61*AW61*(AX61-MAX(AY61,AZ61))/1000000000</f>
        <v>#N/A</v>
      </c>
      <c r="BB61" s="1"/>
      <c r="BC61" s="142" t="e">
        <f ca="1">SUM(BA61,BB61)</f>
        <v>#N/A</v>
      </c>
    </row>
    <row r="62" spans="2:55" x14ac:dyDescent="0.25">
      <c r="B62" s="9" t="e">
        <f t="shared" si="104"/>
        <v>#N/A</v>
      </c>
      <c r="C62" s="9" t="e">
        <f ca="1">OFFSET(DesignFile!$H$9,$T$48*($C$3-$B62),$P$48*(C$50-1))</f>
        <v>#N/A</v>
      </c>
      <c r="D62" s="1" t="e">
        <f ca="1">OFFSET(DesignFile!$H$10,$T$48*($C$3-$B62),$P$48*(D$50-1))</f>
        <v>#N/A</v>
      </c>
      <c r="E62" s="1" t="e">
        <f ca="1">OFFSET(DesignFile!$H$15,$T$48*($C$3-$B62),$P$48*(E$50-1))</f>
        <v>#N/A</v>
      </c>
      <c r="F62" s="1" t="e">
        <f ca="1">OFFSET(DesignFile!$J$7,$T$48*($C$3-$B62),$P$48*(F$50-2))</f>
        <v>#N/A</v>
      </c>
      <c r="G62" s="1" t="e">
        <f ca="1">OFFSET(DesignFile!$J$7,$T$48*($C$3-$B62),$P$48*(G$50-1))</f>
        <v>#N/A</v>
      </c>
      <c r="H62" s="27" t="e">
        <f ca="1">$D$5*C62*D62*(E62-MAX(F62,G62))/1000000000</f>
        <v>#N/A</v>
      </c>
      <c r="I62" s="1"/>
      <c r="J62" s="142" t="e">
        <f ca="1">SUM(H62,I62)</f>
        <v>#N/A</v>
      </c>
      <c r="L62" s="9" t="e">
        <f ca="1">OFFSET(DesignFile!$H$9,$T$48*($C$3-$B62),$P$48*(L$50-1))</f>
        <v>#N/A</v>
      </c>
      <c r="M62" s="1" t="e">
        <f ca="1">OFFSET(DesignFile!$H$10,$T$48*($C$3-$B62),$P$48*(M$50-1))</f>
        <v>#N/A</v>
      </c>
      <c r="N62" s="1" t="e">
        <f ca="1">OFFSET(DesignFile!$H$15,$T$48*($C$3-$B62),$P$48*(N$50-1))</f>
        <v>#N/A</v>
      </c>
      <c r="O62" s="1" t="e">
        <f ca="1">OFFSET(DesignFile!$J$7,$T$48*($C$3-$B62),$P$48*(O$50-2))</f>
        <v>#N/A</v>
      </c>
      <c r="P62" s="1" t="e">
        <f ca="1">OFFSET(DesignFile!$J$7,$T$48*($C$3-$B62),$P$48*(P$50-1))</f>
        <v>#N/A</v>
      </c>
      <c r="Q62" s="27" t="e">
        <f ca="1">$D$5*L62*M62*(N62-MAX(O62,P62))/1000000000</f>
        <v>#N/A</v>
      </c>
      <c r="R62" s="1"/>
      <c r="S62" s="142" t="e">
        <f ca="1">SUM(Q62,R62)</f>
        <v>#N/A</v>
      </c>
      <c r="U62" s="9" t="e">
        <f ca="1">OFFSET(DesignFile!$H$9,$T$48*($C$3-$B62),$P$48*(U$50-1))</f>
        <v>#N/A</v>
      </c>
      <c r="V62" s="1" t="e">
        <f ca="1">OFFSET(DesignFile!$H$10,$T$48*($C$3-$B62),$P$48*(V$50-1))</f>
        <v>#N/A</v>
      </c>
      <c r="W62" s="1" t="e">
        <f ca="1">OFFSET(DesignFile!$H$15,$T$48*($C$3-$B62),$P$48*(W$50-1))</f>
        <v>#N/A</v>
      </c>
      <c r="X62" s="1" t="e">
        <f ca="1">OFFSET(DesignFile!$J$7,$T$48*($C$3-$B62),$P$48*(X$50-2))</f>
        <v>#N/A</v>
      </c>
      <c r="Y62" s="1" t="e">
        <f ca="1">OFFSET(DesignFile!$J$7,$T$48*($C$3-$B62),$P$48*(Y$50-1))</f>
        <v>#N/A</v>
      </c>
      <c r="Z62" s="27" t="e">
        <f ca="1">$D$5*U62*V62*(W62-MAX(X62,Y62))/1000000000</f>
        <v>#N/A</v>
      </c>
      <c r="AA62" s="1"/>
      <c r="AB62" s="142" t="e">
        <f ca="1">SUM(Z62,AA62)</f>
        <v>#N/A</v>
      </c>
      <c r="AD62" s="9" t="e">
        <f ca="1">OFFSET(DesignFile!$H$9,$T$48*($C$3-$B62),$P$48*(AD$50-1))</f>
        <v>#N/A</v>
      </c>
      <c r="AE62" s="1" t="e">
        <f ca="1">OFFSET(DesignFile!$H$10,$T$48*($C$3-$B62),$P$48*(AE$50-1))</f>
        <v>#N/A</v>
      </c>
      <c r="AF62" s="1" t="e">
        <f ca="1">OFFSET(DesignFile!$H$15,$T$48*($C$3-$B62),$P$48*(AF$50-1))</f>
        <v>#N/A</v>
      </c>
      <c r="AG62" s="1" t="e">
        <f ca="1">OFFSET(DesignFile!$J$7,$T$48*($C$3-$B62),$P$48*(AG$50-2))</f>
        <v>#N/A</v>
      </c>
      <c r="AH62" s="1" t="e">
        <f ca="1">OFFSET(DesignFile!$J$7,$T$48*($C$3-$B62),$P$48*(AH$50-1))</f>
        <v>#N/A</v>
      </c>
      <c r="AI62" s="27" t="e">
        <f ca="1">$D$5*AD62*AE62*(AF62-MAX(AG62,AH62))/1000000000</f>
        <v>#N/A</v>
      </c>
      <c r="AJ62" s="1"/>
      <c r="AK62" s="142" t="e">
        <f ca="1">SUM(AI62,AJ62)</f>
        <v>#N/A</v>
      </c>
      <c r="AM62" s="9" t="e">
        <f ca="1">OFFSET(DesignFile!$H$9,$T$48*($C$3-$B62),$P$48*(AM$50-1))</f>
        <v>#N/A</v>
      </c>
      <c r="AN62" s="1" t="e">
        <f ca="1">OFFSET(DesignFile!$H$10,$T$48*($C$3-$B62),$P$48*(AN$50-1))</f>
        <v>#N/A</v>
      </c>
      <c r="AO62" s="1" t="e">
        <f ca="1">OFFSET(DesignFile!$H$15,$T$48*($C$3-$B62),$P$48*(AO$50-1))</f>
        <v>#N/A</v>
      </c>
      <c r="AP62" s="1" t="e">
        <f ca="1">OFFSET(DesignFile!$J$7,$T$48*($C$3-$B62),$P$48*(AP$50-2))</f>
        <v>#N/A</v>
      </c>
      <c r="AQ62" s="1" t="e">
        <f ca="1">OFFSET(DesignFile!$J$7,$T$48*($C$3-$B62),$P$48*(AQ$50-1))</f>
        <v>#N/A</v>
      </c>
      <c r="AR62" s="27" t="e">
        <f ca="1">$D$5*AM62*AN62*(AO62-MAX(AP62,AQ62))/1000000000</f>
        <v>#N/A</v>
      </c>
      <c r="AS62" s="1"/>
      <c r="AT62" s="142" t="e">
        <f ca="1">SUM(AR62,AS62)</f>
        <v>#N/A</v>
      </c>
      <c r="AV62" s="9" t="e">
        <f ca="1">OFFSET(DesignFile!$H$9,$T$48*($C$3-$B62),$P$48*(AV$50-1))</f>
        <v>#N/A</v>
      </c>
      <c r="AW62" s="1" t="e">
        <f ca="1">OFFSET(DesignFile!$H$10,$T$48*($C$3-$B62),$P$48*(AW$50-1))</f>
        <v>#N/A</v>
      </c>
      <c r="AX62" s="1" t="e">
        <f ca="1">OFFSET(DesignFile!$H$15,$T$48*($C$3-$B62),$P$48*(AX$50-1))</f>
        <v>#N/A</v>
      </c>
      <c r="AY62" s="1" t="e">
        <f ca="1">OFFSET(DesignFile!$J$7,$T$48*($C$3-$B62),$P$48*(AY$50-2))</f>
        <v>#N/A</v>
      </c>
      <c r="AZ62" s="1" t="e">
        <f ca="1">OFFSET(DesignFile!$J$7,$T$48*($C$3-$B62),$P$48*(AZ$50-1))</f>
        <v>#N/A</v>
      </c>
      <c r="BA62" s="27" t="e">
        <f ca="1">$D$5*AV62*AW62*(AX62-MAX(AY62,AZ62))/1000000000</f>
        <v>#N/A</v>
      </c>
      <c r="BB62" s="1"/>
      <c r="BC62" s="142" t="e">
        <f ca="1">SUM(BA62,BB62)</f>
        <v>#N/A</v>
      </c>
    </row>
    <row r="63" spans="2:55" x14ac:dyDescent="0.25">
      <c r="B63" s="9" t="e">
        <f t="shared" si="104"/>
        <v>#N/A</v>
      </c>
      <c r="C63" s="9" t="e">
        <f ca="1">OFFSET(DesignFile!$H$9,$T$48*($C$3-$B63),$P$48*(C$50-1))</f>
        <v>#N/A</v>
      </c>
      <c r="D63" s="1" t="e">
        <f ca="1">OFFSET(DesignFile!$H$10,$T$48*($C$3-$B63),$P$48*(D$50-1))</f>
        <v>#N/A</v>
      </c>
      <c r="E63" s="1" t="e">
        <f ca="1">OFFSET(DesignFile!$H$15,$T$48*($C$3-$B63),$P$48*(E$50-1))</f>
        <v>#N/A</v>
      </c>
      <c r="F63" s="1" t="e">
        <f ca="1">OFFSET(DesignFile!$J$7,$T$48*($C$3-$B63),$P$48*(F$50-2))</f>
        <v>#N/A</v>
      </c>
      <c r="G63" s="1" t="e">
        <f ca="1">OFFSET(DesignFile!$J$7,$T$48*($C$3-$B63),$P$48*(G$50-1))</f>
        <v>#N/A</v>
      </c>
      <c r="H63" s="27" t="e">
        <f ca="1">$D$5*C63*D63*(E63-MAX(F63,G63))/1000000000</f>
        <v>#N/A</v>
      </c>
      <c r="I63" s="1"/>
      <c r="J63" s="142" t="e">
        <f ca="1">SUM(H63,I63)</f>
        <v>#N/A</v>
      </c>
      <c r="L63" s="9" t="e">
        <f ca="1">OFFSET(DesignFile!$H$9,$T$48*($C$3-$B63),$P$48*(L$50-1))</f>
        <v>#N/A</v>
      </c>
      <c r="M63" s="1" t="e">
        <f ca="1">OFFSET(DesignFile!$H$10,$T$48*($C$3-$B63),$P$48*(M$50-1))</f>
        <v>#N/A</v>
      </c>
      <c r="N63" s="1" t="e">
        <f ca="1">OFFSET(DesignFile!$H$15,$T$48*($C$3-$B63),$P$48*(N$50-1))</f>
        <v>#N/A</v>
      </c>
      <c r="O63" s="1" t="e">
        <f ca="1">OFFSET(DesignFile!$J$7,$T$48*($C$3-$B63),$P$48*(O$50-2))</f>
        <v>#N/A</v>
      </c>
      <c r="P63" s="1" t="e">
        <f ca="1">OFFSET(DesignFile!$J$7,$T$48*($C$3-$B63),$P$48*(P$50-1))</f>
        <v>#N/A</v>
      </c>
      <c r="Q63" s="27" t="e">
        <f ca="1">$D$5*L63*M63*(N63-MAX(O63,P63))/1000000000</f>
        <v>#N/A</v>
      </c>
      <c r="R63" s="1"/>
      <c r="S63" s="142" t="e">
        <f ca="1">SUM(Q63,R63)</f>
        <v>#N/A</v>
      </c>
      <c r="U63" s="9" t="e">
        <f ca="1">OFFSET(DesignFile!$H$9,$T$48*($C$3-$B63),$P$48*(U$50-1))</f>
        <v>#N/A</v>
      </c>
      <c r="V63" s="1" t="e">
        <f ca="1">OFFSET(DesignFile!$H$10,$T$48*($C$3-$B63),$P$48*(V$50-1))</f>
        <v>#N/A</v>
      </c>
      <c r="W63" s="1" t="e">
        <f ca="1">OFFSET(DesignFile!$H$15,$T$48*($C$3-$B63),$P$48*(W$50-1))</f>
        <v>#N/A</v>
      </c>
      <c r="X63" s="1" t="e">
        <f ca="1">OFFSET(DesignFile!$J$7,$T$48*($C$3-$B63),$P$48*(X$50-2))</f>
        <v>#N/A</v>
      </c>
      <c r="Y63" s="1" t="e">
        <f ca="1">OFFSET(DesignFile!$J$7,$T$48*($C$3-$B63),$P$48*(Y$50-1))</f>
        <v>#N/A</v>
      </c>
      <c r="Z63" s="27" t="e">
        <f ca="1">$D$5*U63*V63*(W63-MAX(X63,Y63))/1000000000</f>
        <v>#N/A</v>
      </c>
      <c r="AA63" s="1"/>
      <c r="AB63" s="142" t="e">
        <f ca="1">SUM(Z63,AA63)</f>
        <v>#N/A</v>
      </c>
      <c r="AD63" s="9" t="e">
        <f ca="1">OFFSET(DesignFile!$H$9,$T$48*($C$3-$B63),$P$48*(AD$50-1))</f>
        <v>#N/A</v>
      </c>
      <c r="AE63" s="1" t="e">
        <f ca="1">OFFSET(DesignFile!$H$10,$T$48*($C$3-$B63),$P$48*(AE$50-1))</f>
        <v>#N/A</v>
      </c>
      <c r="AF63" s="1" t="e">
        <f ca="1">OFFSET(DesignFile!$H$15,$T$48*($C$3-$B63),$P$48*(AF$50-1))</f>
        <v>#N/A</v>
      </c>
      <c r="AG63" s="1" t="e">
        <f ca="1">OFFSET(DesignFile!$J$7,$T$48*($C$3-$B63),$P$48*(AG$50-2))</f>
        <v>#N/A</v>
      </c>
      <c r="AH63" s="1" t="e">
        <f ca="1">OFFSET(DesignFile!$J$7,$T$48*($C$3-$B63),$P$48*(AH$50-1))</f>
        <v>#N/A</v>
      </c>
      <c r="AI63" s="27" t="e">
        <f ca="1">$D$5*AD63*AE63*(AF63-MAX(AG63,AH63))/1000000000</f>
        <v>#N/A</v>
      </c>
      <c r="AJ63" s="1"/>
      <c r="AK63" s="142" t="e">
        <f ca="1">SUM(AI63,AJ63)</f>
        <v>#N/A</v>
      </c>
      <c r="AM63" s="9" t="e">
        <f ca="1">OFFSET(DesignFile!$H$9,$T$48*($C$3-$B63),$P$48*(AM$50-1))</f>
        <v>#N/A</v>
      </c>
      <c r="AN63" s="1" t="e">
        <f ca="1">OFFSET(DesignFile!$H$10,$T$48*($C$3-$B63),$P$48*(AN$50-1))</f>
        <v>#N/A</v>
      </c>
      <c r="AO63" s="1" t="e">
        <f ca="1">OFFSET(DesignFile!$H$15,$T$48*($C$3-$B63),$P$48*(AO$50-1))</f>
        <v>#N/A</v>
      </c>
      <c r="AP63" s="1" t="e">
        <f ca="1">OFFSET(DesignFile!$J$7,$T$48*($C$3-$B63),$P$48*(AP$50-2))</f>
        <v>#N/A</v>
      </c>
      <c r="AQ63" s="1" t="e">
        <f ca="1">OFFSET(DesignFile!$J$7,$T$48*($C$3-$B63),$P$48*(AQ$50-1))</f>
        <v>#N/A</v>
      </c>
      <c r="AR63" s="27" t="e">
        <f ca="1">$D$5*AM63*AN63*(AO63-MAX(AP63,AQ63))/1000000000</f>
        <v>#N/A</v>
      </c>
      <c r="AS63" s="1"/>
      <c r="AT63" s="142" t="e">
        <f ca="1">SUM(AR63,AS63)</f>
        <v>#N/A</v>
      </c>
      <c r="AV63" s="9" t="e">
        <f ca="1">OFFSET(DesignFile!$H$9,$T$48*($C$3-$B63),$P$48*(AV$50-1))</f>
        <v>#N/A</v>
      </c>
      <c r="AW63" s="1" t="e">
        <f ca="1">OFFSET(DesignFile!$H$10,$T$48*($C$3-$B63),$P$48*(AW$50-1))</f>
        <v>#N/A</v>
      </c>
      <c r="AX63" s="1" t="e">
        <f ca="1">OFFSET(DesignFile!$H$15,$T$48*($C$3-$B63),$P$48*(AX$50-1))</f>
        <v>#N/A</v>
      </c>
      <c r="AY63" s="1" t="e">
        <f ca="1">OFFSET(DesignFile!$J$7,$T$48*($C$3-$B63),$P$48*(AY$50-2))</f>
        <v>#N/A</v>
      </c>
      <c r="AZ63" s="1" t="e">
        <f ca="1">OFFSET(DesignFile!$J$7,$T$48*($C$3-$B63),$P$48*(AZ$50-1))</f>
        <v>#N/A</v>
      </c>
      <c r="BA63" s="27" t="e">
        <f ca="1">$D$5*AV63*AW63*(AX63-MAX(AY63,AZ63))/1000000000</f>
        <v>#N/A</v>
      </c>
      <c r="BB63" s="1"/>
      <c r="BC63" s="142" t="e">
        <f ca="1">SUM(BA63,BB63)</f>
        <v>#N/A</v>
      </c>
    </row>
    <row r="64" spans="2:55" x14ac:dyDescent="0.25">
      <c r="B64" s="9" t="e">
        <f t="shared" si="104"/>
        <v>#N/A</v>
      </c>
      <c r="C64" s="9" t="e">
        <f ca="1">OFFSET(DesignFile!$H$9,$T$48*($C$3-$B64),$P$48*(C$50-1))</f>
        <v>#N/A</v>
      </c>
      <c r="D64" s="1" t="e">
        <f ca="1">OFFSET(DesignFile!$H$10,$T$48*($C$3-$B64),$P$48*(D$50-1))</f>
        <v>#N/A</v>
      </c>
      <c r="E64" s="1" t="e">
        <f ca="1">OFFSET(DesignFile!$H$15,$T$48*($C$3-$B64),$P$48*(E$50-1))</f>
        <v>#N/A</v>
      </c>
      <c r="F64" s="1" t="e">
        <f ca="1">OFFSET(DesignFile!$J$7,$T$48*($C$3-$B64),$P$48*(F$50-2))</f>
        <v>#N/A</v>
      </c>
      <c r="G64" s="1" t="e">
        <f ca="1">OFFSET(DesignFile!$J$7,$T$48*($C$3-$B64),$P$48*(G$50-1))</f>
        <v>#N/A</v>
      </c>
      <c r="H64" s="27" t="e">
        <f ca="1">$D$5*C64*D64*(E64-MAX(F64,G64))/1000000000</f>
        <v>#N/A</v>
      </c>
      <c r="I64" s="1"/>
      <c r="J64" s="142" t="e">
        <f ca="1">SUM(H64,I64)</f>
        <v>#N/A</v>
      </c>
      <c r="L64" s="9" t="e">
        <f ca="1">OFFSET(DesignFile!$H$9,$T$48*($C$3-$B64),$P$48*(L$50-1))</f>
        <v>#N/A</v>
      </c>
      <c r="M64" s="1" t="e">
        <f ca="1">OFFSET(DesignFile!$H$10,$T$48*($C$3-$B64),$P$48*(M$50-1))</f>
        <v>#N/A</v>
      </c>
      <c r="N64" s="1" t="e">
        <f ca="1">OFFSET(DesignFile!$H$15,$T$48*($C$3-$B64),$P$48*(N$50-1))</f>
        <v>#N/A</v>
      </c>
      <c r="O64" s="1" t="e">
        <f ca="1">OFFSET(DesignFile!$J$7,$T$48*($C$3-$B64),$P$48*(O$50-2))</f>
        <v>#N/A</v>
      </c>
      <c r="P64" s="1" t="e">
        <f ca="1">OFFSET(DesignFile!$J$7,$T$48*($C$3-$B64),$P$48*(P$50-1))</f>
        <v>#N/A</v>
      </c>
      <c r="Q64" s="27" t="e">
        <f ca="1">$D$5*L64*M64*(N64-MAX(O64,P64))/1000000000</f>
        <v>#N/A</v>
      </c>
      <c r="R64" s="1"/>
      <c r="S64" s="142" t="e">
        <f ca="1">SUM(Q64,R64)</f>
        <v>#N/A</v>
      </c>
      <c r="U64" s="9" t="e">
        <f ca="1">OFFSET(DesignFile!$H$9,$T$48*($C$3-$B64),$P$48*(U$50-1))</f>
        <v>#N/A</v>
      </c>
      <c r="V64" s="1" t="e">
        <f ca="1">OFFSET(DesignFile!$H$10,$T$48*($C$3-$B64),$P$48*(V$50-1))</f>
        <v>#N/A</v>
      </c>
      <c r="W64" s="1" t="e">
        <f ca="1">OFFSET(DesignFile!$H$15,$T$48*($C$3-$B64),$P$48*(W$50-1))</f>
        <v>#N/A</v>
      </c>
      <c r="X64" s="1" t="e">
        <f ca="1">OFFSET(DesignFile!$J$7,$T$48*($C$3-$B64),$P$48*(X$50-2))</f>
        <v>#N/A</v>
      </c>
      <c r="Y64" s="1" t="e">
        <f ca="1">OFFSET(DesignFile!$J$7,$T$48*($C$3-$B64),$P$48*(Y$50-1))</f>
        <v>#N/A</v>
      </c>
      <c r="Z64" s="27" t="e">
        <f ca="1">$D$5*U64*V64*(W64-MAX(X64,Y64))/1000000000</f>
        <v>#N/A</v>
      </c>
      <c r="AA64" s="1"/>
      <c r="AB64" s="142" t="e">
        <f ca="1">SUM(Z64,AA64)</f>
        <v>#N/A</v>
      </c>
      <c r="AD64" s="9" t="e">
        <f ca="1">OFFSET(DesignFile!$H$9,$T$48*($C$3-$B64),$P$48*(AD$50-1))</f>
        <v>#N/A</v>
      </c>
      <c r="AE64" s="1" t="e">
        <f ca="1">OFFSET(DesignFile!$H$10,$T$48*($C$3-$B64),$P$48*(AE$50-1))</f>
        <v>#N/A</v>
      </c>
      <c r="AF64" s="1" t="e">
        <f ca="1">OFFSET(DesignFile!$H$15,$T$48*($C$3-$B64),$P$48*(AF$50-1))</f>
        <v>#N/A</v>
      </c>
      <c r="AG64" s="1" t="e">
        <f ca="1">OFFSET(DesignFile!$J$7,$T$48*($C$3-$B64),$P$48*(AG$50-2))</f>
        <v>#N/A</v>
      </c>
      <c r="AH64" s="1" t="e">
        <f ca="1">OFFSET(DesignFile!$J$7,$T$48*($C$3-$B64),$P$48*(AH$50-1))</f>
        <v>#N/A</v>
      </c>
      <c r="AI64" s="27" t="e">
        <f ca="1">$D$5*AD64*AE64*(AF64-MAX(AG64,AH64))/1000000000</f>
        <v>#N/A</v>
      </c>
      <c r="AJ64" s="1"/>
      <c r="AK64" s="142" t="e">
        <f ca="1">SUM(AI64,AJ64)</f>
        <v>#N/A</v>
      </c>
      <c r="AM64" s="9" t="e">
        <f ca="1">OFFSET(DesignFile!$H$9,$T$48*($C$3-$B64),$P$48*(AM$50-1))</f>
        <v>#N/A</v>
      </c>
      <c r="AN64" s="1" t="e">
        <f ca="1">OFFSET(DesignFile!$H$10,$T$48*($C$3-$B64),$P$48*(AN$50-1))</f>
        <v>#N/A</v>
      </c>
      <c r="AO64" s="1" t="e">
        <f ca="1">OFFSET(DesignFile!$H$15,$T$48*($C$3-$B64),$P$48*(AO$50-1))</f>
        <v>#N/A</v>
      </c>
      <c r="AP64" s="1" t="e">
        <f ca="1">OFFSET(DesignFile!$J$7,$T$48*($C$3-$B64),$P$48*(AP$50-2))</f>
        <v>#N/A</v>
      </c>
      <c r="AQ64" s="1" t="e">
        <f ca="1">OFFSET(DesignFile!$J$7,$T$48*($C$3-$B64),$P$48*(AQ$50-1))</f>
        <v>#N/A</v>
      </c>
      <c r="AR64" s="27" t="e">
        <f ca="1">$D$5*AM64*AN64*(AO64-MAX(AP64,AQ64))/1000000000</f>
        <v>#N/A</v>
      </c>
      <c r="AS64" s="1"/>
      <c r="AT64" s="142" t="e">
        <f ca="1">SUM(AR64,AS64)</f>
        <v>#N/A</v>
      </c>
      <c r="AV64" s="9" t="e">
        <f ca="1">OFFSET(DesignFile!$H$9,$T$48*($C$3-$B64),$P$48*(AV$50-1))</f>
        <v>#N/A</v>
      </c>
      <c r="AW64" s="1" t="e">
        <f ca="1">OFFSET(DesignFile!$H$10,$T$48*($C$3-$B64),$P$48*(AW$50-1))</f>
        <v>#N/A</v>
      </c>
      <c r="AX64" s="1" t="e">
        <f ca="1">OFFSET(DesignFile!$H$15,$T$48*($C$3-$B64),$P$48*(AX$50-1))</f>
        <v>#N/A</v>
      </c>
      <c r="AY64" s="1" t="e">
        <f ca="1">OFFSET(DesignFile!$J$7,$T$48*($C$3-$B64),$P$48*(AY$50-2))</f>
        <v>#N/A</v>
      </c>
      <c r="AZ64" s="1" t="e">
        <f ca="1">OFFSET(DesignFile!$J$7,$T$48*($C$3-$B64),$P$48*(AZ$50-1))</f>
        <v>#N/A</v>
      </c>
      <c r="BA64" s="27" t="e">
        <f ca="1">$D$5*AV64*AW64*(AX64-MAX(AY64,AZ64))/1000000000</f>
        <v>#N/A</v>
      </c>
      <c r="BB64" s="1"/>
      <c r="BC64" s="142" t="e">
        <f ca="1">SUM(BA64,BB64)</f>
        <v>#N/A</v>
      </c>
    </row>
    <row r="65" spans="2:55" x14ac:dyDescent="0.25">
      <c r="B65" s="9" t="e">
        <f t="shared" si="104"/>
        <v>#N/A</v>
      </c>
      <c r="C65" s="9" t="e">
        <f ca="1">OFFSET(DesignFile!$H$9,$T$48*($C$3-$B65),$P$48*(C$50-1))</f>
        <v>#N/A</v>
      </c>
      <c r="D65" s="1" t="e">
        <f ca="1">OFFSET(DesignFile!$H$10,$T$48*($C$3-$B65),$P$48*(D$50-1))</f>
        <v>#N/A</v>
      </c>
      <c r="E65" s="1" t="e">
        <f ca="1">OFFSET(DesignFile!$H$15,$T$48*($C$3-$B65),$P$48*(E$50-1))</f>
        <v>#N/A</v>
      </c>
      <c r="F65" s="1" t="e">
        <f ca="1">OFFSET(DesignFile!$J$7,$T$48*($C$3-$B65),$P$48*(F$50-2))</f>
        <v>#N/A</v>
      </c>
      <c r="G65" s="1" t="e">
        <f ca="1">OFFSET(DesignFile!$J$7,$T$48*($C$3-$B65),$P$48*(G$50-1))</f>
        <v>#N/A</v>
      </c>
      <c r="H65" s="27" t="e">
        <f ca="1">$D$5*C65*D65*(E65-MAX(F65,G65))/1000000000</f>
        <v>#N/A</v>
      </c>
      <c r="I65" s="1"/>
      <c r="J65" s="142" t="e">
        <f ca="1">SUM(H65,I65)</f>
        <v>#N/A</v>
      </c>
      <c r="L65" s="9" t="e">
        <f ca="1">OFFSET(DesignFile!$H$9,$T$48*($C$3-$B65),$P$48*(L$50-1))</f>
        <v>#N/A</v>
      </c>
      <c r="M65" s="1" t="e">
        <f ca="1">OFFSET(DesignFile!$H$10,$T$48*($C$3-$B65),$P$48*(M$50-1))</f>
        <v>#N/A</v>
      </c>
      <c r="N65" s="1" t="e">
        <f ca="1">OFFSET(DesignFile!$H$15,$T$48*($C$3-$B65),$P$48*(N$50-1))</f>
        <v>#N/A</v>
      </c>
      <c r="O65" s="1" t="e">
        <f ca="1">OFFSET(DesignFile!$J$7,$T$48*($C$3-$B65),$P$48*(O$50-2))</f>
        <v>#N/A</v>
      </c>
      <c r="P65" s="1" t="e">
        <f ca="1">OFFSET(DesignFile!$J$7,$T$48*($C$3-$B65),$P$48*(P$50-1))</f>
        <v>#N/A</v>
      </c>
      <c r="Q65" s="27" t="e">
        <f ca="1">$D$5*L65*M65*(N65-MAX(O65,P65))/1000000000</f>
        <v>#N/A</v>
      </c>
      <c r="R65" s="1"/>
      <c r="S65" s="142" t="e">
        <f ca="1">SUM(Q65,R65)</f>
        <v>#N/A</v>
      </c>
      <c r="U65" s="9" t="e">
        <f ca="1">OFFSET(DesignFile!$H$9,$T$48*($C$3-$B65),$P$48*(U$50-1))</f>
        <v>#N/A</v>
      </c>
      <c r="V65" s="1" t="e">
        <f ca="1">OFFSET(DesignFile!$H$10,$T$48*($C$3-$B65),$P$48*(V$50-1))</f>
        <v>#N/A</v>
      </c>
      <c r="W65" s="1" t="e">
        <f ca="1">OFFSET(DesignFile!$H$15,$T$48*($C$3-$B65),$P$48*(W$50-1))</f>
        <v>#N/A</v>
      </c>
      <c r="X65" s="1" t="e">
        <f ca="1">OFFSET(DesignFile!$J$7,$T$48*($C$3-$B65),$P$48*(X$50-2))</f>
        <v>#N/A</v>
      </c>
      <c r="Y65" s="1" t="e">
        <f ca="1">OFFSET(DesignFile!$J$7,$T$48*($C$3-$B65),$P$48*(Y$50-1))</f>
        <v>#N/A</v>
      </c>
      <c r="Z65" s="27" t="e">
        <f ca="1">$D$5*U65*V65*(W65-MAX(X65,Y65))/1000000000</f>
        <v>#N/A</v>
      </c>
      <c r="AA65" s="1"/>
      <c r="AB65" s="142" t="e">
        <f ca="1">SUM(Z65,AA65)</f>
        <v>#N/A</v>
      </c>
      <c r="AD65" s="9" t="e">
        <f ca="1">OFFSET(DesignFile!$H$9,$T$48*($C$3-$B65),$P$48*(AD$50-1))</f>
        <v>#N/A</v>
      </c>
      <c r="AE65" s="1" t="e">
        <f ca="1">OFFSET(DesignFile!$H$10,$T$48*($C$3-$B65),$P$48*(AE$50-1))</f>
        <v>#N/A</v>
      </c>
      <c r="AF65" s="1" t="e">
        <f ca="1">OFFSET(DesignFile!$H$15,$T$48*($C$3-$B65),$P$48*(AF$50-1))</f>
        <v>#N/A</v>
      </c>
      <c r="AG65" s="1" t="e">
        <f ca="1">OFFSET(DesignFile!$J$7,$T$48*($C$3-$B65),$P$48*(AG$50-2))</f>
        <v>#N/A</v>
      </c>
      <c r="AH65" s="1" t="e">
        <f ca="1">OFFSET(DesignFile!$J$7,$T$48*($C$3-$B65),$P$48*(AH$50-1))</f>
        <v>#N/A</v>
      </c>
      <c r="AI65" s="27" t="e">
        <f ca="1">$D$5*AD65*AE65*(AF65-MAX(AG65,AH65))/1000000000</f>
        <v>#N/A</v>
      </c>
      <c r="AJ65" s="1"/>
      <c r="AK65" s="142" t="e">
        <f ca="1">SUM(AI65,AJ65)</f>
        <v>#N/A</v>
      </c>
      <c r="AM65" s="9" t="e">
        <f ca="1">OFFSET(DesignFile!$H$9,$T$48*($C$3-$B65),$P$48*(AM$50-1))</f>
        <v>#N/A</v>
      </c>
      <c r="AN65" s="1" t="e">
        <f ca="1">OFFSET(DesignFile!$H$10,$T$48*($C$3-$B65),$P$48*(AN$50-1))</f>
        <v>#N/A</v>
      </c>
      <c r="AO65" s="1" t="e">
        <f ca="1">OFFSET(DesignFile!$H$15,$T$48*($C$3-$B65),$P$48*(AO$50-1))</f>
        <v>#N/A</v>
      </c>
      <c r="AP65" s="1" t="e">
        <f ca="1">OFFSET(DesignFile!$J$7,$T$48*($C$3-$B65),$P$48*(AP$50-2))</f>
        <v>#N/A</v>
      </c>
      <c r="AQ65" s="1" t="e">
        <f ca="1">OFFSET(DesignFile!$J$7,$T$48*($C$3-$B65),$P$48*(AQ$50-1))</f>
        <v>#N/A</v>
      </c>
      <c r="AR65" s="27" t="e">
        <f ca="1">$D$5*AM65*AN65*(AO65-MAX(AP65,AQ65))/1000000000</f>
        <v>#N/A</v>
      </c>
      <c r="AS65" s="1"/>
      <c r="AT65" s="142" t="e">
        <f ca="1">SUM(AR65,AS65)</f>
        <v>#N/A</v>
      </c>
      <c r="AV65" s="9" t="e">
        <f ca="1">OFFSET(DesignFile!$H$9,$T$48*($C$3-$B65),$P$48*(AV$50-1))</f>
        <v>#N/A</v>
      </c>
      <c r="AW65" s="1" t="e">
        <f ca="1">OFFSET(DesignFile!$H$10,$T$48*($C$3-$B65),$P$48*(AW$50-1))</f>
        <v>#N/A</v>
      </c>
      <c r="AX65" s="1" t="e">
        <f ca="1">OFFSET(DesignFile!$H$15,$T$48*($C$3-$B65),$P$48*(AX$50-1))</f>
        <v>#N/A</v>
      </c>
      <c r="AY65" s="1" t="e">
        <f ca="1">OFFSET(DesignFile!$J$7,$T$48*($C$3-$B65),$P$48*(AY$50-2))</f>
        <v>#N/A</v>
      </c>
      <c r="AZ65" s="1" t="e">
        <f ca="1">OFFSET(DesignFile!$J$7,$T$48*($C$3-$B65),$P$48*(AZ$50-1))</f>
        <v>#N/A</v>
      </c>
      <c r="BA65" s="27" t="e">
        <f ca="1">$D$5*AV65*AW65*(AX65-MAX(AY65,AZ65))/1000000000</f>
        <v>#N/A</v>
      </c>
      <c r="BB65" s="1"/>
      <c r="BC65" s="142" t="e">
        <f ca="1">SUM(BA65,BB65)</f>
        <v>#N/A</v>
      </c>
    </row>
    <row r="82" spans="1:55" ht="15.75" thickBot="1" x14ac:dyDescent="0.3"/>
    <row r="83" spans="1:55" ht="19.5" thickBot="1" x14ac:dyDescent="0.35">
      <c r="A83" s="166" t="s">
        <v>440</v>
      </c>
      <c r="F83" s="220"/>
      <c r="G83" s="221" t="s">
        <v>441</v>
      </c>
      <c r="H83" s="223">
        <v>15</v>
      </c>
      <c r="K83" s="127"/>
      <c r="L83" s="219" t="s">
        <v>442</v>
      </c>
      <c r="M83" s="227" t="s">
        <v>443</v>
      </c>
      <c r="R83">
        <v>15</v>
      </c>
    </row>
    <row r="84" spans="1:55" ht="15.75" thickBot="1" x14ac:dyDescent="0.3"/>
    <row r="85" spans="1:55" ht="19.5" thickBot="1" x14ac:dyDescent="0.35">
      <c r="B85" s="155" t="s">
        <v>432</v>
      </c>
      <c r="C85" s="1">
        <v>1</v>
      </c>
      <c r="D85" s="1">
        <v>1</v>
      </c>
      <c r="E85" s="1">
        <f t="shared" ref="E85:J85" si="105">D85</f>
        <v>1</v>
      </c>
      <c r="F85" s="1">
        <f t="shared" si="105"/>
        <v>1</v>
      </c>
      <c r="G85" s="1">
        <f t="shared" si="105"/>
        <v>1</v>
      </c>
      <c r="H85" s="1">
        <f t="shared" si="105"/>
        <v>1</v>
      </c>
      <c r="I85" s="1">
        <f t="shared" si="105"/>
        <v>1</v>
      </c>
      <c r="J85" s="1">
        <f t="shared" si="105"/>
        <v>1</v>
      </c>
      <c r="K85" s="1"/>
      <c r="L85" s="1">
        <f>C85+1</f>
        <v>2</v>
      </c>
      <c r="M85" s="1">
        <f t="shared" ref="M85:S85" si="106">L85</f>
        <v>2</v>
      </c>
      <c r="N85" s="1">
        <f t="shared" si="106"/>
        <v>2</v>
      </c>
      <c r="O85" s="1">
        <f t="shared" si="106"/>
        <v>2</v>
      </c>
      <c r="P85" s="1">
        <f t="shared" si="106"/>
        <v>2</v>
      </c>
      <c r="Q85" s="1">
        <f t="shared" si="106"/>
        <v>2</v>
      </c>
      <c r="R85" s="1">
        <f t="shared" si="106"/>
        <v>2</v>
      </c>
      <c r="S85" s="1">
        <f t="shared" si="106"/>
        <v>2</v>
      </c>
      <c r="U85" s="1">
        <f>L85+1</f>
        <v>3</v>
      </c>
      <c r="V85" s="1">
        <f t="shared" ref="V85:AB85" si="107">U85</f>
        <v>3</v>
      </c>
      <c r="W85" s="1">
        <f t="shared" si="107"/>
        <v>3</v>
      </c>
      <c r="X85" s="1">
        <f t="shared" si="107"/>
        <v>3</v>
      </c>
      <c r="Y85" s="1">
        <f t="shared" si="107"/>
        <v>3</v>
      </c>
      <c r="Z85" s="1">
        <f t="shared" si="107"/>
        <v>3</v>
      </c>
      <c r="AA85" s="1">
        <f t="shared" si="107"/>
        <v>3</v>
      </c>
      <c r="AB85" s="1">
        <f t="shared" si="107"/>
        <v>3</v>
      </c>
      <c r="AD85" s="1">
        <f>U85+1</f>
        <v>4</v>
      </c>
      <c r="AE85" s="1">
        <f t="shared" ref="AE85:AK85" si="108">AD85</f>
        <v>4</v>
      </c>
      <c r="AF85" s="1">
        <f t="shared" si="108"/>
        <v>4</v>
      </c>
      <c r="AG85" s="1">
        <f t="shared" si="108"/>
        <v>4</v>
      </c>
      <c r="AH85" s="1">
        <f t="shared" si="108"/>
        <v>4</v>
      </c>
      <c r="AI85" s="1">
        <f t="shared" si="108"/>
        <v>4</v>
      </c>
      <c r="AJ85" s="1">
        <f t="shared" si="108"/>
        <v>4</v>
      </c>
      <c r="AK85" s="1">
        <f t="shared" si="108"/>
        <v>4</v>
      </c>
      <c r="AM85" s="1">
        <f>AD85+1</f>
        <v>5</v>
      </c>
      <c r="AN85" s="1">
        <f t="shared" ref="AN85:AT85" si="109">AM85</f>
        <v>5</v>
      </c>
      <c r="AO85" s="1">
        <f t="shared" si="109"/>
        <v>5</v>
      </c>
      <c r="AP85" s="1">
        <f t="shared" si="109"/>
        <v>5</v>
      </c>
      <c r="AQ85" s="1">
        <f t="shared" si="109"/>
        <v>5</v>
      </c>
      <c r="AR85" s="1">
        <f t="shared" si="109"/>
        <v>5</v>
      </c>
      <c r="AS85" s="1">
        <f t="shared" si="109"/>
        <v>5</v>
      </c>
      <c r="AT85" s="1">
        <f t="shared" si="109"/>
        <v>5</v>
      </c>
      <c r="AV85" s="1">
        <f>AM85+1</f>
        <v>6</v>
      </c>
      <c r="AW85" s="1">
        <f t="shared" ref="AW85:BC85" si="110">AV85</f>
        <v>6</v>
      </c>
      <c r="AX85" s="1">
        <f t="shared" si="110"/>
        <v>6</v>
      </c>
      <c r="AY85" s="1">
        <f t="shared" si="110"/>
        <v>6</v>
      </c>
      <c r="AZ85" s="1">
        <f t="shared" si="110"/>
        <v>6</v>
      </c>
      <c r="BA85" s="1">
        <f t="shared" si="110"/>
        <v>6</v>
      </c>
      <c r="BB85" s="1">
        <f t="shared" si="110"/>
        <v>6</v>
      </c>
      <c r="BC85" s="1">
        <f t="shared" si="110"/>
        <v>6</v>
      </c>
    </row>
    <row r="86" spans="1:55" ht="15.75" thickBot="1" x14ac:dyDescent="0.3">
      <c r="B86" s="130"/>
      <c r="C86" s="130"/>
      <c r="D86" s="177" t="s">
        <v>444</v>
      </c>
      <c r="G86" s="177"/>
      <c r="L86" s="130"/>
      <c r="M86" s="177" t="s">
        <v>444</v>
      </c>
      <c r="P86" s="177"/>
      <c r="U86" s="130"/>
      <c r="V86" s="177" t="s">
        <v>444</v>
      </c>
      <c r="Y86" s="177"/>
      <c r="AD86" s="130"/>
      <c r="AE86" s="177" t="s">
        <v>444</v>
      </c>
      <c r="AH86" s="177"/>
      <c r="AM86" s="130"/>
      <c r="AN86" s="177" t="s">
        <v>444</v>
      </c>
      <c r="AQ86" s="177"/>
      <c r="AV86" s="130"/>
      <c r="AW86" s="177" t="s">
        <v>444</v>
      </c>
      <c r="AZ86" s="177"/>
    </row>
    <row r="87" spans="1:55" ht="90" x14ac:dyDescent="0.25">
      <c r="B87" s="225" t="s">
        <v>404</v>
      </c>
      <c r="C87" s="392" t="s">
        <v>445</v>
      </c>
      <c r="D87" s="168" t="s">
        <v>446</v>
      </c>
      <c r="E87" s="168" t="s">
        <v>447</v>
      </c>
      <c r="F87" s="168" t="s">
        <v>448</v>
      </c>
      <c r="G87" s="168" t="s">
        <v>449</v>
      </c>
      <c r="H87" s="168" t="s">
        <v>450</v>
      </c>
      <c r="I87" s="169" t="s">
        <v>451</v>
      </c>
      <c r="J87" s="225" t="s">
        <v>452</v>
      </c>
      <c r="K87" s="62"/>
      <c r="L87" s="392" t="s">
        <v>445</v>
      </c>
      <c r="M87" s="168" t="s">
        <v>446</v>
      </c>
      <c r="N87" s="168" t="s">
        <v>447</v>
      </c>
      <c r="O87" s="168" t="s">
        <v>448</v>
      </c>
      <c r="P87" s="168" t="s">
        <v>449</v>
      </c>
      <c r="Q87" s="168" t="s">
        <v>450</v>
      </c>
      <c r="R87" s="169" t="s">
        <v>451</v>
      </c>
      <c r="S87" s="225" t="s">
        <v>452</v>
      </c>
      <c r="T87" s="62"/>
      <c r="U87" s="392" t="s">
        <v>445</v>
      </c>
      <c r="V87" s="168" t="s">
        <v>446</v>
      </c>
      <c r="W87" s="168" t="s">
        <v>447</v>
      </c>
      <c r="X87" s="168" t="s">
        <v>448</v>
      </c>
      <c r="Y87" s="168" t="s">
        <v>449</v>
      </c>
      <c r="Z87" s="168" t="s">
        <v>450</v>
      </c>
      <c r="AA87" s="168" t="s">
        <v>451</v>
      </c>
      <c r="AB87" s="225" t="s">
        <v>452</v>
      </c>
      <c r="AC87" s="62"/>
      <c r="AD87" s="392" t="s">
        <v>445</v>
      </c>
      <c r="AE87" s="168" t="s">
        <v>446</v>
      </c>
      <c r="AF87" s="168" t="s">
        <v>447</v>
      </c>
      <c r="AG87" s="168" t="s">
        <v>448</v>
      </c>
      <c r="AH87" s="168" t="s">
        <v>449</v>
      </c>
      <c r="AI87" s="168" t="s">
        <v>450</v>
      </c>
      <c r="AJ87" s="168" t="s">
        <v>451</v>
      </c>
      <c r="AK87" s="225" t="s">
        <v>452</v>
      </c>
      <c r="AM87" s="392" t="s">
        <v>445</v>
      </c>
      <c r="AN87" s="168" t="s">
        <v>446</v>
      </c>
      <c r="AO87" s="168" t="s">
        <v>447</v>
      </c>
      <c r="AP87" s="168" t="s">
        <v>448</v>
      </c>
      <c r="AQ87" s="168" t="s">
        <v>449</v>
      </c>
      <c r="AR87" s="168" t="s">
        <v>450</v>
      </c>
      <c r="AS87" s="168" t="s">
        <v>451</v>
      </c>
      <c r="AT87" s="225" t="s">
        <v>452</v>
      </c>
      <c r="AU87" s="62"/>
      <c r="AV87" s="392" t="s">
        <v>445</v>
      </c>
      <c r="AW87" s="168" t="s">
        <v>446</v>
      </c>
      <c r="AX87" s="168" t="s">
        <v>447</v>
      </c>
      <c r="AY87" s="168" t="s">
        <v>448</v>
      </c>
      <c r="AZ87" s="168" t="s">
        <v>449</v>
      </c>
      <c r="BA87" s="168" t="s">
        <v>450</v>
      </c>
      <c r="BB87" s="168" t="s">
        <v>451</v>
      </c>
      <c r="BC87" s="225" t="s">
        <v>452</v>
      </c>
    </row>
    <row r="88" spans="1:55" ht="15.75" thickBot="1" x14ac:dyDescent="0.3">
      <c r="B88" s="229"/>
      <c r="C88" s="218" t="s">
        <v>453</v>
      </c>
      <c r="D88" s="184" t="s">
        <v>419</v>
      </c>
      <c r="E88" s="184" t="s">
        <v>282</v>
      </c>
      <c r="F88" s="184" t="s">
        <v>419</v>
      </c>
      <c r="G88" s="184" t="s">
        <v>282</v>
      </c>
      <c r="H88" s="184" t="s">
        <v>73</v>
      </c>
      <c r="I88" s="191" t="s">
        <v>73</v>
      </c>
      <c r="J88" s="143" t="s">
        <v>73</v>
      </c>
      <c r="L88" s="218" t="s">
        <v>282</v>
      </c>
      <c r="M88" s="184" t="s">
        <v>419</v>
      </c>
      <c r="N88" s="184" t="s">
        <v>282</v>
      </c>
      <c r="O88" s="184" t="s">
        <v>419</v>
      </c>
      <c r="P88" s="184" t="s">
        <v>282</v>
      </c>
      <c r="Q88" s="184" t="s">
        <v>73</v>
      </c>
      <c r="R88" s="191" t="s">
        <v>73</v>
      </c>
      <c r="S88" s="143" t="s">
        <v>73</v>
      </c>
      <c r="U88" s="218" t="s">
        <v>282</v>
      </c>
      <c r="V88" s="12" t="s">
        <v>419</v>
      </c>
      <c r="W88" s="12" t="s">
        <v>282</v>
      </c>
      <c r="X88" s="12" t="s">
        <v>419</v>
      </c>
      <c r="Y88" s="12" t="s">
        <v>282</v>
      </c>
      <c r="Z88" s="12" t="s">
        <v>73</v>
      </c>
      <c r="AA88" s="12" t="s">
        <v>73</v>
      </c>
      <c r="AB88" s="143" t="s">
        <v>73</v>
      </c>
      <c r="AD88" s="218" t="s">
        <v>282</v>
      </c>
      <c r="AE88" s="12" t="s">
        <v>419</v>
      </c>
      <c r="AF88" s="12" t="s">
        <v>282</v>
      </c>
      <c r="AG88" s="12" t="s">
        <v>419</v>
      </c>
      <c r="AH88" s="12" t="s">
        <v>282</v>
      </c>
      <c r="AI88" s="12" t="s">
        <v>73</v>
      </c>
      <c r="AJ88" s="12" t="s">
        <v>73</v>
      </c>
      <c r="AK88" s="143" t="s">
        <v>73</v>
      </c>
      <c r="AM88" s="218" t="s">
        <v>282</v>
      </c>
      <c r="AN88" s="12" t="s">
        <v>419</v>
      </c>
      <c r="AO88" s="12" t="s">
        <v>282</v>
      </c>
      <c r="AP88" s="12" t="s">
        <v>419</v>
      </c>
      <c r="AQ88" s="12" t="s">
        <v>282</v>
      </c>
      <c r="AR88" s="12" t="s">
        <v>73</v>
      </c>
      <c r="AS88" s="12" t="s">
        <v>73</v>
      </c>
      <c r="AT88" s="143" t="s">
        <v>73</v>
      </c>
      <c r="AV88" s="218" t="s">
        <v>282</v>
      </c>
      <c r="AW88" s="12" t="s">
        <v>419</v>
      </c>
      <c r="AX88" s="12" t="s">
        <v>282</v>
      </c>
      <c r="AY88" s="12" t="s">
        <v>419</v>
      </c>
      <c r="AZ88" s="12" t="s">
        <v>282</v>
      </c>
      <c r="BA88" s="12" t="s">
        <v>73</v>
      </c>
      <c r="BB88" s="12" t="s">
        <v>73</v>
      </c>
      <c r="BC88" s="143" t="s">
        <v>73</v>
      </c>
    </row>
    <row r="89" spans="1:55" x14ac:dyDescent="0.25">
      <c r="B89" s="9">
        <f>$C$3</f>
        <v>5</v>
      </c>
      <c r="C89" s="6">
        <f t="shared" ref="C89:C100" ca="1" si="111">IF(C$85=1,0,OFFSET($J18,0,$H$83*(C$85-2)))</f>
        <v>0</v>
      </c>
      <c r="D89" s="173">
        <f t="shared" ref="D89:D100" ca="1" si="112">IF(D$85 = 1, 0, OFFSET($P18, 0, $H$83 * (D$85 - 2)))</f>
        <v>0</v>
      </c>
      <c r="E89" s="158">
        <f t="shared" ref="E89:E100" si="113">IF(E$85=1, 0, HLOOKUP(E$85 - 1, $L$42:$AN$43, 2, FALSE))</f>
        <v>0</v>
      </c>
      <c r="F89" s="173">
        <f t="shared" ref="F89:F100" ca="1" si="114">IF(F$85=$C$4+1,0,OFFSET($P18,0,$H$83*(F$85-1)))</f>
        <v>94.425877192982455</v>
      </c>
      <c r="G89" s="158">
        <f t="shared" ref="G89:G100" ca="1" si="115">IF(G$85=$C$4+1,0,HLOOKUP(G$85,$L$42:$AN$43,2,FALSE))</f>
        <v>8200</v>
      </c>
      <c r="H89" s="173">
        <f t="shared" ref="H89:H100" ca="1" si="116">H54</f>
        <v>21.262499999999999</v>
      </c>
      <c r="I89" s="222">
        <f t="shared" ref="I89:I100" ca="1" si="117">((D89 * (E89 - C89) + F89 * MAX(0, (G89 - L89))) / 2) / 1000  + H89</f>
        <v>380.08083333333332</v>
      </c>
      <c r="J89" s="231">
        <f ca="1">SUM(I$89:I89)</f>
        <v>380.08083333333332</v>
      </c>
      <c r="L89" s="6">
        <f t="shared" ref="L89:L100" ca="1" si="118">IF(L$85=1,0,OFFSET($J18,0,$H$83*(L$85-2)))</f>
        <v>600</v>
      </c>
      <c r="M89" s="173">
        <f t="shared" ref="M89:M100" ca="1" si="119">IF(M$85 = 1, 0, OFFSET($P18, 0, $H$83 * (M$85 - 2)))</f>
        <v>94.425877192982455</v>
      </c>
      <c r="N89" s="158">
        <f t="shared" ref="N89:N100" ca="1" si="120">IF(N$85=1, 0, HLOOKUP(N$85 - 1, $L$42:$AN$43, 2, FALSE))</f>
        <v>8200</v>
      </c>
      <c r="O89" s="173">
        <f t="shared" ref="O89:O100" ca="1" si="121">IF(O$85=$C$4+1,0,OFFSET($P18,0,$H$83*(O$85-1)))</f>
        <v>94.425877192982455</v>
      </c>
      <c r="P89" s="158">
        <f t="shared" ref="P89:P100" ca="1" si="122">IF(P$85=$C$4+1,0,HLOOKUP(P$85,$L$42:$AN$43,2,FALSE))</f>
        <v>8200</v>
      </c>
      <c r="Q89" s="173">
        <f t="shared" ref="Q89:Q100" ca="1" si="123">Q54</f>
        <v>28.35</v>
      </c>
      <c r="R89" s="222">
        <f t="shared" ref="R89:R100" ca="1" si="124">((M89 * (N89 - L89) + O89 * MAX(0, (P89 - U89))) / 2) / 1000  + Q89</f>
        <v>745.98666666666668</v>
      </c>
      <c r="S89" s="231">
        <f ca="1">SUM(R$89:R89)</f>
        <v>745.98666666666668</v>
      </c>
      <c r="U89" s="6">
        <f t="shared" ref="U89:U100" ca="1" si="125">IF(U$85=1,0,OFFSET($J18,0,$H$83*(U$85-2)))</f>
        <v>600</v>
      </c>
      <c r="V89" s="173">
        <f t="shared" ref="V89:V100" ca="1" si="126">IF(V$85 = 1, 0, OFFSET($P18, 0, $H$83 * (V$85 - 2)))</f>
        <v>94.425877192982455</v>
      </c>
      <c r="W89" s="158">
        <f t="shared" ref="W89:W100" ca="1" si="127">IF(W$85=1, 0, HLOOKUP(W$85 - 1, $L$42:$AN$43, 2, FALSE))</f>
        <v>8200</v>
      </c>
      <c r="X89" s="173">
        <f t="shared" ref="X89:X100" ca="1" si="128">IF(X$85=$C$4+1,0,OFFSET($P18,0,$H$83*(X$85-1)))</f>
        <v>94.425877192982455</v>
      </c>
      <c r="Y89" s="158">
        <f t="shared" ref="Y89:Y100" ca="1" si="129">IF(Y$85=$C$4+1,0,HLOOKUP(Y$85,$L$42:$AN$43,2,FALSE))</f>
        <v>8200</v>
      </c>
      <c r="Z89" s="173">
        <f t="shared" ref="Z89:Z100" ca="1" si="130">Z54</f>
        <v>28.35</v>
      </c>
      <c r="AA89" s="222">
        <f t="shared" ref="AA89:AA100" ca="1" si="131">((V89 * (W89 - U89) + X89 * MAX(0, (Y89 - AD89))) / 2) / 1000  + Z89</f>
        <v>745.98666666666668</v>
      </c>
      <c r="AB89" s="231">
        <f ca="1">SUM(AA$89:AA89)</f>
        <v>745.98666666666668</v>
      </c>
      <c r="AD89" s="6">
        <f t="shared" ref="AD89:AD100" ca="1" si="132">IF(AD$85=1,0,OFFSET($J18,0,$H$83*(AD$85-2)))</f>
        <v>600</v>
      </c>
      <c r="AE89" s="173">
        <f t="shared" ref="AE89:AE100" ca="1" si="133">IF(AE$85 = 1, 0, OFFSET($P18, 0, $H$83 * (AE$85 - 2)))</f>
        <v>94.425877192982455</v>
      </c>
      <c r="AF89" s="158">
        <f t="shared" ref="AF89:AF100" ca="1" si="134">IF(AF$85=1, 0, HLOOKUP(AF$85 - 1, $L$42:$AN$43, 2, FALSE))</f>
        <v>8200</v>
      </c>
      <c r="AG89" s="173">
        <f t="shared" ref="AG89:AG100" ca="1" si="135">IF(AG$85=$C$4+1,0,OFFSET($P18,0,$H$83*(AG$85-1)))</f>
        <v>0</v>
      </c>
      <c r="AH89" s="158">
        <f t="shared" ref="AH89:AH100" si="136">IF(AH$85=$C$4+1,0,HLOOKUP(AH$85,$L$42:$AN$43,2,FALSE))</f>
        <v>0</v>
      </c>
      <c r="AI89" s="173">
        <f t="shared" ref="AI89:AI100" ca="1" si="137">AI54</f>
        <v>21.262499999999999</v>
      </c>
      <c r="AJ89" s="222">
        <f t="shared" ref="AJ89:AJ100" ca="1" si="138">((AE89 * (AF89 - AD89) + AG89 * MAX(0, (AH89 - AM89))) / 2) / 1000  + AI89</f>
        <v>380.08083333333332</v>
      </c>
      <c r="AK89" s="231">
        <f ca="1">SUM(AJ$89:AJ89)</f>
        <v>380.08083333333332</v>
      </c>
      <c r="AM89" s="6">
        <f t="shared" ref="AM89:AM100" ca="1" si="139">IF(AM$85=1,0,OFFSET($J18,0,$H$83*(AM$85-2)))</f>
        <v>300</v>
      </c>
      <c r="AN89" s="173">
        <f t="shared" ref="AN89:AN100" ca="1" si="140">IF(AN$85 = 1, 0, OFFSET($P18, 0, $H$83 * (AN$85 - 2)))</f>
        <v>0</v>
      </c>
      <c r="AO89" s="158">
        <f t="shared" ref="AO89:AO100" ca="1" si="141">IF(AO$85=1, 0, HLOOKUP(AO$85 - 1, $L$42:$AN$43, 2, FALSE))</f>
        <v>0</v>
      </c>
      <c r="AP89" s="173" t="e">
        <f t="shared" ref="AP89:AP100" ca="1" si="142">IF(AP$85=$C$4+1,0,OFFSET($P18,0,$H$83*(AP$85-1)))</f>
        <v>#DIV/0!</v>
      </c>
      <c r="AQ89" s="158">
        <f t="shared" ref="AQ89:AQ100" ca="1" si="143">IF(AQ$85=$C$4+1,0,HLOOKUP(AQ$85,$L$42:$AN$43,2,FALSE))</f>
        <v>0</v>
      </c>
      <c r="AR89" s="173">
        <f t="shared" ref="AR89:AR100" ca="1" si="144">AR54</f>
        <v>0</v>
      </c>
      <c r="AS89" s="222" t="e">
        <f t="shared" ref="AS89:AS100" ca="1" si="145">((AN89 * (AO89 - AM89) + AP89 * MAX(0, (AQ89 - AV89))) / 2) / 1000  + AR89</f>
        <v>#DIV/0!</v>
      </c>
      <c r="AT89" s="231" t="e">
        <f ca="1">SUM(AS$89:AS89)</f>
        <v>#DIV/0!</v>
      </c>
      <c r="AV89" s="6">
        <f t="shared" ref="AV89:AV100" ca="1" si="146">IF(AV$85=1,0,OFFSET($J18,0,$H$83*(AV$85-2)))</f>
        <v>0</v>
      </c>
      <c r="AW89" s="173" t="e">
        <f t="shared" ref="AW89:AW100" ca="1" si="147">IF(AW$85 = 1, 0, OFFSET($P18, 0, $H$83 * (AW$85 - 2)))</f>
        <v>#DIV/0!</v>
      </c>
      <c r="AX89" s="158">
        <f t="shared" ref="AX89:AX100" ca="1" si="148">IF(AX$85=1, 0, HLOOKUP(AX$85 - 1, $L$42:$AN$43, 2, FALSE))</f>
        <v>0</v>
      </c>
      <c r="AY89" s="173" t="e">
        <f t="shared" ref="AY89:AY100" ca="1" si="149">IF(AY$85=$C$4+1,0,OFFSET($P18,0,$H$83*(AY$85-1)))</f>
        <v>#DIV/0!</v>
      </c>
      <c r="AZ89" s="158">
        <f t="shared" ref="AZ89:AZ100" ca="1" si="150">IF(AZ$85=$C$4+1,0,HLOOKUP(AZ$85,$L$42:$AN$43,2,FALSE))</f>
        <v>0</v>
      </c>
      <c r="BA89" s="173">
        <f t="shared" ref="BA89:BA100" ca="1" si="151">BA54</f>
        <v>0</v>
      </c>
      <c r="BB89" s="222" t="e">
        <f t="shared" ref="BB89:BB100" ca="1" si="152">((AW89 * (AX89 - AV89) + AY89 * MAX(0, (AZ89 - BE89))) / 2) / 1000  + BA89</f>
        <v>#DIV/0!</v>
      </c>
      <c r="BC89" s="231" t="e">
        <f ca="1">SUM(BB$89:BB89)</f>
        <v>#DIV/0!</v>
      </c>
    </row>
    <row r="90" spans="1:55" x14ac:dyDescent="0.25">
      <c r="B90" s="9">
        <f t="shared" ref="B90:B100" si="153">IF(B89-1&gt;=1,B89-1,NA())</f>
        <v>4</v>
      </c>
      <c r="C90" s="9">
        <f t="shared" ca="1" si="111"/>
        <v>0</v>
      </c>
      <c r="D90" s="27">
        <f t="shared" ca="1" si="112"/>
        <v>0</v>
      </c>
      <c r="E90" s="1">
        <f t="shared" si="113"/>
        <v>0</v>
      </c>
      <c r="F90" s="27">
        <f t="shared" ca="1" si="114"/>
        <v>94.425877192982455</v>
      </c>
      <c r="G90" s="1">
        <f t="shared" ca="1" si="115"/>
        <v>8200</v>
      </c>
      <c r="H90" s="27">
        <f t="shared" ca="1" si="116"/>
        <v>21.262499999999999</v>
      </c>
      <c r="I90" s="30">
        <f t="shared" ca="1" si="117"/>
        <v>380.08083333333332</v>
      </c>
      <c r="J90" s="226">
        <f ca="1">SUM(I$89:I90)</f>
        <v>760.16166666666663</v>
      </c>
      <c r="L90" s="9">
        <f t="shared" ca="1" si="118"/>
        <v>600</v>
      </c>
      <c r="M90" s="27">
        <f t="shared" ca="1" si="119"/>
        <v>94.425877192982455</v>
      </c>
      <c r="N90" s="1">
        <f t="shared" ca="1" si="120"/>
        <v>8200</v>
      </c>
      <c r="O90" s="27">
        <f t="shared" ca="1" si="121"/>
        <v>94.425877192982455</v>
      </c>
      <c r="P90" s="1">
        <f t="shared" ca="1" si="122"/>
        <v>8200</v>
      </c>
      <c r="Q90" s="27">
        <f t="shared" ca="1" si="123"/>
        <v>28.35</v>
      </c>
      <c r="R90" s="30">
        <f t="shared" ca="1" si="124"/>
        <v>745.98666666666668</v>
      </c>
      <c r="S90" s="226">
        <f ca="1">SUM(R$89:R90)</f>
        <v>1491.9733333333334</v>
      </c>
      <c r="U90" s="9">
        <f t="shared" ca="1" si="125"/>
        <v>600</v>
      </c>
      <c r="V90" s="27">
        <f t="shared" ca="1" si="126"/>
        <v>94.425877192982455</v>
      </c>
      <c r="W90" s="1">
        <f t="shared" ca="1" si="127"/>
        <v>8200</v>
      </c>
      <c r="X90" s="27">
        <f t="shared" ca="1" si="128"/>
        <v>94.425877192982455</v>
      </c>
      <c r="Y90" s="1">
        <f t="shared" ca="1" si="129"/>
        <v>8200</v>
      </c>
      <c r="Z90" s="27">
        <f t="shared" ca="1" si="130"/>
        <v>28.35</v>
      </c>
      <c r="AA90" s="30">
        <f t="shared" ca="1" si="131"/>
        <v>745.98666666666668</v>
      </c>
      <c r="AB90" s="226">
        <f ca="1">SUM(AA$89:AA90)</f>
        <v>1491.9733333333334</v>
      </c>
      <c r="AD90" s="9">
        <f t="shared" ca="1" si="132"/>
        <v>600</v>
      </c>
      <c r="AE90" s="27">
        <f t="shared" ca="1" si="133"/>
        <v>94.425877192982455</v>
      </c>
      <c r="AF90" s="1">
        <f t="shared" ca="1" si="134"/>
        <v>8200</v>
      </c>
      <c r="AG90" s="27">
        <f t="shared" ca="1" si="135"/>
        <v>0</v>
      </c>
      <c r="AH90" s="1">
        <f t="shared" si="136"/>
        <v>0</v>
      </c>
      <c r="AI90" s="27">
        <f t="shared" ca="1" si="137"/>
        <v>21.262499999999999</v>
      </c>
      <c r="AJ90" s="30">
        <f t="shared" ca="1" si="138"/>
        <v>380.08083333333332</v>
      </c>
      <c r="AK90" s="226">
        <f ca="1">SUM(AJ$89:AJ90)</f>
        <v>760.16166666666663</v>
      </c>
      <c r="AM90" s="9">
        <f t="shared" ca="1" si="139"/>
        <v>300</v>
      </c>
      <c r="AN90" s="27">
        <f t="shared" ca="1" si="140"/>
        <v>0</v>
      </c>
      <c r="AO90" s="1">
        <f t="shared" ca="1" si="141"/>
        <v>0</v>
      </c>
      <c r="AP90" s="27" t="e">
        <f t="shared" ca="1" si="142"/>
        <v>#DIV/0!</v>
      </c>
      <c r="AQ90" s="1">
        <f t="shared" ca="1" si="143"/>
        <v>0</v>
      </c>
      <c r="AR90" s="27">
        <f t="shared" ca="1" si="144"/>
        <v>0</v>
      </c>
      <c r="AS90" s="30" t="e">
        <f t="shared" ca="1" si="145"/>
        <v>#DIV/0!</v>
      </c>
      <c r="AT90" s="226" t="e">
        <f ca="1">SUM(AS$89:AS90)</f>
        <v>#DIV/0!</v>
      </c>
      <c r="AV90" s="9">
        <f t="shared" ca="1" si="146"/>
        <v>0</v>
      </c>
      <c r="AW90" s="27" t="e">
        <f t="shared" ca="1" si="147"/>
        <v>#DIV/0!</v>
      </c>
      <c r="AX90" s="1">
        <f t="shared" ca="1" si="148"/>
        <v>0</v>
      </c>
      <c r="AY90" s="27" t="e">
        <f t="shared" ca="1" si="149"/>
        <v>#DIV/0!</v>
      </c>
      <c r="AZ90" s="1">
        <f t="shared" ca="1" si="150"/>
        <v>0</v>
      </c>
      <c r="BA90" s="27">
        <f t="shared" ca="1" si="151"/>
        <v>0</v>
      </c>
      <c r="BB90" s="30" t="e">
        <f t="shared" ca="1" si="152"/>
        <v>#DIV/0!</v>
      </c>
      <c r="BC90" s="226" t="e">
        <f ca="1">SUM(BB$89:BB90)</f>
        <v>#DIV/0!</v>
      </c>
    </row>
    <row r="91" spans="1:55" x14ac:dyDescent="0.25">
      <c r="B91" s="9">
        <f t="shared" si="153"/>
        <v>3</v>
      </c>
      <c r="C91" s="9">
        <f t="shared" ca="1" si="111"/>
        <v>0</v>
      </c>
      <c r="D91" s="27">
        <f t="shared" ca="1" si="112"/>
        <v>0</v>
      </c>
      <c r="E91" s="1">
        <f t="shared" si="113"/>
        <v>0</v>
      </c>
      <c r="F91" s="27">
        <f t="shared" ca="1" si="114"/>
        <v>94.425877192982455</v>
      </c>
      <c r="G91" s="1">
        <f t="shared" ca="1" si="115"/>
        <v>8200</v>
      </c>
      <c r="H91" s="27">
        <f t="shared" ca="1" si="116"/>
        <v>21.262499999999999</v>
      </c>
      <c r="I91" s="30">
        <f t="shared" ca="1" si="117"/>
        <v>380.08083333333332</v>
      </c>
      <c r="J91" s="226">
        <f ca="1">SUM(I$89:I91)</f>
        <v>1140.2424999999998</v>
      </c>
      <c r="L91" s="9">
        <f t="shared" ca="1" si="118"/>
        <v>600</v>
      </c>
      <c r="M91" s="27">
        <f t="shared" ca="1" si="119"/>
        <v>94.425877192982455</v>
      </c>
      <c r="N91" s="1">
        <f t="shared" ca="1" si="120"/>
        <v>8200</v>
      </c>
      <c r="O91" s="27">
        <f t="shared" ca="1" si="121"/>
        <v>94.425877192982455</v>
      </c>
      <c r="P91" s="1">
        <f t="shared" ca="1" si="122"/>
        <v>8200</v>
      </c>
      <c r="Q91" s="27">
        <f t="shared" ca="1" si="123"/>
        <v>28.35</v>
      </c>
      <c r="R91" s="30">
        <f t="shared" ca="1" si="124"/>
        <v>745.98666666666668</v>
      </c>
      <c r="S91" s="226">
        <f ca="1">SUM(R$89:R91)</f>
        <v>2237.96</v>
      </c>
      <c r="U91" s="9">
        <f t="shared" ca="1" si="125"/>
        <v>600</v>
      </c>
      <c r="V91" s="27">
        <f t="shared" ca="1" si="126"/>
        <v>94.425877192982455</v>
      </c>
      <c r="W91" s="1">
        <f t="shared" ca="1" si="127"/>
        <v>8200</v>
      </c>
      <c r="X91" s="27">
        <f t="shared" ca="1" si="128"/>
        <v>94.425877192982455</v>
      </c>
      <c r="Y91" s="1">
        <f t="shared" ca="1" si="129"/>
        <v>8200</v>
      </c>
      <c r="Z91" s="27">
        <f t="shared" ca="1" si="130"/>
        <v>28.35</v>
      </c>
      <c r="AA91" s="30">
        <f t="shared" ca="1" si="131"/>
        <v>745.98666666666668</v>
      </c>
      <c r="AB91" s="226">
        <f ca="1">SUM(AA$89:AA91)</f>
        <v>2237.96</v>
      </c>
      <c r="AD91" s="9">
        <f t="shared" ca="1" si="132"/>
        <v>600</v>
      </c>
      <c r="AE91" s="27">
        <f t="shared" ca="1" si="133"/>
        <v>94.425877192982455</v>
      </c>
      <c r="AF91" s="1">
        <f t="shared" ca="1" si="134"/>
        <v>8200</v>
      </c>
      <c r="AG91" s="27">
        <f t="shared" ca="1" si="135"/>
        <v>0</v>
      </c>
      <c r="AH91" s="1">
        <f t="shared" si="136"/>
        <v>0</v>
      </c>
      <c r="AI91" s="27">
        <f t="shared" ca="1" si="137"/>
        <v>21.262499999999999</v>
      </c>
      <c r="AJ91" s="30">
        <f t="shared" ca="1" si="138"/>
        <v>380.08083333333332</v>
      </c>
      <c r="AK91" s="226">
        <f ca="1">SUM(AJ$89:AJ91)</f>
        <v>1140.2424999999998</v>
      </c>
      <c r="AM91" s="9">
        <f t="shared" ca="1" si="139"/>
        <v>300</v>
      </c>
      <c r="AN91" s="27">
        <f t="shared" ca="1" si="140"/>
        <v>0</v>
      </c>
      <c r="AO91" s="1">
        <f t="shared" ca="1" si="141"/>
        <v>0</v>
      </c>
      <c r="AP91" s="27" t="e">
        <f t="shared" ca="1" si="142"/>
        <v>#DIV/0!</v>
      </c>
      <c r="AQ91" s="1">
        <f t="shared" ca="1" si="143"/>
        <v>0</v>
      </c>
      <c r="AR91" s="27">
        <f t="shared" ca="1" si="144"/>
        <v>0</v>
      </c>
      <c r="AS91" s="30" t="e">
        <f t="shared" ca="1" si="145"/>
        <v>#DIV/0!</v>
      </c>
      <c r="AT91" s="226" t="e">
        <f ca="1">SUM(AS$89:AS91)</f>
        <v>#DIV/0!</v>
      </c>
      <c r="AV91" s="9">
        <f t="shared" ca="1" si="146"/>
        <v>0</v>
      </c>
      <c r="AW91" s="27" t="e">
        <f t="shared" ca="1" si="147"/>
        <v>#DIV/0!</v>
      </c>
      <c r="AX91" s="1">
        <f t="shared" ca="1" si="148"/>
        <v>0</v>
      </c>
      <c r="AY91" s="27" t="e">
        <f t="shared" ca="1" si="149"/>
        <v>#DIV/0!</v>
      </c>
      <c r="AZ91" s="1">
        <f t="shared" ca="1" si="150"/>
        <v>0</v>
      </c>
      <c r="BA91" s="27">
        <f t="shared" ca="1" si="151"/>
        <v>0</v>
      </c>
      <c r="BB91" s="30" t="e">
        <f t="shared" ca="1" si="152"/>
        <v>#DIV/0!</v>
      </c>
      <c r="BC91" s="226" t="e">
        <f ca="1">SUM(BB$89:BB91)</f>
        <v>#DIV/0!</v>
      </c>
    </row>
    <row r="92" spans="1:55" x14ac:dyDescent="0.25">
      <c r="B92" s="9">
        <f t="shared" si="153"/>
        <v>2</v>
      </c>
      <c r="C92" s="9">
        <f t="shared" ca="1" si="111"/>
        <v>0</v>
      </c>
      <c r="D92" s="27">
        <f t="shared" ca="1" si="112"/>
        <v>0</v>
      </c>
      <c r="E92" s="1">
        <f t="shared" si="113"/>
        <v>0</v>
      </c>
      <c r="F92" s="27">
        <f t="shared" ca="1" si="114"/>
        <v>94.425877192982455</v>
      </c>
      <c r="G92" s="1">
        <f t="shared" ca="1" si="115"/>
        <v>8200</v>
      </c>
      <c r="H92" s="27">
        <f t="shared" ca="1" si="116"/>
        <v>21.262499999999999</v>
      </c>
      <c r="I92" s="30">
        <f t="shared" ca="1" si="117"/>
        <v>380.08083333333332</v>
      </c>
      <c r="J92" s="226">
        <f ca="1">SUM(I$89:I92)</f>
        <v>1520.3233333333333</v>
      </c>
      <c r="L92" s="9">
        <f t="shared" ca="1" si="118"/>
        <v>600</v>
      </c>
      <c r="M92" s="27">
        <f t="shared" ca="1" si="119"/>
        <v>94.425877192982455</v>
      </c>
      <c r="N92" s="1">
        <f t="shared" ca="1" si="120"/>
        <v>8200</v>
      </c>
      <c r="O92" s="27">
        <f t="shared" ca="1" si="121"/>
        <v>94.425877192982455</v>
      </c>
      <c r="P92" s="1">
        <f t="shared" ca="1" si="122"/>
        <v>8200</v>
      </c>
      <c r="Q92" s="27">
        <f t="shared" ca="1" si="123"/>
        <v>28.35</v>
      </c>
      <c r="R92" s="30">
        <f t="shared" ca="1" si="124"/>
        <v>745.98666666666668</v>
      </c>
      <c r="S92" s="226">
        <f ca="1">SUM(R$89:R92)</f>
        <v>2983.9466666666667</v>
      </c>
      <c r="U92" s="9">
        <f t="shared" ca="1" si="125"/>
        <v>600</v>
      </c>
      <c r="V92" s="27">
        <f t="shared" ca="1" si="126"/>
        <v>94.425877192982455</v>
      </c>
      <c r="W92" s="1">
        <f t="shared" ca="1" si="127"/>
        <v>8200</v>
      </c>
      <c r="X92" s="27">
        <f t="shared" ca="1" si="128"/>
        <v>94.425877192982455</v>
      </c>
      <c r="Y92" s="1">
        <f t="shared" ca="1" si="129"/>
        <v>8200</v>
      </c>
      <c r="Z92" s="27">
        <f t="shared" ca="1" si="130"/>
        <v>28.35</v>
      </c>
      <c r="AA92" s="30">
        <f t="shared" ca="1" si="131"/>
        <v>745.98666666666668</v>
      </c>
      <c r="AB92" s="226">
        <f ca="1">SUM(AA$89:AA92)</f>
        <v>2983.9466666666667</v>
      </c>
      <c r="AD92" s="9">
        <f t="shared" ca="1" si="132"/>
        <v>600</v>
      </c>
      <c r="AE92" s="27">
        <f t="shared" ca="1" si="133"/>
        <v>94.425877192982455</v>
      </c>
      <c r="AF92" s="1">
        <f t="shared" ca="1" si="134"/>
        <v>8200</v>
      </c>
      <c r="AG92" s="27">
        <f t="shared" ca="1" si="135"/>
        <v>0</v>
      </c>
      <c r="AH92" s="1">
        <f t="shared" si="136"/>
        <v>0</v>
      </c>
      <c r="AI92" s="27">
        <f t="shared" ca="1" si="137"/>
        <v>21.262499999999999</v>
      </c>
      <c r="AJ92" s="30">
        <f t="shared" ca="1" si="138"/>
        <v>380.08083333333332</v>
      </c>
      <c r="AK92" s="226">
        <f ca="1">SUM(AJ$89:AJ92)</f>
        <v>1520.3233333333333</v>
      </c>
      <c r="AM92" s="9">
        <f t="shared" ca="1" si="139"/>
        <v>300</v>
      </c>
      <c r="AN92" s="27">
        <f t="shared" ca="1" si="140"/>
        <v>0</v>
      </c>
      <c r="AO92" s="1">
        <f t="shared" ca="1" si="141"/>
        <v>0</v>
      </c>
      <c r="AP92" s="27" t="e">
        <f t="shared" ca="1" si="142"/>
        <v>#DIV/0!</v>
      </c>
      <c r="AQ92" s="1">
        <f t="shared" ca="1" si="143"/>
        <v>0</v>
      </c>
      <c r="AR92" s="27">
        <f t="shared" ca="1" si="144"/>
        <v>0</v>
      </c>
      <c r="AS92" s="30" t="e">
        <f t="shared" ca="1" si="145"/>
        <v>#DIV/0!</v>
      </c>
      <c r="AT92" s="226" t="e">
        <f ca="1">SUM(AS$89:AS92)</f>
        <v>#DIV/0!</v>
      </c>
      <c r="AV92" s="9">
        <f t="shared" ca="1" si="146"/>
        <v>0</v>
      </c>
      <c r="AW92" s="27" t="e">
        <f t="shared" ca="1" si="147"/>
        <v>#DIV/0!</v>
      </c>
      <c r="AX92" s="1">
        <f t="shared" ca="1" si="148"/>
        <v>0</v>
      </c>
      <c r="AY92" s="27" t="e">
        <f t="shared" ca="1" si="149"/>
        <v>#DIV/0!</v>
      </c>
      <c r="AZ92" s="1">
        <f t="shared" ca="1" si="150"/>
        <v>0</v>
      </c>
      <c r="BA92" s="27">
        <f t="shared" ca="1" si="151"/>
        <v>0</v>
      </c>
      <c r="BB92" s="30" t="e">
        <f t="shared" ca="1" si="152"/>
        <v>#DIV/0!</v>
      </c>
      <c r="BC92" s="226" t="e">
        <f ca="1">SUM(BB$89:BB92)</f>
        <v>#DIV/0!</v>
      </c>
    </row>
    <row r="93" spans="1:55" x14ac:dyDescent="0.25">
      <c r="B93" s="9">
        <f t="shared" si="153"/>
        <v>1</v>
      </c>
      <c r="C93" s="9">
        <f t="shared" ca="1" si="111"/>
        <v>0</v>
      </c>
      <c r="D93" s="27">
        <f t="shared" ca="1" si="112"/>
        <v>0</v>
      </c>
      <c r="E93" s="1">
        <f t="shared" si="113"/>
        <v>0</v>
      </c>
      <c r="F93" s="27">
        <f t="shared" ca="1" si="114"/>
        <v>94.425877192982455</v>
      </c>
      <c r="G93" s="1">
        <f t="shared" ca="1" si="115"/>
        <v>8200</v>
      </c>
      <c r="H93" s="27">
        <f t="shared" ca="1" si="116"/>
        <v>25.3125</v>
      </c>
      <c r="I93" s="30">
        <f t="shared" ca="1" si="117"/>
        <v>384.13083333333333</v>
      </c>
      <c r="J93" s="226">
        <f ca="1">SUM(I$89:I93)</f>
        <v>1904.4541666666667</v>
      </c>
      <c r="L93" s="9">
        <f t="shared" ca="1" si="118"/>
        <v>600</v>
      </c>
      <c r="M93" s="27">
        <f t="shared" ca="1" si="119"/>
        <v>94.425877192982455</v>
      </c>
      <c r="N93" s="1">
        <f t="shared" ca="1" si="120"/>
        <v>8200</v>
      </c>
      <c r="O93" s="27">
        <f t="shared" ca="1" si="121"/>
        <v>94.425877192982455</v>
      </c>
      <c r="P93" s="1">
        <f t="shared" ca="1" si="122"/>
        <v>8200</v>
      </c>
      <c r="Q93" s="27">
        <f t="shared" ca="1" si="123"/>
        <v>33.75</v>
      </c>
      <c r="R93" s="30">
        <f t="shared" ca="1" si="124"/>
        <v>751.38666666666666</v>
      </c>
      <c r="S93" s="226">
        <f ca="1">SUM(R$89:R93)</f>
        <v>3735.3333333333335</v>
      </c>
      <c r="U93" s="9">
        <f t="shared" ca="1" si="125"/>
        <v>600</v>
      </c>
      <c r="V93" s="27">
        <f t="shared" ca="1" si="126"/>
        <v>94.425877192982455</v>
      </c>
      <c r="W93" s="1">
        <f t="shared" ca="1" si="127"/>
        <v>8200</v>
      </c>
      <c r="X93" s="27">
        <f t="shared" ca="1" si="128"/>
        <v>94.425877192982455</v>
      </c>
      <c r="Y93" s="1">
        <f t="shared" ca="1" si="129"/>
        <v>8200</v>
      </c>
      <c r="Z93" s="27">
        <f t="shared" ca="1" si="130"/>
        <v>33.75</v>
      </c>
      <c r="AA93" s="30">
        <f t="shared" ca="1" si="131"/>
        <v>751.38666666666666</v>
      </c>
      <c r="AB93" s="226">
        <f ca="1">SUM(AA$89:AA93)</f>
        <v>3735.3333333333335</v>
      </c>
      <c r="AD93" s="9">
        <f t="shared" ca="1" si="132"/>
        <v>600</v>
      </c>
      <c r="AE93" s="27">
        <f t="shared" ca="1" si="133"/>
        <v>94.425877192982455</v>
      </c>
      <c r="AF93" s="1">
        <f t="shared" ca="1" si="134"/>
        <v>8200</v>
      </c>
      <c r="AG93" s="27">
        <f t="shared" ca="1" si="135"/>
        <v>0</v>
      </c>
      <c r="AH93" s="1">
        <f t="shared" si="136"/>
        <v>0</v>
      </c>
      <c r="AI93" s="27">
        <f t="shared" ca="1" si="137"/>
        <v>25.3125</v>
      </c>
      <c r="AJ93" s="30">
        <f t="shared" ca="1" si="138"/>
        <v>384.13083333333333</v>
      </c>
      <c r="AK93" s="226">
        <f ca="1">SUM(AJ$89:AJ93)</f>
        <v>1904.4541666666667</v>
      </c>
      <c r="AM93" s="9">
        <f t="shared" ca="1" si="139"/>
        <v>300</v>
      </c>
      <c r="AN93" s="27">
        <f t="shared" ca="1" si="140"/>
        <v>0</v>
      </c>
      <c r="AO93" s="1">
        <f t="shared" ca="1" si="141"/>
        <v>0</v>
      </c>
      <c r="AP93" s="27" t="e">
        <f t="shared" ca="1" si="142"/>
        <v>#DIV/0!</v>
      </c>
      <c r="AQ93" s="1">
        <f t="shared" ca="1" si="143"/>
        <v>0</v>
      </c>
      <c r="AR93" s="27">
        <f t="shared" ca="1" si="144"/>
        <v>0</v>
      </c>
      <c r="AS93" s="30" t="e">
        <f t="shared" ca="1" si="145"/>
        <v>#DIV/0!</v>
      </c>
      <c r="AT93" s="226" t="e">
        <f ca="1">SUM(AS$89:AS93)</f>
        <v>#DIV/0!</v>
      </c>
      <c r="AV93" s="9">
        <f t="shared" ca="1" si="146"/>
        <v>0</v>
      </c>
      <c r="AW93" s="27" t="e">
        <f t="shared" ca="1" si="147"/>
        <v>#DIV/0!</v>
      </c>
      <c r="AX93" s="1">
        <f t="shared" ca="1" si="148"/>
        <v>0</v>
      </c>
      <c r="AY93" s="27" t="e">
        <f t="shared" ca="1" si="149"/>
        <v>#DIV/0!</v>
      </c>
      <c r="AZ93" s="1">
        <f t="shared" ca="1" si="150"/>
        <v>0</v>
      </c>
      <c r="BA93" s="27">
        <f t="shared" ca="1" si="151"/>
        <v>0</v>
      </c>
      <c r="BB93" s="30" t="e">
        <f t="shared" ca="1" si="152"/>
        <v>#DIV/0!</v>
      </c>
      <c r="BC93" s="226" t="e">
        <f ca="1">SUM(BB$89:BB93)</f>
        <v>#DIV/0!</v>
      </c>
    </row>
    <row r="94" spans="1:55" x14ac:dyDescent="0.25">
      <c r="B94" s="9" t="e">
        <f t="shared" si="153"/>
        <v>#N/A</v>
      </c>
      <c r="C94" s="9">
        <f t="shared" ca="1" si="111"/>
        <v>0</v>
      </c>
      <c r="D94" s="27">
        <f t="shared" ca="1" si="112"/>
        <v>0</v>
      </c>
      <c r="E94" s="1">
        <f t="shared" si="113"/>
        <v>0</v>
      </c>
      <c r="F94" s="27" t="e">
        <f t="shared" ca="1" si="114"/>
        <v>#N/A</v>
      </c>
      <c r="G94" s="1">
        <f t="shared" ca="1" si="115"/>
        <v>8200</v>
      </c>
      <c r="H94" s="27" t="e">
        <f t="shared" ca="1" si="116"/>
        <v>#N/A</v>
      </c>
      <c r="I94" s="30" t="e">
        <f t="shared" ca="1" si="117"/>
        <v>#N/A</v>
      </c>
      <c r="J94" s="226" t="e">
        <f ca="1">SUM(I$89:I94)</f>
        <v>#N/A</v>
      </c>
      <c r="L94" s="9" t="e">
        <f t="shared" ca="1" si="118"/>
        <v>#N/A</v>
      </c>
      <c r="M94" s="27" t="e">
        <f t="shared" ca="1" si="119"/>
        <v>#N/A</v>
      </c>
      <c r="N94" s="1">
        <f t="shared" ca="1" si="120"/>
        <v>8200</v>
      </c>
      <c r="O94" s="27" t="e">
        <f t="shared" ca="1" si="121"/>
        <v>#N/A</v>
      </c>
      <c r="P94" s="1">
        <f t="shared" ca="1" si="122"/>
        <v>8200</v>
      </c>
      <c r="Q94" s="27" t="e">
        <f t="shared" ca="1" si="123"/>
        <v>#N/A</v>
      </c>
      <c r="R94" s="30" t="e">
        <f t="shared" ca="1" si="124"/>
        <v>#N/A</v>
      </c>
      <c r="S94" s="226" t="e">
        <f ca="1">SUM(R$89:R94)</f>
        <v>#N/A</v>
      </c>
      <c r="U94" s="9" t="e">
        <f t="shared" ca="1" si="125"/>
        <v>#N/A</v>
      </c>
      <c r="V94" s="27" t="e">
        <f t="shared" ca="1" si="126"/>
        <v>#N/A</v>
      </c>
      <c r="W94" s="1">
        <f t="shared" ca="1" si="127"/>
        <v>8200</v>
      </c>
      <c r="X94" s="27" t="e">
        <f t="shared" ca="1" si="128"/>
        <v>#N/A</v>
      </c>
      <c r="Y94" s="1">
        <f t="shared" ca="1" si="129"/>
        <v>8200</v>
      </c>
      <c r="Z94" s="27" t="e">
        <f t="shared" ca="1" si="130"/>
        <v>#N/A</v>
      </c>
      <c r="AA94" s="30" t="e">
        <f t="shared" ca="1" si="131"/>
        <v>#N/A</v>
      </c>
      <c r="AB94" s="226" t="e">
        <f ca="1">SUM(AA$89:AA94)</f>
        <v>#N/A</v>
      </c>
      <c r="AD94" s="9" t="e">
        <f t="shared" ca="1" si="132"/>
        <v>#N/A</v>
      </c>
      <c r="AE94" s="27" t="e">
        <f t="shared" ca="1" si="133"/>
        <v>#N/A</v>
      </c>
      <c r="AF94" s="1">
        <f t="shared" ca="1" si="134"/>
        <v>8200</v>
      </c>
      <c r="AG94" s="27">
        <f t="shared" ca="1" si="135"/>
        <v>0</v>
      </c>
      <c r="AH94" s="1">
        <f t="shared" si="136"/>
        <v>0</v>
      </c>
      <c r="AI94" s="27" t="e">
        <f t="shared" ca="1" si="137"/>
        <v>#N/A</v>
      </c>
      <c r="AJ94" s="30" t="e">
        <f t="shared" ca="1" si="138"/>
        <v>#N/A</v>
      </c>
      <c r="AK94" s="226" t="e">
        <f ca="1">SUM(AJ$89:AJ94)</f>
        <v>#N/A</v>
      </c>
      <c r="AM94" s="9" t="e">
        <f t="shared" ca="1" si="139"/>
        <v>#N/A</v>
      </c>
      <c r="AN94" s="27" t="e">
        <f t="shared" ca="1" si="140"/>
        <v>#N/A</v>
      </c>
      <c r="AO94" s="1">
        <f t="shared" ca="1" si="141"/>
        <v>0</v>
      </c>
      <c r="AP94" s="27" t="e">
        <f t="shared" ca="1" si="142"/>
        <v>#N/A</v>
      </c>
      <c r="AQ94" s="1">
        <f t="shared" ca="1" si="143"/>
        <v>0</v>
      </c>
      <c r="AR94" s="27" t="e">
        <f t="shared" ca="1" si="144"/>
        <v>#N/A</v>
      </c>
      <c r="AS94" s="30" t="e">
        <f t="shared" ca="1" si="145"/>
        <v>#N/A</v>
      </c>
      <c r="AT94" s="226" t="e">
        <f ca="1">SUM(AS$89:AS94)</f>
        <v>#DIV/0!</v>
      </c>
      <c r="AV94" s="9" t="e">
        <f t="shared" ca="1" si="146"/>
        <v>#N/A</v>
      </c>
      <c r="AW94" s="27" t="e">
        <f t="shared" ca="1" si="147"/>
        <v>#N/A</v>
      </c>
      <c r="AX94" s="1">
        <f t="shared" ca="1" si="148"/>
        <v>0</v>
      </c>
      <c r="AY94" s="27" t="e">
        <f t="shared" ca="1" si="149"/>
        <v>#N/A</v>
      </c>
      <c r="AZ94" s="1">
        <f t="shared" ca="1" si="150"/>
        <v>0</v>
      </c>
      <c r="BA94" s="27" t="e">
        <f t="shared" ca="1" si="151"/>
        <v>#N/A</v>
      </c>
      <c r="BB94" s="30" t="e">
        <f t="shared" ca="1" si="152"/>
        <v>#N/A</v>
      </c>
      <c r="BC94" s="226" t="e">
        <f ca="1">SUM(BB$89:BB94)</f>
        <v>#DIV/0!</v>
      </c>
    </row>
    <row r="95" spans="1:55" x14ac:dyDescent="0.25">
      <c r="B95" s="9" t="e">
        <f t="shared" si="153"/>
        <v>#N/A</v>
      </c>
      <c r="C95" s="9">
        <f t="shared" ca="1" si="111"/>
        <v>0</v>
      </c>
      <c r="D95" s="27">
        <f t="shared" ca="1" si="112"/>
        <v>0</v>
      </c>
      <c r="E95" s="1">
        <f t="shared" si="113"/>
        <v>0</v>
      </c>
      <c r="F95" s="27" t="e">
        <f t="shared" ca="1" si="114"/>
        <v>#N/A</v>
      </c>
      <c r="G95" s="1">
        <f t="shared" ca="1" si="115"/>
        <v>8200</v>
      </c>
      <c r="H95" s="27" t="e">
        <f t="shared" ca="1" si="116"/>
        <v>#N/A</v>
      </c>
      <c r="I95" s="30" t="e">
        <f t="shared" ca="1" si="117"/>
        <v>#N/A</v>
      </c>
      <c r="J95" s="226" t="e">
        <f ca="1">SUM(I$89:I95)</f>
        <v>#N/A</v>
      </c>
      <c r="L95" s="9" t="e">
        <f t="shared" ca="1" si="118"/>
        <v>#N/A</v>
      </c>
      <c r="M95" s="27" t="e">
        <f t="shared" ca="1" si="119"/>
        <v>#N/A</v>
      </c>
      <c r="N95" s="1">
        <f t="shared" ca="1" si="120"/>
        <v>8200</v>
      </c>
      <c r="O95" s="27" t="e">
        <f t="shared" ca="1" si="121"/>
        <v>#N/A</v>
      </c>
      <c r="P95" s="1">
        <f t="shared" ca="1" si="122"/>
        <v>8200</v>
      </c>
      <c r="Q95" s="27" t="e">
        <f t="shared" ca="1" si="123"/>
        <v>#N/A</v>
      </c>
      <c r="R95" s="30" t="e">
        <f t="shared" ca="1" si="124"/>
        <v>#N/A</v>
      </c>
      <c r="S95" s="226" t="e">
        <f ca="1">SUM(R$89:R95)</f>
        <v>#N/A</v>
      </c>
      <c r="U95" s="9" t="e">
        <f t="shared" ca="1" si="125"/>
        <v>#N/A</v>
      </c>
      <c r="V95" s="27" t="e">
        <f t="shared" ca="1" si="126"/>
        <v>#N/A</v>
      </c>
      <c r="W95" s="1">
        <f t="shared" ca="1" si="127"/>
        <v>8200</v>
      </c>
      <c r="X95" s="27" t="e">
        <f t="shared" ca="1" si="128"/>
        <v>#N/A</v>
      </c>
      <c r="Y95" s="1">
        <f t="shared" ca="1" si="129"/>
        <v>8200</v>
      </c>
      <c r="Z95" s="27" t="e">
        <f t="shared" ca="1" si="130"/>
        <v>#N/A</v>
      </c>
      <c r="AA95" s="30" t="e">
        <f t="shared" ca="1" si="131"/>
        <v>#N/A</v>
      </c>
      <c r="AB95" s="226" t="e">
        <f ca="1">SUM(AA$89:AA95)</f>
        <v>#N/A</v>
      </c>
      <c r="AD95" s="9" t="e">
        <f t="shared" ca="1" si="132"/>
        <v>#N/A</v>
      </c>
      <c r="AE95" s="27" t="e">
        <f t="shared" ca="1" si="133"/>
        <v>#N/A</v>
      </c>
      <c r="AF95" s="1">
        <f t="shared" ca="1" si="134"/>
        <v>8200</v>
      </c>
      <c r="AG95" s="27">
        <f t="shared" ca="1" si="135"/>
        <v>0</v>
      </c>
      <c r="AH95" s="1">
        <f t="shared" si="136"/>
        <v>0</v>
      </c>
      <c r="AI95" s="27" t="e">
        <f t="shared" ca="1" si="137"/>
        <v>#N/A</v>
      </c>
      <c r="AJ95" s="30" t="e">
        <f t="shared" ca="1" si="138"/>
        <v>#N/A</v>
      </c>
      <c r="AK95" s="226" t="e">
        <f ca="1">SUM(AJ$89:AJ95)</f>
        <v>#N/A</v>
      </c>
      <c r="AM95" s="9" t="e">
        <f t="shared" ca="1" si="139"/>
        <v>#N/A</v>
      </c>
      <c r="AN95" s="27" t="e">
        <f t="shared" ca="1" si="140"/>
        <v>#N/A</v>
      </c>
      <c r="AO95" s="1">
        <f t="shared" ca="1" si="141"/>
        <v>0</v>
      </c>
      <c r="AP95" s="27" t="e">
        <f t="shared" ca="1" si="142"/>
        <v>#N/A</v>
      </c>
      <c r="AQ95" s="1">
        <f t="shared" ca="1" si="143"/>
        <v>0</v>
      </c>
      <c r="AR95" s="27" t="e">
        <f t="shared" ca="1" si="144"/>
        <v>#N/A</v>
      </c>
      <c r="AS95" s="30" t="e">
        <f t="shared" ca="1" si="145"/>
        <v>#N/A</v>
      </c>
      <c r="AT95" s="226" t="e">
        <f ca="1">SUM(AS$89:AS95)</f>
        <v>#DIV/0!</v>
      </c>
      <c r="AV95" s="9" t="e">
        <f t="shared" ca="1" si="146"/>
        <v>#N/A</v>
      </c>
      <c r="AW95" s="27" t="e">
        <f t="shared" ca="1" si="147"/>
        <v>#N/A</v>
      </c>
      <c r="AX95" s="1">
        <f t="shared" ca="1" si="148"/>
        <v>0</v>
      </c>
      <c r="AY95" s="27" t="e">
        <f t="shared" ca="1" si="149"/>
        <v>#N/A</v>
      </c>
      <c r="AZ95" s="1">
        <f t="shared" ca="1" si="150"/>
        <v>0</v>
      </c>
      <c r="BA95" s="27" t="e">
        <f t="shared" ca="1" si="151"/>
        <v>#N/A</v>
      </c>
      <c r="BB95" s="30" t="e">
        <f t="shared" ca="1" si="152"/>
        <v>#N/A</v>
      </c>
      <c r="BC95" s="226" t="e">
        <f ca="1">SUM(BB$89:BB95)</f>
        <v>#DIV/0!</v>
      </c>
    </row>
    <row r="96" spans="1:55" x14ac:dyDescent="0.25">
      <c r="B96" s="9" t="e">
        <f t="shared" si="153"/>
        <v>#N/A</v>
      </c>
      <c r="C96" s="9">
        <f t="shared" ca="1" si="111"/>
        <v>0</v>
      </c>
      <c r="D96" s="27">
        <f t="shared" ca="1" si="112"/>
        <v>0</v>
      </c>
      <c r="E96" s="1">
        <f t="shared" si="113"/>
        <v>0</v>
      </c>
      <c r="F96" s="27" t="e">
        <f t="shared" ca="1" si="114"/>
        <v>#N/A</v>
      </c>
      <c r="G96" s="1">
        <f t="shared" ca="1" si="115"/>
        <v>8200</v>
      </c>
      <c r="H96" s="27" t="e">
        <f t="shared" ca="1" si="116"/>
        <v>#N/A</v>
      </c>
      <c r="I96" s="30" t="e">
        <f t="shared" ca="1" si="117"/>
        <v>#N/A</v>
      </c>
      <c r="J96" s="226" t="e">
        <f ca="1">SUM(I$89:I96)</f>
        <v>#N/A</v>
      </c>
      <c r="L96" s="9" t="e">
        <f t="shared" ca="1" si="118"/>
        <v>#N/A</v>
      </c>
      <c r="M96" s="27" t="e">
        <f t="shared" ca="1" si="119"/>
        <v>#N/A</v>
      </c>
      <c r="N96" s="1">
        <f t="shared" ca="1" si="120"/>
        <v>8200</v>
      </c>
      <c r="O96" s="27" t="e">
        <f t="shared" ca="1" si="121"/>
        <v>#N/A</v>
      </c>
      <c r="P96" s="1">
        <f t="shared" ca="1" si="122"/>
        <v>8200</v>
      </c>
      <c r="Q96" s="27" t="e">
        <f t="shared" ca="1" si="123"/>
        <v>#N/A</v>
      </c>
      <c r="R96" s="30" t="e">
        <f t="shared" ca="1" si="124"/>
        <v>#N/A</v>
      </c>
      <c r="S96" s="226" t="e">
        <f ca="1">SUM(R$89:R96)</f>
        <v>#N/A</v>
      </c>
      <c r="U96" s="9" t="e">
        <f t="shared" ca="1" si="125"/>
        <v>#N/A</v>
      </c>
      <c r="V96" s="27" t="e">
        <f t="shared" ca="1" si="126"/>
        <v>#N/A</v>
      </c>
      <c r="W96" s="1">
        <f t="shared" ca="1" si="127"/>
        <v>8200</v>
      </c>
      <c r="X96" s="27" t="e">
        <f t="shared" ca="1" si="128"/>
        <v>#N/A</v>
      </c>
      <c r="Y96" s="1">
        <f t="shared" ca="1" si="129"/>
        <v>8200</v>
      </c>
      <c r="Z96" s="27" t="e">
        <f t="shared" ca="1" si="130"/>
        <v>#N/A</v>
      </c>
      <c r="AA96" s="30" t="e">
        <f t="shared" ca="1" si="131"/>
        <v>#N/A</v>
      </c>
      <c r="AB96" s="226" t="e">
        <f ca="1">SUM(AA$89:AA96)</f>
        <v>#N/A</v>
      </c>
      <c r="AD96" s="9" t="e">
        <f t="shared" ca="1" si="132"/>
        <v>#N/A</v>
      </c>
      <c r="AE96" s="27" t="e">
        <f t="shared" ca="1" si="133"/>
        <v>#N/A</v>
      </c>
      <c r="AF96" s="1">
        <f t="shared" ca="1" si="134"/>
        <v>8200</v>
      </c>
      <c r="AG96" s="27">
        <f t="shared" ca="1" si="135"/>
        <v>0</v>
      </c>
      <c r="AH96" s="1">
        <f t="shared" si="136"/>
        <v>0</v>
      </c>
      <c r="AI96" s="27" t="e">
        <f t="shared" ca="1" si="137"/>
        <v>#N/A</v>
      </c>
      <c r="AJ96" s="30" t="e">
        <f t="shared" ca="1" si="138"/>
        <v>#N/A</v>
      </c>
      <c r="AK96" s="226" t="e">
        <f ca="1">SUM(AJ$89:AJ96)</f>
        <v>#N/A</v>
      </c>
      <c r="AM96" s="9" t="e">
        <f t="shared" ca="1" si="139"/>
        <v>#N/A</v>
      </c>
      <c r="AN96" s="27" t="e">
        <f t="shared" ca="1" si="140"/>
        <v>#N/A</v>
      </c>
      <c r="AO96" s="1">
        <f t="shared" ca="1" si="141"/>
        <v>0</v>
      </c>
      <c r="AP96" s="27" t="e">
        <f t="shared" ca="1" si="142"/>
        <v>#N/A</v>
      </c>
      <c r="AQ96" s="1">
        <f t="shared" ca="1" si="143"/>
        <v>0</v>
      </c>
      <c r="AR96" s="27" t="e">
        <f t="shared" ca="1" si="144"/>
        <v>#N/A</v>
      </c>
      <c r="AS96" s="30" t="e">
        <f t="shared" ca="1" si="145"/>
        <v>#N/A</v>
      </c>
      <c r="AT96" s="226" t="e">
        <f ca="1">SUM(AS$89:AS96)</f>
        <v>#DIV/0!</v>
      </c>
      <c r="AV96" s="9" t="e">
        <f t="shared" ca="1" si="146"/>
        <v>#N/A</v>
      </c>
      <c r="AW96" s="27" t="e">
        <f t="shared" ca="1" si="147"/>
        <v>#N/A</v>
      </c>
      <c r="AX96" s="1">
        <f t="shared" ca="1" si="148"/>
        <v>0</v>
      </c>
      <c r="AY96" s="27" t="e">
        <f t="shared" ca="1" si="149"/>
        <v>#N/A</v>
      </c>
      <c r="AZ96" s="1">
        <f t="shared" ca="1" si="150"/>
        <v>0</v>
      </c>
      <c r="BA96" s="27" t="e">
        <f t="shared" ca="1" si="151"/>
        <v>#N/A</v>
      </c>
      <c r="BB96" s="30" t="e">
        <f t="shared" ca="1" si="152"/>
        <v>#N/A</v>
      </c>
      <c r="BC96" s="226" t="e">
        <f ca="1">SUM(BB$89:BB96)</f>
        <v>#DIV/0!</v>
      </c>
    </row>
    <row r="97" spans="2:55" x14ac:dyDescent="0.25">
      <c r="B97" s="9" t="e">
        <f t="shared" si="153"/>
        <v>#N/A</v>
      </c>
      <c r="C97" s="9">
        <f t="shared" ca="1" si="111"/>
        <v>0</v>
      </c>
      <c r="D97" s="27">
        <f t="shared" ca="1" si="112"/>
        <v>0</v>
      </c>
      <c r="E97" s="1">
        <f t="shared" si="113"/>
        <v>0</v>
      </c>
      <c r="F97" s="27" t="e">
        <f t="shared" ca="1" si="114"/>
        <v>#N/A</v>
      </c>
      <c r="G97" s="1">
        <f t="shared" ca="1" si="115"/>
        <v>8200</v>
      </c>
      <c r="H97" s="27" t="e">
        <f t="shared" ca="1" si="116"/>
        <v>#N/A</v>
      </c>
      <c r="I97" s="30" t="e">
        <f t="shared" ca="1" si="117"/>
        <v>#N/A</v>
      </c>
      <c r="J97" s="226" t="e">
        <f ca="1">SUM(I$89:I97)</f>
        <v>#N/A</v>
      </c>
      <c r="L97" s="9" t="e">
        <f t="shared" ca="1" si="118"/>
        <v>#N/A</v>
      </c>
      <c r="M97" s="27" t="e">
        <f t="shared" ca="1" si="119"/>
        <v>#N/A</v>
      </c>
      <c r="N97" s="1">
        <f t="shared" ca="1" si="120"/>
        <v>8200</v>
      </c>
      <c r="O97" s="27" t="e">
        <f t="shared" ca="1" si="121"/>
        <v>#N/A</v>
      </c>
      <c r="P97" s="1">
        <f t="shared" ca="1" si="122"/>
        <v>8200</v>
      </c>
      <c r="Q97" s="27" t="e">
        <f t="shared" ca="1" si="123"/>
        <v>#N/A</v>
      </c>
      <c r="R97" s="30" t="e">
        <f t="shared" ca="1" si="124"/>
        <v>#N/A</v>
      </c>
      <c r="S97" s="226" t="e">
        <f ca="1">SUM(R$89:R97)</f>
        <v>#N/A</v>
      </c>
      <c r="U97" s="9" t="e">
        <f t="shared" ca="1" si="125"/>
        <v>#N/A</v>
      </c>
      <c r="V97" s="27" t="e">
        <f t="shared" ca="1" si="126"/>
        <v>#N/A</v>
      </c>
      <c r="W97" s="1">
        <f t="shared" ca="1" si="127"/>
        <v>8200</v>
      </c>
      <c r="X97" s="27" t="e">
        <f t="shared" ca="1" si="128"/>
        <v>#N/A</v>
      </c>
      <c r="Y97" s="1">
        <f t="shared" ca="1" si="129"/>
        <v>8200</v>
      </c>
      <c r="Z97" s="27" t="e">
        <f t="shared" ca="1" si="130"/>
        <v>#N/A</v>
      </c>
      <c r="AA97" s="30" t="e">
        <f t="shared" ca="1" si="131"/>
        <v>#N/A</v>
      </c>
      <c r="AB97" s="226" t="e">
        <f ca="1">SUM(AA$89:AA97)</f>
        <v>#N/A</v>
      </c>
      <c r="AD97" s="9" t="e">
        <f t="shared" ca="1" si="132"/>
        <v>#N/A</v>
      </c>
      <c r="AE97" s="27" t="e">
        <f t="shared" ca="1" si="133"/>
        <v>#N/A</v>
      </c>
      <c r="AF97" s="1">
        <f t="shared" ca="1" si="134"/>
        <v>8200</v>
      </c>
      <c r="AG97" s="27">
        <f t="shared" ca="1" si="135"/>
        <v>0</v>
      </c>
      <c r="AH97" s="1">
        <f t="shared" si="136"/>
        <v>0</v>
      </c>
      <c r="AI97" s="27" t="e">
        <f t="shared" ca="1" si="137"/>
        <v>#N/A</v>
      </c>
      <c r="AJ97" s="30" t="e">
        <f t="shared" ca="1" si="138"/>
        <v>#N/A</v>
      </c>
      <c r="AK97" s="226" t="e">
        <f ca="1">SUM(AJ$89:AJ97)</f>
        <v>#N/A</v>
      </c>
      <c r="AM97" s="9" t="e">
        <f t="shared" ca="1" si="139"/>
        <v>#N/A</v>
      </c>
      <c r="AN97" s="27" t="e">
        <f t="shared" ca="1" si="140"/>
        <v>#N/A</v>
      </c>
      <c r="AO97" s="1">
        <f t="shared" ca="1" si="141"/>
        <v>0</v>
      </c>
      <c r="AP97" s="27" t="e">
        <f t="shared" ca="1" si="142"/>
        <v>#N/A</v>
      </c>
      <c r="AQ97" s="1">
        <f t="shared" ca="1" si="143"/>
        <v>0</v>
      </c>
      <c r="AR97" s="27" t="e">
        <f t="shared" ca="1" si="144"/>
        <v>#N/A</v>
      </c>
      <c r="AS97" s="30" t="e">
        <f t="shared" ca="1" si="145"/>
        <v>#N/A</v>
      </c>
      <c r="AT97" s="226" t="e">
        <f ca="1">SUM(AS$89:AS97)</f>
        <v>#DIV/0!</v>
      </c>
      <c r="AV97" s="9" t="e">
        <f t="shared" ca="1" si="146"/>
        <v>#N/A</v>
      </c>
      <c r="AW97" s="27" t="e">
        <f t="shared" ca="1" si="147"/>
        <v>#N/A</v>
      </c>
      <c r="AX97" s="1">
        <f t="shared" ca="1" si="148"/>
        <v>0</v>
      </c>
      <c r="AY97" s="27" t="e">
        <f t="shared" ca="1" si="149"/>
        <v>#N/A</v>
      </c>
      <c r="AZ97" s="1">
        <f t="shared" ca="1" si="150"/>
        <v>0</v>
      </c>
      <c r="BA97" s="27" t="e">
        <f t="shared" ca="1" si="151"/>
        <v>#N/A</v>
      </c>
      <c r="BB97" s="30" t="e">
        <f t="shared" ca="1" si="152"/>
        <v>#N/A</v>
      </c>
      <c r="BC97" s="226" t="e">
        <f ca="1">SUM(BB$89:BB97)</f>
        <v>#DIV/0!</v>
      </c>
    </row>
    <row r="98" spans="2:55" x14ac:dyDescent="0.25">
      <c r="B98" s="9" t="e">
        <f t="shared" si="153"/>
        <v>#N/A</v>
      </c>
      <c r="C98" s="9">
        <f t="shared" ca="1" si="111"/>
        <v>0</v>
      </c>
      <c r="D98" s="27">
        <f t="shared" ca="1" si="112"/>
        <v>0</v>
      </c>
      <c r="E98" s="1">
        <f t="shared" si="113"/>
        <v>0</v>
      </c>
      <c r="F98" s="27" t="e">
        <f t="shared" ca="1" si="114"/>
        <v>#N/A</v>
      </c>
      <c r="G98" s="1">
        <f t="shared" ca="1" si="115"/>
        <v>8200</v>
      </c>
      <c r="H98" s="27" t="e">
        <f t="shared" ca="1" si="116"/>
        <v>#N/A</v>
      </c>
      <c r="I98" s="30" t="e">
        <f t="shared" ca="1" si="117"/>
        <v>#N/A</v>
      </c>
      <c r="J98" s="226" t="e">
        <f ca="1">SUM(I$89:I98)</f>
        <v>#N/A</v>
      </c>
      <c r="L98" s="9" t="e">
        <f t="shared" ca="1" si="118"/>
        <v>#N/A</v>
      </c>
      <c r="M98" s="27" t="e">
        <f t="shared" ca="1" si="119"/>
        <v>#N/A</v>
      </c>
      <c r="N98" s="1">
        <f t="shared" ca="1" si="120"/>
        <v>8200</v>
      </c>
      <c r="O98" s="27" t="e">
        <f t="shared" ca="1" si="121"/>
        <v>#N/A</v>
      </c>
      <c r="P98" s="1">
        <f t="shared" ca="1" si="122"/>
        <v>8200</v>
      </c>
      <c r="Q98" s="27" t="e">
        <f t="shared" ca="1" si="123"/>
        <v>#N/A</v>
      </c>
      <c r="R98" s="30" t="e">
        <f t="shared" ca="1" si="124"/>
        <v>#N/A</v>
      </c>
      <c r="S98" s="226" t="e">
        <f ca="1">SUM(R$89:R98)</f>
        <v>#N/A</v>
      </c>
      <c r="U98" s="9" t="e">
        <f t="shared" ca="1" si="125"/>
        <v>#N/A</v>
      </c>
      <c r="V98" s="27" t="e">
        <f t="shared" ca="1" si="126"/>
        <v>#N/A</v>
      </c>
      <c r="W98" s="1">
        <f t="shared" ca="1" si="127"/>
        <v>8200</v>
      </c>
      <c r="X98" s="27" t="e">
        <f t="shared" ca="1" si="128"/>
        <v>#N/A</v>
      </c>
      <c r="Y98" s="1">
        <f t="shared" ca="1" si="129"/>
        <v>8200</v>
      </c>
      <c r="Z98" s="27" t="e">
        <f t="shared" ca="1" si="130"/>
        <v>#N/A</v>
      </c>
      <c r="AA98" s="30" t="e">
        <f t="shared" ca="1" si="131"/>
        <v>#N/A</v>
      </c>
      <c r="AB98" s="226" t="e">
        <f ca="1">SUM(AA$89:AA98)</f>
        <v>#N/A</v>
      </c>
      <c r="AD98" s="9" t="e">
        <f t="shared" ca="1" si="132"/>
        <v>#N/A</v>
      </c>
      <c r="AE98" s="27" t="e">
        <f t="shared" ca="1" si="133"/>
        <v>#N/A</v>
      </c>
      <c r="AF98" s="1">
        <f t="shared" ca="1" si="134"/>
        <v>8200</v>
      </c>
      <c r="AG98" s="27">
        <f t="shared" ca="1" si="135"/>
        <v>0</v>
      </c>
      <c r="AH98" s="1">
        <f t="shared" si="136"/>
        <v>0</v>
      </c>
      <c r="AI98" s="27" t="e">
        <f t="shared" ca="1" si="137"/>
        <v>#N/A</v>
      </c>
      <c r="AJ98" s="30" t="e">
        <f t="shared" ca="1" si="138"/>
        <v>#N/A</v>
      </c>
      <c r="AK98" s="226" t="e">
        <f ca="1">SUM(AJ$89:AJ98)</f>
        <v>#N/A</v>
      </c>
      <c r="AM98" s="9" t="e">
        <f t="shared" ca="1" si="139"/>
        <v>#N/A</v>
      </c>
      <c r="AN98" s="27" t="e">
        <f t="shared" ca="1" si="140"/>
        <v>#N/A</v>
      </c>
      <c r="AO98" s="1">
        <f t="shared" ca="1" si="141"/>
        <v>0</v>
      </c>
      <c r="AP98" s="27" t="e">
        <f t="shared" ca="1" si="142"/>
        <v>#N/A</v>
      </c>
      <c r="AQ98" s="1">
        <f t="shared" ca="1" si="143"/>
        <v>0</v>
      </c>
      <c r="AR98" s="27" t="e">
        <f t="shared" ca="1" si="144"/>
        <v>#N/A</v>
      </c>
      <c r="AS98" s="30" t="e">
        <f t="shared" ca="1" si="145"/>
        <v>#N/A</v>
      </c>
      <c r="AT98" s="226" t="e">
        <f ca="1">SUM(AS$89:AS98)</f>
        <v>#DIV/0!</v>
      </c>
      <c r="AV98" s="9" t="e">
        <f t="shared" ca="1" si="146"/>
        <v>#N/A</v>
      </c>
      <c r="AW98" s="27" t="e">
        <f t="shared" ca="1" si="147"/>
        <v>#N/A</v>
      </c>
      <c r="AX98" s="1">
        <f t="shared" ca="1" si="148"/>
        <v>0</v>
      </c>
      <c r="AY98" s="27" t="e">
        <f t="shared" ca="1" si="149"/>
        <v>#N/A</v>
      </c>
      <c r="AZ98" s="1">
        <f t="shared" ca="1" si="150"/>
        <v>0</v>
      </c>
      <c r="BA98" s="27" t="e">
        <f t="shared" ca="1" si="151"/>
        <v>#N/A</v>
      </c>
      <c r="BB98" s="30" t="e">
        <f t="shared" ca="1" si="152"/>
        <v>#N/A</v>
      </c>
      <c r="BC98" s="226" t="e">
        <f ca="1">SUM(BB$89:BB98)</f>
        <v>#DIV/0!</v>
      </c>
    </row>
    <row r="99" spans="2:55" x14ac:dyDescent="0.25">
      <c r="B99" s="9" t="e">
        <f t="shared" si="153"/>
        <v>#N/A</v>
      </c>
      <c r="C99" s="9">
        <f t="shared" ca="1" si="111"/>
        <v>0</v>
      </c>
      <c r="D99" s="27">
        <f t="shared" ca="1" si="112"/>
        <v>0</v>
      </c>
      <c r="E99" s="1">
        <f t="shared" si="113"/>
        <v>0</v>
      </c>
      <c r="F99" s="27" t="e">
        <f t="shared" ca="1" si="114"/>
        <v>#N/A</v>
      </c>
      <c r="G99" s="1">
        <f t="shared" ca="1" si="115"/>
        <v>8200</v>
      </c>
      <c r="H99" s="27" t="e">
        <f t="shared" ca="1" si="116"/>
        <v>#N/A</v>
      </c>
      <c r="I99" s="30" t="e">
        <f t="shared" ca="1" si="117"/>
        <v>#N/A</v>
      </c>
      <c r="J99" s="226" t="e">
        <f ca="1">SUM(I$89:I99)</f>
        <v>#N/A</v>
      </c>
      <c r="L99" s="9" t="e">
        <f t="shared" ca="1" si="118"/>
        <v>#N/A</v>
      </c>
      <c r="M99" s="27" t="e">
        <f t="shared" ca="1" si="119"/>
        <v>#N/A</v>
      </c>
      <c r="N99" s="1">
        <f t="shared" ca="1" si="120"/>
        <v>8200</v>
      </c>
      <c r="O99" s="27" t="e">
        <f t="shared" ca="1" si="121"/>
        <v>#N/A</v>
      </c>
      <c r="P99" s="1">
        <f t="shared" ca="1" si="122"/>
        <v>8200</v>
      </c>
      <c r="Q99" s="27" t="e">
        <f t="shared" ca="1" si="123"/>
        <v>#N/A</v>
      </c>
      <c r="R99" s="30" t="e">
        <f t="shared" ca="1" si="124"/>
        <v>#N/A</v>
      </c>
      <c r="S99" s="226" t="e">
        <f ca="1">SUM(R$89:R99)</f>
        <v>#N/A</v>
      </c>
      <c r="U99" s="9" t="e">
        <f t="shared" ca="1" si="125"/>
        <v>#N/A</v>
      </c>
      <c r="V99" s="27" t="e">
        <f t="shared" ca="1" si="126"/>
        <v>#N/A</v>
      </c>
      <c r="W99" s="1">
        <f t="shared" ca="1" si="127"/>
        <v>8200</v>
      </c>
      <c r="X99" s="27" t="e">
        <f t="shared" ca="1" si="128"/>
        <v>#N/A</v>
      </c>
      <c r="Y99" s="1">
        <f t="shared" ca="1" si="129"/>
        <v>8200</v>
      </c>
      <c r="Z99" s="27" t="e">
        <f t="shared" ca="1" si="130"/>
        <v>#N/A</v>
      </c>
      <c r="AA99" s="30" t="e">
        <f t="shared" ca="1" si="131"/>
        <v>#N/A</v>
      </c>
      <c r="AB99" s="226" t="e">
        <f ca="1">SUM(AA$89:AA99)</f>
        <v>#N/A</v>
      </c>
      <c r="AD99" s="9" t="e">
        <f t="shared" ca="1" si="132"/>
        <v>#N/A</v>
      </c>
      <c r="AE99" s="27" t="e">
        <f t="shared" ca="1" si="133"/>
        <v>#N/A</v>
      </c>
      <c r="AF99" s="1">
        <f t="shared" ca="1" si="134"/>
        <v>8200</v>
      </c>
      <c r="AG99" s="27">
        <f t="shared" ca="1" si="135"/>
        <v>0</v>
      </c>
      <c r="AH99" s="1">
        <f t="shared" si="136"/>
        <v>0</v>
      </c>
      <c r="AI99" s="27" t="e">
        <f t="shared" ca="1" si="137"/>
        <v>#N/A</v>
      </c>
      <c r="AJ99" s="30" t="e">
        <f t="shared" ca="1" si="138"/>
        <v>#N/A</v>
      </c>
      <c r="AK99" s="226" t="e">
        <f ca="1">SUM(AJ$89:AJ99)</f>
        <v>#N/A</v>
      </c>
      <c r="AM99" s="9" t="e">
        <f t="shared" ca="1" si="139"/>
        <v>#N/A</v>
      </c>
      <c r="AN99" s="27" t="e">
        <f t="shared" ca="1" si="140"/>
        <v>#N/A</v>
      </c>
      <c r="AO99" s="1">
        <f t="shared" ca="1" si="141"/>
        <v>0</v>
      </c>
      <c r="AP99" s="27" t="e">
        <f t="shared" ca="1" si="142"/>
        <v>#N/A</v>
      </c>
      <c r="AQ99" s="1">
        <f t="shared" ca="1" si="143"/>
        <v>0</v>
      </c>
      <c r="AR99" s="27" t="e">
        <f t="shared" ca="1" si="144"/>
        <v>#N/A</v>
      </c>
      <c r="AS99" s="30" t="e">
        <f t="shared" ca="1" si="145"/>
        <v>#N/A</v>
      </c>
      <c r="AT99" s="226" t="e">
        <f ca="1">SUM(AS$89:AS99)</f>
        <v>#DIV/0!</v>
      </c>
      <c r="AV99" s="9" t="e">
        <f t="shared" ca="1" si="146"/>
        <v>#N/A</v>
      </c>
      <c r="AW99" s="27" t="e">
        <f t="shared" ca="1" si="147"/>
        <v>#N/A</v>
      </c>
      <c r="AX99" s="1">
        <f t="shared" ca="1" si="148"/>
        <v>0</v>
      </c>
      <c r="AY99" s="27" t="e">
        <f t="shared" ca="1" si="149"/>
        <v>#N/A</v>
      </c>
      <c r="AZ99" s="1">
        <f t="shared" ca="1" si="150"/>
        <v>0</v>
      </c>
      <c r="BA99" s="27" t="e">
        <f t="shared" ca="1" si="151"/>
        <v>#N/A</v>
      </c>
      <c r="BB99" s="30" t="e">
        <f t="shared" ca="1" si="152"/>
        <v>#N/A</v>
      </c>
      <c r="BC99" s="226" t="e">
        <f ca="1">SUM(BB$89:BB99)</f>
        <v>#DIV/0!</v>
      </c>
    </row>
    <row r="100" spans="2:55" x14ac:dyDescent="0.25">
      <c r="B100" s="9" t="e">
        <f t="shared" si="153"/>
        <v>#N/A</v>
      </c>
      <c r="C100" s="9">
        <f t="shared" ca="1" si="111"/>
        <v>0</v>
      </c>
      <c r="D100" s="27">
        <f t="shared" ca="1" si="112"/>
        <v>0</v>
      </c>
      <c r="E100" s="1">
        <f t="shared" si="113"/>
        <v>0</v>
      </c>
      <c r="F100" s="27" t="e">
        <f t="shared" ca="1" si="114"/>
        <v>#N/A</v>
      </c>
      <c r="G100" s="1">
        <f t="shared" ca="1" si="115"/>
        <v>8200</v>
      </c>
      <c r="H100" s="27" t="e">
        <f t="shared" ca="1" si="116"/>
        <v>#N/A</v>
      </c>
      <c r="I100" s="30" t="e">
        <f t="shared" ca="1" si="117"/>
        <v>#N/A</v>
      </c>
      <c r="J100" s="226" t="e">
        <f ca="1">SUM(I$89:I100)</f>
        <v>#N/A</v>
      </c>
      <c r="L100" s="9" t="e">
        <f t="shared" ca="1" si="118"/>
        <v>#N/A</v>
      </c>
      <c r="M100" s="27" t="e">
        <f t="shared" ca="1" si="119"/>
        <v>#N/A</v>
      </c>
      <c r="N100" s="1">
        <f t="shared" ca="1" si="120"/>
        <v>8200</v>
      </c>
      <c r="O100" s="27" t="e">
        <f t="shared" ca="1" si="121"/>
        <v>#N/A</v>
      </c>
      <c r="P100" s="1">
        <f t="shared" ca="1" si="122"/>
        <v>8200</v>
      </c>
      <c r="Q100" s="27" t="e">
        <f t="shared" ca="1" si="123"/>
        <v>#N/A</v>
      </c>
      <c r="R100" s="30" t="e">
        <f t="shared" ca="1" si="124"/>
        <v>#N/A</v>
      </c>
      <c r="S100" s="226" t="e">
        <f ca="1">SUM(R$89:R100)</f>
        <v>#N/A</v>
      </c>
      <c r="U100" s="9" t="e">
        <f t="shared" ca="1" si="125"/>
        <v>#N/A</v>
      </c>
      <c r="V100" s="27" t="e">
        <f t="shared" ca="1" si="126"/>
        <v>#N/A</v>
      </c>
      <c r="W100" s="1">
        <f t="shared" ca="1" si="127"/>
        <v>8200</v>
      </c>
      <c r="X100" s="27" t="e">
        <f t="shared" ca="1" si="128"/>
        <v>#N/A</v>
      </c>
      <c r="Y100" s="1">
        <f t="shared" ca="1" si="129"/>
        <v>8200</v>
      </c>
      <c r="Z100" s="27" t="e">
        <f t="shared" ca="1" si="130"/>
        <v>#N/A</v>
      </c>
      <c r="AA100" s="30" t="e">
        <f t="shared" ca="1" si="131"/>
        <v>#N/A</v>
      </c>
      <c r="AB100" s="226" t="e">
        <f ca="1">SUM(AA$89:AA100)</f>
        <v>#N/A</v>
      </c>
      <c r="AD100" s="9" t="e">
        <f t="shared" ca="1" si="132"/>
        <v>#N/A</v>
      </c>
      <c r="AE100" s="27" t="e">
        <f t="shared" ca="1" si="133"/>
        <v>#N/A</v>
      </c>
      <c r="AF100" s="1">
        <f t="shared" ca="1" si="134"/>
        <v>8200</v>
      </c>
      <c r="AG100" s="27">
        <f t="shared" ca="1" si="135"/>
        <v>0</v>
      </c>
      <c r="AH100" s="1">
        <f t="shared" si="136"/>
        <v>0</v>
      </c>
      <c r="AI100" s="27" t="e">
        <f t="shared" ca="1" si="137"/>
        <v>#N/A</v>
      </c>
      <c r="AJ100" s="30" t="e">
        <f t="shared" ca="1" si="138"/>
        <v>#N/A</v>
      </c>
      <c r="AK100" s="226" t="e">
        <f ca="1">SUM(AJ$89:AJ100)</f>
        <v>#N/A</v>
      </c>
      <c r="AM100" s="9" t="e">
        <f t="shared" ca="1" si="139"/>
        <v>#N/A</v>
      </c>
      <c r="AN100" s="27" t="e">
        <f t="shared" ca="1" si="140"/>
        <v>#N/A</v>
      </c>
      <c r="AO100" s="1">
        <f t="shared" ca="1" si="141"/>
        <v>0</v>
      </c>
      <c r="AP100" s="27" t="e">
        <f t="shared" ca="1" si="142"/>
        <v>#N/A</v>
      </c>
      <c r="AQ100" s="1">
        <f t="shared" ca="1" si="143"/>
        <v>0</v>
      </c>
      <c r="AR100" s="27" t="e">
        <f t="shared" ca="1" si="144"/>
        <v>#N/A</v>
      </c>
      <c r="AS100" s="30" t="e">
        <f t="shared" ca="1" si="145"/>
        <v>#N/A</v>
      </c>
      <c r="AT100" s="226" t="e">
        <f ca="1">SUM(AS$89:AS100)</f>
        <v>#DIV/0!</v>
      </c>
      <c r="AV100" s="9" t="e">
        <f t="shared" ca="1" si="146"/>
        <v>#N/A</v>
      </c>
      <c r="AW100" s="27" t="e">
        <f t="shared" ca="1" si="147"/>
        <v>#N/A</v>
      </c>
      <c r="AX100" s="1">
        <f t="shared" ca="1" si="148"/>
        <v>0</v>
      </c>
      <c r="AY100" s="27" t="e">
        <f t="shared" ca="1" si="149"/>
        <v>#N/A</v>
      </c>
      <c r="AZ100" s="1">
        <f t="shared" ca="1" si="150"/>
        <v>0</v>
      </c>
      <c r="BA100" s="27" t="e">
        <f t="shared" ca="1" si="151"/>
        <v>#N/A</v>
      </c>
      <c r="BB100" s="30" t="e">
        <f t="shared" ca="1" si="152"/>
        <v>#N/A</v>
      </c>
      <c r="BC100" s="226" t="e">
        <f ca="1">SUM(BB$89:BB100)</f>
        <v>#DIV/0!</v>
      </c>
    </row>
    <row r="118" spans="1:55" ht="18.75" x14ac:dyDescent="0.3">
      <c r="A118" s="166" t="s">
        <v>454</v>
      </c>
    </row>
    <row r="119" spans="1:55" ht="15.75" thickBot="1" x14ac:dyDescent="0.3"/>
    <row r="120" spans="1:55" ht="19.5" thickBot="1" x14ac:dyDescent="0.35">
      <c r="B120" s="155" t="s">
        <v>432</v>
      </c>
      <c r="C120" s="1">
        <v>1</v>
      </c>
      <c r="D120" s="1">
        <v>1</v>
      </c>
      <c r="E120" s="1">
        <f t="shared" ref="E120:J120" si="154">D120</f>
        <v>1</v>
      </c>
      <c r="F120" s="1">
        <f t="shared" si="154"/>
        <v>1</v>
      </c>
      <c r="G120" s="1">
        <f t="shared" si="154"/>
        <v>1</v>
      </c>
      <c r="H120" s="1">
        <f t="shared" si="154"/>
        <v>1</v>
      </c>
      <c r="I120" s="1">
        <f t="shared" si="154"/>
        <v>1</v>
      </c>
      <c r="J120" s="1">
        <f t="shared" si="154"/>
        <v>1</v>
      </c>
      <c r="L120" s="1">
        <f>C120+1</f>
        <v>2</v>
      </c>
      <c r="M120" s="1">
        <f t="shared" ref="M120:S120" si="155">L120</f>
        <v>2</v>
      </c>
      <c r="N120" s="1">
        <f t="shared" si="155"/>
        <v>2</v>
      </c>
      <c r="O120" s="1">
        <f t="shared" si="155"/>
        <v>2</v>
      </c>
      <c r="P120" s="1">
        <f t="shared" si="155"/>
        <v>2</v>
      </c>
      <c r="Q120" s="1">
        <f t="shared" si="155"/>
        <v>2</v>
      </c>
      <c r="R120" s="1">
        <f t="shared" si="155"/>
        <v>2</v>
      </c>
      <c r="S120" s="1">
        <f t="shared" si="155"/>
        <v>2</v>
      </c>
      <c r="U120" s="1">
        <f>L120+1</f>
        <v>3</v>
      </c>
      <c r="V120" s="1">
        <f t="shared" ref="V120:AB120" si="156">U120</f>
        <v>3</v>
      </c>
      <c r="W120" s="1">
        <f t="shared" si="156"/>
        <v>3</v>
      </c>
      <c r="X120" s="1">
        <f t="shared" si="156"/>
        <v>3</v>
      </c>
      <c r="Y120" s="1">
        <f t="shared" si="156"/>
        <v>3</v>
      </c>
      <c r="Z120" s="1">
        <f t="shared" si="156"/>
        <v>3</v>
      </c>
      <c r="AA120" s="1">
        <f t="shared" si="156"/>
        <v>3</v>
      </c>
      <c r="AB120" s="1">
        <f t="shared" si="156"/>
        <v>3</v>
      </c>
      <c r="AD120" s="1">
        <f>U120+1</f>
        <v>4</v>
      </c>
      <c r="AE120" s="1">
        <f t="shared" ref="AE120:AK120" si="157">AD120</f>
        <v>4</v>
      </c>
      <c r="AF120" s="1">
        <f t="shared" si="157"/>
        <v>4</v>
      </c>
      <c r="AG120" s="1">
        <f t="shared" si="157"/>
        <v>4</v>
      </c>
      <c r="AH120" s="1">
        <f t="shared" si="157"/>
        <v>4</v>
      </c>
      <c r="AI120" s="1">
        <f t="shared" si="157"/>
        <v>4</v>
      </c>
      <c r="AJ120" s="1">
        <f t="shared" si="157"/>
        <v>4</v>
      </c>
      <c r="AK120" s="1">
        <f t="shared" si="157"/>
        <v>4</v>
      </c>
      <c r="AM120" s="1">
        <f>AD120+1</f>
        <v>5</v>
      </c>
      <c r="AN120" s="1">
        <f t="shared" ref="AN120:AT120" si="158">AM120</f>
        <v>5</v>
      </c>
      <c r="AO120" s="1">
        <f t="shared" si="158"/>
        <v>5</v>
      </c>
      <c r="AP120" s="1">
        <f t="shared" si="158"/>
        <v>5</v>
      </c>
      <c r="AQ120" s="1">
        <f t="shared" si="158"/>
        <v>5</v>
      </c>
      <c r="AR120" s="1">
        <f t="shared" si="158"/>
        <v>5</v>
      </c>
      <c r="AS120" s="1">
        <f t="shared" si="158"/>
        <v>5</v>
      </c>
      <c r="AT120" s="1">
        <f t="shared" si="158"/>
        <v>5</v>
      </c>
      <c r="AV120" s="1">
        <f>AM120+1</f>
        <v>6</v>
      </c>
      <c r="AW120" s="1">
        <f t="shared" ref="AW120:BC120" si="159">AV120</f>
        <v>6</v>
      </c>
      <c r="AX120" s="1">
        <f t="shared" si="159"/>
        <v>6</v>
      </c>
      <c r="AY120" s="1">
        <f t="shared" si="159"/>
        <v>6</v>
      </c>
      <c r="AZ120" s="1">
        <f t="shared" si="159"/>
        <v>6</v>
      </c>
      <c r="BA120" s="1">
        <f t="shared" si="159"/>
        <v>6</v>
      </c>
      <c r="BB120" s="1">
        <f t="shared" si="159"/>
        <v>6</v>
      </c>
      <c r="BC120" s="1">
        <f t="shared" si="159"/>
        <v>6</v>
      </c>
    </row>
    <row r="121" spans="1:55" ht="15.75" thickBot="1" x14ac:dyDescent="0.3">
      <c r="B121" s="130"/>
      <c r="C121" s="130"/>
      <c r="D121" s="177" t="s">
        <v>455</v>
      </c>
      <c r="G121" s="177"/>
      <c r="L121" s="130"/>
      <c r="M121" s="177"/>
      <c r="P121" s="177"/>
      <c r="U121" s="130"/>
      <c r="V121" s="177"/>
      <c r="Y121" s="177"/>
      <c r="AD121" s="130"/>
      <c r="AE121" s="177"/>
      <c r="AH121" s="177"/>
      <c r="AM121" s="130"/>
      <c r="AN121" s="177"/>
      <c r="AQ121" s="177"/>
      <c r="AV121" s="130"/>
      <c r="AW121" s="177"/>
      <c r="AZ121" s="177"/>
    </row>
    <row r="122" spans="1:55" ht="90" x14ac:dyDescent="0.25">
      <c r="B122" s="225" t="s">
        <v>404</v>
      </c>
      <c r="C122" s="392" t="s">
        <v>445</v>
      </c>
      <c r="D122" s="168" t="s">
        <v>446</v>
      </c>
      <c r="E122" s="168" t="s">
        <v>447</v>
      </c>
      <c r="F122" s="168" t="s">
        <v>448</v>
      </c>
      <c r="G122" s="168" t="s">
        <v>449</v>
      </c>
      <c r="H122" s="168" t="s">
        <v>439</v>
      </c>
      <c r="I122" s="168"/>
      <c r="J122" s="225" t="s">
        <v>456</v>
      </c>
      <c r="L122" s="392" t="s">
        <v>445</v>
      </c>
      <c r="M122" s="168" t="s">
        <v>446</v>
      </c>
      <c r="N122" s="168" t="s">
        <v>447</v>
      </c>
      <c r="O122" s="168" t="s">
        <v>448</v>
      </c>
      <c r="P122" s="168" t="s">
        <v>449</v>
      </c>
      <c r="Q122" s="168" t="s">
        <v>439</v>
      </c>
      <c r="R122" s="168"/>
      <c r="S122" s="225" t="s">
        <v>456</v>
      </c>
      <c r="U122" s="392" t="s">
        <v>445</v>
      </c>
      <c r="V122" s="168" t="s">
        <v>446</v>
      </c>
      <c r="W122" s="168" t="s">
        <v>447</v>
      </c>
      <c r="X122" s="168" t="s">
        <v>448</v>
      </c>
      <c r="Y122" s="168" t="s">
        <v>449</v>
      </c>
      <c r="Z122" s="168" t="s">
        <v>439</v>
      </c>
      <c r="AA122" s="168"/>
      <c r="AB122" s="225" t="s">
        <v>456</v>
      </c>
      <c r="AD122" s="392" t="s">
        <v>445</v>
      </c>
      <c r="AE122" s="168" t="s">
        <v>446</v>
      </c>
      <c r="AF122" s="168" t="s">
        <v>447</v>
      </c>
      <c r="AG122" s="168" t="s">
        <v>448</v>
      </c>
      <c r="AH122" s="168" t="s">
        <v>449</v>
      </c>
      <c r="AI122" s="168" t="s">
        <v>439</v>
      </c>
      <c r="AJ122" s="168"/>
      <c r="AK122" s="225" t="s">
        <v>456</v>
      </c>
      <c r="AM122" s="392" t="s">
        <v>445</v>
      </c>
      <c r="AN122" s="168" t="s">
        <v>446</v>
      </c>
      <c r="AO122" s="168" t="s">
        <v>447</v>
      </c>
      <c r="AP122" s="168" t="s">
        <v>448</v>
      </c>
      <c r="AQ122" s="168" t="s">
        <v>449</v>
      </c>
      <c r="AR122" s="168" t="s">
        <v>439</v>
      </c>
      <c r="AS122" s="168"/>
      <c r="AT122" s="225" t="s">
        <v>456</v>
      </c>
      <c r="AV122" s="392" t="s">
        <v>445</v>
      </c>
      <c r="AW122" s="168" t="s">
        <v>446</v>
      </c>
      <c r="AX122" s="168" t="s">
        <v>447</v>
      </c>
      <c r="AY122" s="168" t="s">
        <v>448</v>
      </c>
      <c r="AZ122" s="168" t="s">
        <v>449</v>
      </c>
      <c r="BA122" s="168" t="s">
        <v>439</v>
      </c>
      <c r="BB122" s="168"/>
      <c r="BC122" s="225" t="s">
        <v>456</v>
      </c>
    </row>
    <row r="123" spans="1:55" ht="15.75" thickBot="1" x14ac:dyDescent="0.3">
      <c r="B123" s="160"/>
      <c r="C123" s="34" t="s">
        <v>282</v>
      </c>
      <c r="D123" s="12" t="s">
        <v>419</v>
      </c>
      <c r="E123" s="12" t="s">
        <v>282</v>
      </c>
      <c r="F123" s="12" t="s">
        <v>419</v>
      </c>
      <c r="G123" s="12" t="s">
        <v>282</v>
      </c>
      <c r="H123" s="12" t="s">
        <v>73</v>
      </c>
      <c r="I123" s="12"/>
      <c r="J123" s="143" t="s">
        <v>457</v>
      </c>
      <c r="L123" s="207" t="s">
        <v>282</v>
      </c>
      <c r="M123" s="12" t="s">
        <v>419</v>
      </c>
      <c r="N123" s="12" t="s">
        <v>282</v>
      </c>
      <c r="O123" s="12" t="s">
        <v>419</v>
      </c>
      <c r="P123" s="12" t="s">
        <v>282</v>
      </c>
      <c r="Q123" s="12" t="s">
        <v>73</v>
      </c>
      <c r="R123" s="12"/>
      <c r="S123" s="143" t="s">
        <v>457</v>
      </c>
      <c r="U123" s="207" t="s">
        <v>282</v>
      </c>
      <c r="V123" s="12" t="s">
        <v>419</v>
      </c>
      <c r="W123" s="12" t="s">
        <v>282</v>
      </c>
      <c r="X123" s="12" t="s">
        <v>419</v>
      </c>
      <c r="Y123" s="12" t="s">
        <v>282</v>
      </c>
      <c r="Z123" s="12" t="s">
        <v>73</v>
      </c>
      <c r="AA123" s="12"/>
      <c r="AB123" s="143" t="s">
        <v>457</v>
      </c>
      <c r="AD123" s="207" t="s">
        <v>282</v>
      </c>
      <c r="AE123" s="12" t="s">
        <v>419</v>
      </c>
      <c r="AF123" s="12" t="s">
        <v>282</v>
      </c>
      <c r="AG123" s="12" t="s">
        <v>419</v>
      </c>
      <c r="AH123" s="12" t="s">
        <v>282</v>
      </c>
      <c r="AI123" s="12" t="s">
        <v>73</v>
      </c>
      <c r="AJ123" s="12"/>
      <c r="AK123" s="143" t="s">
        <v>457</v>
      </c>
      <c r="AM123" s="207" t="s">
        <v>282</v>
      </c>
      <c r="AN123" s="12" t="s">
        <v>419</v>
      </c>
      <c r="AO123" s="12" t="s">
        <v>282</v>
      </c>
      <c r="AP123" s="12" t="s">
        <v>419</v>
      </c>
      <c r="AQ123" s="12" t="s">
        <v>282</v>
      </c>
      <c r="AR123" s="12" t="s">
        <v>73</v>
      </c>
      <c r="AS123" s="12"/>
      <c r="AT123" s="143" t="s">
        <v>457</v>
      </c>
      <c r="AV123" s="207" t="s">
        <v>282</v>
      </c>
      <c r="AW123" s="12" t="s">
        <v>419</v>
      </c>
      <c r="AX123" s="12" t="s">
        <v>282</v>
      </c>
      <c r="AY123" s="12" t="s">
        <v>419</v>
      </c>
      <c r="AZ123" s="12" t="s">
        <v>282</v>
      </c>
      <c r="BA123" s="12" t="s">
        <v>73</v>
      </c>
      <c r="BB123" s="12"/>
      <c r="BC123" s="143" t="s">
        <v>457</v>
      </c>
    </row>
    <row r="124" spans="1:55" x14ac:dyDescent="0.25">
      <c r="B124" s="6">
        <f>$C$3</f>
        <v>5</v>
      </c>
      <c r="C124" s="6">
        <f t="shared" ref="C124:G135" ca="1" si="160">C89</f>
        <v>0</v>
      </c>
      <c r="D124" s="173">
        <f t="shared" ref="D124:G128" ca="1" si="161">D89</f>
        <v>0</v>
      </c>
      <c r="E124" s="173">
        <f>E89</f>
        <v>0</v>
      </c>
      <c r="F124" s="173">
        <f ca="1">F89</f>
        <v>94.425877192982455</v>
      </c>
      <c r="G124" s="173">
        <f ca="1">G89</f>
        <v>8200</v>
      </c>
      <c r="H124" s="173">
        <f t="shared" ref="H124:H130" ca="1" si="162">J54</f>
        <v>21.262499999999999</v>
      </c>
      <c r="I124" s="379"/>
      <c r="J124" s="376">
        <f t="shared" ref="J124:J135" ca="1" si="163">(D124 * (E124 - C124)/ 2000 + F124 * MAX((G124 - L124), 0) / 2000 + H124) / $F$3</f>
        <v>3.8744223581379543E-2</v>
      </c>
      <c r="L124" s="6">
        <f t="shared" ref="L124:L135" ca="1" si="164">L89</f>
        <v>600</v>
      </c>
      <c r="M124" s="173">
        <f t="shared" ref="M124:P130" ca="1" si="165">M89</f>
        <v>94.425877192982455</v>
      </c>
      <c r="N124" s="173">
        <f t="shared" ca="1" si="165"/>
        <v>8200</v>
      </c>
      <c r="O124" s="173">
        <f t="shared" ca="1" si="165"/>
        <v>94.425877192982455</v>
      </c>
      <c r="P124" s="173">
        <f t="shared" ca="1" si="165"/>
        <v>8200</v>
      </c>
      <c r="Q124" s="173">
        <f t="shared" ref="Q124:Q130" ca="1" si="166">S54</f>
        <v>28.35</v>
      </c>
      <c r="R124" s="379"/>
      <c r="S124" s="376">
        <f t="shared" ref="S124:S135" ca="1" si="167">(M124 * (N124 - L124)/ 2000 + O124 * MAX((P124 - U124), 0) / 2000 + Q124) / $F$3</f>
        <v>7.6043493034318718E-2</v>
      </c>
      <c r="U124" s="6">
        <f t="shared" ref="U124:U135" ca="1" si="168">U89</f>
        <v>600</v>
      </c>
      <c r="V124" s="173">
        <f t="shared" ref="V124:Y130" ca="1" si="169">V89</f>
        <v>94.425877192982455</v>
      </c>
      <c r="W124" s="173">
        <f t="shared" ca="1" si="169"/>
        <v>8200</v>
      </c>
      <c r="X124" s="173">
        <f t="shared" ca="1" si="169"/>
        <v>94.425877192982455</v>
      </c>
      <c r="Y124" s="173">
        <f t="shared" ca="1" si="169"/>
        <v>8200</v>
      </c>
      <c r="Z124" s="173">
        <f t="shared" ref="Z124:Z130" ca="1" si="170">AB54</f>
        <v>28.35</v>
      </c>
      <c r="AA124" s="379"/>
      <c r="AB124" s="376">
        <f t="shared" ref="AB124:AB135" ca="1" si="171">(V124 * (W124 - U124)/ 2000 + X124 * MAX((Y124 - AD124), 0) / 2000 + Z124) / $F$3</f>
        <v>7.6043493034318718E-2</v>
      </c>
      <c r="AD124" s="6">
        <f t="shared" ref="AD124:AD135" ca="1" si="172">AD89</f>
        <v>600</v>
      </c>
      <c r="AE124" s="173">
        <f t="shared" ref="AE124:AH130" ca="1" si="173">AE89</f>
        <v>94.425877192982455</v>
      </c>
      <c r="AF124" s="173">
        <f t="shared" ca="1" si="173"/>
        <v>8200</v>
      </c>
      <c r="AG124" s="173">
        <f t="shared" ca="1" si="173"/>
        <v>0</v>
      </c>
      <c r="AH124" s="173">
        <f t="shared" si="173"/>
        <v>0</v>
      </c>
      <c r="AI124" s="173">
        <f t="shared" ref="AI124:AI130" ca="1" si="174">AK54</f>
        <v>21.262499999999999</v>
      </c>
      <c r="AJ124" s="379"/>
      <c r="AK124" s="376">
        <f t="shared" ref="AK124:AK135" ca="1" si="175">(AE124 * (AF124 - AD124)/ 2000 + AG124 * MAX((AH124 - AM124), 0) / 2000 + AI124) / $F$3</f>
        <v>3.8744223581379543E-2</v>
      </c>
      <c r="AM124" s="6">
        <f t="shared" ref="AM124:AM135" ca="1" si="176">AM89</f>
        <v>300</v>
      </c>
      <c r="AN124" s="173">
        <f t="shared" ref="AN124:AQ130" ca="1" si="177">AN89</f>
        <v>0</v>
      </c>
      <c r="AO124" s="173">
        <f t="shared" ca="1" si="177"/>
        <v>0</v>
      </c>
      <c r="AP124" s="173" t="e">
        <f t="shared" ca="1" si="177"/>
        <v>#DIV/0!</v>
      </c>
      <c r="AQ124" s="173">
        <f t="shared" ca="1" si="177"/>
        <v>0</v>
      </c>
      <c r="AR124" s="173">
        <f t="shared" ref="AR124:AR130" ca="1" si="178">AT54</f>
        <v>0</v>
      </c>
      <c r="AS124" s="379"/>
      <c r="AT124" s="376" t="e">
        <f t="shared" ref="AT124:AT135" ca="1" si="179">(AN124 * (AO124 - AM124)/ 2000 + AP124 * MAX((AQ124 - AV124), 0) / 2000 + AR124) / $F$3</f>
        <v>#DIV/0!</v>
      </c>
      <c r="AV124" s="6">
        <f t="shared" ref="AV124:AV135" ca="1" si="180">AV89</f>
        <v>0</v>
      </c>
      <c r="AW124" s="173" t="e">
        <f t="shared" ref="AW124:AZ130" ca="1" si="181">AW89</f>
        <v>#DIV/0!</v>
      </c>
      <c r="AX124" s="173">
        <f t="shared" ca="1" si="181"/>
        <v>0</v>
      </c>
      <c r="AY124" s="173" t="e">
        <f t="shared" ca="1" si="181"/>
        <v>#DIV/0!</v>
      </c>
      <c r="AZ124" s="173">
        <f t="shared" ca="1" si="181"/>
        <v>0</v>
      </c>
      <c r="BA124" s="173">
        <f t="shared" ref="BA124:BA130" ca="1" si="182">BC54</f>
        <v>0</v>
      </c>
      <c r="BB124" s="379"/>
      <c r="BC124" s="376" t="e">
        <f t="shared" ref="BC124:BC135" ca="1" si="183">(AW124 * (AX124 - AV124)/ 2000 + AY124 * MAX((AZ124 - BE124), 0) / 2000 + BA124) / $F$3</f>
        <v>#DIV/0!</v>
      </c>
    </row>
    <row r="125" spans="1:55" x14ac:dyDescent="0.25">
      <c r="B125" s="9">
        <f t="shared" ref="B125:B135" si="184">IF(B124-1&gt;=1,B124-1,NA())</f>
        <v>4</v>
      </c>
      <c r="C125" s="9">
        <f t="shared" ca="1" si="160"/>
        <v>0</v>
      </c>
      <c r="D125" s="27">
        <f t="shared" ca="1" si="161"/>
        <v>0</v>
      </c>
      <c r="E125" s="27">
        <f t="shared" si="161"/>
        <v>0</v>
      </c>
      <c r="F125" s="27">
        <f t="shared" ca="1" si="161"/>
        <v>94.425877192982455</v>
      </c>
      <c r="G125" s="27">
        <f t="shared" ca="1" si="161"/>
        <v>8200</v>
      </c>
      <c r="H125" s="27">
        <f t="shared" ca="1" si="162"/>
        <v>21.262499999999999</v>
      </c>
      <c r="I125" s="211"/>
      <c r="J125" s="377">
        <f t="shared" ca="1" si="163"/>
        <v>3.8744223581379543E-2</v>
      </c>
      <c r="L125" s="9">
        <f t="shared" ca="1" si="164"/>
        <v>600</v>
      </c>
      <c r="M125" s="27">
        <f t="shared" ca="1" si="165"/>
        <v>94.425877192982455</v>
      </c>
      <c r="N125" s="27">
        <f t="shared" ca="1" si="165"/>
        <v>8200</v>
      </c>
      <c r="O125" s="27">
        <f t="shared" ca="1" si="165"/>
        <v>94.425877192982455</v>
      </c>
      <c r="P125" s="27">
        <f t="shared" ca="1" si="165"/>
        <v>8200</v>
      </c>
      <c r="Q125" s="27">
        <f t="shared" ca="1" si="166"/>
        <v>28.35</v>
      </c>
      <c r="R125" s="211"/>
      <c r="S125" s="377">
        <f t="shared" ca="1" si="167"/>
        <v>7.6043493034318718E-2</v>
      </c>
      <c r="U125" s="9">
        <f t="shared" ca="1" si="168"/>
        <v>600</v>
      </c>
      <c r="V125" s="27">
        <f t="shared" ca="1" si="169"/>
        <v>94.425877192982455</v>
      </c>
      <c r="W125" s="27">
        <f t="shared" ca="1" si="169"/>
        <v>8200</v>
      </c>
      <c r="X125" s="27">
        <f t="shared" ca="1" si="169"/>
        <v>94.425877192982455</v>
      </c>
      <c r="Y125" s="27">
        <f t="shared" ca="1" si="169"/>
        <v>8200</v>
      </c>
      <c r="Z125" s="27">
        <f t="shared" ca="1" si="170"/>
        <v>28.35</v>
      </c>
      <c r="AA125" s="211"/>
      <c r="AB125" s="377">
        <f t="shared" ca="1" si="171"/>
        <v>7.6043493034318718E-2</v>
      </c>
      <c r="AD125" s="9">
        <f t="shared" ca="1" si="172"/>
        <v>600</v>
      </c>
      <c r="AE125" s="27">
        <f t="shared" ca="1" si="173"/>
        <v>94.425877192982455</v>
      </c>
      <c r="AF125" s="27">
        <f t="shared" ca="1" si="173"/>
        <v>8200</v>
      </c>
      <c r="AG125" s="27">
        <f t="shared" ca="1" si="173"/>
        <v>0</v>
      </c>
      <c r="AH125" s="27">
        <f t="shared" si="173"/>
        <v>0</v>
      </c>
      <c r="AI125" s="27">
        <f t="shared" ca="1" si="174"/>
        <v>21.262499999999999</v>
      </c>
      <c r="AJ125" s="211"/>
      <c r="AK125" s="377">
        <f t="shared" ca="1" si="175"/>
        <v>3.8744223581379543E-2</v>
      </c>
      <c r="AM125" s="9">
        <f t="shared" ca="1" si="176"/>
        <v>300</v>
      </c>
      <c r="AN125" s="27">
        <f t="shared" ca="1" si="177"/>
        <v>0</v>
      </c>
      <c r="AO125" s="27">
        <f t="shared" ca="1" si="177"/>
        <v>0</v>
      </c>
      <c r="AP125" s="27" t="e">
        <f t="shared" ca="1" si="177"/>
        <v>#DIV/0!</v>
      </c>
      <c r="AQ125" s="27">
        <f t="shared" ca="1" si="177"/>
        <v>0</v>
      </c>
      <c r="AR125" s="27">
        <f t="shared" ca="1" si="178"/>
        <v>0</v>
      </c>
      <c r="AS125" s="211"/>
      <c r="AT125" s="377" t="e">
        <f t="shared" ca="1" si="179"/>
        <v>#DIV/0!</v>
      </c>
      <c r="AV125" s="9">
        <f t="shared" ca="1" si="180"/>
        <v>0</v>
      </c>
      <c r="AW125" s="27" t="e">
        <f t="shared" ca="1" si="181"/>
        <v>#DIV/0!</v>
      </c>
      <c r="AX125" s="27">
        <f t="shared" ca="1" si="181"/>
        <v>0</v>
      </c>
      <c r="AY125" s="27" t="e">
        <f t="shared" ca="1" si="181"/>
        <v>#DIV/0!</v>
      </c>
      <c r="AZ125" s="27">
        <f t="shared" ca="1" si="181"/>
        <v>0</v>
      </c>
      <c r="BA125" s="27">
        <f t="shared" ca="1" si="182"/>
        <v>0</v>
      </c>
      <c r="BB125" s="211"/>
      <c r="BC125" s="377" t="e">
        <f t="shared" ca="1" si="183"/>
        <v>#DIV/0!</v>
      </c>
    </row>
    <row r="126" spans="1:55" x14ac:dyDescent="0.25">
      <c r="B126" s="9">
        <f t="shared" si="184"/>
        <v>3</v>
      </c>
      <c r="C126" s="9">
        <f t="shared" ca="1" si="160"/>
        <v>0</v>
      </c>
      <c r="D126" s="27">
        <f t="shared" ca="1" si="161"/>
        <v>0</v>
      </c>
      <c r="E126" s="27">
        <f t="shared" si="161"/>
        <v>0</v>
      </c>
      <c r="F126" s="27">
        <f t="shared" ca="1" si="161"/>
        <v>94.425877192982455</v>
      </c>
      <c r="G126" s="27">
        <f t="shared" ca="1" si="161"/>
        <v>8200</v>
      </c>
      <c r="H126" s="27">
        <f t="shared" ca="1" si="162"/>
        <v>21.262499999999999</v>
      </c>
      <c r="I126" s="211"/>
      <c r="J126" s="377">
        <f t="shared" ca="1" si="163"/>
        <v>3.8744223581379543E-2</v>
      </c>
      <c r="L126" s="9">
        <f t="shared" ca="1" si="164"/>
        <v>600</v>
      </c>
      <c r="M126" s="27">
        <f t="shared" ca="1" si="165"/>
        <v>94.425877192982455</v>
      </c>
      <c r="N126" s="27">
        <f t="shared" ca="1" si="165"/>
        <v>8200</v>
      </c>
      <c r="O126" s="27">
        <f t="shared" ca="1" si="165"/>
        <v>94.425877192982455</v>
      </c>
      <c r="P126" s="27">
        <f t="shared" ca="1" si="165"/>
        <v>8200</v>
      </c>
      <c r="Q126" s="27">
        <f t="shared" ca="1" si="166"/>
        <v>28.35</v>
      </c>
      <c r="R126" s="211"/>
      <c r="S126" s="377">
        <f t="shared" ca="1" si="167"/>
        <v>7.6043493034318718E-2</v>
      </c>
      <c r="U126" s="9">
        <f t="shared" ca="1" si="168"/>
        <v>600</v>
      </c>
      <c r="V126" s="27">
        <f t="shared" ca="1" si="169"/>
        <v>94.425877192982455</v>
      </c>
      <c r="W126" s="27">
        <f t="shared" ca="1" si="169"/>
        <v>8200</v>
      </c>
      <c r="X126" s="27">
        <f t="shared" ca="1" si="169"/>
        <v>94.425877192982455</v>
      </c>
      <c r="Y126" s="27">
        <f t="shared" ca="1" si="169"/>
        <v>8200</v>
      </c>
      <c r="Z126" s="27">
        <f t="shared" ca="1" si="170"/>
        <v>28.35</v>
      </c>
      <c r="AA126" s="211"/>
      <c r="AB126" s="377">
        <f t="shared" ca="1" si="171"/>
        <v>7.6043493034318718E-2</v>
      </c>
      <c r="AD126" s="9">
        <f t="shared" ca="1" si="172"/>
        <v>600</v>
      </c>
      <c r="AE126" s="27">
        <f t="shared" ca="1" si="173"/>
        <v>94.425877192982455</v>
      </c>
      <c r="AF126" s="27">
        <f t="shared" ca="1" si="173"/>
        <v>8200</v>
      </c>
      <c r="AG126" s="27">
        <f t="shared" ca="1" si="173"/>
        <v>0</v>
      </c>
      <c r="AH126" s="27">
        <f t="shared" si="173"/>
        <v>0</v>
      </c>
      <c r="AI126" s="27">
        <f t="shared" ca="1" si="174"/>
        <v>21.262499999999999</v>
      </c>
      <c r="AJ126" s="211"/>
      <c r="AK126" s="377">
        <f t="shared" ca="1" si="175"/>
        <v>3.8744223581379543E-2</v>
      </c>
      <c r="AM126" s="9">
        <f t="shared" ca="1" si="176"/>
        <v>300</v>
      </c>
      <c r="AN126" s="27">
        <f t="shared" ca="1" si="177"/>
        <v>0</v>
      </c>
      <c r="AO126" s="27">
        <f t="shared" ca="1" si="177"/>
        <v>0</v>
      </c>
      <c r="AP126" s="27" t="e">
        <f t="shared" ca="1" si="177"/>
        <v>#DIV/0!</v>
      </c>
      <c r="AQ126" s="27">
        <f t="shared" ca="1" si="177"/>
        <v>0</v>
      </c>
      <c r="AR126" s="27">
        <f t="shared" ca="1" si="178"/>
        <v>0</v>
      </c>
      <c r="AS126" s="211"/>
      <c r="AT126" s="377" t="e">
        <f t="shared" ca="1" si="179"/>
        <v>#DIV/0!</v>
      </c>
      <c r="AV126" s="9">
        <f t="shared" ca="1" si="180"/>
        <v>0</v>
      </c>
      <c r="AW126" s="27" t="e">
        <f t="shared" ca="1" si="181"/>
        <v>#DIV/0!</v>
      </c>
      <c r="AX126" s="27">
        <f t="shared" ca="1" si="181"/>
        <v>0</v>
      </c>
      <c r="AY126" s="27" t="e">
        <f t="shared" ca="1" si="181"/>
        <v>#DIV/0!</v>
      </c>
      <c r="AZ126" s="27">
        <f t="shared" ca="1" si="181"/>
        <v>0</v>
      </c>
      <c r="BA126" s="27">
        <f t="shared" ca="1" si="182"/>
        <v>0</v>
      </c>
      <c r="BB126" s="211"/>
      <c r="BC126" s="377" t="e">
        <f t="shared" ca="1" si="183"/>
        <v>#DIV/0!</v>
      </c>
    </row>
    <row r="127" spans="1:55" x14ac:dyDescent="0.25">
      <c r="B127" s="9">
        <f t="shared" si="184"/>
        <v>2</v>
      </c>
      <c r="C127" s="9">
        <f t="shared" ca="1" si="160"/>
        <v>0</v>
      </c>
      <c r="D127" s="27">
        <f t="shared" ca="1" si="161"/>
        <v>0</v>
      </c>
      <c r="E127" s="27">
        <f t="shared" si="161"/>
        <v>0</v>
      </c>
      <c r="F127" s="27">
        <f t="shared" ca="1" si="161"/>
        <v>94.425877192982455</v>
      </c>
      <c r="G127" s="27">
        <f t="shared" ca="1" si="161"/>
        <v>8200</v>
      </c>
      <c r="H127" s="27">
        <f t="shared" ca="1" si="162"/>
        <v>21.262499999999999</v>
      </c>
      <c r="I127" s="211"/>
      <c r="J127" s="377">
        <f t="shared" ca="1" si="163"/>
        <v>3.8744223581379543E-2</v>
      </c>
      <c r="L127" s="9">
        <f t="shared" ca="1" si="164"/>
        <v>600</v>
      </c>
      <c r="M127" s="27">
        <f t="shared" ca="1" si="165"/>
        <v>94.425877192982455</v>
      </c>
      <c r="N127" s="27">
        <f t="shared" ca="1" si="165"/>
        <v>8200</v>
      </c>
      <c r="O127" s="27">
        <f t="shared" ca="1" si="165"/>
        <v>94.425877192982455</v>
      </c>
      <c r="P127" s="27">
        <f t="shared" ca="1" si="165"/>
        <v>8200</v>
      </c>
      <c r="Q127" s="27">
        <f t="shared" ca="1" si="166"/>
        <v>28.35</v>
      </c>
      <c r="R127" s="211"/>
      <c r="S127" s="377">
        <f t="shared" ca="1" si="167"/>
        <v>7.6043493034318718E-2</v>
      </c>
      <c r="U127" s="9">
        <f t="shared" ca="1" si="168"/>
        <v>600</v>
      </c>
      <c r="V127" s="27">
        <f t="shared" ca="1" si="169"/>
        <v>94.425877192982455</v>
      </c>
      <c r="W127" s="27">
        <f t="shared" ca="1" si="169"/>
        <v>8200</v>
      </c>
      <c r="X127" s="27">
        <f t="shared" ca="1" si="169"/>
        <v>94.425877192982455</v>
      </c>
      <c r="Y127" s="27">
        <f t="shared" ca="1" si="169"/>
        <v>8200</v>
      </c>
      <c r="Z127" s="27">
        <f t="shared" ca="1" si="170"/>
        <v>28.35</v>
      </c>
      <c r="AA127" s="211"/>
      <c r="AB127" s="377">
        <f t="shared" ca="1" si="171"/>
        <v>7.6043493034318718E-2</v>
      </c>
      <c r="AD127" s="9">
        <f t="shared" ca="1" si="172"/>
        <v>600</v>
      </c>
      <c r="AE127" s="27">
        <f t="shared" ca="1" si="173"/>
        <v>94.425877192982455</v>
      </c>
      <c r="AF127" s="27">
        <f t="shared" ca="1" si="173"/>
        <v>8200</v>
      </c>
      <c r="AG127" s="27">
        <f t="shared" ca="1" si="173"/>
        <v>0</v>
      </c>
      <c r="AH127" s="27">
        <f t="shared" si="173"/>
        <v>0</v>
      </c>
      <c r="AI127" s="27">
        <f t="shared" ca="1" si="174"/>
        <v>21.262499999999999</v>
      </c>
      <c r="AJ127" s="211"/>
      <c r="AK127" s="377">
        <f t="shared" ca="1" si="175"/>
        <v>3.8744223581379543E-2</v>
      </c>
      <c r="AM127" s="9">
        <f t="shared" ca="1" si="176"/>
        <v>300</v>
      </c>
      <c r="AN127" s="27">
        <f t="shared" ca="1" si="177"/>
        <v>0</v>
      </c>
      <c r="AO127" s="27">
        <f t="shared" ca="1" si="177"/>
        <v>0</v>
      </c>
      <c r="AP127" s="27" t="e">
        <f t="shared" ca="1" si="177"/>
        <v>#DIV/0!</v>
      </c>
      <c r="AQ127" s="27">
        <f t="shared" ca="1" si="177"/>
        <v>0</v>
      </c>
      <c r="AR127" s="27">
        <f t="shared" ca="1" si="178"/>
        <v>0</v>
      </c>
      <c r="AS127" s="211"/>
      <c r="AT127" s="377" t="e">
        <f t="shared" ca="1" si="179"/>
        <v>#DIV/0!</v>
      </c>
      <c r="AV127" s="9">
        <f t="shared" ca="1" si="180"/>
        <v>0</v>
      </c>
      <c r="AW127" s="27" t="e">
        <f t="shared" ca="1" si="181"/>
        <v>#DIV/0!</v>
      </c>
      <c r="AX127" s="27">
        <f t="shared" ca="1" si="181"/>
        <v>0</v>
      </c>
      <c r="AY127" s="27" t="e">
        <f t="shared" ca="1" si="181"/>
        <v>#DIV/0!</v>
      </c>
      <c r="AZ127" s="27">
        <f t="shared" ca="1" si="181"/>
        <v>0</v>
      </c>
      <c r="BA127" s="27">
        <f t="shared" ca="1" si="182"/>
        <v>0</v>
      </c>
      <c r="BB127" s="211"/>
      <c r="BC127" s="377" t="e">
        <f t="shared" ca="1" si="183"/>
        <v>#DIV/0!</v>
      </c>
    </row>
    <row r="128" spans="1:55" x14ac:dyDescent="0.25">
      <c r="B128" s="9">
        <f t="shared" si="184"/>
        <v>1</v>
      </c>
      <c r="C128" s="9">
        <f t="shared" ca="1" si="160"/>
        <v>0</v>
      </c>
      <c r="D128" s="27">
        <f t="shared" ca="1" si="161"/>
        <v>0</v>
      </c>
      <c r="E128" s="27">
        <f t="shared" si="161"/>
        <v>0</v>
      </c>
      <c r="F128" s="27">
        <f t="shared" ca="1" si="161"/>
        <v>94.425877192982455</v>
      </c>
      <c r="G128" s="27">
        <f t="shared" ca="1" si="161"/>
        <v>8200</v>
      </c>
      <c r="H128" s="27">
        <f t="shared" ca="1" si="162"/>
        <v>25.3125</v>
      </c>
      <c r="I128" s="211"/>
      <c r="J128" s="377">
        <f t="shared" ca="1" si="163"/>
        <v>3.9157067618076795E-2</v>
      </c>
      <c r="L128" s="9">
        <f t="shared" ca="1" si="164"/>
        <v>600</v>
      </c>
      <c r="M128" s="27">
        <f t="shared" ca="1" si="165"/>
        <v>94.425877192982455</v>
      </c>
      <c r="N128" s="27">
        <f t="shared" ca="1" si="165"/>
        <v>8200</v>
      </c>
      <c r="O128" s="27">
        <f t="shared" ca="1" si="165"/>
        <v>94.425877192982455</v>
      </c>
      <c r="P128" s="27">
        <f t="shared" ca="1" si="165"/>
        <v>8200</v>
      </c>
      <c r="Q128" s="27">
        <f t="shared" ca="1" si="166"/>
        <v>33.75</v>
      </c>
      <c r="R128" s="211"/>
      <c r="S128" s="377">
        <f t="shared" ca="1" si="167"/>
        <v>7.6593951749915054E-2</v>
      </c>
      <c r="U128" s="9">
        <f t="shared" ca="1" si="168"/>
        <v>600</v>
      </c>
      <c r="V128" s="27">
        <f t="shared" ca="1" si="169"/>
        <v>94.425877192982455</v>
      </c>
      <c r="W128" s="27">
        <f t="shared" ca="1" si="169"/>
        <v>8200</v>
      </c>
      <c r="X128" s="27">
        <f t="shared" ca="1" si="169"/>
        <v>94.425877192982455</v>
      </c>
      <c r="Y128" s="27">
        <f t="shared" ca="1" si="169"/>
        <v>8200</v>
      </c>
      <c r="Z128" s="27">
        <f t="shared" ca="1" si="170"/>
        <v>33.75</v>
      </c>
      <c r="AA128" s="211"/>
      <c r="AB128" s="377">
        <f t="shared" ca="1" si="171"/>
        <v>7.6593951749915054E-2</v>
      </c>
      <c r="AD128" s="9">
        <f t="shared" ca="1" si="172"/>
        <v>600</v>
      </c>
      <c r="AE128" s="27">
        <f t="shared" ca="1" si="173"/>
        <v>94.425877192982455</v>
      </c>
      <c r="AF128" s="27">
        <f t="shared" ca="1" si="173"/>
        <v>8200</v>
      </c>
      <c r="AG128" s="27">
        <f t="shared" ca="1" si="173"/>
        <v>0</v>
      </c>
      <c r="AH128" s="27">
        <f t="shared" si="173"/>
        <v>0</v>
      </c>
      <c r="AI128" s="27">
        <f t="shared" ca="1" si="174"/>
        <v>25.3125</v>
      </c>
      <c r="AJ128" s="211"/>
      <c r="AK128" s="377">
        <f t="shared" ca="1" si="175"/>
        <v>3.9157067618076795E-2</v>
      </c>
      <c r="AM128" s="9">
        <f t="shared" ca="1" si="176"/>
        <v>300</v>
      </c>
      <c r="AN128" s="27">
        <f t="shared" ca="1" si="177"/>
        <v>0</v>
      </c>
      <c r="AO128" s="27">
        <f t="shared" ca="1" si="177"/>
        <v>0</v>
      </c>
      <c r="AP128" s="27" t="e">
        <f t="shared" ca="1" si="177"/>
        <v>#DIV/0!</v>
      </c>
      <c r="AQ128" s="27">
        <f t="shared" ca="1" si="177"/>
        <v>0</v>
      </c>
      <c r="AR128" s="27">
        <f t="shared" ca="1" si="178"/>
        <v>0</v>
      </c>
      <c r="AS128" s="211"/>
      <c r="AT128" s="377" t="e">
        <f t="shared" ca="1" si="179"/>
        <v>#DIV/0!</v>
      </c>
      <c r="AV128" s="9">
        <f t="shared" ca="1" si="180"/>
        <v>0</v>
      </c>
      <c r="AW128" s="27" t="e">
        <f t="shared" ca="1" si="181"/>
        <v>#DIV/0!</v>
      </c>
      <c r="AX128" s="27">
        <f t="shared" ca="1" si="181"/>
        <v>0</v>
      </c>
      <c r="AY128" s="27" t="e">
        <f t="shared" ca="1" si="181"/>
        <v>#DIV/0!</v>
      </c>
      <c r="AZ128" s="27">
        <f t="shared" ca="1" si="181"/>
        <v>0</v>
      </c>
      <c r="BA128" s="27">
        <f t="shared" ca="1" si="182"/>
        <v>0</v>
      </c>
      <c r="BB128" s="211"/>
      <c r="BC128" s="377" t="e">
        <f t="shared" ca="1" si="183"/>
        <v>#DIV/0!</v>
      </c>
    </row>
    <row r="129" spans="2:55" x14ac:dyDescent="0.25">
      <c r="B129" s="9" t="e">
        <f t="shared" si="184"/>
        <v>#N/A</v>
      </c>
      <c r="C129" s="9">
        <f t="shared" ca="1" si="160"/>
        <v>0</v>
      </c>
      <c r="D129" s="27">
        <f t="shared" ref="D129:G130" ca="1" si="185">D94</f>
        <v>0</v>
      </c>
      <c r="E129" s="27">
        <f t="shared" si="185"/>
        <v>0</v>
      </c>
      <c r="F129" s="27" t="e">
        <f t="shared" ca="1" si="185"/>
        <v>#N/A</v>
      </c>
      <c r="G129" s="27">
        <f t="shared" ca="1" si="185"/>
        <v>8200</v>
      </c>
      <c r="H129" s="27" t="e">
        <f t="shared" ca="1" si="162"/>
        <v>#N/A</v>
      </c>
      <c r="I129" s="211"/>
      <c r="J129" s="377" t="e">
        <f t="shared" ca="1" si="163"/>
        <v>#N/A</v>
      </c>
      <c r="L129" s="9" t="e">
        <f t="shared" ca="1" si="164"/>
        <v>#N/A</v>
      </c>
      <c r="M129" s="27" t="e">
        <f t="shared" ca="1" si="165"/>
        <v>#N/A</v>
      </c>
      <c r="N129" s="27">
        <f t="shared" ca="1" si="165"/>
        <v>8200</v>
      </c>
      <c r="O129" s="27" t="e">
        <f t="shared" ca="1" si="165"/>
        <v>#N/A</v>
      </c>
      <c r="P129" s="27">
        <f t="shared" ca="1" si="165"/>
        <v>8200</v>
      </c>
      <c r="Q129" s="27" t="e">
        <f t="shared" ca="1" si="166"/>
        <v>#N/A</v>
      </c>
      <c r="R129" s="211"/>
      <c r="S129" s="377" t="e">
        <f t="shared" ca="1" si="167"/>
        <v>#N/A</v>
      </c>
      <c r="U129" s="9" t="e">
        <f t="shared" ca="1" si="168"/>
        <v>#N/A</v>
      </c>
      <c r="V129" s="27" t="e">
        <f t="shared" ca="1" si="169"/>
        <v>#N/A</v>
      </c>
      <c r="W129" s="27">
        <f t="shared" ca="1" si="169"/>
        <v>8200</v>
      </c>
      <c r="X129" s="27" t="e">
        <f t="shared" ca="1" si="169"/>
        <v>#N/A</v>
      </c>
      <c r="Y129" s="27">
        <f t="shared" ca="1" si="169"/>
        <v>8200</v>
      </c>
      <c r="Z129" s="27" t="e">
        <f t="shared" ca="1" si="170"/>
        <v>#N/A</v>
      </c>
      <c r="AA129" s="211"/>
      <c r="AB129" s="377" t="e">
        <f t="shared" ca="1" si="171"/>
        <v>#N/A</v>
      </c>
      <c r="AD129" s="9" t="e">
        <f t="shared" ca="1" si="172"/>
        <v>#N/A</v>
      </c>
      <c r="AE129" s="27" t="e">
        <f t="shared" ca="1" si="173"/>
        <v>#N/A</v>
      </c>
      <c r="AF129" s="27">
        <f t="shared" ca="1" si="173"/>
        <v>8200</v>
      </c>
      <c r="AG129" s="27">
        <f t="shared" ca="1" si="173"/>
        <v>0</v>
      </c>
      <c r="AH129" s="27">
        <f t="shared" si="173"/>
        <v>0</v>
      </c>
      <c r="AI129" s="27" t="e">
        <f t="shared" ca="1" si="174"/>
        <v>#N/A</v>
      </c>
      <c r="AJ129" s="211"/>
      <c r="AK129" s="377" t="e">
        <f t="shared" ca="1" si="175"/>
        <v>#N/A</v>
      </c>
      <c r="AM129" s="9" t="e">
        <f t="shared" ca="1" si="176"/>
        <v>#N/A</v>
      </c>
      <c r="AN129" s="27" t="e">
        <f t="shared" ca="1" si="177"/>
        <v>#N/A</v>
      </c>
      <c r="AO129" s="27">
        <f t="shared" ca="1" si="177"/>
        <v>0</v>
      </c>
      <c r="AP129" s="27" t="e">
        <f t="shared" ca="1" si="177"/>
        <v>#N/A</v>
      </c>
      <c r="AQ129" s="27">
        <f t="shared" ca="1" si="177"/>
        <v>0</v>
      </c>
      <c r="AR129" s="27" t="e">
        <f t="shared" ca="1" si="178"/>
        <v>#N/A</v>
      </c>
      <c r="AS129" s="211"/>
      <c r="AT129" s="377" t="e">
        <f t="shared" ca="1" si="179"/>
        <v>#N/A</v>
      </c>
      <c r="AV129" s="9" t="e">
        <f t="shared" ca="1" si="180"/>
        <v>#N/A</v>
      </c>
      <c r="AW129" s="27" t="e">
        <f t="shared" ca="1" si="181"/>
        <v>#N/A</v>
      </c>
      <c r="AX129" s="27">
        <f t="shared" ca="1" si="181"/>
        <v>0</v>
      </c>
      <c r="AY129" s="27" t="e">
        <f t="shared" ca="1" si="181"/>
        <v>#N/A</v>
      </c>
      <c r="AZ129" s="27">
        <f t="shared" ca="1" si="181"/>
        <v>0</v>
      </c>
      <c r="BA129" s="27" t="e">
        <f t="shared" ca="1" si="182"/>
        <v>#N/A</v>
      </c>
      <c r="BB129" s="211"/>
      <c r="BC129" s="377" t="e">
        <f t="shared" ca="1" si="183"/>
        <v>#N/A</v>
      </c>
    </row>
    <row r="130" spans="2:55" x14ac:dyDescent="0.25">
      <c r="B130" s="9" t="e">
        <f t="shared" si="184"/>
        <v>#N/A</v>
      </c>
      <c r="C130" s="9">
        <f t="shared" ca="1" si="160"/>
        <v>0</v>
      </c>
      <c r="D130" s="27">
        <f t="shared" ca="1" si="185"/>
        <v>0</v>
      </c>
      <c r="E130" s="27">
        <f t="shared" si="185"/>
        <v>0</v>
      </c>
      <c r="F130" s="27" t="e">
        <f t="shared" ca="1" si="185"/>
        <v>#N/A</v>
      </c>
      <c r="G130" s="27">
        <f t="shared" ca="1" si="185"/>
        <v>8200</v>
      </c>
      <c r="H130" s="27" t="e">
        <f t="shared" ca="1" si="162"/>
        <v>#N/A</v>
      </c>
      <c r="I130" s="211"/>
      <c r="J130" s="377" t="e">
        <f t="shared" ca="1" si="163"/>
        <v>#N/A</v>
      </c>
      <c r="L130" s="9" t="e">
        <f t="shared" ca="1" si="164"/>
        <v>#N/A</v>
      </c>
      <c r="M130" s="27" t="e">
        <f t="shared" ca="1" si="165"/>
        <v>#N/A</v>
      </c>
      <c r="N130" s="27">
        <f t="shared" ca="1" si="165"/>
        <v>8200</v>
      </c>
      <c r="O130" s="27" t="e">
        <f t="shared" ca="1" si="165"/>
        <v>#N/A</v>
      </c>
      <c r="P130" s="27">
        <f t="shared" ca="1" si="165"/>
        <v>8200</v>
      </c>
      <c r="Q130" s="27" t="e">
        <f t="shared" ca="1" si="166"/>
        <v>#N/A</v>
      </c>
      <c r="R130" s="211"/>
      <c r="S130" s="377" t="e">
        <f t="shared" ca="1" si="167"/>
        <v>#N/A</v>
      </c>
      <c r="U130" s="9" t="e">
        <f t="shared" ca="1" si="168"/>
        <v>#N/A</v>
      </c>
      <c r="V130" s="27" t="e">
        <f t="shared" ca="1" si="169"/>
        <v>#N/A</v>
      </c>
      <c r="W130" s="27">
        <f t="shared" ca="1" si="169"/>
        <v>8200</v>
      </c>
      <c r="X130" s="27" t="e">
        <f t="shared" ca="1" si="169"/>
        <v>#N/A</v>
      </c>
      <c r="Y130" s="27">
        <f t="shared" ca="1" si="169"/>
        <v>8200</v>
      </c>
      <c r="Z130" s="27" t="e">
        <f t="shared" ca="1" si="170"/>
        <v>#N/A</v>
      </c>
      <c r="AA130" s="211"/>
      <c r="AB130" s="377" t="e">
        <f t="shared" ca="1" si="171"/>
        <v>#N/A</v>
      </c>
      <c r="AD130" s="9" t="e">
        <f t="shared" ca="1" si="172"/>
        <v>#N/A</v>
      </c>
      <c r="AE130" s="27" t="e">
        <f t="shared" ca="1" si="173"/>
        <v>#N/A</v>
      </c>
      <c r="AF130" s="27">
        <f t="shared" ca="1" si="173"/>
        <v>8200</v>
      </c>
      <c r="AG130" s="27">
        <f t="shared" ca="1" si="173"/>
        <v>0</v>
      </c>
      <c r="AH130" s="27">
        <f t="shared" si="173"/>
        <v>0</v>
      </c>
      <c r="AI130" s="27" t="e">
        <f t="shared" ca="1" si="174"/>
        <v>#N/A</v>
      </c>
      <c r="AJ130" s="211"/>
      <c r="AK130" s="377" t="e">
        <f t="shared" ca="1" si="175"/>
        <v>#N/A</v>
      </c>
      <c r="AM130" s="9" t="e">
        <f t="shared" ca="1" si="176"/>
        <v>#N/A</v>
      </c>
      <c r="AN130" s="27" t="e">
        <f t="shared" ca="1" si="177"/>
        <v>#N/A</v>
      </c>
      <c r="AO130" s="27">
        <f t="shared" ca="1" si="177"/>
        <v>0</v>
      </c>
      <c r="AP130" s="27" t="e">
        <f t="shared" ca="1" si="177"/>
        <v>#N/A</v>
      </c>
      <c r="AQ130" s="27">
        <f t="shared" ca="1" si="177"/>
        <v>0</v>
      </c>
      <c r="AR130" s="27" t="e">
        <f t="shared" ca="1" si="178"/>
        <v>#N/A</v>
      </c>
      <c r="AS130" s="211"/>
      <c r="AT130" s="377" t="e">
        <f t="shared" ca="1" si="179"/>
        <v>#N/A</v>
      </c>
      <c r="AV130" s="9" t="e">
        <f t="shared" ca="1" si="180"/>
        <v>#N/A</v>
      </c>
      <c r="AW130" s="27" t="e">
        <f t="shared" ca="1" si="181"/>
        <v>#N/A</v>
      </c>
      <c r="AX130" s="27">
        <f t="shared" ca="1" si="181"/>
        <v>0</v>
      </c>
      <c r="AY130" s="27" t="e">
        <f t="shared" ca="1" si="181"/>
        <v>#N/A</v>
      </c>
      <c r="AZ130" s="27">
        <f t="shared" ca="1" si="181"/>
        <v>0</v>
      </c>
      <c r="BA130" s="27" t="e">
        <f t="shared" ca="1" si="182"/>
        <v>#N/A</v>
      </c>
      <c r="BB130" s="211"/>
      <c r="BC130" s="377" t="e">
        <f t="shared" ca="1" si="183"/>
        <v>#N/A</v>
      </c>
    </row>
    <row r="131" spans="2:55" x14ac:dyDescent="0.25">
      <c r="B131" s="9" t="e">
        <f t="shared" si="184"/>
        <v>#N/A</v>
      </c>
      <c r="C131" s="9">
        <f t="shared" ca="1" si="160"/>
        <v>0</v>
      </c>
      <c r="D131" s="27">
        <f t="shared" ca="1" si="160"/>
        <v>0</v>
      </c>
      <c r="E131" s="27">
        <f t="shared" si="160"/>
        <v>0</v>
      </c>
      <c r="F131" s="27" t="e">
        <f t="shared" ca="1" si="160"/>
        <v>#N/A</v>
      </c>
      <c r="G131" s="27">
        <f t="shared" ca="1" si="160"/>
        <v>8200</v>
      </c>
      <c r="H131" s="27" t="e">
        <f ca="1">J61</f>
        <v>#N/A</v>
      </c>
      <c r="I131" s="211"/>
      <c r="J131" s="377" t="e">
        <f t="shared" ca="1" si="163"/>
        <v>#N/A</v>
      </c>
      <c r="L131" s="9" t="e">
        <f t="shared" ca="1" si="164"/>
        <v>#N/A</v>
      </c>
      <c r="M131" s="27" t="e">
        <f t="shared" ref="M131:P135" ca="1" si="186">M96</f>
        <v>#N/A</v>
      </c>
      <c r="N131" s="27">
        <f t="shared" ca="1" si="186"/>
        <v>8200</v>
      </c>
      <c r="O131" s="27" t="e">
        <f t="shared" ca="1" si="186"/>
        <v>#N/A</v>
      </c>
      <c r="P131" s="27">
        <f t="shared" ca="1" si="186"/>
        <v>8200</v>
      </c>
      <c r="Q131" s="27" t="e">
        <f ca="1">S61</f>
        <v>#N/A</v>
      </c>
      <c r="R131" s="211"/>
      <c r="S131" s="377" t="e">
        <f t="shared" ca="1" si="167"/>
        <v>#N/A</v>
      </c>
      <c r="U131" s="9" t="e">
        <f t="shared" ca="1" si="168"/>
        <v>#N/A</v>
      </c>
      <c r="V131" s="27" t="e">
        <f t="shared" ref="V131:Y135" ca="1" si="187">V96</f>
        <v>#N/A</v>
      </c>
      <c r="W131" s="27">
        <f t="shared" ca="1" si="187"/>
        <v>8200</v>
      </c>
      <c r="X131" s="27" t="e">
        <f t="shared" ca="1" si="187"/>
        <v>#N/A</v>
      </c>
      <c r="Y131" s="27">
        <f t="shared" ca="1" si="187"/>
        <v>8200</v>
      </c>
      <c r="Z131" s="27" t="e">
        <f ca="1">AB61</f>
        <v>#N/A</v>
      </c>
      <c r="AA131" s="211"/>
      <c r="AB131" s="377" t="e">
        <f t="shared" ca="1" si="171"/>
        <v>#N/A</v>
      </c>
      <c r="AD131" s="9" t="e">
        <f t="shared" ca="1" si="172"/>
        <v>#N/A</v>
      </c>
      <c r="AE131" s="27" t="e">
        <f t="shared" ref="AE131:AH135" ca="1" si="188">AE96</f>
        <v>#N/A</v>
      </c>
      <c r="AF131" s="27">
        <f t="shared" ca="1" si="188"/>
        <v>8200</v>
      </c>
      <c r="AG131" s="27">
        <f t="shared" ca="1" si="188"/>
        <v>0</v>
      </c>
      <c r="AH131" s="27">
        <f t="shared" si="188"/>
        <v>0</v>
      </c>
      <c r="AI131" s="27" t="e">
        <f ca="1">AK61</f>
        <v>#N/A</v>
      </c>
      <c r="AJ131" s="211"/>
      <c r="AK131" s="377" t="e">
        <f t="shared" ca="1" si="175"/>
        <v>#N/A</v>
      </c>
      <c r="AM131" s="9" t="e">
        <f t="shared" ca="1" si="176"/>
        <v>#N/A</v>
      </c>
      <c r="AN131" s="27" t="e">
        <f t="shared" ref="AN131:AQ135" ca="1" si="189">AN96</f>
        <v>#N/A</v>
      </c>
      <c r="AO131" s="27">
        <f t="shared" ca="1" si="189"/>
        <v>0</v>
      </c>
      <c r="AP131" s="27" t="e">
        <f t="shared" ca="1" si="189"/>
        <v>#N/A</v>
      </c>
      <c r="AQ131" s="27">
        <f t="shared" ca="1" si="189"/>
        <v>0</v>
      </c>
      <c r="AR131" s="27" t="e">
        <f ca="1">AT61</f>
        <v>#N/A</v>
      </c>
      <c r="AS131" s="211"/>
      <c r="AT131" s="377" t="e">
        <f t="shared" ca="1" si="179"/>
        <v>#N/A</v>
      </c>
      <c r="AV131" s="9" t="e">
        <f t="shared" ca="1" si="180"/>
        <v>#N/A</v>
      </c>
      <c r="AW131" s="27" t="e">
        <f t="shared" ref="AW131:AZ135" ca="1" si="190">AW96</f>
        <v>#N/A</v>
      </c>
      <c r="AX131" s="27">
        <f t="shared" ca="1" si="190"/>
        <v>0</v>
      </c>
      <c r="AY131" s="27" t="e">
        <f t="shared" ca="1" si="190"/>
        <v>#N/A</v>
      </c>
      <c r="AZ131" s="27">
        <f t="shared" ca="1" si="190"/>
        <v>0</v>
      </c>
      <c r="BA131" s="27" t="e">
        <f ca="1">BC61</f>
        <v>#N/A</v>
      </c>
      <c r="BB131" s="211"/>
      <c r="BC131" s="377" t="e">
        <f t="shared" ca="1" si="183"/>
        <v>#N/A</v>
      </c>
    </row>
    <row r="132" spans="2:55" x14ac:dyDescent="0.25">
      <c r="B132" s="9" t="e">
        <f t="shared" si="184"/>
        <v>#N/A</v>
      </c>
      <c r="C132" s="9">
        <f t="shared" ca="1" si="160"/>
        <v>0</v>
      </c>
      <c r="D132" s="27">
        <f t="shared" ca="1" si="160"/>
        <v>0</v>
      </c>
      <c r="E132" s="27">
        <f t="shared" si="160"/>
        <v>0</v>
      </c>
      <c r="F132" s="27" t="e">
        <f t="shared" ca="1" si="160"/>
        <v>#N/A</v>
      </c>
      <c r="G132" s="27">
        <f t="shared" ca="1" si="160"/>
        <v>8200</v>
      </c>
      <c r="H132" s="27" t="e">
        <f ca="1">J62</f>
        <v>#N/A</v>
      </c>
      <c r="I132" s="211"/>
      <c r="J132" s="377" t="e">
        <f t="shared" ca="1" si="163"/>
        <v>#N/A</v>
      </c>
      <c r="L132" s="9" t="e">
        <f t="shared" ca="1" si="164"/>
        <v>#N/A</v>
      </c>
      <c r="M132" s="27" t="e">
        <f t="shared" ca="1" si="186"/>
        <v>#N/A</v>
      </c>
      <c r="N132" s="27">
        <f t="shared" ca="1" si="186"/>
        <v>8200</v>
      </c>
      <c r="O132" s="27" t="e">
        <f t="shared" ca="1" si="186"/>
        <v>#N/A</v>
      </c>
      <c r="P132" s="27">
        <f t="shared" ca="1" si="186"/>
        <v>8200</v>
      </c>
      <c r="Q132" s="27" t="e">
        <f ca="1">S62</f>
        <v>#N/A</v>
      </c>
      <c r="R132" s="211"/>
      <c r="S132" s="377" t="e">
        <f t="shared" ca="1" si="167"/>
        <v>#N/A</v>
      </c>
      <c r="U132" s="9" t="e">
        <f t="shared" ca="1" si="168"/>
        <v>#N/A</v>
      </c>
      <c r="V132" s="27" t="e">
        <f t="shared" ca="1" si="187"/>
        <v>#N/A</v>
      </c>
      <c r="W132" s="27">
        <f t="shared" ca="1" si="187"/>
        <v>8200</v>
      </c>
      <c r="X132" s="27" t="e">
        <f t="shared" ca="1" si="187"/>
        <v>#N/A</v>
      </c>
      <c r="Y132" s="27">
        <f t="shared" ca="1" si="187"/>
        <v>8200</v>
      </c>
      <c r="Z132" s="27" t="e">
        <f ca="1">AB62</f>
        <v>#N/A</v>
      </c>
      <c r="AA132" s="211"/>
      <c r="AB132" s="377" t="e">
        <f t="shared" ca="1" si="171"/>
        <v>#N/A</v>
      </c>
      <c r="AD132" s="9" t="e">
        <f t="shared" ca="1" si="172"/>
        <v>#N/A</v>
      </c>
      <c r="AE132" s="27" t="e">
        <f t="shared" ca="1" si="188"/>
        <v>#N/A</v>
      </c>
      <c r="AF132" s="27">
        <f t="shared" ca="1" si="188"/>
        <v>8200</v>
      </c>
      <c r="AG132" s="27">
        <f t="shared" ca="1" si="188"/>
        <v>0</v>
      </c>
      <c r="AH132" s="27">
        <f t="shared" si="188"/>
        <v>0</v>
      </c>
      <c r="AI132" s="27" t="e">
        <f ca="1">AK62</f>
        <v>#N/A</v>
      </c>
      <c r="AJ132" s="211"/>
      <c r="AK132" s="377" t="e">
        <f t="shared" ca="1" si="175"/>
        <v>#N/A</v>
      </c>
      <c r="AM132" s="9" t="e">
        <f t="shared" ca="1" si="176"/>
        <v>#N/A</v>
      </c>
      <c r="AN132" s="27" t="e">
        <f t="shared" ca="1" si="189"/>
        <v>#N/A</v>
      </c>
      <c r="AO132" s="27">
        <f t="shared" ca="1" si="189"/>
        <v>0</v>
      </c>
      <c r="AP132" s="27" t="e">
        <f t="shared" ca="1" si="189"/>
        <v>#N/A</v>
      </c>
      <c r="AQ132" s="27">
        <f t="shared" ca="1" si="189"/>
        <v>0</v>
      </c>
      <c r="AR132" s="27" t="e">
        <f ca="1">AT62</f>
        <v>#N/A</v>
      </c>
      <c r="AS132" s="211"/>
      <c r="AT132" s="377" t="e">
        <f t="shared" ca="1" si="179"/>
        <v>#N/A</v>
      </c>
      <c r="AV132" s="9" t="e">
        <f t="shared" ca="1" si="180"/>
        <v>#N/A</v>
      </c>
      <c r="AW132" s="27" t="e">
        <f t="shared" ca="1" si="190"/>
        <v>#N/A</v>
      </c>
      <c r="AX132" s="27">
        <f t="shared" ca="1" si="190"/>
        <v>0</v>
      </c>
      <c r="AY132" s="27" t="e">
        <f t="shared" ca="1" si="190"/>
        <v>#N/A</v>
      </c>
      <c r="AZ132" s="27">
        <f t="shared" ca="1" si="190"/>
        <v>0</v>
      </c>
      <c r="BA132" s="27" t="e">
        <f ca="1">BC62</f>
        <v>#N/A</v>
      </c>
      <c r="BB132" s="211"/>
      <c r="BC132" s="377" t="e">
        <f t="shared" ca="1" si="183"/>
        <v>#N/A</v>
      </c>
    </row>
    <row r="133" spans="2:55" x14ac:dyDescent="0.25">
      <c r="B133" s="9" t="e">
        <f t="shared" si="184"/>
        <v>#N/A</v>
      </c>
      <c r="C133" s="9">
        <f t="shared" ca="1" si="160"/>
        <v>0</v>
      </c>
      <c r="D133" s="27">
        <f t="shared" ca="1" si="160"/>
        <v>0</v>
      </c>
      <c r="E133" s="27">
        <f t="shared" si="160"/>
        <v>0</v>
      </c>
      <c r="F133" s="27" t="e">
        <f t="shared" ca="1" si="160"/>
        <v>#N/A</v>
      </c>
      <c r="G133" s="27">
        <f t="shared" ca="1" si="160"/>
        <v>8200</v>
      </c>
      <c r="H133" s="27" t="e">
        <f ca="1">J63</f>
        <v>#N/A</v>
      </c>
      <c r="I133" s="211"/>
      <c r="J133" s="377" t="e">
        <f t="shared" ca="1" si="163"/>
        <v>#N/A</v>
      </c>
      <c r="L133" s="9" t="e">
        <f t="shared" ca="1" si="164"/>
        <v>#N/A</v>
      </c>
      <c r="M133" s="27" t="e">
        <f t="shared" ca="1" si="186"/>
        <v>#N/A</v>
      </c>
      <c r="N133" s="27">
        <f t="shared" ca="1" si="186"/>
        <v>8200</v>
      </c>
      <c r="O133" s="27" t="e">
        <f t="shared" ca="1" si="186"/>
        <v>#N/A</v>
      </c>
      <c r="P133" s="27">
        <f t="shared" ca="1" si="186"/>
        <v>8200</v>
      </c>
      <c r="Q133" s="27" t="e">
        <f ca="1">S63</f>
        <v>#N/A</v>
      </c>
      <c r="R133" s="211"/>
      <c r="S133" s="377" t="e">
        <f t="shared" ca="1" si="167"/>
        <v>#N/A</v>
      </c>
      <c r="U133" s="9" t="e">
        <f t="shared" ca="1" si="168"/>
        <v>#N/A</v>
      </c>
      <c r="V133" s="27" t="e">
        <f t="shared" ca="1" si="187"/>
        <v>#N/A</v>
      </c>
      <c r="W133" s="27">
        <f t="shared" ca="1" si="187"/>
        <v>8200</v>
      </c>
      <c r="X133" s="27" t="e">
        <f t="shared" ca="1" si="187"/>
        <v>#N/A</v>
      </c>
      <c r="Y133" s="27">
        <f t="shared" ca="1" si="187"/>
        <v>8200</v>
      </c>
      <c r="Z133" s="27" t="e">
        <f ca="1">AB63</f>
        <v>#N/A</v>
      </c>
      <c r="AA133" s="211"/>
      <c r="AB133" s="377" t="e">
        <f t="shared" ca="1" si="171"/>
        <v>#N/A</v>
      </c>
      <c r="AD133" s="9" t="e">
        <f t="shared" ca="1" si="172"/>
        <v>#N/A</v>
      </c>
      <c r="AE133" s="27" t="e">
        <f t="shared" ca="1" si="188"/>
        <v>#N/A</v>
      </c>
      <c r="AF133" s="27">
        <f t="shared" ca="1" si="188"/>
        <v>8200</v>
      </c>
      <c r="AG133" s="27">
        <f t="shared" ca="1" si="188"/>
        <v>0</v>
      </c>
      <c r="AH133" s="27">
        <f t="shared" si="188"/>
        <v>0</v>
      </c>
      <c r="AI133" s="27" t="e">
        <f ca="1">AK63</f>
        <v>#N/A</v>
      </c>
      <c r="AJ133" s="211"/>
      <c r="AK133" s="377" t="e">
        <f t="shared" ca="1" si="175"/>
        <v>#N/A</v>
      </c>
      <c r="AM133" s="9" t="e">
        <f t="shared" ca="1" si="176"/>
        <v>#N/A</v>
      </c>
      <c r="AN133" s="27" t="e">
        <f t="shared" ca="1" si="189"/>
        <v>#N/A</v>
      </c>
      <c r="AO133" s="27">
        <f t="shared" ca="1" si="189"/>
        <v>0</v>
      </c>
      <c r="AP133" s="27" t="e">
        <f t="shared" ca="1" si="189"/>
        <v>#N/A</v>
      </c>
      <c r="AQ133" s="27">
        <f t="shared" ca="1" si="189"/>
        <v>0</v>
      </c>
      <c r="AR133" s="27" t="e">
        <f ca="1">AT63</f>
        <v>#N/A</v>
      </c>
      <c r="AS133" s="211"/>
      <c r="AT133" s="377" t="e">
        <f t="shared" ca="1" si="179"/>
        <v>#N/A</v>
      </c>
      <c r="AV133" s="9" t="e">
        <f t="shared" ca="1" si="180"/>
        <v>#N/A</v>
      </c>
      <c r="AW133" s="27" t="e">
        <f t="shared" ca="1" si="190"/>
        <v>#N/A</v>
      </c>
      <c r="AX133" s="27">
        <f t="shared" ca="1" si="190"/>
        <v>0</v>
      </c>
      <c r="AY133" s="27" t="e">
        <f t="shared" ca="1" si="190"/>
        <v>#N/A</v>
      </c>
      <c r="AZ133" s="27">
        <f t="shared" ca="1" si="190"/>
        <v>0</v>
      </c>
      <c r="BA133" s="27" t="e">
        <f ca="1">BC63</f>
        <v>#N/A</v>
      </c>
      <c r="BB133" s="211"/>
      <c r="BC133" s="377" t="e">
        <f t="shared" ca="1" si="183"/>
        <v>#N/A</v>
      </c>
    </row>
    <row r="134" spans="2:55" x14ac:dyDescent="0.25">
      <c r="B134" s="9" t="e">
        <f t="shared" si="184"/>
        <v>#N/A</v>
      </c>
      <c r="C134" s="9">
        <f t="shared" ca="1" si="160"/>
        <v>0</v>
      </c>
      <c r="D134" s="27">
        <f t="shared" ca="1" si="160"/>
        <v>0</v>
      </c>
      <c r="E134" s="27">
        <f t="shared" si="160"/>
        <v>0</v>
      </c>
      <c r="F134" s="27" t="e">
        <f t="shared" ca="1" si="160"/>
        <v>#N/A</v>
      </c>
      <c r="G134" s="27">
        <f t="shared" ca="1" si="160"/>
        <v>8200</v>
      </c>
      <c r="H134" s="27" t="e">
        <f ca="1">J64</f>
        <v>#N/A</v>
      </c>
      <c r="I134" s="211"/>
      <c r="J134" s="377" t="e">
        <f t="shared" ca="1" si="163"/>
        <v>#N/A</v>
      </c>
      <c r="L134" s="9" t="e">
        <f t="shared" ca="1" si="164"/>
        <v>#N/A</v>
      </c>
      <c r="M134" s="27" t="e">
        <f t="shared" ca="1" si="186"/>
        <v>#N/A</v>
      </c>
      <c r="N134" s="27">
        <f t="shared" ca="1" si="186"/>
        <v>8200</v>
      </c>
      <c r="O134" s="27" t="e">
        <f t="shared" ca="1" si="186"/>
        <v>#N/A</v>
      </c>
      <c r="P134" s="27">
        <f t="shared" ca="1" si="186"/>
        <v>8200</v>
      </c>
      <c r="Q134" s="27" t="e">
        <f ca="1">S64</f>
        <v>#N/A</v>
      </c>
      <c r="R134" s="211"/>
      <c r="S134" s="377" t="e">
        <f t="shared" ca="1" si="167"/>
        <v>#N/A</v>
      </c>
      <c r="U134" s="9" t="e">
        <f t="shared" ca="1" si="168"/>
        <v>#N/A</v>
      </c>
      <c r="V134" s="27" t="e">
        <f t="shared" ca="1" si="187"/>
        <v>#N/A</v>
      </c>
      <c r="W134" s="27">
        <f t="shared" ca="1" si="187"/>
        <v>8200</v>
      </c>
      <c r="X134" s="27" t="e">
        <f t="shared" ca="1" si="187"/>
        <v>#N/A</v>
      </c>
      <c r="Y134" s="27">
        <f t="shared" ca="1" si="187"/>
        <v>8200</v>
      </c>
      <c r="Z134" s="27" t="e">
        <f ca="1">AB64</f>
        <v>#N/A</v>
      </c>
      <c r="AA134" s="211"/>
      <c r="AB134" s="377" t="e">
        <f t="shared" ca="1" si="171"/>
        <v>#N/A</v>
      </c>
      <c r="AD134" s="9" t="e">
        <f t="shared" ca="1" si="172"/>
        <v>#N/A</v>
      </c>
      <c r="AE134" s="27" t="e">
        <f t="shared" ca="1" si="188"/>
        <v>#N/A</v>
      </c>
      <c r="AF134" s="27">
        <f t="shared" ca="1" si="188"/>
        <v>8200</v>
      </c>
      <c r="AG134" s="27">
        <f t="shared" ca="1" si="188"/>
        <v>0</v>
      </c>
      <c r="AH134" s="27">
        <f t="shared" si="188"/>
        <v>0</v>
      </c>
      <c r="AI134" s="27" t="e">
        <f ca="1">AK64</f>
        <v>#N/A</v>
      </c>
      <c r="AJ134" s="211"/>
      <c r="AK134" s="377" t="e">
        <f t="shared" ca="1" si="175"/>
        <v>#N/A</v>
      </c>
      <c r="AM134" s="9" t="e">
        <f t="shared" ca="1" si="176"/>
        <v>#N/A</v>
      </c>
      <c r="AN134" s="27" t="e">
        <f t="shared" ca="1" si="189"/>
        <v>#N/A</v>
      </c>
      <c r="AO134" s="27">
        <f t="shared" ca="1" si="189"/>
        <v>0</v>
      </c>
      <c r="AP134" s="27" t="e">
        <f t="shared" ca="1" si="189"/>
        <v>#N/A</v>
      </c>
      <c r="AQ134" s="27">
        <f t="shared" ca="1" si="189"/>
        <v>0</v>
      </c>
      <c r="AR134" s="27" t="e">
        <f ca="1">AT64</f>
        <v>#N/A</v>
      </c>
      <c r="AS134" s="211"/>
      <c r="AT134" s="377" t="e">
        <f t="shared" ca="1" si="179"/>
        <v>#N/A</v>
      </c>
      <c r="AV134" s="9" t="e">
        <f t="shared" ca="1" si="180"/>
        <v>#N/A</v>
      </c>
      <c r="AW134" s="27" t="e">
        <f t="shared" ca="1" si="190"/>
        <v>#N/A</v>
      </c>
      <c r="AX134" s="27">
        <f t="shared" ca="1" si="190"/>
        <v>0</v>
      </c>
      <c r="AY134" s="27" t="e">
        <f t="shared" ca="1" si="190"/>
        <v>#N/A</v>
      </c>
      <c r="AZ134" s="27">
        <f t="shared" ca="1" si="190"/>
        <v>0</v>
      </c>
      <c r="BA134" s="27" t="e">
        <f ca="1">BC64</f>
        <v>#N/A</v>
      </c>
      <c r="BB134" s="211"/>
      <c r="BC134" s="377" t="e">
        <f t="shared" ca="1" si="183"/>
        <v>#N/A</v>
      </c>
    </row>
    <row r="135" spans="2:55" ht="15.75" thickBot="1" x14ac:dyDescent="0.3">
      <c r="B135" s="15" t="e">
        <f t="shared" si="184"/>
        <v>#N/A</v>
      </c>
      <c r="C135" s="15">
        <f t="shared" ca="1" si="160"/>
        <v>0</v>
      </c>
      <c r="D135" s="216">
        <f t="shared" ca="1" si="160"/>
        <v>0</v>
      </c>
      <c r="E135" s="216">
        <f t="shared" si="160"/>
        <v>0</v>
      </c>
      <c r="F135" s="216" t="e">
        <f t="shared" ca="1" si="160"/>
        <v>#N/A</v>
      </c>
      <c r="G135" s="216">
        <f t="shared" ca="1" si="160"/>
        <v>8200</v>
      </c>
      <c r="H135" s="216" t="e">
        <f ca="1">J65</f>
        <v>#N/A</v>
      </c>
      <c r="I135" s="380"/>
      <c r="J135" s="378" t="e">
        <f t="shared" ca="1" si="163"/>
        <v>#N/A</v>
      </c>
      <c r="L135" s="15" t="e">
        <f t="shared" ca="1" si="164"/>
        <v>#N/A</v>
      </c>
      <c r="M135" s="216" t="e">
        <f t="shared" ca="1" si="186"/>
        <v>#N/A</v>
      </c>
      <c r="N135" s="216">
        <f t="shared" ca="1" si="186"/>
        <v>8200</v>
      </c>
      <c r="O135" s="216" t="e">
        <f t="shared" ca="1" si="186"/>
        <v>#N/A</v>
      </c>
      <c r="P135" s="216">
        <f t="shared" ca="1" si="186"/>
        <v>8200</v>
      </c>
      <c r="Q135" s="216" t="e">
        <f ca="1">S65</f>
        <v>#N/A</v>
      </c>
      <c r="R135" s="380"/>
      <c r="S135" s="378" t="e">
        <f t="shared" ca="1" si="167"/>
        <v>#N/A</v>
      </c>
      <c r="U135" s="15" t="e">
        <f t="shared" ca="1" si="168"/>
        <v>#N/A</v>
      </c>
      <c r="V135" s="216" t="e">
        <f t="shared" ca="1" si="187"/>
        <v>#N/A</v>
      </c>
      <c r="W135" s="216">
        <f t="shared" ca="1" si="187"/>
        <v>8200</v>
      </c>
      <c r="X135" s="216" t="e">
        <f t="shared" ca="1" si="187"/>
        <v>#N/A</v>
      </c>
      <c r="Y135" s="216">
        <f t="shared" ca="1" si="187"/>
        <v>8200</v>
      </c>
      <c r="Z135" s="216" t="e">
        <f ca="1">AB65</f>
        <v>#N/A</v>
      </c>
      <c r="AA135" s="380"/>
      <c r="AB135" s="378" t="e">
        <f t="shared" ca="1" si="171"/>
        <v>#N/A</v>
      </c>
      <c r="AD135" s="15" t="e">
        <f t="shared" ca="1" si="172"/>
        <v>#N/A</v>
      </c>
      <c r="AE135" s="216" t="e">
        <f t="shared" ca="1" si="188"/>
        <v>#N/A</v>
      </c>
      <c r="AF135" s="216">
        <f t="shared" ca="1" si="188"/>
        <v>8200</v>
      </c>
      <c r="AG135" s="216">
        <f t="shared" ca="1" si="188"/>
        <v>0</v>
      </c>
      <c r="AH135" s="216">
        <f t="shared" si="188"/>
        <v>0</v>
      </c>
      <c r="AI135" s="216" t="e">
        <f ca="1">AK65</f>
        <v>#N/A</v>
      </c>
      <c r="AJ135" s="380"/>
      <c r="AK135" s="378" t="e">
        <f t="shared" ca="1" si="175"/>
        <v>#N/A</v>
      </c>
      <c r="AM135" s="15" t="e">
        <f t="shared" ca="1" si="176"/>
        <v>#N/A</v>
      </c>
      <c r="AN135" s="216" t="e">
        <f t="shared" ca="1" si="189"/>
        <v>#N/A</v>
      </c>
      <c r="AO135" s="216">
        <f t="shared" ca="1" si="189"/>
        <v>0</v>
      </c>
      <c r="AP135" s="216" t="e">
        <f t="shared" ca="1" si="189"/>
        <v>#N/A</v>
      </c>
      <c r="AQ135" s="216">
        <f t="shared" ca="1" si="189"/>
        <v>0</v>
      </c>
      <c r="AR135" s="216" t="e">
        <f ca="1">AT65</f>
        <v>#N/A</v>
      </c>
      <c r="AS135" s="380"/>
      <c r="AT135" s="378" t="e">
        <f t="shared" ca="1" si="179"/>
        <v>#N/A</v>
      </c>
      <c r="AV135" s="15" t="e">
        <f t="shared" ca="1" si="180"/>
        <v>#N/A</v>
      </c>
      <c r="AW135" s="216" t="e">
        <f t="shared" ca="1" si="190"/>
        <v>#N/A</v>
      </c>
      <c r="AX135" s="216">
        <f t="shared" ca="1" si="190"/>
        <v>0</v>
      </c>
      <c r="AY135" s="216" t="e">
        <f t="shared" ca="1" si="190"/>
        <v>#N/A</v>
      </c>
      <c r="AZ135" s="216">
        <f t="shared" ca="1" si="190"/>
        <v>0</v>
      </c>
      <c r="BA135" s="216" t="e">
        <f ca="1">BC65</f>
        <v>#N/A</v>
      </c>
      <c r="BB135" s="380"/>
      <c r="BC135" s="378" t="e">
        <f t="shared" ca="1" si="183"/>
        <v>#N/A</v>
      </c>
    </row>
  </sheetData>
  <mergeCells count="12">
    <mergeCell ref="K15:O15"/>
    <mergeCell ref="Z15:AD15"/>
    <mergeCell ref="C14:P14"/>
    <mergeCell ref="R14:AE14"/>
    <mergeCell ref="AG14:AT14"/>
    <mergeCell ref="AV14:BI14"/>
    <mergeCell ref="AO15:AS15"/>
    <mergeCell ref="BD15:BH15"/>
    <mergeCell ref="BK14:BX14"/>
    <mergeCell ref="BZ14:CM14"/>
    <mergeCell ref="BS15:BW15"/>
    <mergeCell ref="CH15:CL15"/>
  </mergeCells>
  <dataValidations disablePrompts="1" count="1">
    <dataValidation type="list" allowBlank="1" showInputMessage="1" showErrorMessage="1" sqref="M83">
      <formula1>"Space, Perimeter"</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AQ127"/>
  <sheetViews>
    <sheetView topLeftCell="A100" zoomScaleNormal="100" workbookViewId="0">
      <selection activeCell="C6" sqref="C6"/>
    </sheetView>
  </sheetViews>
  <sheetFormatPr defaultRowHeight="15" x14ac:dyDescent="0.25"/>
  <cols>
    <col min="1" max="1" width="5.28515625" customWidth="1"/>
    <col min="2" max="2" width="28.7109375" customWidth="1"/>
    <col min="3" max="3" width="25" customWidth="1"/>
    <col min="9" max="9" width="10" bestFit="1" customWidth="1"/>
    <col min="10" max="11" width="11.140625" customWidth="1"/>
    <col min="12" max="12" width="13.85546875" customWidth="1"/>
    <col min="13" max="13" width="14.140625" customWidth="1"/>
    <col min="14" max="14" width="11.140625" customWidth="1"/>
    <col min="15" max="15" width="13.140625" customWidth="1"/>
    <col min="16" max="16" width="11.140625" customWidth="1"/>
    <col min="17" max="17" width="18.5703125" customWidth="1"/>
    <col min="18" max="19" width="11.140625" customWidth="1"/>
    <col min="20" max="20" width="11.5703125" bestFit="1" customWidth="1"/>
    <col min="21" max="21" width="12.5703125" bestFit="1" customWidth="1"/>
    <col min="22" max="22" width="11" bestFit="1" customWidth="1"/>
    <col min="23" max="23" width="9.5703125" customWidth="1"/>
    <col min="24" max="24" width="13.85546875" bestFit="1" customWidth="1"/>
    <col min="29" max="29" width="13.7109375" customWidth="1"/>
  </cols>
  <sheetData>
    <row r="1" spans="1:33" x14ac:dyDescent="0.25">
      <c r="A1" s="1" t="s">
        <v>458</v>
      </c>
      <c r="B1" t="s">
        <v>459</v>
      </c>
      <c r="C1" t="s">
        <v>460</v>
      </c>
      <c r="L1" t="s">
        <v>461</v>
      </c>
      <c r="M1" t="s">
        <v>462</v>
      </c>
    </row>
    <row r="2" spans="1:33" x14ac:dyDescent="0.25">
      <c r="A2" s="1" t="s">
        <v>458</v>
      </c>
      <c r="B2" t="s">
        <v>463</v>
      </c>
      <c r="C2" t="s">
        <v>464</v>
      </c>
      <c r="K2" s="5" t="s">
        <v>465</v>
      </c>
      <c r="L2">
        <v>40201</v>
      </c>
      <c r="M2">
        <v>40504</v>
      </c>
      <c r="N2" t="s">
        <v>466</v>
      </c>
    </row>
    <row r="3" spans="1:33" x14ac:dyDescent="0.25">
      <c r="A3" s="1" t="s">
        <v>458</v>
      </c>
      <c r="B3" t="s">
        <v>467</v>
      </c>
      <c r="C3" t="s">
        <v>468</v>
      </c>
      <c r="L3">
        <v>301011</v>
      </c>
      <c r="M3">
        <v>304041</v>
      </c>
      <c r="N3" t="s">
        <v>469</v>
      </c>
    </row>
    <row r="4" spans="1:33" x14ac:dyDescent="0.25">
      <c r="A4" s="1" t="s">
        <v>458</v>
      </c>
      <c r="B4" t="s">
        <v>470</v>
      </c>
      <c r="C4" s="2">
        <v>43594</v>
      </c>
      <c r="L4" s="3">
        <v>202011</v>
      </c>
      <c r="M4">
        <v>205032</v>
      </c>
      <c r="N4" t="s">
        <v>471</v>
      </c>
      <c r="Q4" s="161" t="s">
        <v>472</v>
      </c>
    </row>
    <row r="5" spans="1:33" ht="15.75" thickBot="1" x14ac:dyDescent="0.3">
      <c r="A5" s="164" t="s">
        <v>473</v>
      </c>
      <c r="L5">
        <v>601</v>
      </c>
      <c r="M5">
        <v>604</v>
      </c>
      <c r="N5" t="s">
        <v>474</v>
      </c>
      <c r="Q5" s="161" t="s">
        <v>475</v>
      </c>
    </row>
    <row r="6" spans="1:33" ht="15.75" thickBot="1" x14ac:dyDescent="0.3">
      <c r="B6" s="21" t="s">
        <v>476</v>
      </c>
      <c r="C6" s="341">
        <f>RxnCheck!C11</f>
        <v>35053</v>
      </c>
      <c r="L6" s="33">
        <v>50201</v>
      </c>
      <c r="M6" s="33">
        <v>50804</v>
      </c>
      <c r="N6" s="33" t="s">
        <v>477</v>
      </c>
      <c r="O6" s="33"/>
      <c r="P6" s="33"/>
    </row>
    <row r="7" spans="1:33" x14ac:dyDescent="0.25">
      <c r="B7" t="s">
        <v>478</v>
      </c>
      <c r="C7" s="1">
        <f>RxnCheck!C13</f>
        <v>5</v>
      </c>
      <c r="L7" s="33">
        <v>601011</v>
      </c>
      <c r="M7" s="33">
        <v>607041</v>
      </c>
      <c r="N7" s="33" t="s">
        <v>479</v>
      </c>
      <c r="O7" s="33"/>
      <c r="P7" s="33"/>
    </row>
    <row r="8" spans="1:33" x14ac:dyDescent="0.25">
      <c r="B8" t="s">
        <v>480</v>
      </c>
      <c r="C8" s="1">
        <f>RxnCheck!C12</f>
        <v>3</v>
      </c>
      <c r="K8" s="5" t="s">
        <v>481</v>
      </c>
      <c r="L8">
        <v>201011</v>
      </c>
      <c r="M8">
        <v>201043</v>
      </c>
      <c r="N8" t="s">
        <v>482</v>
      </c>
    </row>
    <row r="9" spans="1:33" x14ac:dyDescent="0.25">
      <c r="L9">
        <v>202011</v>
      </c>
      <c r="M9">
        <v>205044</v>
      </c>
      <c r="N9" t="s">
        <v>483</v>
      </c>
      <c r="T9" t="s">
        <v>484</v>
      </c>
    </row>
    <row r="10" spans="1:33" ht="15.75" x14ac:dyDescent="0.25">
      <c r="B10" s="894" t="s">
        <v>485</v>
      </c>
      <c r="C10" s="895" t="str">
        <f>RxnCheck!C2</f>
        <v>IS 1893-1 (2016)</v>
      </c>
      <c r="D10" s="844">
        <f>IF(C10 = "IS 1893 (1984)", 1, IF(C10 = "IS 1893-1 (2002)", 2, IF(C10 = "IS 1893-1 (2016)", 3)))</f>
        <v>3</v>
      </c>
      <c r="F10" s="345" t="s">
        <v>486</v>
      </c>
      <c r="L10">
        <v>301</v>
      </c>
      <c r="M10">
        <v>305</v>
      </c>
      <c r="N10" t="s">
        <v>487</v>
      </c>
      <c r="S10" t="s">
        <v>488</v>
      </c>
      <c r="T10">
        <v>0.02</v>
      </c>
      <c r="U10">
        <v>3.12680548137515</v>
      </c>
      <c r="V10">
        <v>26.6225305532157</v>
      </c>
      <c r="W10">
        <v>78.446610983323396</v>
      </c>
      <c r="X10">
        <v>172.111300253472</v>
      </c>
      <c r="Y10">
        <v>309.352618080892</v>
      </c>
      <c r="Z10">
        <v>511.70549111530698</v>
      </c>
      <c r="AA10">
        <v>778.01106357142896</v>
      </c>
      <c r="AB10">
        <v>860.28516221622294</v>
      </c>
      <c r="AC10">
        <v>950.18871318799097</v>
      </c>
      <c r="AD10">
        <v>1099.5428264346101</v>
      </c>
      <c r="AE10">
        <v>1208.8754006809399</v>
      </c>
      <c r="AF10">
        <v>1222.58502309645</v>
      </c>
      <c r="AG10">
        <v>1642.1338351749</v>
      </c>
    </row>
    <row r="11" spans="1:33" ht="16.5" thickBot="1" x14ac:dyDescent="0.3">
      <c r="B11" s="894" t="s">
        <v>489</v>
      </c>
      <c r="C11" s="895" t="str">
        <f>RxnCheck!C3</f>
        <v>Special 13920 (2016)</v>
      </c>
      <c r="D11" s="844">
        <f>IF(C11 = "Ordinary", 1, IF(C11 = "Special", 2, IF(C11 = "Special 13920 (1993)", 3, IF(C11 = "Special 13920 (2016)", 4))))</f>
        <v>4</v>
      </c>
      <c r="F11" t="s">
        <v>490</v>
      </c>
      <c r="L11" s="33">
        <v>202016</v>
      </c>
      <c r="M11" t="s">
        <v>491</v>
      </c>
      <c r="N11" s="33" t="s">
        <v>492</v>
      </c>
      <c r="O11" s="33"/>
      <c r="P11" s="33"/>
      <c r="S11" t="s">
        <v>493</v>
      </c>
      <c r="T11" s="23">
        <f t="shared" ref="T11:AC11" si="0">2*PI()/SQRT(T10)</f>
        <v>44.428829381583661</v>
      </c>
      <c r="U11" s="23">
        <f t="shared" si="0"/>
        <v>3.5532800377957403</v>
      </c>
      <c r="V11" s="23">
        <f t="shared" si="0"/>
        <v>1.2177417649061208</v>
      </c>
      <c r="W11" s="23">
        <f t="shared" si="0"/>
        <v>0.7094025990905457</v>
      </c>
      <c r="X11" s="23">
        <f t="shared" si="0"/>
        <v>0.47893345569801365</v>
      </c>
      <c r="Y11" s="23">
        <f t="shared" si="0"/>
        <v>0.35723415132224678</v>
      </c>
      <c r="Z11" s="23">
        <f t="shared" si="0"/>
        <v>0.27776008068417746</v>
      </c>
      <c r="AA11" s="23">
        <f t="shared" si="0"/>
        <v>0.22526150529796882</v>
      </c>
      <c r="AB11" s="23">
        <f t="shared" si="0"/>
        <v>0.21421932776283267</v>
      </c>
      <c r="AC11" s="23">
        <f t="shared" si="0"/>
        <v>0.20383320568646804</v>
      </c>
    </row>
    <row r="12" spans="1:33" ht="15.75" x14ac:dyDescent="0.25">
      <c r="B12" s="894" t="s">
        <v>494</v>
      </c>
      <c r="C12" s="895">
        <f>RxnCheck!C4</f>
        <v>1.4</v>
      </c>
      <c r="D12" t="str">
        <f>RxnCheck!D4</f>
        <v/>
      </c>
      <c r="F12" s="1073" t="s">
        <v>495</v>
      </c>
      <c r="G12" s="327" t="s">
        <v>496</v>
      </c>
      <c r="H12" s="132">
        <f>IF(G12="EI_yld", 1, IF(G12="EI_stf40",2))</f>
        <v>2</v>
      </c>
      <c r="K12" s="5" t="s">
        <v>497</v>
      </c>
      <c r="L12" s="5">
        <v>30101</v>
      </c>
      <c r="M12" s="5">
        <v>30404</v>
      </c>
      <c r="N12" t="s">
        <v>498</v>
      </c>
      <c r="Q12" s="161" t="s">
        <v>499</v>
      </c>
    </row>
    <row r="13" spans="1:33" ht="16.5" thickBot="1" x14ac:dyDescent="0.3">
      <c r="B13" s="894" t="s">
        <v>45</v>
      </c>
      <c r="C13" s="895" t="str">
        <f>RxnCheck!C5</f>
        <v>Haselton</v>
      </c>
      <c r="D13" s="844">
        <f>IF(C13 = "Haselton", 1, IF(C13 = "ElwoodHingeAtColTop", 2, IF(C13 = "ElwoodShearHingeAtColTopAndBeamEnds", 3)))</f>
        <v>1</v>
      </c>
      <c r="F13" s="183" t="s">
        <v>500</v>
      </c>
      <c r="G13" s="346" t="s">
        <v>501</v>
      </c>
      <c r="H13" s="133">
        <f>IF(G13="Full", 1, IF(G13="Simplified",2))</f>
        <v>1</v>
      </c>
      <c r="L13" s="5">
        <v>20201</v>
      </c>
      <c r="M13" s="5">
        <v>20503</v>
      </c>
      <c r="N13" t="s">
        <v>502</v>
      </c>
      <c r="Q13" s="161" t="s">
        <v>499</v>
      </c>
      <c r="S13" t="s">
        <v>488</v>
      </c>
      <c r="T13" s="19" t="s">
        <v>503</v>
      </c>
      <c r="U13" s="19"/>
      <c r="V13" s="19"/>
      <c r="W13" s="19"/>
      <c r="X13" s="19"/>
      <c r="Y13" s="19"/>
      <c r="Z13" s="19"/>
      <c r="AA13" s="19"/>
      <c r="AB13" s="19"/>
      <c r="AC13" s="19"/>
      <c r="AD13" s="19"/>
      <c r="AE13" s="19"/>
      <c r="AF13" s="19"/>
      <c r="AG13" s="19"/>
    </row>
    <row r="14" spans="1:33" x14ac:dyDescent="0.25">
      <c r="L14">
        <v>6011</v>
      </c>
      <c r="M14">
        <v>6042</v>
      </c>
      <c r="N14" t="s">
        <v>504</v>
      </c>
      <c r="S14" t="s">
        <v>493</v>
      </c>
      <c r="T14" s="23" t="e">
        <f t="shared" ref="T14:AC14" si="1">2*PI()/SQRT(T13)</f>
        <v>#VALUE!</v>
      </c>
      <c r="U14" s="23" t="e">
        <f t="shared" si="1"/>
        <v>#DIV/0!</v>
      </c>
      <c r="V14" s="23" t="e">
        <f t="shared" si="1"/>
        <v>#DIV/0!</v>
      </c>
      <c r="W14" s="23" t="e">
        <f t="shared" si="1"/>
        <v>#DIV/0!</v>
      </c>
      <c r="X14" s="23" t="e">
        <f t="shared" si="1"/>
        <v>#DIV/0!</v>
      </c>
      <c r="Y14" s="23" t="e">
        <f t="shared" si="1"/>
        <v>#DIV/0!</v>
      </c>
      <c r="Z14" s="23" t="e">
        <f t="shared" si="1"/>
        <v>#DIV/0!</v>
      </c>
      <c r="AA14" s="23" t="e">
        <f t="shared" si="1"/>
        <v>#DIV/0!</v>
      </c>
      <c r="AB14" s="23" t="e">
        <f t="shared" si="1"/>
        <v>#DIV/0!</v>
      </c>
      <c r="AC14" s="23" t="e">
        <f t="shared" si="1"/>
        <v>#DIV/0!</v>
      </c>
    </row>
    <row r="15" spans="1:33" ht="18" x14ac:dyDescent="0.35">
      <c r="B15" t="s">
        <v>505</v>
      </c>
      <c r="C15" s="14">
        <v>50</v>
      </c>
      <c r="D15" t="s">
        <v>241</v>
      </c>
      <c r="L15">
        <v>40201</v>
      </c>
      <c r="M15">
        <v>40504</v>
      </c>
      <c r="N15" t="s">
        <v>506</v>
      </c>
      <c r="T15" t="s">
        <v>507</v>
      </c>
    </row>
    <row r="16" spans="1:33" x14ac:dyDescent="0.25">
      <c r="B16" t="s">
        <v>508</v>
      </c>
      <c r="C16" s="23">
        <f>C15+1.645*IF(C15&gt;=30,5,IF(C15&gt;=20,4,IF(C15&gt;=10,3.5)))</f>
        <v>58.225000000000001</v>
      </c>
      <c r="D16" t="s">
        <v>241</v>
      </c>
      <c r="E16" s="3" t="s">
        <v>509</v>
      </c>
      <c r="L16">
        <v>5011</v>
      </c>
      <c r="M16">
        <v>5041</v>
      </c>
      <c r="N16" t="s">
        <v>510</v>
      </c>
      <c r="S16" t="s">
        <v>488</v>
      </c>
      <c r="T16" s="19"/>
      <c r="U16" s="19"/>
      <c r="V16" s="19"/>
      <c r="W16" s="19"/>
      <c r="X16" s="19"/>
      <c r="Y16" s="19"/>
      <c r="Z16" s="373"/>
      <c r="AA16" s="19"/>
      <c r="AB16" s="19"/>
      <c r="AC16" s="19"/>
      <c r="AD16" s="19"/>
      <c r="AE16" s="19"/>
      <c r="AF16" s="19"/>
      <c r="AG16" s="19"/>
    </row>
    <row r="17" spans="2:43" ht="18" x14ac:dyDescent="0.35">
      <c r="B17" t="s">
        <v>511</v>
      </c>
      <c r="C17" s="14">
        <v>50</v>
      </c>
      <c r="D17" t="s">
        <v>241</v>
      </c>
      <c r="L17">
        <v>5022</v>
      </c>
      <c r="M17">
        <v>5052</v>
      </c>
      <c r="N17" t="s">
        <v>512</v>
      </c>
      <c r="S17" t="s">
        <v>493</v>
      </c>
      <c r="T17" s="23"/>
      <c r="U17" s="23"/>
      <c r="V17" s="23"/>
      <c r="W17" s="23"/>
      <c r="X17" s="23"/>
      <c r="Y17" s="23"/>
      <c r="Z17" s="23"/>
      <c r="AA17" s="23"/>
      <c r="AB17" s="23"/>
      <c r="AC17" s="23"/>
    </row>
    <row r="18" spans="2:43" ht="18" x14ac:dyDescent="0.35">
      <c r="B18" t="s">
        <v>513</v>
      </c>
      <c r="C18" s="23">
        <f>C17+1.645*IF(C17&gt;=30,5,IF(C17&gt;=20,4,IF(C17&gt;=10,3.5)))</f>
        <v>58.225000000000001</v>
      </c>
      <c r="D18" t="s">
        <v>241</v>
      </c>
      <c r="E18" s="126" t="s">
        <v>514</v>
      </c>
      <c r="L18" s="33">
        <v>60201</v>
      </c>
      <c r="M18" s="33">
        <v>60804</v>
      </c>
      <c r="N18" s="33" t="s">
        <v>515</v>
      </c>
      <c r="O18" s="33"/>
      <c r="T18" t="s">
        <v>516</v>
      </c>
    </row>
    <row r="19" spans="2:43" ht="18.75" thickBot="1" x14ac:dyDescent="0.4">
      <c r="E19" s="323" t="s">
        <v>517</v>
      </c>
      <c r="L19" s="164" t="s">
        <v>518</v>
      </c>
      <c r="S19" t="s">
        <v>488</v>
      </c>
      <c r="T19" s="19"/>
      <c r="U19" s="19"/>
      <c r="V19" s="19"/>
      <c r="W19" s="19"/>
      <c r="X19" s="19"/>
      <c r="Y19" s="19"/>
      <c r="Z19" s="373"/>
      <c r="AA19" s="19"/>
      <c r="AB19" s="19"/>
      <c r="AC19" s="19"/>
      <c r="AD19" s="19"/>
      <c r="AE19" s="19"/>
      <c r="AF19" s="19"/>
      <c r="AG19" s="19"/>
    </row>
    <row r="20" spans="2:43" ht="18.75" thickBot="1" x14ac:dyDescent="0.4">
      <c r="B20" t="s">
        <v>519</v>
      </c>
      <c r="C20" s="14">
        <v>4200</v>
      </c>
      <c r="D20" t="s">
        <v>520</v>
      </c>
      <c r="E20" s="3" t="s">
        <v>521</v>
      </c>
      <c r="M20" s="6" t="s">
        <v>522</v>
      </c>
      <c r="N20" s="324">
        <f ca="1">N22</f>
        <v>0.7119644460449811</v>
      </c>
      <c r="O20" s="7" t="s">
        <v>160</v>
      </c>
      <c r="P20" s="7"/>
      <c r="Q20" s="8"/>
      <c r="S20" t="s">
        <v>493</v>
      </c>
      <c r="T20" s="23"/>
      <c r="U20" s="23"/>
      <c r="V20" s="23"/>
      <c r="W20" s="23"/>
      <c r="X20" s="23"/>
      <c r="Y20" s="23"/>
      <c r="Z20" s="23"/>
      <c r="AA20" s="23"/>
      <c r="AB20" s="23"/>
      <c r="AC20" s="23"/>
    </row>
    <row r="21" spans="2:43" ht="15.75" thickBot="1" x14ac:dyDescent="0.3">
      <c r="B21" s="37" t="s">
        <v>523</v>
      </c>
      <c r="C21" s="14">
        <v>3.5000000000000001E-3</v>
      </c>
      <c r="D21" t="s">
        <v>524</v>
      </c>
      <c r="E21" s="3" t="s">
        <v>525</v>
      </c>
      <c r="M21" s="9" t="s">
        <v>526</v>
      </c>
      <c r="N21" s="50">
        <f>IF(O21="ASCE 7-05",IF(N20&lt;=0.5,1,IF(N20&gt;2.5,2,1+(N20-0.5)/2)),2)</f>
        <v>2</v>
      </c>
      <c r="O21" s="125" t="s">
        <v>527</v>
      </c>
      <c r="P21" t="str">
        <f>IF(O21="ASCE 7-05","(cl 12.8.3)","(cl 7.7.1)")</f>
        <v>(cl 7.7.1)</v>
      </c>
      <c r="Q21" s="10"/>
      <c r="AG21" s="927" t="s">
        <v>528</v>
      </c>
      <c r="AH21" s="1075">
        <f>$C$7</f>
        <v>5</v>
      </c>
      <c r="AI21" s="1070" t="s">
        <v>529</v>
      </c>
      <c r="AJ21" s="1072">
        <f>$C$8</f>
        <v>3</v>
      </c>
      <c r="AK21" s="928" t="s">
        <v>530</v>
      </c>
      <c r="AL21" s="1072">
        <f>18+($AJ$21+2)*$AH$21</f>
        <v>43</v>
      </c>
    </row>
    <row r="22" spans="2:43" ht="15.75" thickBot="1" x14ac:dyDescent="0.3">
      <c r="E22" s="323" t="s">
        <v>531</v>
      </c>
      <c r="M22" s="329" t="s">
        <v>532</v>
      </c>
      <c r="N22" s="162">
        <f ca="1">IF(O21="ASCE 7-05",0.0466*(P24/1000)^0.9,IF(O21="IS 1893-2002",0.075*(P24/1000)^0.75,IF(O21="IS 1893-1984",0.1*C7)))</f>
        <v>0.7119644460449811</v>
      </c>
      <c r="O22" s="18" t="s">
        <v>160</v>
      </c>
      <c r="P22" t="s">
        <v>533</v>
      </c>
      <c r="Q22" s="10"/>
      <c r="S22" s="325"/>
      <c r="AG22" s="929" t="s">
        <v>534</v>
      </c>
      <c r="AH22" s="930" t="s">
        <v>535</v>
      </c>
    </row>
    <row r="23" spans="2:43" ht="15.75" thickBot="1" x14ac:dyDescent="0.3">
      <c r="B23" t="s">
        <v>536</v>
      </c>
      <c r="C23" s="14">
        <v>500</v>
      </c>
      <c r="D23" t="s">
        <v>241</v>
      </c>
      <c r="M23" s="11" t="s">
        <v>537</v>
      </c>
      <c r="N23" s="12" t="s">
        <v>538</v>
      </c>
      <c r="O23" s="12" t="s">
        <v>539</v>
      </c>
      <c r="P23" s="12" t="s">
        <v>540</v>
      </c>
      <c r="Q23" s="13" t="s">
        <v>541</v>
      </c>
      <c r="R23" s="3" t="s">
        <v>542</v>
      </c>
      <c r="Y23" s="927" t="s">
        <v>543</v>
      </c>
      <c r="Z23" s="1072" t="s">
        <v>332</v>
      </c>
      <c r="AF23" s="1" t="s">
        <v>544</v>
      </c>
      <c r="AG23" s="314" t="s">
        <v>545</v>
      </c>
      <c r="AH23" s="931">
        <v>1</v>
      </c>
      <c r="AI23" s="932">
        <f t="shared" ref="AI23:AQ23" si="2">IFERROR(IF(AH23+1 &lt;= $AJ$21 +1, AH23+1, "-"), "-")</f>
        <v>2</v>
      </c>
      <c r="AJ23" s="932">
        <f t="shared" si="2"/>
        <v>3</v>
      </c>
      <c r="AK23" s="932">
        <f t="shared" si="2"/>
        <v>4</v>
      </c>
      <c r="AL23" s="932" t="str">
        <f t="shared" si="2"/>
        <v>-</v>
      </c>
      <c r="AM23" s="932" t="str">
        <f t="shared" si="2"/>
        <v>-</v>
      </c>
      <c r="AN23" s="932" t="str">
        <f t="shared" si="2"/>
        <v>-</v>
      </c>
      <c r="AO23" s="932" t="str">
        <f t="shared" si="2"/>
        <v>-</v>
      </c>
      <c r="AP23" s="932" t="str">
        <f t="shared" si="2"/>
        <v>-</v>
      </c>
      <c r="AQ23" s="933" t="str">
        <f t="shared" si="2"/>
        <v>-</v>
      </c>
    </row>
    <row r="24" spans="2:43" x14ac:dyDescent="0.25">
      <c r="B24" t="s">
        <v>546</v>
      </c>
      <c r="C24" s="1">
        <f>C23*1.2</f>
        <v>600</v>
      </c>
      <c r="D24" t="s">
        <v>241</v>
      </c>
      <c r="E24" s="126" t="s">
        <v>547</v>
      </c>
      <c r="M24" s="6">
        <f>$C$7</f>
        <v>5</v>
      </c>
      <c r="N24" s="991">
        <f ca="1">IFERROR(OFFSET(DesignFile!$H$15,9*($C$7-M24),0),0)</f>
        <v>3900</v>
      </c>
      <c r="O24" s="328">
        <f t="shared" ref="O24:O30" ca="1" si="3">L96</f>
        <v>1</v>
      </c>
      <c r="P24" s="158">
        <f ca="1">SUM(N24:N43)</f>
        <v>20100</v>
      </c>
      <c r="Q24" s="330">
        <f t="shared" ref="Q24:Q30" ca="1" si="4">O24*POWER(P24,$N$21)/SUMPRODUCT($O$24:$O$43,POWER($P$24:$P$43,$N$21))</f>
        <v>0.44459242366473145</v>
      </c>
      <c r="S24" s="121" t="s">
        <v>548</v>
      </c>
      <c r="T24" s="7">
        <f t="shared" ref="T24:T30" si="5">200000+(M24+1)*1000+13</f>
        <v>206013</v>
      </c>
      <c r="U24" s="996">
        <f t="shared" ref="U24:U30" ca="1" si="6">Q24</f>
        <v>0.44459242366473145</v>
      </c>
      <c r="V24" s="333">
        <v>0</v>
      </c>
      <c r="W24" s="334">
        <v>0</v>
      </c>
      <c r="Y24" s="6">
        <f t="shared" ref="Y24:Y87" si="7">$AH$21-QUOTIENT((ROW()-24), $AJ$21 + 1) + 1</f>
        <v>6</v>
      </c>
      <c r="Z24" s="158">
        <f t="shared" ref="Z24:Z87" si="8">IF(Y24&lt;=1,"-",(ROW()-23) - QUOTIENT(ROW()-24, $AJ$21+1) * ($AJ$21+1))</f>
        <v>1</v>
      </c>
      <c r="AA24" s="6" t="s">
        <v>548</v>
      </c>
      <c r="AB24" s="158">
        <f t="shared" ref="AB24:AB87" si="9">200000+Y24*1000+Z24*10+3</f>
        <v>206013</v>
      </c>
      <c r="AC24" s="934">
        <f t="shared" ref="AC24:AC87" ca="1" si="10">INDEX($U$24:$U$35, $AH$21+2-Y24)*INDEX($AH$24:$AQ$43, $AH$21+2-Y24, Z24)/INDEX($AF$24:$AF$43, $AH$21+2-Y24)</f>
        <v>9.5269805071013888E-2</v>
      </c>
      <c r="AD24" s="173">
        <v>0</v>
      </c>
      <c r="AE24" s="935">
        <v>0</v>
      </c>
      <c r="AF24" s="19">
        <f t="shared" ref="AF24:AF43" ca="1" si="11">SUM(AH24:AQ24)</f>
        <v>423998073377.81616</v>
      </c>
      <c r="AG24" s="936">
        <f>AH21</f>
        <v>5</v>
      </c>
      <c r="AH24" s="937">
        <f ca="1">IFERROR(OFFSET(ModelFile!$A$1,$AL$21+($AJ$21+2)*($AH$21-$AG24)+AH$23-1, 4), "-")</f>
        <v>90856730009.532028</v>
      </c>
      <c r="AI24" s="938">
        <f ca="1">IFERROR(OFFSET(ModelFile!$A$1,$AL$21+($AJ$21+2)*($AH$21-$AG24)+AI$23-1, 4), "-")</f>
        <v>121142306679.37605</v>
      </c>
      <c r="AJ24" s="938">
        <f ca="1">IFERROR(OFFSET(ModelFile!$A$1,$AL$21+($AJ$21+2)*($AH$21-$AG24)+AJ$23-1, 4), "-")</f>
        <v>121142306679.37605</v>
      </c>
      <c r="AK24" s="938">
        <f ca="1">IFERROR(OFFSET(ModelFile!$A$1,$AL$21+($AJ$21+2)*($AH$21-$AG24)+AK$23-1, 4), "-")</f>
        <v>90856730009.532028</v>
      </c>
      <c r="AL24" s="938" t="str">
        <f ca="1">IFERROR(OFFSET(ModelFile!$A$1,$AL$21+($AJ$21+2)*($AH$21-$AG24)+AL$23-1, 4), "-")</f>
        <v>-</v>
      </c>
      <c r="AM24" s="938" t="str">
        <f ca="1">IFERROR(OFFSET(ModelFile!$A$1,$AL$21+($AJ$21+2)*($AH$21-$AG24)+AM$23-1, 4), "-")</f>
        <v>-</v>
      </c>
      <c r="AN24" s="938" t="str">
        <f ca="1">IFERROR(OFFSET(ModelFile!$A$1,$AL$21+($AJ$21+2)*($AH$21-$AG24)+AN$23-1, 4), "-")</f>
        <v>-</v>
      </c>
      <c r="AO24" s="938" t="str">
        <f ca="1">IFERROR(OFFSET(ModelFile!$A$1,$AL$21+($AJ$21+2)*($AH$21-$AG24)+AO$23-1, 4), "-")</f>
        <v>-</v>
      </c>
      <c r="AP24" s="938" t="str">
        <f ca="1">IFERROR(OFFSET(ModelFile!$A$1,$AL$21+($AJ$21+2)*($AH$21-$AG24)+AP$23-1, 4), "-")</f>
        <v>-</v>
      </c>
      <c r="AQ24" s="939" t="str">
        <f ca="1">IFERROR(OFFSET(ModelFile!$A$1,$AL$21+($AJ$21+2)*($AH$21-$AG24)+AQ$23-1, 4), "-")</f>
        <v>-</v>
      </c>
    </row>
    <row r="25" spans="2:43" x14ac:dyDescent="0.25">
      <c r="B25" t="s">
        <v>549</v>
      </c>
      <c r="C25" s="14">
        <v>500</v>
      </c>
      <c r="D25" t="s">
        <v>241</v>
      </c>
      <c r="M25" s="9">
        <f t="shared" ref="M25:M41" si="12">IFERROR(IF(M24-1&gt;0,M24-1,""),"")</f>
        <v>4</v>
      </c>
      <c r="N25" s="992">
        <f ca="1">IFERROR(OFFSET(DesignFile!$H$15,9*($C$7-M25),0),0)</f>
        <v>3900</v>
      </c>
      <c r="O25" s="326">
        <f t="shared" ca="1" si="3"/>
        <v>1</v>
      </c>
      <c r="P25" s="1">
        <f t="shared" ref="P25:P30" ca="1" si="13">P24-N24</f>
        <v>16200</v>
      </c>
      <c r="Q25" s="331">
        <f t="shared" ca="1" si="4"/>
        <v>0.28880185061402469</v>
      </c>
      <c r="S25" s="122" t="s">
        <v>548</v>
      </c>
      <c r="T25">
        <f t="shared" si="5"/>
        <v>205013</v>
      </c>
      <c r="U25" s="997">
        <f t="shared" ca="1" si="6"/>
        <v>0.28880185061402469</v>
      </c>
      <c r="V25" s="41">
        <v>0</v>
      </c>
      <c r="W25" s="336">
        <v>0</v>
      </c>
      <c r="Y25" s="9">
        <f t="shared" si="7"/>
        <v>6</v>
      </c>
      <c r="Z25" s="1">
        <f t="shared" si="8"/>
        <v>2</v>
      </c>
      <c r="AA25" s="9" t="s">
        <v>548</v>
      </c>
      <c r="AB25" s="1">
        <f t="shared" si="9"/>
        <v>206023</v>
      </c>
      <c r="AC25" s="940">
        <f t="shared" ca="1" si="10"/>
        <v>0.12702640676135185</v>
      </c>
      <c r="AD25" s="27">
        <v>0</v>
      </c>
      <c r="AE25" s="941">
        <v>0</v>
      </c>
      <c r="AF25" s="19">
        <f t="shared" ca="1" si="11"/>
        <v>423998073377.81616</v>
      </c>
      <c r="AG25" s="936">
        <f t="shared" ref="AG25:AG43" si="14">IFERROR(IF(AG24-1 = 0, "-", AG24 - 1), "-")</f>
        <v>4</v>
      </c>
      <c r="AH25" s="937">
        <f ca="1">IFERROR(OFFSET(ModelFile!$A$1,$AL$21+($AJ$21+2)*($AH$21-$AG25)+AH$23-1, 4), "-")</f>
        <v>90856730009.532028</v>
      </c>
      <c r="AI25" s="938">
        <f ca="1">IFERROR(OFFSET(ModelFile!$A$1,$AL$21+($AJ$21+2)*($AH$21-$AG25)+AI$23-1, 4), "-")</f>
        <v>121142306679.37605</v>
      </c>
      <c r="AJ25" s="938">
        <f ca="1">IFERROR(OFFSET(ModelFile!$A$1,$AL$21+($AJ$21+2)*($AH$21-$AG25)+AJ$23-1, 4), "-")</f>
        <v>121142306679.37605</v>
      </c>
      <c r="AK25" s="938">
        <f ca="1">IFERROR(OFFSET(ModelFile!$A$1,$AL$21+($AJ$21+2)*($AH$21-$AG25)+AK$23-1, 4), "-")</f>
        <v>90856730009.532028</v>
      </c>
      <c r="AL25" s="938" t="str">
        <f ca="1">IFERROR(OFFSET(ModelFile!$A$1,$AL$21+($AJ$21+2)*($AH$21-$AG25)+AL$23-1, 4), "-")</f>
        <v>-</v>
      </c>
      <c r="AM25" s="938" t="str">
        <f ca="1">IFERROR(OFFSET(ModelFile!$A$1,$AL$21+($AJ$21+2)*($AH$21-$AG25)+AM$23-1, 4), "-")</f>
        <v>-</v>
      </c>
      <c r="AN25" s="938" t="str">
        <f ca="1">IFERROR(OFFSET(ModelFile!$A$1,$AL$21+($AJ$21+2)*($AH$21-$AG25)+AN$23-1, 4), "-")</f>
        <v>-</v>
      </c>
      <c r="AO25" s="938" t="str">
        <f ca="1">IFERROR(OFFSET(ModelFile!$A$1,$AL$21+($AJ$21+2)*($AH$21-$AG25)+AO$23-1, 4), "-")</f>
        <v>-</v>
      </c>
      <c r="AP25" s="938" t="str">
        <f ca="1">IFERROR(OFFSET(ModelFile!$A$1,$AL$21+($AJ$21+2)*($AH$21-$AG25)+AP$23-1, 4), "-")</f>
        <v>-</v>
      </c>
      <c r="AQ25" s="939" t="str">
        <f ca="1">IFERROR(OFFSET(ModelFile!$A$1,$AL$21+($AJ$21+2)*($AH$21-$AG25)+AQ$23-1, 4), "-")</f>
        <v>-</v>
      </c>
    </row>
    <row r="26" spans="2:43" x14ac:dyDescent="0.25">
      <c r="B26" t="s">
        <v>550</v>
      </c>
      <c r="C26" s="1">
        <f>+C25*1.2</f>
        <v>600</v>
      </c>
      <c r="D26" t="s">
        <v>241</v>
      </c>
      <c r="E26" s="126" t="s">
        <v>547</v>
      </c>
      <c r="M26" s="9">
        <f t="shared" si="12"/>
        <v>3</v>
      </c>
      <c r="N26" s="992">
        <f ca="1">IFERROR(OFFSET(DesignFile!$H$15,9*($C$7-M26),0),0)</f>
        <v>3900</v>
      </c>
      <c r="O26" s="326">
        <f t="shared" ca="1" si="3"/>
        <v>1</v>
      </c>
      <c r="P26" s="1">
        <f t="shared" ca="1" si="13"/>
        <v>12300</v>
      </c>
      <c r="Q26" s="331">
        <f t="shared" ca="1" si="4"/>
        <v>0.16648693788826321</v>
      </c>
      <c r="S26" s="122" t="s">
        <v>548</v>
      </c>
      <c r="T26">
        <f t="shared" si="5"/>
        <v>204013</v>
      </c>
      <c r="U26" s="997">
        <f t="shared" ca="1" si="6"/>
        <v>0.16648693788826321</v>
      </c>
      <c r="V26" s="41">
        <v>0</v>
      </c>
      <c r="W26" s="336">
        <v>0</v>
      </c>
      <c r="Y26" s="9">
        <f t="shared" si="7"/>
        <v>6</v>
      </c>
      <c r="Z26" s="1">
        <f t="shared" si="8"/>
        <v>3</v>
      </c>
      <c r="AA26" s="9" t="s">
        <v>548</v>
      </c>
      <c r="AB26" s="1">
        <f t="shared" si="9"/>
        <v>206033</v>
      </c>
      <c r="AC26" s="940">
        <f t="shared" ca="1" si="10"/>
        <v>0.12702640676135185</v>
      </c>
      <c r="AD26" s="27">
        <v>0</v>
      </c>
      <c r="AE26" s="941">
        <v>0</v>
      </c>
      <c r="AF26" s="19">
        <f t="shared" ca="1" si="11"/>
        <v>423998073377.81616</v>
      </c>
      <c r="AG26" s="936">
        <f t="shared" si="14"/>
        <v>3</v>
      </c>
      <c r="AH26" s="937">
        <f ca="1">IFERROR(OFFSET(ModelFile!$A$1,$AL$21+($AJ$21+2)*($AH$21-$AG26)+AH$23-1, 4), "-")</f>
        <v>90856730009.532028</v>
      </c>
      <c r="AI26" s="938">
        <f ca="1">IFERROR(OFFSET(ModelFile!$A$1,$AL$21+($AJ$21+2)*($AH$21-$AG26)+AI$23-1, 4), "-")</f>
        <v>121142306679.37605</v>
      </c>
      <c r="AJ26" s="938">
        <f ca="1">IFERROR(OFFSET(ModelFile!$A$1,$AL$21+($AJ$21+2)*($AH$21-$AG26)+AJ$23-1, 4), "-")</f>
        <v>121142306679.37605</v>
      </c>
      <c r="AK26" s="938">
        <f ca="1">IFERROR(OFFSET(ModelFile!$A$1,$AL$21+($AJ$21+2)*($AH$21-$AG26)+AK$23-1, 4), "-")</f>
        <v>90856730009.532028</v>
      </c>
      <c r="AL26" s="938" t="str">
        <f ca="1">IFERROR(OFFSET(ModelFile!$A$1,$AL$21+($AJ$21+2)*($AH$21-$AG26)+AL$23-1, 4), "-")</f>
        <v>-</v>
      </c>
      <c r="AM26" s="938" t="str">
        <f ca="1">IFERROR(OFFSET(ModelFile!$A$1,$AL$21+($AJ$21+2)*($AH$21-$AG26)+AM$23-1, 4), "-")</f>
        <v>-</v>
      </c>
      <c r="AN26" s="938" t="str">
        <f ca="1">IFERROR(OFFSET(ModelFile!$A$1,$AL$21+($AJ$21+2)*($AH$21-$AG26)+AN$23-1, 4), "-")</f>
        <v>-</v>
      </c>
      <c r="AO26" s="938" t="str">
        <f ca="1">IFERROR(OFFSET(ModelFile!$A$1,$AL$21+($AJ$21+2)*($AH$21-$AG26)+AO$23-1, 4), "-")</f>
        <v>-</v>
      </c>
      <c r="AP26" s="938" t="str">
        <f ca="1">IFERROR(OFFSET(ModelFile!$A$1,$AL$21+($AJ$21+2)*($AH$21-$AG26)+AP$23-1, 4), "-")</f>
        <v>-</v>
      </c>
      <c r="AQ26" s="939" t="str">
        <f ca="1">IFERROR(OFFSET(ModelFile!$A$1,$AL$21+($AJ$21+2)*($AH$21-$AG26)+AQ$23-1, 4), "-")</f>
        <v>-</v>
      </c>
    </row>
    <row r="27" spans="2:43" ht="15.75" thickBot="1" x14ac:dyDescent="0.3">
      <c r="B27" t="s">
        <v>551</v>
      </c>
      <c r="C27" s="1">
        <v>200000</v>
      </c>
      <c r="D27" t="s">
        <v>241</v>
      </c>
      <c r="M27" s="9">
        <f t="shared" si="12"/>
        <v>2</v>
      </c>
      <c r="N27" s="992">
        <f ca="1">IFERROR(OFFSET(DesignFile!$H$15,9*($C$7-M27),0),0)</f>
        <v>3900</v>
      </c>
      <c r="O27" s="326">
        <f t="shared" ca="1" si="3"/>
        <v>1</v>
      </c>
      <c r="P27" s="1">
        <f t="shared" ca="1" si="13"/>
        <v>8400</v>
      </c>
      <c r="Q27" s="331">
        <f t="shared" ca="1" si="4"/>
        <v>7.7647685487446966E-2</v>
      </c>
      <c r="S27" s="122" t="s">
        <v>548</v>
      </c>
      <c r="T27">
        <f t="shared" si="5"/>
        <v>203013</v>
      </c>
      <c r="U27" s="997">
        <f t="shared" ca="1" si="6"/>
        <v>7.7647685487446966E-2</v>
      </c>
      <c r="V27" s="41">
        <v>0</v>
      </c>
      <c r="W27" s="336">
        <v>0</v>
      </c>
      <c r="Y27" s="9">
        <f t="shared" si="7"/>
        <v>6</v>
      </c>
      <c r="Z27" s="1">
        <f t="shared" si="8"/>
        <v>4</v>
      </c>
      <c r="AA27" s="9" t="s">
        <v>548</v>
      </c>
      <c r="AB27" s="1">
        <f t="shared" si="9"/>
        <v>206043</v>
      </c>
      <c r="AC27" s="940">
        <f t="shared" ca="1" si="10"/>
        <v>9.5269805071013888E-2</v>
      </c>
      <c r="AD27" s="27">
        <v>0</v>
      </c>
      <c r="AE27" s="941">
        <v>0</v>
      </c>
      <c r="AF27" s="19">
        <f t="shared" ca="1" si="11"/>
        <v>452128990762.23944</v>
      </c>
      <c r="AG27" s="936">
        <f t="shared" si="14"/>
        <v>2</v>
      </c>
      <c r="AH27" s="937">
        <f ca="1">IFERROR(OFFSET(ModelFile!$A$1,$AL$21+($AJ$21+2)*($AH$21-$AG27)+AH$23-1, 4), "-")</f>
        <v>90856730009.532028</v>
      </c>
      <c r="AI27" s="938">
        <f ca="1">IFERROR(OFFSET(ModelFile!$A$1,$AL$21+($AJ$21+2)*($AH$21-$AG27)+AI$23-1, 4), "-")</f>
        <v>135207765371.58769</v>
      </c>
      <c r="AJ27" s="938">
        <f ca="1">IFERROR(OFFSET(ModelFile!$A$1,$AL$21+($AJ$21+2)*($AH$21-$AG27)+AJ$23-1, 4), "-")</f>
        <v>135207765371.58769</v>
      </c>
      <c r="AK27" s="938">
        <f ca="1">IFERROR(OFFSET(ModelFile!$A$1,$AL$21+($AJ$21+2)*($AH$21-$AG27)+AK$23-1, 4), "-")</f>
        <v>90856730009.532028</v>
      </c>
      <c r="AL27" s="938" t="str">
        <f ca="1">IFERROR(OFFSET(ModelFile!$A$1,$AL$21+($AJ$21+2)*($AH$21-$AG27)+AL$23-1, 4), "-")</f>
        <v>-</v>
      </c>
      <c r="AM27" s="938" t="str">
        <f ca="1">IFERROR(OFFSET(ModelFile!$A$1,$AL$21+($AJ$21+2)*($AH$21-$AG27)+AM$23-1, 4), "-")</f>
        <v>-</v>
      </c>
      <c r="AN27" s="938" t="str">
        <f ca="1">IFERROR(OFFSET(ModelFile!$A$1,$AL$21+($AJ$21+2)*($AH$21-$AG27)+AN$23-1, 4), "-")</f>
        <v>-</v>
      </c>
      <c r="AO27" s="938" t="str">
        <f ca="1">IFERROR(OFFSET(ModelFile!$A$1,$AL$21+($AJ$21+2)*($AH$21-$AG27)+AO$23-1, 4), "-")</f>
        <v>-</v>
      </c>
      <c r="AP27" s="938" t="str">
        <f ca="1">IFERROR(OFFSET(ModelFile!$A$1,$AL$21+($AJ$21+2)*($AH$21-$AG27)+AP$23-1, 4), "-")</f>
        <v>-</v>
      </c>
      <c r="AQ27" s="939" t="str">
        <f ca="1">IFERROR(OFFSET(ModelFile!$A$1,$AL$21+($AJ$21+2)*($AH$21-$AG27)+AQ$23-1, 4), "-")</f>
        <v>-</v>
      </c>
    </row>
    <row r="28" spans="2:43" x14ac:dyDescent="0.25">
      <c r="M28" s="9">
        <f t="shared" si="12"/>
        <v>1</v>
      </c>
      <c r="N28" s="992">
        <f ca="1">IFERROR(OFFSET(DesignFile!$H$15,9*($C$7-M28),0),0)</f>
        <v>4500</v>
      </c>
      <c r="O28" s="326">
        <f t="shared" ca="1" si="3"/>
        <v>1.0083920368894403</v>
      </c>
      <c r="P28" s="1">
        <f t="shared" ca="1" si="13"/>
        <v>4500</v>
      </c>
      <c r="Q28" s="331">
        <f t="shared" ca="1" si="4"/>
        <v>2.247110234553366E-2</v>
      </c>
      <c r="S28" s="121" t="s">
        <v>548</v>
      </c>
      <c r="T28" s="7">
        <f t="shared" si="5"/>
        <v>202013</v>
      </c>
      <c r="U28" s="996">
        <f t="shared" ca="1" si="6"/>
        <v>2.247110234553366E-2</v>
      </c>
      <c r="V28" s="333">
        <v>0</v>
      </c>
      <c r="W28" s="334">
        <v>0</v>
      </c>
      <c r="Y28" s="9">
        <f t="shared" si="7"/>
        <v>5</v>
      </c>
      <c r="Z28" s="1">
        <f t="shared" si="8"/>
        <v>1</v>
      </c>
      <c r="AA28" s="9" t="s">
        <v>548</v>
      </c>
      <c r="AB28" s="1">
        <f t="shared" si="9"/>
        <v>205013</v>
      </c>
      <c r="AC28" s="940">
        <f t="shared" ca="1" si="10"/>
        <v>6.188611084586243E-2</v>
      </c>
      <c r="AD28" s="27">
        <v>0</v>
      </c>
      <c r="AE28" s="941">
        <v>0</v>
      </c>
      <c r="AF28" s="19">
        <f t="shared" ca="1" si="11"/>
        <v>544646962546.92303</v>
      </c>
      <c r="AG28" s="936">
        <f t="shared" si="14"/>
        <v>1</v>
      </c>
      <c r="AH28" s="937">
        <f ca="1">IFERROR(OFFSET(ModelFile!$A$1,$AL$21+($AJ$21+2)*($AH$21-$AG28)+AH$23-1, 4), "-")</f>
        <v>106341264066.32288</v>
      </c>
      <c r="AI28" s="938">
        <f ca="1">IFERROR(OFFSET(ModelFile!$A$1,$AL$21+($AJ$21+2)*($AH$21-$AG28)+AI$23-1, 4), "-")</f>
        <v>165982217207.13864</v>
      </c>
      <c r="AJ28" s="938">
        <f ca="1">IFERROR(OFFSET(ModelFile!$A$1,$AL$21+($AJ$21+2)*($AH$21-$AG28)+AJ$23-1, 4), "-")</f>
        <v>165982217207.13864</v>
      </c>
      <c r="AK28" s="938">
        <f ca="1">IFERROR(OFFSET(ModelFile!$A$1,$AL$21+($AJ$21+2)*($AH$21-$AG28)+AK$23-1, 4), "-")</f>
        <v>106341264066.32288</v>
      </c>
      <c r="AL28" s="938" t="str">
        <f ca="1">IFERROR(OFFSET(ModelFile!$A$1,$AL$21+($AJ$21+2)*($AH$21-$AG28)+AL$23-1, 4), "-")</f>
        <v>-</v>
      </c>
      <c r="AM28" s="938" t="str">
        <f ca="1">IFERROR(OFFSET(ModelFile!$A$1,$AL$21+($AJ$21+2)*($AH$21-$AG28)+AM$23-1, 4), "-")</f>
        <v>-</v>
      </c>
      <c r="AN28" s="938" t="str">
        <f ca="1">IFERROR(OFFSET(ModelFile!$A$1,$AL$21+($AJ$21+2)*($AH$21-$AG28)+AN$23-1, 4), "-")</f>
        <v>-</v>
      </c>
      <c r="AO28" s="938" t="str">
        <f ca="1">IFERROR(OFFSET(ModelFile!$A$1,$AL$21+($AJ$21+2)*($AH$21-$AG28)+AO$23-1, 4), "-")</f>
        <v>-</v>
      </c>
      <c r="AP28" s="938" t="str">
        <f ca="1">IFERROR(OFFSET(ModelFile!$A$1,$AL$21+($AJ$21+2)*($AH$21-$AG28)+AP$23-1, 4), "-")</f>
        <v>-</v>
      </c>
      <c r="AQ28" s="939" t="str">
        <f ca="1">IFERROR(OFFSET(ModelFile!$A$1,$AL$21+($AJ$21+2)*($AH$21-$AG28)+AQ$23-1, 4), "-")</f>
        <v>-</v>
      </c>
    </row>
    <row r="29" spans="2:43" ht="18.75" thickBot="1" x14ac:dyDescent="0.4">
      <c r="B29" t="s">
        <v>552</v>
      </c>
      <c r="C29" s="14">
        <v>1</v>
      </c>
      <c r="D29" t="s">
        <v>553</v>
      </c>
      <c r="M29" s="9" t="str">
        <f t="shared" si="12"/>
        <v/>
      </c>
      <c r="N29" s="992">
        <f ca="1">IFERROR(OFFSET(DesignFile!$H$15,9*($C$7-M29),0),0)</f>
        <v>0</v>
      </c>
      <c r="O29" s="326">
        <f t="shared" ca="1" si="3"/>
        <v>0</v>
      </c>
      <c r="P29" s="1">
        <f t="shared" ca="1" si="13"/>
        <v>0</v>
      </c>
      <c r="Q29" s="331">
        <f t="shared" ca="1" si="4"/>
        <v>0</v>
      </c>
      <c r="S29" s="122" t="s">
        <v>548</v>
      </c>
      <c r="T29" t="e">
        <f t="shared" si="5"/>
        <v>#VALUE!</v>
      </c>
      <c r="U29" s="997">
        <f t="shared" ca="1" si="6"/>
        <v>0</v>
      </c>
      <c r="V29" s="41">
        <v>0</v>
      </c>
      <c r="W29" s="336">
        <v>0</v>
      </c>
      <c r="X29" s="19"/>
      <c r="Y29" s="9">
        <f t="shared" si="7"/>
        <v>5</v>
      </c>
      <c r="Z29" s="1">
        <f t="shared" si="8"/>
        <v>2</v>
      </c>
      <c r="AA29" s="15" t="s">
        <v>548</v>
      </c>
      <c r="AB29" s="17">
        <f t="shared" si="9"/>
        <v>205023</v>
      </c>
      <c r="AC29" s="942">
        <f t="shared" ca="1" si="10"/>
        <v>8.2514814461149916E-2</v>
      </c>
      <c r="AD29" s="216">
        <v>0</v>
      </c>
      <c r="AE29" s="943">
        <v>0</v>
      </c>
      <c r="AF29" s="19">
        <f t="shared" ca="1" si="11"/>
        <v>0</v>
      </c>
      <c r="AG29" s="936" t="str">
        <f t="shared" si="14"/>
        <v>-</v>
      </c>
      <c r="AH29" s="937" t="str">
        <f ca="1">IFERROR(OFFSET(ModelFile!$A$1,$AL$21+($AJ$21+2)*($AH$21-$AG29)+AH$23-1, 4), "-")</f>
        <v>-</v>
      </c>
      <c r="AI29" s="938" t="str">
        <f ca="1">IFERROR(OFFSET(ModelFile!$A$1,$AL$21+($AJ$21+2)*($AH$21-$AG29)+AI$23-1, 4), "-")</f>
        <v>-</v>
      </c>
      <c r="AJ29" s="938" t="str">
        <f ca="1">IFERROR(OFFSET(ModelFile!$A$1,$AL$21+($AJ$21+2)*($AH$21-$AG29)+AJ$23-1, 4), "-")</f>
        <v>-</v>
      </c>
      <c r="AK29" s="938" t="str">
        <f ca="1">IFERROR(OFFSET(ModelFile!$A$1,$AL$21+($AJ$21+2)*($AH$21-$AG29)+AK$23-1, 4), "-")</f>
        <v>-</v>
      </c>
      <c r="AL29" s="938" t="str">
        <f ca="1">IFERROR(OFFSET(ModelFile!$A$1,$AL$21+($AJ$21+2)*($AH$21-$AG29)+AL$23-1, 4), "-")</f>
        <v>-</v>
      </c>
      <c r="AM29" s="938" t="str">
        <f ca="1">IFERROR(OFFSET(ModelFile!$A$1,$AL$21+($AJ$21+2)*($AH$21-$AG29)+AM$23-1, 4), "-")</f>
        <v>-</v>
      </c>
      <c r="AN29" s="938" t="str">
        <f ca="1">IFERROR(OFFSET(ModelFile!$A$1,$AL$21+($AJ$21+2)*($AH$21-$AG29)+AN$23-1, 4), "-")</f>
        <v>-</v>
      </c>
      <c r="AO29" s="938" t="str">
        <f ca="1">IFERROR(OFFSET(ModelFile!$A$1,$AL$21+($AJ$21+2)*($AH$21-$AG29)+AO$23-1, 4), "-")</f>
        <v>-</v>
      </c>
      <c r="AP29" s="938" t="str">
        <f ca="1">IFERROR(OFFSET(ModelFile!$A$1,$AL$21+($AJ$21+2)*($AH$21-$AG29)+AP$23-1, 4), "-")</f>
        <v>-</v>
      </c>
      <c r="AQ29" s="939" t="str">
        <f ca="1">IFERROR(OFFSET(ModelFile!$A$1,$AL$21+($AJ$21+2)*($AH$21-$AG29)+AQ$23-1, 4), "-")</f>
        <v>-</v>
      </c>
    </row>
    <row r="30" spans="2:43" ht="18" x14ac:dyDescent="0.35">
      <c r="B30" t="s">
        <v>554</v>
      </c>
      <c r="C30" s="14">
        <v>1</v>
      </c>
      <c r="D30" t="s">
        <v>553</v>
      </c>
      <c r="M30" s="9" t="str">
        <f t="shared" si="12"/>
        <v/>
      </c>
      <c r="N30" s="992">
        <f ca="1">IFERROR(OFFSET(DesignFile!$H$15,9*($C$7-M30),0),0)</f>
        <v>0</v>
      </c>
      <c r="O30" s="326">
        <f t="shared" ca="1" si="3"/>
        <v>0</v>
      </c>
      <c r="P30" s="1">
        <f t="shared" ca="1" si="13"/>
        <v>0</v>
      </c>
      <c r="Q30" s="331">
        <f t="shared" ca="1" si="4"/>
        <v>0</v>
      </c>
      <c r="S30" s="122" t="s">
        <v>548</v>
      </c>
      <c r="T30" t="e">
        <f t="shared" si="5"/>
        <v>#VALUE!</v>
      </c>
      <c r="U30" s="997">
        <f t="shared" ca="1" si="6"/>
        <v>0</v>
      </c>
      <c r="V30" s="41">
        <v>0</v>
      </c>
      <c r="W30" s="336">
        <v>0</v>
      </c>
      <c r="Y30" s="9">
        <f t="shared" si="7"/>
        <v>5</v>
      </c>
      <c r="Z30" s="1">
        <f t="shared" si="8"/>
        <v>3</v>
      </c>
      <c r="AA30" s="6" t="s">
        <v>548</v>
      </c>
      <c r="AB30" s="158">
        <f t="shared" si="9"/>
        <v>205033</v>
      </c>
      <c r="AC30" s="934">
        <f t="shared" ca="1" si="10"/>
        <v>8.2514814461149916E-2</v>
      </c>
      <c r="AD30" s="173">
        <v>0</v>
      </c>
      <c r="AE30" s="935">
        <v>0</v>
      </c>
      <c r="AF30" s="19">
        <f t="shared" ca="1" si="11"/>
        <v>0</v>
      </c>
      <c r="AG30" s="936" t="str">
        <f t="shared" si="14"/>
        <v>-</v>
      </c>
      <c r="AH30" s="937" t="str">
        <f ca="1">IFERROR(OFFSET(ModelFile!$A$1,$AL$21+($AJ$21+2)*($AH$21-$AG30)+AH$23-1, 4), "-")</f>
        <v>-</v>
      </c>
      <c r="AI30" s="938" t="str">
        <f ca="1">IFERROR(OFFSET(ModelFile!$A$1,$AL$21+($AJ$21+2)*($AH$21-$AG30)+AI$23-1, 4), "-")</f>
        <v>-</v>
      </c>
      <c r="AJ30" s="938" t="str">
        <f ca="1">IFERROR(OFFSET(ModelFile!$A$1,$AL$21+($AJ$21+2)*($AH$21-$AG30)+AJ$23-1, 4), "-")</f>
        <v>-</v>
      </c>
      <c r="AK30" s="938" t="str">
        <f ca="1">IFERROR(OFFSET(ModelFile!$A$1,$AL$21+($AJ$21+2)*($AH$21-$AG30)+AK$23-1, 4), "-")</f>
        <v>-</v>
      </c>
      <c r="AL30" s="938" t="str">
        <f ca="1">IFERROR(OFFSET(ModelFile!$A$1,$AL$21+($AJ$21+2)*($AH$21-$AG30)+AL$23-1, 4), "-")</f>
        <v>-</v>
      </c>
      <c r="AM30" s="938" t="str">
        <f ca="1">IFERROR(OFFSET(ModelFile!$A$1,$AL$21+($AJ$21+2)*($AH$21-$AG30)+AM$23-1, 4), "-")</f>
        <v>-</v>
      </c>
      <c r="AN30" s="938" t="str">
        <f ca="1">IFERROR(OFFSET(ModelFile!$A$1,$AL$21+($AJ$21+2)*($AH$21-$AG30)+AN$23-1, 4), "-")</f>
        <v>-</v>
      </c>
      <c r="AO30" s="938" t="str">
        <f ca="1">IFERROR(OFFSET(ModelFile!$A$1,$AL$21+($AJ$21+2)*($AH$21-$AG30)+AO$23-1, 4), "-")</f>
        <v>-</v>
      </c>
      <c r="AP30" s="938" t="str">
        <f ca="1">IFERROR(OFFSET(ModelFile!$A$1,$AL$21+($AJ$21+2)*($AH$21-$AG30)+AP$23-1, 4), "-")</f>
        <v>-</v>
      </c>
      <c r="AQ30" s="939" t="str">
        <f ca="1">IFERROR(OFFSET(ModelFile!$A$1,$AL$21+($AJ$21+2)*($AH$21-$AG30)+AQ$23-1, 4), "-")</f>
        <v>-</v>
      </c>
    </row>
    <row r="31" spans="2:43" x14ac:dyDescent="0.25">
      <c r="M31" s="9" t="str">
        <f t="shared" si="12"/>
        <v/>
      </c>
      <c r="N31" s="992">
        <f ca="1">IFERROR(OFFSET(DesignFile!$H$15,9*($C$7-M31),0),0)</f>
        <v>0</v>
      </c>
      <c r="O31" s="326">
        <f ca="1">L103</f>
        <v>0</v>
      </c>
      <c r="P31" s="1">
        <f ca="1">P30-N30</f>
        <v>0</v>
      </c>
      <c r="Q31" s="331">
        <f ca="1">O31*POWER(P31,$N$21)/SUMPRODUCT($O$24:$O$43,POWER($P$24:$P$43,$N$21))</f>
        <v>0</v>
      </c>
      <c r="S31" s="122" t="s">
        <v>548</v>
      </c>
      <c r="T31" t="e">
        <f>200000+(M31+1)*1000+13</f>
        <v>#VALUE!</v>
      </c>
      <c r="U31" s="997">
        <f ca="1">Q31</f>
        <v>0</v>
      </c>
      <c r="V31" s="41">
        <v>0</v>
      </c>
      <c r="W31" s="336">
        <v>0</v>
      </c>
      <c r="Y31" s="9">
        <f t="shared" si="7"/>
        <v>5</v>
      </c>
      <c r="Z31" s="1">
        <f t="shared" si="8"/>
        <v>4</v>
      </c>
      <c r="AA31" s="9" t="s">
        <v>548</v>
      </c>
      <c r="AB31" s="1">
        <f t="shared" si="9"/>
        <v>205043</v>
      </c>
      <c r="AC31" s="940">
        <f t="shared" ca="1" si="10"/>
        <v>6.188611084586243E-2</v>
      </c>
      <c r="AD31" s="27">
        <v>0</v>
      </c>
      <c r="AE31" s="941">
        <v>0</v>
      </c>
      <c r="AF31" s="19">
        <f t="shared" ca="1" si="11"/>
        <v>0</v>
      </c>
      <c r="AG31" s="936" t="str">
        <f t="shared" si="14"/>
        <v>-</v>
      </c>
      <c r="AH31" s="937" t="str">
        <f ca="1">IFERROR(OFFSET(ModelFile!$A$1,$AL$21+($AJ$21+2)*($AH$21-$AG31)+AH$23-1, 4), "-")</f>
        <v>-</v>
      </c>
      <c r="AI31" s="938" t="str">
        <f ca="1">IFERROR(OFFSET(ModelFile!$A$1,$AL$21+($AJ$21+2)*($AH$21-$AG31)+AI$23-1, 4), "-")</f>
        <v>-</v>
      </c>
      <c r="AJ31" s="938" t="str">
        <f ca="1">IFERROR(OFFSET(ModelFile!$A$1,$AL$21+($AJ$21+2)*($AH$21-$AG31)+AJ$23-1, 4), "-")</f>
        <v>-</v>
      </c>
      <c r="AK31" s="938" t="str">
        <f ca="1">IFERROR(OFFSET(ModelFile!$A$1,$AL$21+($AJ$21+2)*($AH$21-$AG31)+AK$23-1, 4), "-")</f>
        <v>-</v>
      </c>
      <c r="AL31" s="938" t="str">
        <f ca="1">IFERROR(OFFSET(ModelFile!$A$1,$AL$21+($AJ$21+2)*($AH$21-$AG31)+AL$23-1, 4), "-")</f>
        <v>-</v>
      </c>
      <c r="AM31" s="938" t="str">
        <f ca="1">IFERROR(OFFSET(ModelFile!$A$1,$AL$21+($AJ$21+2)*($AH$21-$AG31)+AM$23-1, 4), "-")</f>
        <v>-</v>
      </c>
      <c r="AN31" s="938" t="str">
        <f ca="1">IFERROR(OFFSET(ModelFile!$A$1,$AL$21+($AJ$21+2)*($AH$21-$AG31)+AN$23-1, 4), "-")</f>
        <v>-</v>
      </c>
      <c r="AO31" s="938" t="str">
        <f ca="1">IFERROR(OFFSET(ModelFile!$A$1,$AL$21+($AJ$21+2)*($AH$21-$AG31)+AO$23-1, 4), "-")</f>
        <v>-</v>
      </c>
      <c r="AP31" s="938" t="str">
        <f ca="1">IFERROR(OFFSET(ModelFile!$A$1,$AL$21+($AJ$21+2)*($AH$21-$AG31)+AP$23-1, 4), "-")</f>
        <v>-</v>
      </c>
      <c r="AQ31" s="939" t="str">
        <f ca="1">IFERROR(OFFSET(ModelFile!$A$1,$AL$21+($AJ$21+2)*($AH$21-$AG31)+AQ$23-1, 4), "-")</f>
        <v>-</v>
      </c>
    </row>
    <row r="32" spans="2:43" x14ac:dyDescent="0.25">
      <c r="B32" t="s">
        <v>555</v>
      </c>
      <c r="C32" s="1">
        <f>'Detailing(OMRF&amp;SMRF)'!S8</f>
        <v>40</v>
      </c>
      <c r="D32" t="s">
        <v>86</v>
      </c>
      <c r="M32" s="9" t="str">
        <f t="shared" si="12"/>
        <v/>
      </c>
      <c r="N32" s="992">
        <f ca="1">IFERROR(OFFSET(DesignFile!$H$15,9*($C$7-M32),0),0)</f>
        <v>0</v>
      </c>
      <c r="O32" s="326">
        <f ca="1">L104</f>
        <v>0</v>
      </c>
      <c r="P32" s="1">
        <f ca="1">P31-N31</f>
        <v>0</v>
      </c>
      <c r="Q32" s="331">
        <f ca="1">O32*POWER(P32,$N$21)/SUMPRODUCT($O$24:$O$43,POWER($P$24:$P$43,$N$21))</f>
        <v>0</v>
      </c>
      <c r="S32" s="122" t="s">
        <v>548</v>
      </c>
      <c r="T32" t="e">
        <f>200000+(M32+1)*1000+13</f>
        <v>#VALUE!</v>
      </c>
      <c r="U32" s="997">
        <f ca="1">Q32</f>
        <v>0</v>
      </c>
      <c r="V32" s="41">
        <v>0</v>
      </c>
      <c r="W32" s="336">
        <v>0</v>
      </c>
      <c r="Y32" s="9">
        <f t="shared" si="7"/>
        <v>4</v>
      </c>
      <c r="Z32" s="1">
        <f t="shared" si="8"/>
        <v>1</v>
      </c>
      <c r="AA32" s="9" t="s">
        <v>548</v>
      </c>
      <c r="AB32" s="1">
        <f t="shared" si="9"/>
        <v>204013</v>
      </c>
      <c r="AC32" s="940">
        <f t="shared" ca="1" si="10"/>
        <v>3.5675772404627833E-2</v>
      </c>
      <c r="AD32" s="27">
        <v>0</v>
      </c>
      <c r="AE32" s="941">
        <v>0</v>
      </c>
      <c r="AF32" s="19">
        <f t="shared" ca="1" si="11"/>
        <v>0</v>
      </c>
      <c r="AG32" s="936" t="str">
        <f t="shared" si="14"/>
        <v>-</v>
      </c>
      <c r="AH32" s="937" t="str">
        <f ca="1">IFERROR(OFFSET(ModelFile!$A$1,$AL$21+($AJ$21+2)*($AH$21-$AG32)+AH$23-1, 4), "-")</f>
        <v>-</v>
      </c>
      <c r="AI32" s="938" t="str">
        <f ca="1">IFERROR(OFFSET(ModelFile!$A$1,$AL$21+($AJ$21+2)*($AH$21-$AG32)+AI$23-1, 4), "-")</f>
        <v>-</v>
      </c>
      <c r="AJ32" s="938" t="str">
        <f ca="1">IFERROR(OFFSET(ModelFile!$A$1,$AL$21+($AJ$21+2)*($AH$21-$AG32)+AJ$23-1, 4), "-")</f>
        <v>-</v>
      </c>
      <c r="AK32" s="938" t="str">
        <f ca="1">IFERROR(OFFSET(ModelFile!$A$1,$AL$21+($AJ$21+2)*($AH$21-$AG32)+AK$23-1, 4), "-")</f>
        <v>-</v>
      </c>
      <c r="AL32" s="938" t="str">
        <f ca="1">IFERROR(OFFSET(ModelFile!$A$1,$AL$21+($AJ$21+2)*($AH$21-$AG32)+AL$23-1, 4), "-")</f>
        <v>-</v>
      </c>
      <c r="AM32" s="938" t="str">
        <f ca="1">IFERROR(OFFSET(ModelFile!$A$1,$AL$21+($AJ$21+2)*($AH$21-$AG32)+AM$23-1, 4), "-")</f>
        <v>-</v>
      </c>
      <c r="AN32" s="938" t="str">
        <f ca="1">IFERROR(OFFSET(ModelFile!$A$1,$AL$21+($AJ$21+2)*($AH$21-$AG32)+AN$23-1, 4), "-")</f>
        <v>-</v>
      </c>
      <c r="AO32" s="938" t="str">
        <f ca="1">IFERROR(OFFSET(ModelFile!$A$1,$AL$21+($AJ$21+2)*($AH$21-$AG32)+AO$23-1, 4), "-")</f>
        <v>-</v>
      </c>
      <c r="AP32" s="938" t="str">
        <f ca="1">IFERROR(OFFSET(ModelFile!$A$1,$AL$21+($AJ$21+2)*($AH$21-$AG32)+AP$23-1, 4), "-")</f>
        <v>-</v>
      </c>
      <c r="AQ32" s="939" t="str">
        <f ca="1">IFERROR(OFFSET(ModelFile!$A$1,$AL$21+($AJ$21+2)*($AH$21-$AG32)+AQ$23-1, 4), "-")</f>
        <v>-</v>
      </c>
    </row>
    <row r="33" spans="2:43" x14ac:dyDescent="0.25">
      <c r="B33" t="s">
        <v>556</v>
      </c>
      <c r="C33" s="1">
        <f>'Detailing(OMRF&amp;SMRF)'!Q8</f>
        <v>25</v>
      </c>
      <c r="D33" t="s">
        <v>86</v>
      </c>
      <c r="M33" s="9" t="str">
        <f t="shared" si="12"/>
        <v/>
      </c>
      <c r="N33" s="992">
        <f ca="1">IFERROR(OFFSET(DesignFile!$H$15,9*($C$7-M33),0),0)</f>
        <v>0</v>
      </c>
      <c r="O33" s="326">
        <f ca="1">L105</f>
        <v>0</v>
      </c>
      <c r="P33" s="1">
        <f ca="1">P32-N32</f>
        <v>0</v>
      </c>
      <c r="Q33" s="331">
        <f ca="1">O33*POWER(P33,$N$21)/SUMPRODUCT($O$24:$O$43,POWER($P$24:$P$43,$N$21))</f>
        <v>0</v>
      </c>
      <c r="S33" s="122" t="s">
        <v>548</v>
      </c>
      <c r="T33" t="e">
        <f>200000+(M33+1)*1000+13</f>
        <v>#VALUE!</v>
      </c>
      <c r="U33" s="997">
        <f ca="1">Q33</f>
        <v>0</v>
      </c>
      <c r="V33" s="41">
        <v>0</v>
      </c>
      <c r="W33" s="336">
        <v>0</v>
      </c>
      <c r="Y33" s="9">
        <f t="shared" si="7"/>
        <v>4</v>
      </c>
      <c r="Z33" s="137">
        <f t="shared" si="8"/>
        <v>2</v>
      </c>
      <c r="AA33" s="9" t="s">
        <v>548</v>
      </c>
      <c r="AB33" s="1">
        <f t="shared" si="9"/>
        <v>204023</v>
      </c>
      <c r="AC33" s="940">
        <f t="shared" ca="1" si="10"/>
        <v>4.7567696539503775E-2</v>
      </c>
      <c r="AD33" s="27">
        <v>0</v>
      </c>
      <c r="AE33" s="941">
        <v>0</v>
      </c>
      <c r="AF33" s="19">
        <f t="shared" ca="1" si="11"/>
        <v>0</v>
      </c>
      <c r="AG33" s="936" t="str">
        <f t="shared" si="14"/>
        <v>-</v>
      </c>
      <c r="AH33" s="937" t="str">
        <f ca="1">IFERROR(OFFSET(ModelFile!$A$1,$AL$21+($AJ$21+2)*($AH$21-$AG33)+AH$23-1, 4), "-")</f>
        <v>-</v>
      </c>
      <c r="AI33" s="938" t="str">
        <f ca="1">IFERROR(OFFSET(ModelFile!$A$1,$AL$21+($AJ$21+2)*($AH$21-$AG33)+AI$23-1, 4), "-")</f>
        <v>-</v>
      </c>
      <c r="AJ33" s="938" t="str">
        <f ca="1">IFERROR(OFFSET(ModelFile!$A$1,$AL$21+($AJ$21+2)*($AH$21-$AG33)+AJ$23-1, 4), "-")</f>
        <v>-</v>
      </c>
      <c r="AK33" s="938" t="str">
        <f ca="1">IFERROR(OFFSET(ModelFile!$A$1,$AL$21+($AJ$21+2)*($AH$21-$AG33)+AK$23-1, 4), "-")</f>
        <v>-</v>
      </c>
      <c r="AL33" s="938" t="str">
        <f ca="1">IFERROR(OFFSET(ModelFile!$A$1,$AL$21+($AJ$21+2)*($AH$21-$AG33)+AL$23-1, 4), "-")</f>
        <v>-</v>
      </c>
      <c r="AM33" s="938" t="str">
        <f ca="1">IFERROR(OFFSET(ModelFile!$A$1,$AL$21+($AJ$21+2)*($AH$21-$AG33)+AM$23-1, 4), "-")</f>
        <v>-</v>
      </c>
      <c r="AN33" s="938" t="str">
        <f ca="1">IFERROR(OFFSET(ModelFile!$A$1,$AL$21+($AJ$21+2)*($AH$21-$AG33)+AN$23-1, 4), "-")</f>
        <v>-</v>
      </c>
      <c r="AO33" s="938" t="str">
        <f ca="1">IFERROR(OFFSET(ModelFile!$A$1,$AL$21+($AJ$21+2)*($AH$21-$AG33)+AO$23-1, 4), "-")</f>
        <v>-</v>
      </c>
      <c r="AP33" s="938" t="str">
        <f ca="1">IFERROR(OFFSET(ModelFile!$A$1,$AL$21+($AJ$21+2)*($AH$21-$AG33)+AP$23-1, 4), "-")</f>
        <v>-</v>
      </c>
      <c r="AQ33" s="939" t="str">
        <f ca="1">IFERROR(OFFSET(ModelFile!$A$1,$AL$21+($AJ$21+2)*($AH$21-$AG33)+AQ$23-1, 4), "-")</f>
        <v>-</v>
      </c>
    </row>
    <row r="34" spans="2:43" ht="17.25" customHeight="1" x14ac:dyDescent="0.25">
      <c r="M34" s="9" t="str">
        <f t="shared" si="12"/>
        <v/>
      </c>
      <c r="N34" s="992">
        <f ca="1">IFERROR(OFFSET(DesignFile!$H$15,9*($C$7-M34),0),0)</f>
        <v>0</v>
      </c>
      <c r="O34" s="326">
        <f ca="1">L106</f>
        <v>0</v>
      </c>
      <c r="P34" s="1">
        <f ca="1">P33-N33</f>
        <v>0</v>
      </c>
      <c r="Q34" s="331">
        <f ca="1">O34*POWER(P34,$N$21)/SUMPRODUCT($O$24:$O$43,POWER($P$24:$P$43,$N$21))</f>
        <v>0</v>
      </c>
      <c r="S34" s="122" t="s">
        <v>548</v>
      </c>
      <c r="T34" t="e">
        <f>200000+(M34+1)*1000+13</f>
        <v>#VALUE!</v>
      </c>
      <c r="U34" s="997">
        <f ca="1">Q34</f>
        <v>0</v>
      </c>
      <c r="V34" s="41">
        <v>0</v>
      </c>
      <c r="W34" s="336">
        <v>0</v>
      </c>
      <c r="Y34" s="9">
        <f t="shared" si="7"/>
        <v>4</v>
      </c>
      <c r="Z34" s="137">
        <f t="shared" si="8"/>
        <v>3</v>
      </c>
      <c r="AA34" s="9" t="s">
        <v>548</v>
      </c>
      <c r="AB34" s="1">
        <f t="shared" si="9"/>
        <v>204033</v>
      </c>
      <c r="AC34" s="940">
        <f t="shared" ca="1" si="10"/>
        <v>4.7567696539503775E-2</v>
      </c>
      <c r="AD34" s="27">
        <v>0</v>
      </c>
      <c r="AE34" s="941">
        <v>0</v>
      </c>
      <c r="AF34" s="19">
        <f t="shared" ca="1" si="11"/>
        <v>0</v>
      </c>
      <c r="AG34" s="936" t="str">
        <f t="shared" si="14"/>
        <v>-</v>
      </c>
      <c r="AH34" s="937" t="str">
        <f ca="1">IFERROR(OFFSET(ModelFile!$A$1,$AL$21+($AJ$21+2)*($AH$21-$AG34)+AH$23-1, 4), "-")</f>
        <v>-</v>
      </c>
      <c r="AI34" s="938" t="str">
        <f ca="1">IFERROR(OFFSET(ModelFile!$A$1,$AL$21+($AJ$21+2)*($AH$21-$AG34)+AI$23-1, 4), "-")</f>
        <v>-</v>
      </c>
      <c r="AJ34" s="938" t="str">
        <f ca="1">IFERROR(OFFSET(ModelFile!$A$1,$AL$21+($AJ$21+2)*($AH$21-$AG34)+AJ$23-1, 4), "-")</f>
        <v>-</v>
      </c>
      <c r="AK34" s="938" t="str">
        <f ca="1">IFERROR(OFFSET(ModelFile!$A$1,$AL$21+($AJ$21+2)*($AH$21-$AG34)+AK$23-1, 4), "-")</f>
        <v>-</v>
      </c>
      <c r="AL34" s="938" t="str">
        <f ca="1">IFERROR(OFFSET(ModelFile!$A$1,$AL$21+($AJ$21+2)*($AH$21-$AG34)+AL$23-1, 4), "-")</f>
        <v>-</v>
      </c>
      <c r="AM34" s="938" t="str">
        <f ca="1">IFERROR(OFFSET(ModelFile!$A$1,$AL$21+($AJ$21+2)*($AH$21-$AG34)+AM$23-1, 4), "-")</f>
        <v>-</v>
      </c>
      <c r="AN34" s="938" t="str">
        <f ca="1">IFERROR(OFFSET(ModelFile!$A$1,$AL$21+($AJ$21+2)*($AH$21-$AG34)+AN$23-1, 4), "-")</f>
        <v>-</v>
      </c>
      <c r="AO34" s="938" t="str">
        <f ca="1">IFERROR(OFFSET(ModelFile!$A$1,$AL$21+($AJ$21+2)*($AH$21-$AG34)+AO$23-1, 4), "-")</f>
        <v>-</v>
      </c>
      <c r="AP34" s="938" t="str">
        <f ca="1">IFERROR(OFFSET(ModelFile!$A$1,$AL$21+($AJ$21+2)*($AH$21-$AG34)+AP$23-1, 4), "-")</f>
        <v>-</v>
      </c>
      <c r="AQ34" s="939" t="str">
        <f ca="1">IFERROR(OFFSET(ModelFile!$A$1,$AL$21+($AJ$21+2)*($AH$21-$AG34)+AQ$23-1, 4), "-")</f>
        <v>-</v>
      </c>
    </row>
    <row r="35" spans="2:43" ht="15.75" thickBot="1" x14ac:dyDescent="0.3">
      <c r="B35" t="s">
        <v>557</v>
      </c>
      <c r="C35" s="1">
        <v>49999</v>
      </c>
      <c r="D35" s="126" t="s">
        <v>558</v>
      </c>
      <c r="M35" s="9" t="str">
        <f t="shared" si="12"/>
        <v/>
      </c>
      <c r="N35" s="992">
        <f ca="1">IFERROR(OFFSET(DesignFile!$H$15,9*($C$7-M35),0),0)</f>
        <v>0</v>
      </c>
      <c r="O35" s="326">
        <f ca="1">L107</f>
        <v>0</v>
      </c>
      <c r="P35" s="1">
        <f ca="1">P34-N34</f>
        <v>0</v>
      </c>
      <c r="Q35" s="331">
        <f ca="1">O35*POWER(P35,$N$21)/SUMPRODUCT($O$24:$O$43,POWER($P$24:$P$43,$N$21))</f>
        <v>0</v>
      </c>
      <c r="S35" s="122" t="s">
        <v>548</v>
      </c>
      <c r="T35" t="e">
        <f>200000+(M35+1)*1000+13</f>
        <v>#VALUE!</v>
      </c>
      <c r="U35" s="997">
        <f ca="1">Q35</f>
        <v>0</v>
      </c>
      <c r="V35" s="41">
        <v>0</v>
      </c>
      <c r="W35" s="336">
        <v>0</v>
      </c>
      <c r="Y35" s="9">
        <f t="shared" si="7"/>
        <v>4</v>
      </c>
      <c r="Z35" s="137">
        <f t="shared" si="8"/>
        <v>4</v>
      </c>
      <c r="AA35" s="15" t="s">
        <v>548</v>
      </c>
      <c r="AB35" s="17">
        <f t="shared" si="9"/>
        <v>204043</v>
      </c>
      <c r="AC35" s="942">
        <f t="shared" ca="1" si="10"/>
        <v>3.5675772404627833E-2</v>
      </c>
      <c r="AD35" s="216">
        <v>0</v>
      </c>
      <c r="AE35" s="943">
        <v>0</v>
      </c>
      <c r="AF35" s="19">
        <f t="shared" ca="1" si="11"/>
        <v>0</v>
      </c>
      <c r="AG35" s="936" t="str">
        <f t="shared" si="14"/>
        <v>-</v>
      </c>
      <c r="AH35" s="937" t="str">
        <f ca="1">IFERROR(OFFSET(ModelFile!$A$1,$AL$21+($AJ$21+2)*($AH$21-$AG35)+AH$23-1, 4), "-")</f>
        <v>-</v>
      </c>
      <c r="AI35" s="938" t="str">
        <f ca="1">IFERROR(OFFSET(ModelFile!$A$1,$AL$21+($AJ$21+2)*($AH$21-$AG35)+AI$23-1, 4), "-")</f>
        <v>-</v>
      </c>
      <c r="AJ35" s="938" t="str">
        <f ca="1">IFERROR(OFFSET(ModelFile!$A$1,$AL$21+($AJ$21+2)*($AH$21-$AG35)+AJ$23-1, 4), "-")</f>
        <v>-</v>
      </c>
      <c r="AK35" s="938" t="str">
        <f ca="1">IFERROR(OFFSET(ModelFile!$A$1,$AL$21+($AJ$21+2)*($AH$21-$AG35)+AK$23-1, 4), "-")</f>
        <v>-</v>
      </c>
      <c r="AL35" s="938" t="str">
        <f ca="1">IFERROR(OFFSET(ModelFile!$A$1,$AL$21+($AJ$21+2)*($AH$21-$AG35)+AL$23-1, 4), "-")</f>
        <v>-</v>
      </c>
      <c r="AM35" s="938" t="str">
        <f ca="1">IFERROR(OFFSET(ModelFile!$A$1,$AL$21+($AJ$21+2)*($AH$21-$AG35)+AM$23-1, 4), "-")</f>
        <v>-</v>
      </c>
      <c r="AN35" s="938" t="str">
        <f ca="1">IFERROR(OFFSET(ModelFile!$A$1,$AL$21+($AJ$21+2)*($AH$21-$AG35)+AN$23-1, 4), "-")</f>
        <v>-</v>
      </c>
      <c r="AO35" s="938" t="str">
        <f ca="1">IFERROR(OFFSET(ModelFile!$A$1,$AL$21+($AJ$21+2)*($AH$21-$AG35)+AO$23-1, 4), "-")</f>
        <v>-</v>
      </c>
      <c r="AP35" s="938" t="str">
        <f ca="1">IFERROR(OFFSET(ModelFile!$A$1,$AL$21+($AJ$21+2)*($AH$21-$AG35)+AP$23-1, 4), "-")</f>
        <v>-</v>
      </c>
      <c r="AQ35" s="939" t="str">
        <f ca="1">IFERROR(OFFSET(ModelFile!$A$1,$AL$21+($AJ$21+2)*($AH$21-$AG35)+AQ$23-1, 4), "-")</f>
        <v>-</v>
      </c>
    </row>
    <row r="36" spans="2:43" x14ac:dyDescent="0.25">
      <c r="M36" s="9" t="str">
        <f t="shared" si="12"/>
        <v/>
      </c>
      <c r="Q36" s="10"/>
      <c r="S36" s="121"/>
      <c r="T36" s="7"/>
      <c r="U36" s="332"/>
      <c r="V36" s="333"/>
      <c r="W36" s="334"/>
      <c r="Y36" s="9">
        <f t="shared" si="7"/>
        <v>3</v>
      </c>
      <c r="Z36" s="137">
        <f t="shared" si="8"/>
        <v>1</v>
      </c>
      <c r="AA36" s="6" t="s">
        <v>548</v>
      </c>
      <c r="AB36" s="158">
        <f t="shared" si="9"/>
        <v>203013</v>
      </c>
      <c r="AC36" s="934">
        <f t="shared" ca="1" si="10"/>
        <v>1.5603544431655202E-2</v>
      </c>
      <c r="AD36" s="173">
        <v>0</v>
      </c>
      <c r="AE36" s="935">
        <v>0</v>
      </c>
      <c r="AF36" s="19">
        <f t="shared" ca="1" si="11"/>
        <v>0</v>
      </c>
      <c r="AG36" s="936" t="str">
        <f t="shared" si="14"/>
        <v>-</v>
      </c>
      <c r="AH36" s="937" t="str">
        <f ca="1">IFERROR(OFFSET(ModelFile!$A$1,$AL$21+($AJ$21+2)*($AH$21-$AG36)+AH$23-1, 4), "-")</f>
        <v>-</v>
      </c>
      <c r="AI36" s="938" t="str">
        <f ca="1">IFERROR(OFFSET(ModelFile!$A$1,$AL$21+($AJ$21+2)*($AH$21-$AG36)+AI$23-1, 4), "-")</f>
        <v>-</v>
      </c>
      <c r="AJ36" s="938" t="str">
        <f ca="1">IFERROR(OFFSET(ModelFile!$A$1,$AL$21+($AJ$21+2)*($AH$21-$AG36)+AJ$23-1, 4), "-")</f>
        <v>-</v>
      </c>
      <c r="AK36" s="938" t="str">
        <f ca="1">IFERROR(OFFSET(ModelFile!$A$1,$AL$21+($AJ$21+2)*($AH$21-$AG36)+AK$23-1, 4), "-")</f>
        <v>-</v>
      </c>
      <c r="AL36" s="938" t="str">
        <f ca="1">IFERROR(OFFSET(ModelFile!$A$1,$AL$21+($AJ$21+2)*($AH$21-$AG36)+AL$23-1, 4), "-")</f>
        <v>-</v>
      </c>
      <c r="AM36" s="938" t="str">
        <f ca="1">IFERROR(OFFSET(ModelFile!$A$1,$AL$21+($AJ$21+2)*($AH$21-$AG36)+AM$23-1, 4), "-")</f>
        <v>-</v>
      </c>
      <c r="AN36" s="938" t="str">
        <f ca="1">IFERROR(OFFSET(ModelFile!$A$1,$AL$21+($AJ$21+2)*($AH$21-$AG36)+AN$23-1, 4), "-")</f>
        <v>-</v>
      </c>
      <c r="AO36" s="938" t="str">
        <f ca="1">IFERROR(OFFSET(ModelFile!$A$1,$AL$21+($AJ$21+2)*($AH$21-$AG36)+AO$23-1, 4), "-")</f>
        <v>-</v>
      </c>
      <c r="AP36" s="938" t="str">
        <f ca="1">IFERROR(OFFSET(ModelFile!$A$1,$AL$21+($AJ$21+2)*($AH$21-$AG36)+AP$23-1, 4), "-")</f>
        <v>-</v>
      </c>
      <c r="AQ36" s="939" t="str">
        <f ca="1">IFERROR(OFFSET(ModelFile!$A$1,$AL$21+($AJ$21+2)*($AH$21-$AG36)+AQ$23-1, 4), "-")</f>
        <v>-</v>
      </c>
    </row>
    <row r="37" spans="2:43" x14ac:dyDescent="0.25">
      <c r="B37" t="s">
        <v>559</v>
      </c>
      <c r="C37" s="1">
        <v>2.0000000000000001E-4</v>
      </c>
      <c r="M37" s="9" t="str">
        <f t="shared" si="12"/>
        <v/>
      </c>
      <c r="Q37" s="10"/>
      <c r="S37" s="122"/>
      <c r="U37" s="335"/>
      <c r="V37" s="41"/>
      <c r="W37" s="336"/>
      <c r="Y37" s="9">
        <f t="shared" si="7"/>
        <v>3</v>
      </c>
      <c r="Z37" s="137">
        <f t="shared" si="8"/>
        <v>2</v>
      </c>
      <c r="AA37" s="9" t="s">
        <v>548</v>
      </c>
      <c r="AB37" s="1">
        <f t="shared" si="9"/>
        <v>203023</v>
      </c>
      <c r="AC37" s="940">
        <f t="shared" ca="1" si="10"/>
        <v>2.3220298312068281E-2</v>
      </c>
      <c r="AD37" s="27">
        <v>0</v>
      </c>
      <c r="AE37" s="941">
        <v>0</v>
      </c>
      <c r="AF37" s="19">
        <f t="shared" ca="1" si="11"/>
        <v>0</v>
      </c>
      <c r="AG37" s="936" t="str">
        <f t="shared" si="14"/>
        <v>-</v>
      </c>
      <c r="AH37" s="937" t="str">
        <f ca="1">IFERROR(OFFSET(ModelFile!$A$1,$AL$21+($AJ$21+2)*($AH$21-$AG37)+AH$23-1, 4), "-")</f>
        <v>-</v>
      </c>
      <c r="AI37" s="938" t="str">
        <f ca="1">IFERROR(OFFSET(ModelFile!$A$1,$AL$21+($AJ$21+2)*($AH$21-$AG37)+AI$23-1, 4), "-")</f>
        <v>-</v>
      </c>
      <c r="AJ37" s="938" t="str">
        <f ca="1">IFERROR(OFFSET(ModelFile!$A$1,$AL$21+($AJ$21+2)*($AH$21-$AG37)+AJ$23-1, 4), "-")</f>
        <v>-</v>
      </c>
      <c r="AK37" s="938" t="str">
        <f ca="1">IFERROR(OFFSET(ModelFile!$A$1,$AL$21+($AJ$21+2)*($AH$21-$AG37)+AK$23-1, 4), "-")</f>
        <v>-</v>
      </c>
      <c r="AL37" s="938" t="str">
        <f ca="1">IFERROR(OFFSET(ModelFile!$A$1,$AL$21+($AJ$21+2)*($AH$21-$AG37)+AL$23-1, 4), "-")</f>
        <v>-</v>
      </c>
      <c r="AM37" s="938" t="str">
        <f ca="1">IFERROR(OFFSET(ModelFile!$A$1,$AL$21+($AJ$21+2)*($AH$21-$AG37)+AM$23-1, 4), "-")</f>
        <v>-</v>
      </c>
      <c r="AN37" s="938" t="str">
        <f ca="1">IFERROR(OFFSET(ModelFile!$A$1,$AL$21+($AJ$21+2)*($AH$21-$AG37)+AN$23-1, 4), "-")</f>
        <v>-</v>
      </c>
      <c r="AO37" s="938" t="str">
        <f ca="1">IFERROR(OFFSET(ModelFile!$A$1,$AL$21+($AJ$21+2)*($AH$21-$AG37)+AO$23-1, 4), "-")</f>
        <v>-</v>
      </c>
      <c r="AP37" s="938" t="str">
        <f ca="1">IFERROR(OFFSET(ModelFile!$A$1,$AL$21+($AJ$21+2)*($AH$21-$AG37)+AP$23-1, 4), "-")</f>
        <v>-</v>
      </c>
      <c r="AQ37" s="939" t="str">
        <f ca="1">IFERROR(OFFSET(ModelFile!$A$1,$AL$21+($AJ$21+2)*($AH$21-$AG37)+AQ$23-1, 4), "-")</f>
        <v>-</v>
      </c>
    </row>
    <row r="38" spans="2:43" ht="15.75" customHeight="1" x14ac:dyDescent="0.25">
      <c r="M38" s="9" t="str">
        <f t="shared" si="12"/>
        <v/>
      </c>
      <c r="Q38" s="10"/>
      <c r="S38" s="122"/>
      <c r="U38" s="335"/>
      <c r="V38" s="41"/>
      <c r="W38" s="336"/>
      <c r="Y38" s="9">
        <f t="shared" si="7"/>
        <v>3</v>
      </c>
      <c r="Z38" s="137">
        <f t="shared" si="8"/>
        <v>3</v>
      </c>
      <c r="AA38" s="9" t="s">
        <v>548</v>
      </c>
      <c r="AB38" s="1">
        <f t="shared" si="9"/>
        <v>203033</v>
      </c>
      <c r="AC38" s="940">
        <f t="shared" ca="1" si="10"/>
        <v>2.3220298312068281E-2</v>
      </c>
      <c r="AD38" s="27">
        <v>0</v>
      </c>
      <c r="AE38" s="941">
        <v>0</v>
      </c>
      <c r="AF38" s="19">
        <f t="shared" ca="1" si="11"/>
        <v>0</v>
      </c>
      <c r="AG38" s="936" t="str">
        <f t="shared" si="14"/>
        <v>-</v>
      </c>
      <c r="AH38" s="937" t="str">
        <f ca="1">IFERROR(OFFSET(ModelFile!$A$1,$AL$21+($AJ$21+2)*($AH$21-$AG38)+AH$23-1, 4), "-")</f>
        <v>-</v>
      </c>
      <c r="AI38" s="938" t="str">
        <f ca="1">IFERROR(OFFSET(ModelFile!$A$1,$AL$21+($AJ$21+2)*($AH$21-$AG38)+AI$23-1, 4), "-")</f>
        <v>-</v>
      </c>
      <c r="AJ38" s="938" t="str">
        <f ca="1">IFERROR(OFFSET(ModelFile!$A$1,$AL$21+($AJ$21+2)*($AH$21-$AG38)+AJ$23-1, 4), "-")</f>
        <v>-</v>
      </c>
      <c r="AK38" s="938" t="str">
        <f ca="1">IFERROR(OFFSET(ModelFile!$A$1,$AL$21+($AJ$21+2)*($AH$21-$AG38)+AK$23-1, 4), "-")</f>
        <v>-</v>
      </c>
      <c r="AL38" s="938" t="str">
        <f ca="1">IFERROR(OFFSET(ModelFile!$A$1,$AL$21+($AJ$21+2)*($AH$21-$AG38)+AL$23-1, 4), "-")</f>
        <v>-</v>
      </c>
      <c r="AM38" s="938" t="str">
        <f ca="1">IFERROR(OFFSET(ModelFile!$A$1,$AL$21+($AJ$21+2)*($AH$21-$AG38)+AM$23-1, 4), "-")</f>
        <v>-</v>
      </c>
      <c r="AN38" s="938" t="str">
        <f ca="1">IFERROR(OFFSET(ModelFile!$A$1,$AL$21+($AJ$21+2)*($AH$21-$AG38)+AN$23-1, 4), "-")</f>
        <v>-</v>
      </c>
      <c r="AO38" s="938" t="str">
        <f ca="1">IFERROR(OFFSET(ModelFile!$A$1,$AL$21+($AJ$21+2)*($AH$21-$AG38)+AO$23-1, 4), "-")</f>
        <v>-</v>
      </c>
      <c r="AP38" s="938" t="str">
        <f ca="1">IFERROR(OFFSET(ModelFile!$A$1,$AL$21+($AJ$21+2)*($AH$21-$AG38)+AP$23-1, 4), "-")</f>
        <v>-</v>
      </c>
      <c r="AQ38" s="939" t="str">
        <f ca="1">IFERROR(OFFSET(ModelFile!$A$1,$AL$21+($AJ$21+2)*($AH$21-$AG38)+AQ$23-1, 4), "-")</f>
        <v>-</v>
      </c>
    </row>
    <row r="39" spans="2:43" ht="15.75" thickBot="1" x14ac:dyDescent="0.3">
      <c r="B39" t="s">
        <v>560</v>
      </c>
      <c r="C39" s="1">
        <v>1</v>
      </c>
      <c r="D39" t="s">
        <v>561</v>
      </c>
      <c r="M39" s="9" t="str">
        <f t="shared" si="12"/>
        <v/>
      </c>
      <c r="Q39" s="10"/>
      <c r="S39" s="123"/>
      <c r="T39" s="124"/>
      <c r="U39" s="337"/>
      <c r="V39" s="338"/>
      <c r="W39" s="339"/>
      <c r="Y39" s="9">
        <f t="shared" si="7"/>
        <v>3</v>
      </c>
      <c r="Z39" s="137">
        <f t="shared" si="8"/>
        <v>4</v>
      </c>
      <c r="AA39" s="9" t="s">
        <v>548</v>
      </c>
      <c r="AB39" s="1">
        <f t="shared" si="9"/>
        <v>203043</v>
      </c>
      <c r="AC39" s="940">
        <f t="shared" ca="1" si="10"/>
        <v>1.5603544431655202E-2</v>
      </c>
      <c r="AD39" s="27">
        <v>0</v>
      </c>
      <c r="AE39" s="941">
        <v>0</v>
      </c>
      <c r="AF39" s="19">
        <f t="shared" ca="1" si="11"/>
        <v>0</v>
      </c>
      <c r="AG39" s="936" t="str">
        <f t="shared" si="14"/>
        <v>-</v>
      </c>
      <c r="AH39" s="937" t="str">
        <f ca="1">IFERROR(OFFSET(ModelFile!$A$1,$AL$21+($AJ$21+2)*($AH$21-$AG39)+AH$23-1, 4), "-")</f>
        <v>-</v>
      </c>
      <c r="AI39" s="938" t="str">
        <f ca="1">IFERROR(OFFSET(ModelFile!$A$1,$AL$21+($AJ$21+2)*($AH$21-$AG39)+AI$23-1, 4), "-")</f>
        <v>-</v>
      </c>
      <c r="AJ39" s="938" t="str">
        <f ca="1">IFERROR(OFFSET(ModelFile!$A$1,$AL$21+($AJ$21+2)*($AH$21-$AG39)+AJ$23-1, 4), "-")</f>
        <v>-</v>
      </c>
      <c r="AK39" s="938" t="str">
        <f ca="1">IFERROR(OFFSET(ModelFile!$A$1,$AL$21+($AJ$21+2)*($AH$21-$AG39)+AK$23-1, 4), "-")</f>
        <v>-</v>
      </c>
      <c r="AL39" s="938" t="str">
        <f ca="1">IFERROR(OFFSET(ModelFile!$A$1,$AL$21+($AJ$21+2)*($AH$21-$AG39)+AL$23-1, 4), "-")</f>
        <v>-</v>
      </c>
      <c r="AM39" s="938" t="str">
        <f ca="1">IFERROR(OFFSET(ModelFile!$A$1,$AL$21+($AJ$21+2)*($AH$21-$AG39)+AM$23-1, 4), "-")</f>
        <v>-</v>
      </c>
      <c r="AN39" s="938" t="str">
        <f ca="1">IFERROR(OFFSET(ModelFile!$A$1,$AL$21+($AJ$21+2)*($AH$21-$AG39)+AN$23-1, 4), "-")</f>
        <v>-</v>
      </c>
      <c r="AO39" s="938" t="str">
        <f ca="1">IFERROR(OFFSET(ModelFile!$A$1,$AL$21+($AJ$21+2)*($AH$21-$AG39)+AO$23-1, 4), "-")</f>
        <v>-</v>
      </c>
      <c r="AP39" s="938" t="str">
        <f ca="1">IFERROR(OFFSET(ModelFile!$A$1,$AL$21+($AJ$21+2)*($AH$21-$AG39)+AP$23-1, 4), "-")</f>
        <v>-</v>
      </c>
      <c r="AQ39" s="939" t="str">
        <f ca="1">IFERROR(OFFSET(ModelFile!$A$1,$AL$21+($AJ$21+2)*($AH$21-$AG39)+AQ$23-1, 4), "-")</f>
        <v>-</v>
      </c>
    </row>
    <row r="40" spans="2:43" x14ac:dyDescent="0.25">
      <c r="B40" s="37"/>
      <c r="C40" s="1"/>
      <c r="E40" s="3"/>
      <c r="M40" s="9" t="str">
        <f t="shared" si="12"/>
        <v/>
      </c>
      <c r="Q40" s="10"/>
      <c r="S40" s="121"/>
      <c r="T40" s="7"/>
      <c r="U40" s="332"/>
      <c r="V40" s="333"/>
      <c r="W40" s="334"/>
      <c r="Y40" s="9">
        <f t="shared" si="7"/>
        <v>2</v>
      </c>
      <c r="Z40" s="137">
        <f t="shared" si="8"/>
        <v>1</v>
      </c>
      <c r="AA40" s="9" t="s">
        <v>548</v>
      </c>
      <c r="AB40" s="1">
        <f t="shared" si="9"/>
        <v>202013</v>
      </c>
      <c r="AC40" s="940">
        <f t="shared" ca="1" si="10"/>
        <v>4.3874391903579021E-3</v>
      </c>
      <c r="AD40" s="27">
        <v>0</v>
      </c>
      <c r="AE40" s="941">
        <v>0</v>
      </c>
      <c r="AF40" s="19">
        <f t="shared" ca="1" si="11"/>
        <v>0</v>
      </c>
      <c r="AG40" s="936" t="str">
        <f t="shared" si="14"/>
        <v>-</v>
      </c>
      <c r="AH40" s="937" t="str">
        <f ca="1">IFERROR(OFFSET(ModelFile!$A$1,$AL$21+($AJ$21+2)*($AH$21-$AG40)+AH$23-1, 4), "-")</f>
        <v>-</v>
      </c>
      <c r="AI40" s="938" t="str">
        <f ca="1">IFERROR(OFFSET(ModelFile!$A$1,$AL$21+($AJ$21+2)*($AH$21-$AG40)+AI$23-1, 4), "-")</f>
        <v>-</v>
      </c>
      <c r="AJ40" s="938" t="str">
        <f ca="1">IFERROR(OFFSET(ModelFile!$A$1,$AL$21+($AJ$21+2)*($AH$21-$AG40)+AJ$23-1, 4), "-")</f>
        <v>-</v>
      </c>
      <c r="AK40" s="938" t="str">
        <f ca="1">IFERROR(OFFSET(ModelFile!$A$1,$AL$21+($AJ$21+2)*($AH$21-$AG40)+AK$23-1, 4), "-")</f>
        <v>-</v>
      </c>
      <c r="AL40" s="938" t="str">
        <f ca="1">IFERROR(OFFSET(ModelFile!$A$1,$AL$21+($AJ$21+2)*($AH$21-$AG40)+AL$23-1, 4), "-")</f>
        <v>-</v>
      </c>
      <c r="AM40" s="938" t="str">
        <f ca="1">IFERROR(OFFSET(ModelFile!$A$1,$AL$21+($AJ$21+2)*($AH$21-$AG40)+AM$23-1, 4), "-")</f>
        <v>-</v>
      </c>
      <c r="AN40" s="938" t="str">
        <f ca="1">IFERROR(OFFSET(ModelFile!$A$1,$AL$21+($AJ$21+2)*($AH$21-$AG40)+AN$23-1, 4), "-")</f>
        <v>-</v>
      </c>
      <c r="AO40" s="938" t="str">
        <f ca="1">IFERROR(OFFSET(ModelFile!$A$1,$AL$21+($AJ$21+2)*($AH$21-$AG40)+AO$23-1, 4), "-")</f>
        <v>-</v>
      </c>
      <c r="AP40" s="938" t="str">
        <f ca="1">IFERROR(OFFSET(ModelFile!$A$1,$AL$21+($AJ$21+2)*($AH$21-$AG40)+AP$23-1, 4), "-")</f>
        <v>-</v>
      </c>
      <c r="AQ40" s="939" t="str">
        <f ca="1">IFERROR(OFFSET(ModelFile!$A$1,$AL$21+($AJ$21+2)*($AH$21-$AG40)+AQ$23-1, 4), "-")</f>
        <v>-</v>
      </c>
    </row>
    <row r="41" spans="2:43" ht="15.75" thickBot="1" x14ac:dyDescent="0.3">
      <c r="B41" t="s">
        <v>562</v>
      </c>
      <c r="C41" s="1">
        <v>750</v>
      </c>
      <c r="D41" t="s">
        <v>86</v>
      </c>
      <c r="L41" s="5"/>
      <c r="M41" s="9" t="str">
        <f t="shared" si="12"/>
        <v/>
      </c>
      <c r="Q41" s="10"/>
      <c r="S41" s="122"/>
      <c r="U41" s="335"/>
      <c r="V41" s="41"/>
      <c r="W41" s="336"/>
      <c r="Y41" s="9">
        <f t="shared" si="7"/>
        <v>2</v>
      </c>
      <c r="Z41" s="137">
        <f t="shared" si="8"/>
        <v>2</v>
      </c>
      <c r="AA41" s="15" t="s">
        <v>548</v>
      </c>
      <c r="AB41" s="17">
        <f t="shared" si="9"/>
        <v>202023</v>
      </c>
      <c r="AC41" s="942">
        <f t="shared" ca="1" si="10"/>
        <v>6.848111982408929E-3</v>
      </c>
      <c r="AD41" s="216">
        <v>0</v>
      </c>
      <c r="AE41" s="943">
        <v>0</v>
      </c>
      <c r="AF41" s="19">
        <f t="shared" ca="1" si="11"/>
        <v>0</v>
      </c>
      <c r="AG41" s="936" t="str">
        <f t="shared" si="14"/>
        <v>-</v>
      </c>
      <c r="AH41" s="937" t="str">
        <f ca="1">IFERROR(OFFSET(ModelFile!$A$1,$AL$21+($AJ$21+2)*($AH$21-$AG41)+AH$23-1, 4), "-")</f>
        <v>-</v>
      </c>
      <c r="AI41" s="938" t="str">
        <f ca="1">IFERROR(OFFSET(ModelFile!$A$1,$AL$21+($AJ$21+2)*($AH$21-$AG41)+AI$23-1, 4), "-")</f>
        <v>-</v>
      </c>
      <c r="AJ41" s="938" t="str">
        <f ca="1">IFERROR(OFFSET(ModelFile!$A$1,$AL$21+($AJ$21+2)*($AH$21-$AG41)+AJ$23-1, 4), "-")</f>
        <v>-</v>
      </c>
      <c r="AK41" s="938" t="str">
        <f ca="1">IFERROR(OFFSET(ModelFile!$A$1,$AL$21+($AJ$21+2)*($AH$21-$AG41)+AK$23-1, 4), "-")</f>
        <v>-</v>
      </c>
      <c r="AL41" s="938" t="str">
        <f ca="1">IFERROR(OFFSET(ModelFile!$A$1,$AL$21+($AJ$21+2)*($AH$21-$AG41)+AL$23-1, 4), "-")</f>
        <v>-</v>
      </c>
      <c r="AM41" s="938" t="str">
        <f ca="1">IFERROR(OFFSET(ModelFile!$A$1,$AL$21+($AJ$21+2)*($AH$21-$AG41)+AM$23-1, 4), "-")</f>
        <v>-</v>
      </c>
      <c r="AN41" s="938" t="str">
        <f ca="1">IFERROR(OFFSET(ModelFile!$A$1,$AL$21+($AJ$21+2)*($AH$21-$AG41)+AN$23-1, 4), "-")</f>
        <v>-</v>
      </c>
      <c r="AO41" s="938" t="str">
        <f ca="1">IFERROR(OFFSET(ModelFile!$A$1,$AL$21+($AJ$21+2)*($AH$21-$AG41)+AO$23-1, 4), "-")</f>
        <v>-</v>
      </c>
      <c r="AP41" s="938" t="str">
        <f ca="1">IFERROR(OFFSET(ModelFile!$A$1,$AL$21+($AJ$21+2)*($AH$21-$AG41)+AP$23-1, 4), "-")</f>
        <v>-</v>
      </c>
      <c r="AQ41" s="939" t="str">
        <f ca="1">IFERROR(OFFSET(ModelFile!$A$1,$AL$21+($AJ$21+2)*($AH$21-$AG41)+AQ$23-1, 4), "-")</f>
        <v>-</v>
      </c>
    </row>
    <row r="42" spans="2:43" ht="18.75" customHeight="1" x14ac:dyDescent="0.25">
      <c r="B42" t="s">
        <v>563</v>
      </c>
      <c r="C42" s="1">
        <v>0</v>
      </c>
      <c r="D42" t="s">
        <v>86</v>
      </c>
      <c r="L42" s="5"/>
      <c r="M42" s="9" t="str">
        <f>IFERROR(IF(M41-1&gt;0,M41-1,""),"")</f>
        <v/>
      </c>
      <c r="Q42" s="10"/>
      <c r="S42" s="122"/>
      <c r="U42" s="335"/>
      <c r="V42" s="41"/>
      <c r="W42" s="336"/>
      <c r="Y42" s="9">
        <f t="shared" si="7"/>
        <v>2</v>
      </c>
      <c r="Z42" s="137">
        <f t="shared" si="8"/>
        <v>3</v>
      </c>
      <c r="AA42" s="6" t="s">
        <v>548</v>
      </c>
      <c r="AB42" s="158">
        <f t="shared" si="9"/>
        <v>202033</v>
      </c>
      <c r="AC42" s="934">
        <f t="shared" ca="1" si="10"/>
        <v>6.848111982408929E-3</v>
      </c>
      <c r="AD42" s="173">
        <v>0</v>
      </c>
      <c r="AE42" s="935">
        <v>0</v>
      </c>
      <c r="AF42" s="19">
        <f t="shared" ca="1" si="11"/>
        <v>0</v>
      </c>
      <c r="AG42" s="936" t="str">
        <f t="shared" si="14"/>
        <v>-</v>
      </c>
      <c r="AH42" s="937" t="str">
        <f ca="1">IFERROR(OFFSET(ModelFile!$A$1,$AL$21+($AJ$21+2)*($AH$21-$AG42)+AH$23-1, 4), "-")</f>
        <v>-</v>
      </c>
      <c r="AI42" s="938" t="str">
        <f ca="1">IFERROR(OFFSET(ModelFile!$A$1,$AL$21+($AJ$21+2)*($AH$21-$AG42)+AI$23-1, 4), "-")</f>
        <v>-</v>
      </c>
      <c r="AJ42" s="938" t="str">
        <f ca="1">IFERROR(OFFSET(ModelFile!$A$1,$AL$21+($AJ$21+2)*($AH$21-$AG42)+AJ$23-1, 4), "-")</f>
        <v>-</v>
      </c>
      <c r="AK42" s="938" t="str">
        <f ca="1">IFERROR(OFFSET(ModelFile!$A$1,$AL$21+($AJ$21+2)*($AH$21-$AG42)+AK$23-1, 4), "-")</f>
        <v>-</v>
      </c>
      <c r="AL42" s="938" t="str">
        <f ca="1">IFERROR(OFFSET(ModelFile!$A$1,$AL$21+($AJ$21+2)*($AH$21-$AG42)+AL$23-1, 4), "-")</f>
        <v>-</v>
      </c>
      <c r="AM42" s="938" t="str">
        <f ca="1">IFERROR(OFFSET(ModelFile!$A$1,$AL$21+($AJ$21+2)*($AH$21-$AG42)+AM$23-1, 4), "-")</f>
        <v>-</v>
      </c>
      <c r="AN42" s="938" t="str">
        <f ca="1">IFERROR(OFFSET(ModelFile!$A$1,$AL$21+($AJ$21+2)*($AH$21-$AG42)+AN$23-1, 4), "-")</f>
        <v>-</v>
      </c>
      <c r="AO42" s="938" t="str">
        <f ca="1">IFERROR(OFFSET(ModelFile!$A$1,$AL$21+($AJ$21+2)*($AH$21-$AG42)+AO$23-1, 4), "-")</f>
        <v>-</v>
      </c>
      <c r="AP42" s="938" t="str">
        <f ca="1">IFERROR(OFFSET(ModelFile!$A$1,$AL$21+($AJ$21+2)*($AH$21-$AG42)+AP$23-1, 4), "-")</f>
        <v>-</v>
      </c>
      <c r="AQ42" s="939" t="str">
        <f ca="1">IFERROR(OFFSET(ModelFile!$A$1,$AL$21+($AJ$21+2)*($AH$21-$AG42)+AQ$23-1, 4), "-")</f>
        <v>-</v>
      </c>
    </row>
    <row r="43" spans="2:43" ht="15.75" thickBot="1" x14ac:dyDescent="0.3">
      <c r="C43" s="1"/>
      <c r="L43" s="5"/>
      <c r="M43" s="123" t="str">
        <f>IFERROR(IF(M42-1&gt;0,M42-1,""),"")</f>
        <v/>
      </c>
      <c r="N43" s="124"/>
      <c r="O43" s="124"/>
      <c r="P43" s="124"/>
      <c r="Q43" s="98"/>
      <c r="S43" s="123"/>
      <c r="T43" s="124"/>
      <c r="U43" s="337"/>
      <c r="V43" s="338"/>
      <c r="W43" s="339"/>
      <c r="Y43" s="9">
        <f t="shared" si="7"/>
        <v>2</v>
      </c>
      <c r="Z43" s="137">
        <f t="shared" si="8"/>
        <v>4</v>
      </c>
      <c r="AA43" s="9" t="s">
        <v>548</v>
      </c>
      <c r="AB43" s="1">
        <f t="shared" si="9"/>
        <v>202043</v>
      </c>
      <c r="AC43" s="940">
        <f t="shared" ca="1" si="10"/>
        <v>4.3874391903579021E-3</v>
      </c>
      <c r="AD43" s="27">
        <v>0</v>
      </c>
      <c r="AE43" s="941">
        <v>0</v>
      </c>
      <c r="AF43" s="19">
        <f t="shared" ca="1" si="11"/>
        <v>0</v>
      </c>
      <c r="AG43" s="944" t="str">
        <f t="shared" si="14"/>
        <v>-</v>
      </c>
      <c r="AH43" s="362" t="str">
        <f ca="1">IFERROR(OFFSET(ModelFile!$A$1,$AL$21+($AJ$21+2)*($AH$21-$AG43)+AH$23-1, 4), "-")</f>
        <v>-</v>
      </c>
      <c r="AI43" s="368" t="str">
        <f ca="1">IFERROR(OFFSET(ModelFile!$A$1,$AL$21+($AJ$21+2)*($AH$21-$AG43)+AI$23-1, 4), "-")</f>
        <v>-</v>
      </c>
      <c r="AJ43" s="368" t="str">
        <f ca="1">IFERROR(OFFSET(ModelFile!$A$1,$AL$21+($AJ$21+2)*($AH$21-$AG43)+AJ$23-1, 4), "-")</f>
        <v>-</v>
      </c>
      <c r="AK43" s="368" t="str">
        <f ca="1">IFERROR(OFFSET(ModelFile!$A$1,$AL$21+($AJ$21+2)*($AH$21-$AG43)+AK$23-1, 4), "-")</f>
        <v>-</v>
      </c>
      <c r="AL43" s="368" t="str">
        <f ca="1">IFERROR(OFFSET(ModelFile!$A$1,$AL$21+($AJ$21+2)*($AH$21-$AG43)+AL$23-1, 4), "-")</f>
        <v>-</v>
      </c>
      <c r="AM43" s="368" t="str">
        <f ca="1">IFERROR(OFFSET(ModelFile!$A$1,$AL$21+($AJ$21+2)*($AH$21-$AG43)+AM$23-1, 4), "-")</f>
        <v>-</v>
      </c>
      <c r="AN43" s="368" t="str">
        <f ca="1">IFERROR(OFFSET(ModelFile!$A$1,$AL$21+($AJ$21+2)*($AH$21-$AG43)+AN$23-1, 4), "-")</f>
        <v>-</v>
      </c>
      <c r="AO43" s="368" t="str">
        <f ca="1">IFERROR(OFFSET(ModelFile!$A$1,$AL$21+($AJ$21+2)*($AH$21-$AG43)+AO$23-1, 4), "-")</f>
        <v>-</v>
      </c>
      <c r="AP43" s="368" t="str">
        <f ca="1">IFERROR(OFFSET(ModelFile!$A$1,$AL$21+($AJ$21+2)*($AH$21-$AG43)+AP$23-1, 4), "-")</f>
        <v>-</v>
      </c>
      <c r="AQ43" s="363" t="str">
        <f ca="1">IFERROR(OFFSET(ModelFile!$A$1,$AL$21+($AJ$21+2)*($AH$21-$AG43)+AQ$23-1, 4), "-")</f>
        <v>-</v>
      </c>
    </row>
    <row r="44" spans="2:43" x14ac:dyDescent="0.25">
      <c r="B44" t="s">
        <v>564</v>
      </c>
      <c r="C44" s="1">
        <v>0.26</v>
      </c>
      <c r="Y44" s="9">
        <f t="shared" si="7"/>
        <v>1</v>
      </c>
      <c r="Z44" s="137" t="str">
        <f t="shared" si="8"/>
        <v>-</v>
      </c>
      <c r="AA44" s="9" t="s">
        <v>548</v>
      </c>
      <c r="AB44" s="1" t="e">
        <f t="shared" si="9"/>
        <v>#VALUE!</v>
      </c>
      <c r="AC44" s="940" t="e">
        <f t="shared" ca="1" si="10"/>
        <v>#VALUE!</v>
      </c>
      <c r="AD44" s="27">
        <v>0</v>
      </c>
      <c r="AE44" s="941">
        <v>0</v>
      </c>
    </row>
    <row r="45" spans="2:43" x14ac:dyDescent="0.25">
      <c r="C45" s="1"/>
      <c r="Y45" s="9">
        <f t="shared" si="7"/>
        <v>1</v>
      </c>
      <c r="Z45" s="137" t="str">
        <f t="shared" si="8"/>
        <v>-</v>
      </c>
      <c r="AA45" s="9" t="s">
        <v>548</v>
      </c>
      <c r="AB45" s="1" t="e">
        <f t="shared" si="9"/>
        <v>#VALUE!</v>
      </c>
      <c r="AC45" s="940" t="e">
        <f t="shared" ca="1" si="10"/>
        <v>#VALUE!</v>
      </c>
      <c r="AD45" s="27">
        <v>0</v>
      </c>
      <c r="AE45" s="941">
        <v>0</v>
      </c>
    </row>
    <row r="46" spans="2:43" x14ac:dyDescent="0.25">
      <c r="B46" t="s">
        <v>565</v>
      </c>
      <c r="C46" s="23">
        <v>0.2</v>
      </c>
      <c r="Y46" s="9">
        <f t="shared" si="7"/>
        <v>1</v>
      </c>
      <c r="Z46" s="137" t="str">
        <f t="shared" si="8"/>
        <v>-</v>
      </c>
      <c r="AA46" s="9" t="s">
        <v>548</v>
      </c>
      <c r="AB46" s="1" t="e">
        <f t="shared" si="9"/>
        <v>#VALUE!</v>
      </c>
      <c r="AC46" s="940" t="e">
        <f t="shared" ca="1" si="10"/>
        <v>#VALUE!</v>
      </c>
      <c r="AD46" s="27">
        <v>0</v>
      </c>
      <c r="AE46" s="941">
        <v>0</v>
      </c>
    </row>
    <row r="47" spans="2:43" ht="15.75" thickBot="1" x14ac:dyDescent="0.3">
      <c r="B47" t="s">
        <v>566</v>
      </c>
      <c r="C47" s="1">
        <v>3</v>
      </c>
      <c r="D47" s="126" t="s">
        <v>567</v>
      </c>
      <c r="Y47" s="9">
        <f t="shared" si="7"/>
        <v>1</v>
      </c>
      <c r="Z47" s="137" t="str">
        <f t="shared" si="8"/>
        <v>-</v>
      </c>
      <c r="AA47" s="15" t="s">
        <v>548</v>
      </c>
      <c r="AB47" s="17" t="e">
        <f t="shared" si="9"/>
        <v>#VALUE!</v>
      </c>
      <c r="AC47" s="942" t="e">
        <f t="shared" ca="1" si="10"/>
        <v>#VALUE!</v>
      </c>
      <c r="AD47" s="216">
        <v>0</v>
      </c>
      <c r="AE47" s="943">
        <v>0</v>
      </c>
    </row>
    <row r="48" spans="2:43" x14ac:dyDescent="0.25">
      <c r="B48" t="s">
        <v>568</v>
      </c>
      <c r="C48" s="1">
        <v>0.2</v>
      </c>
      <c r="D48" s="126" t="s">
        <v>569</v>
      </c>
      <c r="Y48" s="9">
        <f t="shared" si="7"/>
        <v>0</v>
      </c>
      <c r="Z48" s="137" t="str">
        <f t="shared" si="8"/>
        <v>-</v>
      </c>
      <c r="AA48" s="6" t="s">
        <v>548</v>
      </c>
      <c r="AB48" s="158" t="e">
        <f t="shared" si="9"/>
        <v>#VALUE!</v>
      </c>
      <c r="AC48" s="934" t="e">
        <f t="shared" ca="1" si="10"/>
        <v>#VALUE!</v>
      </c>
      <c r="AD48" s="173">
        <v>0</v>
      </c>
      <c r="AE48" s="935">
        <v>0</v>
      </c>
    </row>
    <row r="49" spans="1:31" x14ac:dyDescent="0.25">
      <c r="B49" t="s">
        <v>570</v>
      </c>
      <c r="C49" s="1">
        <v>0.5</v>
      </c>
      <c r="Y49" s="9">
        <f t="shared" si="7"/>
        <v>0</v>
      </c>
      <c r="Z49" s="137" t="str">
        <f t="shared" si="8"/>
        <v>-</v>
      </c>
      <c r="AA49" s="9" t="s">
        <v>548</v>
      </c>
      <c r="AB49" s="1" t="e">
        <f t="shared" si="9"/>
        <v>#VALUE!</v>
      </c>
      <c r="AC49" s="940" t="e">
        <f t="shared" ca="1" si="10"/>
        <v>#VALUE!</v>
      </c>
      <c r="AD49" s="27">
        <v>0</v>
      </c>
      <c r="AE49" s="941">
        <v>0</v>
      </c>
    </row>
    <row r="50" spans="1:31" x14ac:dyDescent="0.25">
      <c r="B50" t="s">
        <v>571</v>
      </c>
      <c r="C50" s="1">
        <v>0.4</v>
      </c>
      <c r="Y50" s="9">
        <f t="shared" si="7"/>
        <v>0</v>
      </c>
      <c r="Z50" s="137" t="str">
        <f t="shared" si="8"/>
        <v>-</v>
      </c>
      <c r="AA50" s="9" t="s">
        <v>548</v>
      </c>
      <c r="AB50" s="1" t="e">
        <f t="shared" si="9"/>
        <v>#VALUE!</v>
      </c>
      <c r="AC50" s="940" t="e">
        <f t="shared" ca="1" si="10"/>
        <v>#VALUE!</v>
      </c>
      <c r="AD50" s="27">
        <v>0</v>
      </c>
      <c r="AE50" s="941">
        <v>0</v>
      </c>
    </row>
    <row r="51" spans="1:31" x14ac:dyDescent="0.25">
      <c r="Y51" s="9">
        <f t="shared" si="7"/>
        <v>0</v>
      </c>
      <c r="Z51" s="137" t="str">
        <f t="shared" si="8"/>
        <v>-</v>
      </c>
      <c r="AA51" s="9" t="s">
        <v>548</v>
      </c>
      <c r="AB51" s="1" t="e">
        <f t="shared" si="9"/>
        <v>#VALUE!</v>
      </c>
      <c r="AC51" s="940" t="e">
        <f t="shared" ca="1" si="10"/>
        <v>#VALUE!</v>
      </c>
      <c r="AD51" s="27">
        <v>0</v>
      </c>
      <c r="AE51" s="941">
        <v>0</v>
      </c>
    </row>
    <row r="52" spans="1:31" x14ac:dyDescent="0.25">
      <c r="Y52" s="9">
        <f t="shared" si="7"/>
        <v>-1</v>
      </c>
      <c r="Z52" s="137" t="str">
        <f t="shared" si="8"/>
        <v>-</v>
      </c>
      <c r="AA52" s="9" t="s">
        <v>548</v>
      </c>
      <c r="AB52" s="1" t="e">
        <f t="shared" si="9"/>
        <v>#VALUE!</v>
      </c>
      <c r="AC52" s="940" t="e">
        <f t="shared" ca="1" si="10"/>
        <v>#VALUE!</v>
      </c>
      <c r="AD52" s="27">
        <v>0</v>
      </c>
      <c r="AE52" s="941">
        <v>0</v>
      </c>
    </row>
    <row r="53" spans="1:31" ht="15.75" thickBot="1" x14ac:dyDescent="0.3">
      <c r="Y53" s="9">
        <f t="shared" si="7"/>
        <v>-1</v>
      </c>
      <c r="Z53" s="137" t="str">
        <f t="shared" si="8"/>
        <v>-</v>
      </c>
      <c r="AA53" s="15" t="s">
        <v>548</v>
      </c>
      <c r="AB53" s="17" t="e">
        <f t="shared" si="9"/>
        <v>#VALUE!</v>
      </c>
      <c r="AC53" s="942" t="e">
        <f t="shared" ca="1" si="10"/>
        <v>#VALUE!</v>
      </c>
      <c r="AD53" s="216">
        <v>0</v>
      </c>
      <c r="AE53" s="943">
        <v>0</v>
      </c>
    </row>
    <row r="54" spans="1:31" x14ac:dyDescent="0.25">
      <c r="Y54" s="9">
        <f t="shared" si="7"/>
        <v>-1</v>
      </c>
      <c r="Z54" s="137" t="str">
        <f t="shared" si="8"/>
        <v>-</v>
      </c>
      <c r="AA54" s="9" t="s">
        <v>548</v>
      </c>
      <c r="AB54" s="1" t="e">
        <f t="shared" si="9"/>
        <v>#VALUE!</v>
      </c>
      <c r="AC54" s="940" t="e">
        <f t="shared" ca="1" si="10"/>
        <v>#VALUE!</v>
      </c>
      <c r="AD54" s="27">
        <v>0</v>
      </c>
      <c r="AE54" s="941">
        <v>0</v>
      </c>
    </row>
    <row r="55" spans="1:31" x14ac:dyDescent="0.25">
      <c r="Y55" s="9">
        <f t="shared" si="7"/>
        <v>-1</v>
      </c>
      <c r="Z55" s="137" t="str">
        <f t="shared" si="8"/>
        <v>-</v>
      </c>
      <c r="AA55" s="9" t="s">
        <v>548</v>
      </c>
      <c r="AB55" s="1" t="e">
        <f t="shared" si="9"/>
        <v>#VALUE!</v>
      </c>
      <c r="AC55" s="940" t="e">
        <f t="shared" ca="1" si="10"/>
        <v>#VALUE!</v>
      </c>
      <c r="AD55" s="27">
        <v>0</v>
      </c>
      <c r="AE55" s="941">
        <v>0</v>
      </c>
    </row>
    <row r="56" spans="1:31" x14ac:dyDescent="0.25">
      <c r="Y56" s="9">
        <f t="shared" si="7"/>
        <v>-2</v>
      </c>
      <c r="Z56" s="137" t="str">
        <f t="shared" si="8"/>
        <v>-</v>
      </c>
      <c r="AA56" s="9" t="s">
        <v>548</v>
      </c>
      <c r="AB56" s="1" t="e">
        <f t="shared" si="9"/>
        <v>#VALUE!</v>
      </c>
      <c r="AC56" s="940" t="e">
        <f t="shared" ca="1" si="10"/>
        <v>#VALUE!</v>
      </c>
      <c r="AD56" s="27">
        <v>0</v>
      </c>
      <c r="AE56" s="941">
        <v>0</v>
      </c>
    </row>
    <row r="57" spans="1:31" x14ac:dyDescent="0.25">
      <c r="A57" s="164" t="s">
        <v>572</v>
      </c>
      <c r="L57" s="164" t="s">
        <v>573</v>
      </c>
      <c r="Y57" s="9">
        <f t="shared" si="7"/>
        <v>-2</v>
      </c>
      <c r="Z57" s="137" t="str">
        <f t="shared" si="8"/>
        <v>-</v>
      </c>
      <c r="AA57" s="9" t="s">
        <v>548</v>
      </c>
      <c r="AB57" s="1" t="e">
        <f t="shared" si="9"/>
        <v>#VALUE!</v>
      </c>
      <c r="AC57" s="940" t="e">
        <f t="shared" ca="1" si="10"/>
        <v>#VALUE!</v>
      </c>
      <c r="AD57" s="27">
        <v>0</v>
      </c>
      <c r="AE57" s="941">
        <v>0</v>
      </c>
    </row>
    <row r="58" spans="1:31" x14ac:dyDescent="0.25">
      <c r="A58" s="164"/>
      <c r="B58" s="167" t="s">
        <v>574</v>
      </c>
      <c r="L58" s="164"/>
      <c r="M58" s="167" t="s">
        <v>575</v>
      </c>
      <c r="Y58" s="9">
        <f t="shared" si="7"/>
        <v>-2</v>
      </c>
      <c r="Z58" s="137" t="str">
        <f t="shared" si="8"/>
        <v>-</v>
      </c>
      <c r="AA58" s="9" t="s">
        <v>548</v>
      </c>
      <c r="AB58" s="1" t="e">
        <f t="shared" si="9"/>
        <v>#VALUE!</v>
      </c>
      <c r="AC58" s="940" t="e">
        <f t="shared" ca="1" si="10"/>
        <v>#VALUE!</v>
      </c>
      <c r="AD58" s="27">
        <v>0</v>
      </c>
      <c r="AE58" s="941">
        <v>0</v>
      </c>
    </row>
    <row r="59" spans="1:31" x14ac:dyDescent="0.25">
      <c r="C59" t="s">
        <v>576</v>
      </c>
      <c r="D59">
        <f t="shared" ref="D59:J59" ca="1" si="15">IFERROR(D60*SUM(D64:D93),0)</f>
        <v>0</v>
      </c>
      <c r="E59">
        <f t="shared" ca="1" si="15"/>
        <v>0</v>
      </c>
      <c r="F59">
        <f t="shared" ca="1" si="15"/>
        <v>0</v>
      </c>
      <c r="G59">
        <f t="shared" ca="1" si="15"/>
        <v>0</v>
      </c>
      <c r="H59">
        <f t="shared" ca="1" si="15"/>
        <v>0</v>
      </c>
      <c r="I59">
        <f t="shared" ca="1" si="15"/>
        <v>0</v>
      </c>
      <c r="J59">
        <f t="shared" ca="1" si="15"/>
        <v>0</v>
      </c>
      <c r="Y59" s="9">
        <f t="shared" si="7"/>
        <v>-2</v>
      </c>
      <c r="Z59" s="137" t="str">
        <f t="shared" si="8"/>
        <v>-</v>
      </c>
      <c r="AA59" s="9" t="s">
        <v>548</v>
      </c>
      <c r="AB59" s="1" t="e">
        <f t="shared" si="9"/>
        <v>#VALUE!</v>
      </c>
      <c r="AC59" s="940" t="e">
        <f t="shared" ca="1" si="10"/>
        <v>#VALUE!</v>
      </c>
      <c r="AD59" s="27">
        <v>0</v>
      </c>
      <c r="AE59" s="941">
        <v>0</v>
      </c>
    </row>
    <row r="60" spans="1:31" ht="15.75" thickBot="1" x14ac:dyDescent="0.3">
      <c r="C60" t="s">
        <v>577</v>
      </c>
      <c r="D60">
        <f ca="1">LOAD_DATA!L43</f>
        <v>8200</v>
      </c>
      <c r="E60">
        <f ca="1">LOAD_DATA!M43</f>
        <v>8200</v>
      </c>
      <c r="F60">
        <f ca="1">LOAD_DATA!N43</f>
        <v>8200</v>
      </c>
      <c r="G60">
        <f ca="1">LOAD_DATA!O43</f>
        <v>0</v>
      </c>
      <c r="H60">
        <f ca="1">LOAD_DATA!P43</f>
        <v>0</v>
      </c>
      <c r="I60">
        <f ca="1">LOAD_DATA!Q43</f>
        <v>0</v>
      </c>
      <c r="J60">
        <f>LOAD_DATA!R43</f>
        <v>0</v>
      </c>
      <c r="Y60" s="9">
        <f t="shared" si="7"/>
        <v>-3</v>
      </c>
      <c r="Z60" s="137" t="str">
        <f t="shared" si="8"/>
        <v>-</v>
      </c>
      <c r="AA60" s="9" t="s">
        <v>548</v>
      </c>
      <c r="AB60" s="1" t="e">
        <f t="shared" si="9"/>
        <v>#VALUE!</v>
      </c>
      <c r="AC60" s="940" t="e">
        <f t="shared" ca="1" si="10"/>
        <v>#VALUE!</v>
      </c>
      <c r="AD60" s="27">
        <v>0</v>
      </c>
      <c r="AE60" s="941">
        <v>0</v>
      </c>
    </row>
    <row r="61" spans="1:31" ht="15.75" thickBot="1" x14ac:dyDescent="0.3">
      <c r="C61" s="1089" t="s">
        <v>578</v>
      </c>
      <c r="D61" s="1090"/>
      <c r="E61" s="1090"/>
      <c r="F61" s="1090"/>
      <c r="G61" s="1090"/>
      <c r="H61" s="1090"/>
      <c r="I61" s="1090"/>
      <c r="J61" s="1091"/>
      <c r="O61" s="1089" t="s">
        <v>579</v>
      </c>
      <c r="P61" s="1090"/>
      <c r="Q61" s="1090"/>
      <c r="R61" s="1090"/>
      <c r="S61" s="1090"/>
      <c r="T61" s="1090"/>
      <c r="U61" s="1091"/>
      <c r="Y61" s="9">
        <f t="shared" si="7"/>
        <v>-3</v>
      </c>
      <c r="Z61" s="137" t="str">
        <f t="shared" si="8"/>
        <v>-</v>
      </c>
      <c r="AA61" s="9" t="s">
        <v>548</v>
      </c>
      <c r="AB61" s="1" t="e">
        <f t="shared" si="9"/>
        <v>#VALUE!</v>
      </c>
      <c r="AC61" s="940" t="e">
        <f t="shared" ca="1" si="10"/>
        <v>#VALUE!</v>
      </c>
      <c r="AD61" s="27">
        <v>0</v>
      </c>
      <c r="AE61" s="941">
        <v>0</v>
      </c>
    </row>
    <row r="62" spans="1:31" ht="15.75" thickBot="1" x14ac:dyDescent="0.3">
      <c r="A62" s="1"/>
      <c r="C62" s="165">
        <v>15</v>
      </c>
      <c r="D62" s="1089" t="s">
        <v>359</v>
      </c>
      <c r="E62" s="1090"/>
      <c r="F62" s="1090"/>
      <c r="G62" s="1090"/>
      <c r="H62" s="1090"/>
      <c r="I62" s="1090"/>
      <c r="J62" s="1091"/>
      <c r="M62" s="314" t="s">
        <v>580</v>
      </c>
      <c r="N62" s="227">
        <v>9</v>
      </c>
      <c r="O62" s="1089" t="s">
        <v>346</v>
      </c>
      <c r="P62" s="1090"/>
      <c r="Q62" s="1090"/>
      <c r="R62" s="1090"/>
      <c r="S62" s="1090"/>
      <c r="T62" s="1090"/>
      <c r="U62" s="1091"/>
      <c r="Y62" s="9">
        <f t="shared" si="7"/>
        <v>-3</v>
      </c>
      <c r="Z62" s="137" t="str">
        <f t="shared" si="8"/>
        <v>-</v>
      </c>
      <c r="AA62" s="9" t="s">
        <v>548</v>
      </c>
      <c r="AB62" s="1" t="e">
        <f t="shared" si="9"/>
        <v>#VALUE!</v>
      </c>
      <c r="AC62" s="940" t="e">
        <f t="shared" ca="1" si="10"/>
        <v>#VALUE!</v>
      </c>
      <c r="AD62" s="27">
        <v>0</v>
      </c>
      <c r="AE62" s="941">
        <v>0</v>
      </c>
    </row>
    <row r="63" spans="1:31" ht="15.75" thickBot="1" x14ac:dyDescent="0.3">
      <c r="C63" s="382" t="s">
        <v>581</v>
      </c>
      <c r="D63">
        <v>1</v>
      </c>
      <c r="E63">
        <f t="shared" ref="E63:J63" si="16">IF(D63+1&lt;=$C$8,D63+1,NA())</f>
        <v>2</v>
      </c>
      <c r="F63">
        <f t="shared" si="16"/>
        <v>3</v>
      </c>
      <c r="G63" t="e">
        <f t="shared" si="16"/>
        <v>#N/A</v>
      </c>
      <c r="H63" t="e">
        <f t="shared" si="16"/>
        <v>#N/A</v>
      </c>
      <c r="I63" t="e">
        <f t="shared" si="16"/>
        <v>#N/A</v>
      </c>
      <c r="J63" s="10" t="e">
        <f t="shared" si="16"/>
        <v>#N/A</v>
      </c>
      <c r="M63" s="315" t="s">
        <v>73</v>
      </c>
      <c r="N63" s="313" t="s">
        <v>581</v>
      </c>
      <c r="O63" s="124">
        <v>1</v>
      </c>
      <c r="P63" s="124">
        <f t="shared" ref="P63:U63" si="17">IF(O63+1&lt;=$C$8+1,O63+1,NA())</f>
        <v>2</v>
      </c>
      <c r="Q63" s="124">
        <f t="shared" si="17"/>
        <v>3</v>
      </c>
      <c r="R63" s="124">
        <f t="shared" si="17"/>
        <v>4</v>
      </c>
      <c r="S63" s="124" t="e">
        <f t="shared" si="17"/>
        <v>#N/A</v>
      </c>
      <c r="T63" s="124" t="e">
        <f t="shared" si="17"/>
        <v>#N/A</v>
      </c>
      <c r="U63" s="98" t="e">
        <f t="shared" si="17"/>
        <v>#N/A</v>
      </c>
      <c r="Y63" s="9">
        <f t="shared" si="7"/>
        <v>-3</v>
      </c>
      <c r="Z63" s="137" t="str">
        <f t="shared" si="8"/>
        <v>-</v>
      </c>
      <c r="AA63" s="9" t="s">
        <v>548</v>
      </c>
      <c r="AB63" s="1" t="e">
        <f t="shared" si="9"/>
        <v>#VALUE!</v>
      </c>
      <c r="AC63" s="940" t="e">
        <f t="shared" ca="1" si="10"/>
        <v>#VALUE!</v>
      </c>
      <c r="AD63" s="27">
        <v>0</v>
      </c>
      <c r="AE63" s="941">
        <v>0</v>
      </c>
    </row>
    <row r="64" spans="1:31" x14ac:dyDescent="0.25">
      <c r="C64" s="1073">
        <f>C7+1</f>
        <v>6</v>
      </c>
      <c r="D64" s="121">
        <f ca="1">OFFSET(LOAD_DATA!$P18,0,$C$62*(D$63-1))/1000</f>
        <v>9.4425877192982455E-2</v>
      </c>
      <c r="E64" s="7">
        <f ca="1">OFFSET(LOAD_DATA!$P18,0,$C$62*(E$63-1))/1000</f>
        <v>9.4425877192982455E-2</v>
      </c>
      <c r="F64" s="7">
        <f ca="1">OFFSET(LOAD_DATA!$P18,0,$C$62*(F$63-1))/1000</f>
        <v>9.4425877192982455E-2</v>
      </c>
      <c r="G64" s="7" t="e">
        <f ca="1">OFFSET(LOAD_DATA!$P18,0,$C$62*(G$63-1))/1000</f>
        <v>#N/A</v>
      </c>
      <c r="H64" s="7" t="e">
        <f ca="1">OFFSET(LOAD_DATA!$P18,0,$C$62*(H$63-1))/1000</f>
        <v>#N/A</v>
      </c>
      <c r="I64" s="7" t="e">
        <f ca="1">OFFSET(LOAD_DATA!$P18,0,$C$62*(I$63-1))/1000</f>
        <v>#N/A</v>
      </c>
      <c r="J64" s="8" t="e">
        <f ca="1">OFFSET(LOAD_DATA!$P18,0,$C$62*(J$63-1))/1000</f>
        <v>#N/A</v>
      </c>
      <c r="M64" s="228">
        <f t="array" aca="1" ref="M64" ca="1">SUM(IF(ISERROR(O64:U64),"",O64:U64))</f>
        <v>99.225000000000009</v>
      </c>
      <c r="N64" s="228">
        <f>$C$7</f>
        <v>5</v>
      </c>
      <c r="O64" s="7">
        <f ca="1">OFFSET(LOAD_DATA!$J54,0,$N$62*(O$63-1))</f>
        <v>21.262499999999999</v>
      </c>
      <c r="P64" s="7">
        <f ca="1">OFFSET(LOAD_DATA!$J54,0,$N$62*(P$63-1))</f>
        <v>28.35</v>
      </c>
      <c r="Q64" s="7">
        <f ca="1">OFFSET(LOAD_DATA!$J54,0,$N$62*(Q$63-1))</f>
        <v>28.35</v>
      </c>
      <c r="R64" s="7">
        <f ca="1">OFFSET(LOAD_DATA!$J54,0,$N$62*(R$63-1))</f>
        <v>21.262499999999999</v>
      </c>
      <c r="S64" s="7" t="e">
        <f ca="1">OFFSET(LOAD_DATA!$J54,0,$N$62*(S$63-1))</f>
        <v>#N/A</v>
      </c>
      <c r="T64" s="7" t="e">
        <f ca="1">OFFSET(LOAD_DATA!$J54,0,$N$62*(T$63-1))</f>
        <v>#N/A</v>
      </c>
      <c r="U64" s="8" t="e">
        <f ca="1">OFFSET(LOAD_DATA!$J54,0,$N$62*(U$63-1))</f>
        <v>#N/A</v>
      </c>
      <c r="Y64" s="9">
        <f t="shared" si="7"/>
        <v>-4</v>
      </c>
      <c r="Z64" s="137" t="str">
        <f t="shared" si="8"/>
        <v>-</v>
      </c>
      <c r="AA64" s="9" t="s">
        <v>548</v>
      </c>
      <c r="AB64" s="1" t="e">
        <f t="shared" si="9"/>
        <v>#VALUE!</v>
      </c>
      <c r="AC64" s="940" t="e">
        <f t="shared" ca="1" si="10"/>
        <v>#VALUE!</v>
      </c>
      <c r="AD64" s="27">
        <v>0</v>
      </c>
      <c r="AE64" s="941">
        <v>0</v>
      </c>
    </row>
    <row r="65" spans="3:31" x14ac:dyDescent="0.25">
      <c r="C65" s="11">
        <f t="shared" ref="C65:C75" si="18">IF(C64-1&gt;=2,C64-1,NA())</f>
        <v>5</v>
      </c>
      <c r="D65" s="122">
        <f ca="1">OFFSET(LOAD_DATA!$P19,0,$C$62*(D$63-1))/1000</f>
        <v>9.4425877192982455E-2</v>
      </c>
      <c r="E65">
        <f ca="1">OFFSET(LOAD_DATA!$P19,0,$C$62*(E$63-1))/1000</f>
        <v>9.4425877192982455E-2</v>
      </c>
      <c r="F65">
        <f ca="1">OFFSET(LOAD_DATA!$P19,0,$C$62*(F$63-1))/1000</f>
        <v>9.4425877192982455E-2</v>
      </c>
      <c r="G65" t="e">
        <f ca="1">OFFSET(LOAD_DATA!$P19,0,$C$62*(G$63-1))/1000</f>
        <v>#N/A</v>
      </c>
      <c r="H65" t="e">
        <f ca="1">OFFSET(LOAD_DATA!$P19,0,$C$62*(H$63-1))/1000</f>
        <v>#N/A</v>
      </c>
      <c r="I65" t="e">
        <f ca="1">OFFSET(LOAD_DATA!$P19,0,$C$62*(I$63-1))/1000</f>
        <v>#N/A</v>
      </c>
      <c r="J65" s="10" t="e">
        <f ca="1">OFFSET(LOAD_DATA!$P19,0,$C$62*(J$63-1))/1000</f>
        <v>#N/A</v>
      </c>
      <c r="M65" s="143">
        <f t="array" aca="1" ref="M65" ca="1">SUM(IF(ISERROR(O65:U65),"",O65:U65))</f>
        <v>99.225000000000009</v>
      </c>
      <c r="N65" s="143">
        <f t="shared" ref="N65:N75" si="19">IF(N64-1&gt;=1,N64-1,NA())</f>
        <v>4</v>
      </c>
      <c r="O65">
        <f ca="1">OFFSET(LOAD_DATA!$J55,0,$N$62*(O$63-1))</f>
        <v>21.262499999999999</v>
      </c>
      <c r="P65">
        <f ca="1">OFFSET(LOAD_DATA!$J55,0,$N$62*(P$63-1))</f>
        <v>28.35</v>
      </c>
      <c r="Q65">
        <f ca="1">OFFSET(LOAD_DATA!$J55,0,$N$62*(Q$63-1))</f>
        <v>28.35</v>
      </c>
      <c r="R65">
        <f ca="1">OFFSET(LOAD_DATA!$J55,0,$N$62*(R$63-1))</f>
        <v>21.262499999999999</v>
      </c>
      <c r="S65" t="e">
        <f ca="1">OFFSET(LOAD_DATA!$J55,0,$N$62*(S$63-1))</f>
        <v>#N/A</v>
      </c>
      <c r="T65" t="e">
        <f ca="1">OFFSET(LOAD_DATA!$J55,0,$N$62*(T$63-1))</f>
        <v>#N/A</v>
      </c>
      <c r="U65" s="10" t="e">
        <f ca="1">OFFSET(LOAD_DATA!$J55,0,$N$62*(U$63-1))</f>
        <v>#N/A</v>
      </c>
      <c r="Y65" s="9">
        <f t="shared" si="7"/>
        <v>-4</v>
      </c>
      <c r="Z65" s="137" t="str">
        <f t="shared" si="8"/>
        <v>-</v>
      </c>
      <c r="AA65" s="9" t="s">
        <v>548</v>
      </c>
      <c r="AB65" s="1" t="e">
        <f t="shared" si="9"/>
        <v>#VALUE!</v>
      </c>
      <c r="AC65" s="940" t="e">
        <f t="shared" ca="1" si="10"/>
        <v>#VALUE!</v>
      </c>
      <c r="AD65" s="27">
        <v>0</v>
      </c>
      <c r="AE65" s="941">
        <v>0</v>
      </c>
    </row>
    <row r="66" spans="3:31" x14ac:dyDescent="0.25">
      <c r="C66" s="11">
        <f t="shared" si="18"/>
        <v>4</v>
      </c>
      <c r="D66" s="122">
        <f ca="1">OFFSET(LOAD_DATA!$P20,0,$C$62*(D$63-1))/1000</f>
        <v>9.4425877192982455E-2</v>
      </c>
      <c r="E66">
        <f ca="1">OFFSET(LOAD_DATA!$P20,0,$C$62*(E$63-1))/1000</f>
        <v>9.4425877192982455E-2</v>
      </c>
      <c r="F66">
        <f ca="1">OFFSET(LOAD_DATA!$P20,0,$C$62*(F$63-1))/1000</f>
        <v>9.4425877192982455E-2</v>
      </c>
      <c r="G66" t="e">
        <f ca="1">OFFSET(LOAD_DATA!$P20,0,$C$62*(G$63-1))/1000</f>
        <v>#N/A</v>
      </c>
      <c r="H66" t="e">
        <f ca="1">OFFSET(LOAD_DATA!$P20,0,$C$62*(H$63-1))/1000</f>
        <v>#N/A</v>
      </c>
      <c r="I66" t="e">
        <f ca="1">OFFSET(LOAD_DATA!$P20,0,$C$62*(I$63-1))/1000</f>
        <v>#N/A</v>
      </c>
      <c r="J66" s="10" t="e">
        <f ca="1">OFFSET(LOAD_DATA!$P20,0,$C$62*(J$63-1))/1000</f>
        <v>#N/A</v>
      </c>
      <c r="M66" s="143">
        <f t="array" aca="1" ref="M66" ca="1">SUM(IF(ISERROR(O66:U66),"",O66:U66))</f>
        <v>99.225000000000009</v>
      </c>
      <c r="N66" s="143">
        <f t="shared" si="19"/>
        <v>3</v>
      </c>
      <c r="O66">
        <f ca="1">OFFSET(LOAD_DATA!$J56,0,$N$62*(O$63-1))</f>
        <v>21.262499999999999</v>
      </c>
      <c r="P66">
        <f ca="1">OFFSET(LOAD_DATA!$J56,0,$N$62*(P$63-1))</f>
        <v>28.35</v>
      </c>
      <c r="Q66">
        <f ca="1">OFFSET(LOAD_DATA!$J56,0,$N$62*(Q$63-1))</f>
        <v>28.35</v>
      </c>
      <c r="R66">
        <f ca="1">OFFSET(LOAD_DATA!$J56,0,$N$62*(R$63-1))</f>
        <v>21.262499999999999</v>
      </c>
      <c r="S66" t="e">
        <f ca="1">OFFSET(LOAD_DATA!$J56,0,$N$62*(S$63-1))</f>
        <v>#N/A</v>
      </c>
      <c r="T66" t="e">
        <f ca="1">OFFSET(LOAD_DATA!$J56,0,$N$62*(T$63-1))</f>
        <v>#N/A</v>
      </c>
      <c r="U66" s="10" t="e">
        <f ca="1">OFFSET(LOAD_DATA!$J56,0,$N$62*(U$63-1))</f>
        <v>#N/A</v>
      </c>
      <c r="Y66" s="9">
        <f t="shared" si="7"/>
        <v>-4</v>
      </c>
      <c r="Z66" s="137" t="str">
        <f t="shared" si="8"/>
        <v>-</v>
      </c>
      <c r="AA66" s="9" t="s">
        <v>548</v>
      </c>
      <c r="AB66" s="1" t="e">
        <f t="shared" si="9"/>
        <v>#VALUE!</v>
      </c>
      <c r="AC66" s="940" t="e">
        <f t="shared" ca="1" si="10"/>
        <v>#VALUE!</v>
      </c>
      <c r="AD66" s="27">
        <v>0</v>
      </c>
      <c r="AE66" s="941">
        <v>0</v>
      </c>
    </row>
    <row r="67" spans="3:31" x14ac:dyDescent="0.25">
      <c r="C67" s="11">
        <f t="shared" si="18"/>
        <v>3</v>
      </c>
      <c r="D67" s="122">
        <f ca="1">OFFSET(LOAD_DATA!$P21,0,$C$62*(D$63-1))/1000</f>
        <v>9.4425877192982455E-2</v>
      </c>
      <c r="E67">
        <f ca="1">OFFSET(LOAD_DATA!$P21,0,$C$62*(E$63-1))/1000</f>
        <v>9.4425877192982455E-2</v>
      </c>
      <c r="F67">
        <f ca="1">OFFSET(LOAD_DATA!$P21,0,$C$62*(F$63-1))/1000</f>
        <v>9.4425877192982455E-2</v>
      </c>
      <c r="G67" t="e">
        <f ca="1">OFFSET(LOAD_DATA!$P21,0,$C$62*(G$63-1))/1000</f>
        <v>#N/A</v>
      </c>
      <c r="H67" t="e">
        <f ca="1">OFFSET(LOAD_DATA!$P21,0,$C$62*(H$63-1))/1000</f>
        <v>#N/A</v>
      </c>
      <c r="I67" t="e">
        <f ca="1">OFFSET(LOAD_DATA!$P21,0,$C$62*(I$63-1))/1000</f>
        <v>#N/A</v>
      </c>
      <c r="J67" s="10" t="e">
        <f ca="1">OFFSET(LOAD_DATA!$P21,0,$C$62*(J$63-1))/1000</f>
        <v>#N/A</v>
      </c>
      <c r="M67" s="143">
        <f t="array" aca="1" ref="M67" ca="1">SUM(IF(ISERROR(O67:U67),"",O67:U67))</f>
        <v>99.225000000000009</v>
      </c>
      <c r="N67" s="143">
        <f t="shared" si="19"/>
        <v>2</v>
      </c>
      <c r="O67">
        <f ca="1">OFFSET(LOAD_DATA!$J57,0,$N$62*(O$63-1))</f>
        <v>21.262499999999999</v>
      </c>
      <c r="P67">
        <f ca="1">OFFSET(LOAD_DATA!$J57,0,$N$62*(P$63-1))</f>
        <v>28.35</v>
      </c>
      <c r="Q67">
        <f ca="1">OFFSET(LOAD_DATA!$J57,0,$N$62*(Q$63-1))</f>
        <v>28.35</v>
      </c>
      <c r="R67">
        <f ca="1">OFFSET(LOAD_DATA!$J57,0,$N$62*(R$63-1))</f>
        <v>21.262499999999999</v>
      </c>
      <c r="S67" t="e">
        <f ca="1">OFFSET(LOAD_DATA!$J57,0,$N$62*(S$63-1))</f>
        <v>#N/A</v>
      </c>
      <c r="T67" t="e">
        <f ca="1">OFFSET(LOAD_DATA!$J57,0,$N$62*(T$63-1))</f>
        <v>#N/A</v>
      </c>
      <c r="U67" s="10" t="e">
        <f ca="1">OFFSET(LOAD_DATA!$J57,0,$N$62*(U$63-1))</f>
        <v>#N/A</v>
      </c>
      <c r="Y67" s="9">
        <f t="shared" si="7"/>
        <v>-4</v>
      </c>
      <c r="Z67" s="137" t="str">
        <f t="shared" si="8"/>
        <v>-</v>
      </c>
      <c r="AA67" s="9" t="s">
        <v>548</v>
      </c>
      <c r="AB67" s="1" t="e">
        <f t="shared" si="9"/>
        <v>#VALUE!</v>
      </c>
      <c r="AC67" s="940" t="e">
        <f t="shared" ca="1" si="10"/>
        <v>#VALUE!</v>
      </c>
      <c r="AD67" s="27">
        <v>0</v>
      </c>
      <c r="AE67" s="941">
        <v>0</v>
      </c>
    </row>
    <row r="68" spans="3:31" x14ac:dyDescent="0.25">
      <c r="C68" s="11">
        <f t="shared" si="18"/>
        <v>2</v>
      </c>
      <c r="D68" s="122">
        <f ca="1">OFFSET(LOAD_DATA!$P22,0,$C$62*(D$63-1))/1000</f>
        <v>9.4425877192982455E-2</v>
      </c>
      <c r="E68">
        <f ca="1">OFFSET(LOAD_DATA!$P22,0,$C$62*(E$63-1))/1000</f>
        <v>9.4425877192982455E-2</v>
      </c>
      <c r="F68">
        <f ca="1">OFFSET(LOAD_DATA!$P22,0,$C$62*(F$63-1))/1000</f>
        <v>9.4425877192982455E-2</v>
      </c>
      <c r="G68" t="e">
        <f ca="1">OFFSET(LOAD_DATA!$P22,0,$C$62*(G$63-1))/1000</f>
        <v>#N/A</v>
      </c>
      <c r="H68" t="e">
        <f ca="1">OFFSET(LOAD_DATA!$P22,0,$C$62*(H$63-1))/1000</f>
        <v>#N/A</v>
      </c>
      <c r="I68" t="e">
        <f ca="1">OFFSET(LOAD_DATA!$P22,0,$C$62*(I$63-1))/1000</f>
        <v>#N/A</v>
      </c>
      <c r="J68" s="10" t="e">
        <f ca="1">OFFSET(LOAD_DATA!$P22,0,$C$62*(J$63-1))/1000</f>
        <v>#N/A</v>
      </c>
      <c r="M68" s="383">
        <f t="array" aca="1" ref="M68" ca="1">SUM(IF(ISERROR(O68:U68),"",O68:U68))</f>
        <v>118.125</v>
      </c>
      <c r="N68" s="143">
        <f t="shared" si="19"/>
        <v>1</v>
      </c>
      <c r="O68" s="41">
        <f ca="1">OFFSET(LOAD_DATA!$J58,0,$N$62*(O$63-1))</f>
        <v>25.3125</v>
      </c>
      <c r="P68" s="41">
        <f ca="1">OFFSET(LOAD_DATA!$J58,0,$N$62*(P$63-1))</f>
        <v>33.75</v>
      </c>
      <c r="Q68" s="41">
        <f ca="1">OFFSET(LOAD_DATA!$J58,0,$N$62*(Q$63-1))</f>
        <v>33.75</v>
      </c>
      <c r="R68" s="41">
        <f ca="1">OFFSET(LOAD_DATA!$J58,0,$N$62*(R$63-1))</f>
        <v>25.3125</v>
      </c>
      <c r="S68" t="e">
        <f ca="1">OFFSET(LOAD_DATA!$J58,0,$N$62*(S$63-1))</f>
        <v>#N/A</v>
      </c>
      <c r="T68" t="e">
        <f ca="1">OFFSET(LOAD_DATA!$J58,0,$N$62*(T$63-1))</f>
        <v>#N/A</v>
      </c>
      <c r="U68" s="10" t="e">
        <f ca="1">OFFSET(LOAD_DATA!$J58,0,$N$62*(U$63-1))</f>
        <v>#N/A</v>
      </c>
      <c r="Y68" s="9">
        <f t="shared" si="7"/>
        <v>-5</v>
      </c>
      <c r="Z68" s="137" t="str">
        <f t="shared" si="8"/>
        <v>-</v>
      </c>
      <c r="AA68" s="9" t="s">
        <v>548</v>
      </c>
      <c r="AB68" s="1" t="e">
        <f t="shared" si="9"/>
        <v>#VALUE!</v>
      </c>
      <c r="AC68" s="940" t="e">
        <f t="shared" ca="1" si="10"/>
        <v>#VALUE!</v>
      </c>
      <c r="AD68" s="27">
        <v>0</v>
      </c>
      <c r="AE68" s="941">
        <v>0</v>
      </c>
    </row>
    <row r="69" spans="3:31" x14ac:dyDescent="0.25">
      <c r="C69" s="11" t="e">
        <f t="shared" si="18"/>
        <v>#N/A</v>
      </c>
      <c r="D69" s="122" t="e">
        <f ca="1">OFFSET(LOAD_DATA!$P23,0,$C$62*(D$63-1))/1000</f>
        <v>#N/A</v>
      </c>
      <c r="E69" t="e">
        <f ca="1">OFFSET(LOAD_DATA!$P23,0,$C$62*(E$63-1))/1000</f>
        <v>#N/A</v>
      </c>
      <c r="F69" t="e">
        <f ca="1">OFFSET(LOAD_DATA!$P23,0,$C$62*(F$63-1))/1000</f>
        <v>#N/A</v>
      </c>
      <c r="G69" t="e">
        <f ca="1">OFFSET(LOAD_DATA!$P23,0,$C$62*(G$63-1))/1000</f>
        <v>#N/A</v>
      </c>
      <c r="H69" t="e">
        <f ca="1">OFFSET(LOAD_DATA!$P23,0,$C$62*(H$63-1))/1000</f>
        <v>#N/A</v>
      </c>
      <c r="I69" t="e">
        <f ca="1">OFFSET(LOAD_DATA!$P23,0,$C$62*(I$63-1))/1000</f>
        <v>#N/A</v>
      </c>
      <c r="J69" s="10" t="e">
        <f ca="1">OFFSET(LOAD_DATA!$P23,0,$C$62*(J$63-1))/1000</f>
        <v>#N/A</v>
      </c>
      <c r="M69" s="383">
        <f t="array" aca="1" ref="M69" ca="1">SUM(IF(ISERROR(O69:U69),"",O69:U69))</f>
        <v>0</v>
      </c>
      <c r="N69" s="143" t="e">
        <f t="shared" si="19"/>
        <v>#N/A</v>
      </c>
      <c r="O69" s="41" t="e">
        <f ca="1">OFFSET(LOAD_DATA!$J59,0,$N$62*(O$63-1))</f>
        <v>#N/A</v>
      </c>
      <c r="P69" s="41" t="e">
        <f ca="1">OFFSET(LOAD_DATA!$J59,0,$N$62*(P$63-1))</f>
        <v>#N/A</v>
      </c>
      <c r="Q69" s="41" t="e">
        <f ca="1">OFFSET(LOAD_DATA!$J59,0,$N$62*(Q$63-1))</f>
        <v>#N/A</v>
      </c>
      <c r="R69" s="41" t="e">
        <f ca="1">OFFSET(LOAD_DATA!$J59,0,$N$62*(R$63-1))</f>
        <v>#N/A</v>
      </c>
      <c r="S69" t="e">
        <f ca="1">OFFSET(LOAD_DATA!$J59,0,$N$62*(S$63-1))</f>
        <v>#N/A</v>
      </c>
      <c r="T69" t="e">
        <f ca="1">OFFSET(LOAD_DATA!$J59,0,$N$62*(T$63-1))</f>
        <v>#N/A</v>
      </c>
      <c r="U69" s="10" t="e">
        <f ca="1">OFFSET(LOAD_DATA!$J59,0,$N$62*(U$63-1))</f>
        <v>#N/A</v>
      </c>
      <c r="Y69" s="9">
        <f t="shared" si="7"/>
        <v>-5</v>
      </c>
      <c r="Z69" s="137" t="str">
        <f t="shared" si="8"/>
        <v>-</v>
      </c>
      <c r="AA69" s="9" t="s">
        <v>548</v>
      </c>
      <c r="AB69" s="1" t="e">
        <f t="shared" si="9"/>
        <v>#VALUE!</v>
      </c>
      <c r="AC69" s="940" t="e">
        <f t="shared" ca="1" si="10"/>
        <v>#VALUE!</v>
      </c>
      <c r="AD69" s="27">
        <v>0</v>
      </c>
      <c r="AE69" s="941">
        <v>0</v>
      </c>
    </row>
    <row r="70" spans="3:31" x14ac:dyDescent="0.25">
      <c r="C70" s="11" t="e">
        <f t="shared" si="18"/>
        <v>#N/A</v>
      </c>
      <c r="D70" s="122" t="e">
        <f ca="1">OFFSET(LOAD_DATA!$P24,0,$C$62*(D$63-1))/1000</f>
        <v>#N/A</v>
      </c>
      <c r="E70" t="e">
        <f ca="1">OFFSET(LOAD_DATA!$P24,0,$C$62*(E$63-1))/1000</f>
        <v>#N/A</v>
      </c>
      <c r="F70" t="e">
        <f ca="1">OFFSET(LOAD_DATA!$P24,0,$C$62*(F$63-1))/1000</f>
        <v>#N/A</v>
      </c>
      <c r="G70" t="e">
        <f ca="1">OFFSET(LOAD_DATA!$P24,0,$C$62*(G$63-1))/1000</f>
        <v>#N/A</v>
      </c>
      <c r="H70" t="e">
        <f ca="1">OFFSET(LOAD_DATA!$P24,0,$C$62*(H$63-1))/1000</f>
        <v>#N/A</v>
      </c>
      <c r="I70" t="e">
        <f ca="1">OFFSET(LOAD_DATA!$P24,0,$C$62*(I$63-1))/1000</f>
        <v>#N/A</v>
      </c>
      <c r="J70" s="10" t="e">
        <f ca="1">OFFSET(LOAD_DATA!$P24,0,$C$62*(J$63-1))/1000</f>
        <v>#N/A</v>
      </c>
      <c r="M70" s="383">
        <f t="array" aca="1" ref="M70" ca="1">SUM(IF(ISERROR(O70:U70),"",O70:U70))</f>
        <v>0</v>
      </c>
      <c r="N70" s="143" t="e">
        <f t="shared" si="19"/>
        <v>#N/A</v>
      </c>
      <c r="O70" s="41" t="e">
        <f ca="1">OFFSET(LOAD_DATA!$J60,0,$N$62*(O$63-1))</f>
        <v>#N/A</v>
      </c>
      <c r="P70" s="41" t="e">
        <f ca="1">OFFSET(LOAD_DATA!$J60,0,$N$62*(P$63-1))</f>
        <v>#N/A</v>
      </c>
      <c r="Q70" s="41" t="e">
        <f ca="1">OFFSET(LOAD_DATA!$J60,0,$N$62*(Q$63-1))</f>
        <v>#N/A</v>
      </c>
      <c r="R70" s="41" t="e">
        <f ca="1">OFFSET(LOAD_DATA!$J60,0,$N$62*(R$63-1))</f>
        <v>#N/A</v>
      </c>
      <c r="S70" t="e">
        <f ca="1">OFFSET(LOAD_DATA!$J60,0,$N$62*(S$63-1))</f>
        <v>#N/A</v>
      </c>
      <c r="T70" t="e">
        <f ca="1">OFFSET(LOAD_DATA!$J60,0,$N$62*(T$63-1))</f>
        <v>#N/A</v>
      </c>
      <c r="U70" s="10" t="e">
        <f ca="1">OFFSET(LOAD_DATA!$J60,0,$N$62*(U$63-1))</f>
        <v>#N/A</v>
      </c>
      <c r="Y70" s="9">
        <f t="shared" si="7"/>
        <v>-5</v>
      </c>
      <c r="Z70" s="137" t="str">
        <f t="shared" si="8"/>
        <v>-</v>
      </c>
      <c r="AA70" s="9" t="s">
        <v>548</v>
      </c>
      <c r="AB70" s="1" t="e">
        <f t="shared" si="9"/>
        <v>#VALUE!</v>
      </c>
      <c r="AC70" s="940" t="e">
        <f t="shared" ca="1" si="10"/>
        <v>#VALUE!</v>
      </c>
      <c r="AD70" s="27">
        <v>0</v>
      </c>
      <c r="AE70" s="941">
        <v>0</v>
      </c>
    </row>
    <row r="71" spans="3:31" x14ac:dyDescent="0.25">
      <c r="C71" s="11" t="e">
        <f t="shared" si="18"/>
        <v>#N/A</v>
      </c>
      <c r="D71" s="122" t="e">
        <f ca="1">OFFSET(LOAD_DATA!$P25,0,$C$62*(D$63-1))/1000</f>
        <v>#N/A</v>
      </c>
      <c r="E71" t="e">
        <f ca="1">OFFSET(LOAD_DATA!$P25,0,$C$62*(E$63-1))/1000</f>
        <v>#N/A</v>
      </c>
      <c r="F71" t="e">
        <f ca="1">OFFSET(LOAD_DATA!$P25,0,$C$62*(F$63-1))/1000</f>
        <v>#N/A</v>
      </c>
      <c r="G71" t="e">
        <f ca="1">OFFSET(LOAD_DATA!$P25,0,$C$62*(G$63-1))/1000</f>
        <v>#N/A</v>
      </c>
      <c r="H71" t="e">
        <f ca="1">OFFSET(LOAD_DATA!$P25,0,$C$62*(H$63-1))/1000</f>
        <v>#N/A</v>
      </c>
      <c r="I71" t="e">
        <f ca="1">OFFSET(LOAD_DATA!$P25,0,$C$62*(I$63-1))/1000</f>
        <v>#N/A</v>
      </c>
      <c r="J71" s="10" t="e">
        <f ca="1">OFFSET(LOAD_DATA!$P25,0,$C$62*(J$63-1))/1000</f>
        <v>#N/A</v>
      </c>
      <c r="M71" s="383">
        <f t="array" aca="1" ref="M71" ca="1">SUM(IF(ISERROR(O71:U71),"",O71:U71))</f>
        <v>0</v>
      </c>
      <c r="N71" s="143" t="e">
        <f t="shared" si="19"/>
        <v>#N/A</v>
      </c>
      <c r="O71" s="41" t="e">
        <f ca="1">OFFSET(LOAD_DATA!$J61,0,$N$62*(O$63-1))</f>
        <v>#N/A</v>
      </c>
      <c r="P71" s="41" t="e">
        <f ca="1">OFFSET(LOAD_DATA!$J61,0,$N$62*(P$63-1))</f>
        <v>#N/A</v>
      </c>
      <c r="Q71" s="41" t="e">
        <f ca="1">OFFSET(LOAD_DATA!$J61,0,$N$62*(Q$63-1))</f>
        <v>#N/A</v>
      </c>
      <c r="R71" s="41" t="e">
        <f ca="1">OFFSET(LOAD_DATA!$J61,0,$N$62*(R$63-1))</f>
        <v>#N/A</v>
      </c>
      <c r="S71" t="e">
        <f ca="1">OFFSET(LOAD_DATA!$J61,0,$N$62*(S$63-1))</f>
        <v>#N/A</v>
      </c>
      <c r="T71" t="e">
        <f ca="1">OFFSET(LOAD_DATA!$J61,0,$N$62*(T$63-1))</f>
        <v>#N/A</v>
      </c>
      <c r="U71" s="10" t="e">
        <f ca="1">OFFSET(LOAD_DATA!$J61,0,$N$62*(U$63-1))</f>
        <v>#N/A</v>
      </c>
      <c r="Y71" s="9">
        <f t="shared" si="7"/>
        <v>-5</v>
      </c>
      <c r="Z71" s="137" t="str">
        <f t="shared" si="8"/>
        <v>-</v>
      </c>
      <c r="AA71" s="9" t="s">
        <v>548</v>
      </c>
      <c r="AB71" s="1" t="e">
        <f t="shared" si="9"/>
        <v>#VALUE!</v>
      </c>
      <c r="AC71" s="940" t="e">
        <f t="shared" ca="1" si="10"/>
        <v>#VALUE!</v>
      </c>
      <c r="AD71" s="27">
        <v>0</v>
      </c>
      <c r="AE71" s="941">
        <v>0</v>
      </c>
    </row>
    <row r="72" spans="3:31" x14ac:dyDescent="0.25">
      <c r="C72" s="11" t="e">
        <f t="shared" si="18"/>
        <v>#N/A</v>
      </c>
      <c r="D72" s="122" t="e">
        <f ca="1">OFFSET(LOAD_DATA!$P26,0,$C$62*(D$63-1))/1000</f>
        <v>#N/A</v>
      </c>
      <c r="E72" t="e">
        <f ca="1">OFFSET(LOAD_DATA!$P26,0,$C$62*(E$63-1))/1000</f>
        <v>#N/A</v>
      </c>
      <c r="F72" t="e">
        <f ca="1">OFFSET(LOAD_DATA!$P26,0,$C$62*(F$63-1))/1000</f>
        <v>#N/A</v>
      </c>
      <c r="G72" t="e">
        <f ca="1">OFFSET(LOAD_DATA!$P26,0,$C$62*(G$63-1))/1000</f>
        <v>#N/A</v>
      </c>
      <c r="H72" t="e">
        <f ca="1">OFFSET(LOAD_DATA!$P26,0,$C$62*(H$63-1))/1000</f>
        <v>#N/A</v>
      </c>
      <c r="I72" t="e">
        <f ca="1">OFFSET(LOAD_DATA!$P26,0,$C$62*(I$63-1))/1000</f>
        <v>#N/A</v>
      </c>
      <c r="J72" s="10" t="e">
        <f ca="1">OFFSET(LOAD_DATA!$P26,0,$C$62*(J$63-1))/1000</f>
        <v>#N/A</v>
      </c>
      <c r="M72" s="383">
        <f t="array" aca="1" ref="M72" ca="1">SUM(IF(ISERROR(O72:U72),"",O72:U72))</f>
        <v>0</v>
      </c>
      <c r="N72" s="143" t="e">
        <f t="shared" si="19"/>
        <v>#N/A</v>
      </c>
      <c r="O72" s="41" t="e">
        <f ca="1">OFFSET(LOAD_DATA!$J62,0,$N$62*(O$63-1))</f>
        <v>#N/A</v>
      </c>
      <c r="P72" s="41" t="e">
        <f ca="1">OFFSET(LOAD_DATA!$J62,0,$N$62*(P$63-1))</f>
        <v>#N/A</v>
      </c>
      <c r="Q72" s="41" t="e">
        <f ca="1">OFFSET(LOAD_DATA!$J62,0,$N$62*(Q$63-1))</f>
        <v>#N/A</v>
      </c>
      <c r="R72" s="41" t="e">
        <f ca="1">OFFSET(LOAD_DATA!$J62,0,$N$62*(R$63-1))</f>
        <v>#N/A</v>
      </c>
      <c r="S72" t="e">
        <f ca="1">OFFSET(LOAD_DATA!$J62,0,$N$62*(S$63-1))</f>
        <v>#N/A</v>
      </c>
      <c r="T72" t="e">
        <f ca="1">OFFSET(LOAD_DATA!$J62,0,$N$62*(T$63-1))</f>
        <v>#N/A</v>
      </c>
      <c r="U72" s="10" t="e">
        <f ca="1">OFFSET(LOAD_DATA!$J62,0,$N$62*(U$63-1))</f>
        <v>#N/A</v>
      </c>
      <c r="Y72" s="9">
        <f t="shared" si="7"/>
        <v>-6</v>
      </c>
      <c r="Z72" s="137" t="str">
        <f t="shared" si="8"/>
        <v>-</v>
      </c>
      <c r="AA72" s="9" t="s">
        <v>548</v>
      </c>
      <c r="AB72" s="1" t="e">
        <f t="shared" si="9"/>
        <v>#VALUE!</v>
      </c>
      <c r="AC72" s="940" t="e">
        <f t="shared" ca="1" si="10"/>
        <v>#REF!</v>
      </c>
      <c r="AD72" s="27">
        <v>0</v>
      </c>
      <c r="AE72" s="941">
        <v>0</v>
      </c>
    </row>
    <row r="73" spans="3:31" x14ac:dyDescent="0.25">
      <c r="C73" s="11" t="e">
        <f t="shared" si="18"/>
        <v>#N/A</v>
      </c>
      <c r="D73" s="122" t="e">
        <f ca="1">OFFSET(LOAD_DATA!$P27,0,$C$62*(D$63-1))/1000</f>
        <v>#N/A</v>
      </c>
      <c r="E73" t="e">
        <f ca="1">OFFSET(LOAD_DATA!$P27,0,$C$62*(E$63-1))/1000</f>
        <v>#N/A</v>
      </c>
      <c r="F73" t="e">
        <f ca="1">OFFSET(LOAD_DATA!$P27,0,$C$62*(F$63-1))/1000</f>
        <v>#N/A</v>
      </c>
      <c r="G73" t="e">
        <f ca="1">OFFSET(LOAD_DATA!$P27,0,$C$62*(G$63-1))/1000</f>
        <v>#N/A</v>
      </c>
      <c r="H73" t="e">
        <f ca="1">OFFSET(LOAD_DATA!$P27,0,$C$62*(H$63-1))/1000</f>
        <v>#N/A</v>
      </c>
      <c r="I73" t="e">
        <f ca="1">OFFSET(LOAD_DATA!$P27,0,$C$62*(I$63-1))/1000</f>
        <v>#N/A</v>
      </c>
      <c r="J73" s="10" t="e">
        <f ca="1">OFFSET(LOAD_DATA!$P27,0,$C$62*(J$63-1))/1000</f>
        <v>#N/A</v>
      </c>
      <c r="M73" s="383">
        <f t="array" aca="1" ref="M73" ca="1">SUM(IF(ISERROR(O73:U73),"",O73:U73))</f>
        <v>0</v>
      </c>
      <c r="N73" s="143" t="e">
        <f t="shared" si="19"/>
        <v>#N/A</v>
      </c>
      <c r="O73" s="41" t="e">
        <f ca="1">OFFSET(LOAD_DATA!$J63,0,$N$62*(O$63-1))</f>
        <v>#N/A</v>
      </c>
      <c r="P73" s="41" t="e">
        <f ca="1">OFFSET(LOAD_DATA!$J63,0,$N$62*(P$63-1))</f>
        <v>#N/A</v>
      </c>
      <c r="Q73" s="41" t="e">
        <f ca="1">OFFSET(LOAD_DATA!$J63,0,$N$62*(Q$63-1))</f>
        <v>#N/A</v>
      </c>
      <c r="R73" s="41" t="e">
        <f ca="1">OFFSET(LOAD_DATA!$J63,0,$N$62*(R$63-1))</f>
        <v>#N/A</v>
      </c>
      <c r="S73" t="e">
        <f ca="1">OFFSET(LOAD_DATA!$J63,0,$N$62*(S$63-1))</f>
        <v>#N/A</v>
      </c>
      <c r="T73" t="e">
        <f ca="1">OFFSET(LOAD_DATA!$J63,0,$N$62*(T$63-1))</f>
        <v>#N/A</v>
      </c>
      <c r="U73" s="10" t="e">
        <f ca="1">OFFSET(LOAD_DATA!$J63,0,$N$62*(U$63-1))</f>
        <v>#N/A</v>
      </c>
      <c r="Y73" s="9">
        <f t="shared" si="7"/>
        <v>-6</v>
      </c>
      <c r="Z73" s="137" t="str">
        <f t="shared" si="8"/>
        <v>-</v>
      </c>
      <c r="AA73" s="9" t="s">
        <v>548</v>
      </c>
      <c r="AB73" s="1" t="e">
        <f t="shared" si="9"/>
        <v>#VALUE!</v>
      </c>
      <c r="AC73" s="940" t="e">
        <f t="shared" ca="1" si="10"/>
        <v>#REF!</v>
      </c>
      <c r="AD73" s="27">
        <v>0</v>
      </c>
      <c r="AE73" s="941">
        <v>0</v>
      </c>
    </row>
    <row r="74" spans="3:31" x14ac:dyDescent="0.25">
      <c r="C74" s="11" t="e">
        <f t="shared" si="18"/>
        <v>#N/A</v>
      </c>
      <c r="D74" s="122" t="e">
        <f ca="1">OFFSET(LOAD_DATA!$P28,0,$C$62*(D$63-1))/1000</f>
        <v>#N/A</v>
      </c>
      <c r="E74" t="e">
        <f ca="1">OFFSET(LOAD_DATA!$P28,0,$C$62*(E$63-1))/1000</f>
        <v>#N/A</v>
      </c>
      <c r="F74" t="e">
        <f ca="1">OFFSET(LOAD_DATA!$P28,0,$C$62*(F$63-1))/1000</f>
        <v>#N/A</v>
      </c>
      <c r="G74" t="e">
        <f ca="1">OFFSET(LOAD_DATA!$P28,0,$C$62*(G$63-1))/1000</f>
        <v>#N/A</v>
      </c>
      <c r="H74" t="e">
        <f ca="1">OFFSET(LOAD_DATA!$P28,0,$C$62*(H$63-1))/1000</f>
        <v>#N/A</v>
      </c>
      <c r="I74" t="e">
        <f ca="1">OFFSET(LOAD_DATA!$P28,0,$C$62*(I$63-1))/1000</f>
        <v>#N/A</v>
      </c>
      <c r="J74" s="10" t="e">
        <f ca="1">OFFSET(LOAD_DATA!$P28,0,$C$62*(J$63-1))/1000</f>
        <v>#N/A</v>
      </c>
      <c r="M74" s="383">
        <f t="array" aca="1" ref="M74" ca="1">SUM(IF(ISERROR(O74:U74),"",O74:U74))</f>
        <v>0</v>
      </c>
      <c r="N74" s="143" t="e">
        <f t="shared" si="19"/>
        <v>#N/A</v>
      </c>
      <c r="O74" s="41" t="e">
        <f ca="1">OFFSET(LOAD_DATA!$J64,0,$N$62*(O$63-1))</f>
        <v>#N/A</v>
      </c>
      <c r="P74" s="41" t="e">
        <f ca="1">OFFSET(LOAD_DATA!$J64,0,$N$62*(P$63-1))</f>
        <v>#N/A</v>
      </c>
      <c r="Q74" s="41" t="e">
        <f ca="1">OFFSET(LOAD_DATA!$J64,0,$N$62*(Q$63-1))</f>
        <v>#N/A</v>
      </c>
      <c r="R74" s="41" t="e">
        <f ca="1">OFFSET(LOAD_DATA!$J64,0,$N$62*(R$63-1))</f>
        <v>#N/A</v>
      </c>
      <c r="S74" t="e">
        <f ca="1">OFFSET(LOAD_DATA!$J64,0,$N$62*(S$63-1))</f>
        <v>#N/A</v>
      </c>
      <c r="T74" t="e">
        <f ca="1">OFFSET(LOAD_DATA!$J64,0,$N$62*(T$63-1))</f>
        <v>#N/A</v>
      </c>
      <c r="U74" s="10" t="e">
        <f ca="1">OFFSET(LOAD_DATA!$J64,0,$N$62*(U$63-1))</f>
        <v>#N/A</v>
      </c>
      <c r="Y74" s="9">
        <f t="shared" si="7"/>
        <v>-6</v>
      </c>
      <c r="Z74" s="137" t="str">
        <f t="shared" si="8"/>
        <v>-</v>
      </c>
      <c r="AA74" s="9" t="s">
        <v>548</v>
      </c>
      <c r="AB74" s="1" t="e">
        <f t="shared" si="9"/>
        <v>#VALUE!</v>
      </c>
      <c r="AC74" s="940" t="e">
        <f t="shared" ca="1" si="10"/>
        <v>#REF!</v>
      </c>
      <c r="AD74" s="27">
        <v>0</v>
      </c>
      <c r="AE74" s="941">
        <v>0</v>
      </c>
    </row>
    <row r="75" spans="3:31" ht="15.75" thickBot="1" x14ac:dyDescent="0.3">
      <c r="C75" s="183" t="e">
        <f t="shared" si="18"/>
        <v>#N/A</v>
      </c>
      <c r="D75" s="123" t="e">
        <f ca="1">OFFSET(LOAD_DATA!$P29,0,$C$62*(D$63-1))/1000</f>
        <v>#N/A</v>
      </c>
      <c r="E75" s="124" t="e">
        <f ca="1">OFFSET(LOAD_DATA!$P29,0,$C$62*(E$63-1))/1000</f>
        <v>#N/A</v>
      </c>
      <c r="F75" s="124" t="e">
        <f ca="1">OFFSET(LOAD_DATA!$P29,0,$C$62*(F$63-1))/1000</f>
        <v>#N/A</v>
      </c>
      <c r="G75" s="124" t="e">
        <f ca="1">OFFSET(LOAD_DATA!$P29,0,$C$62*(G$63-1))/1000</f>
        <v>#N/A</v>
      </c>
      <c r="H75" s="124" t="e">
        <f ca="1">OFFSET(LOAD_DATA!$P29,0,$C$62*(H$63-1))/1000</f>
        <v>#N/A</v>
      </c>
      <c r="I75" s="124" t="e">
        <f ca="1">OFFSET(LOAD_DATA!$P29,0,$C$62*(I$63-1))/1000</f>
        <v>#N/A</v>
      </c>
      <c r="J75" s="98" t="e">
        <f ca="1">OFFSET(LOAD_DATA!$P29,0,$C$62*(J$63-1))/1000</f>
        <v>#N/A</v>
      </c>
      <c r="M75" s="384">
        <f t="array" aca="1" ref="M75" ca="1">SUM(IF(ISERROR(O75:U75),"",O75:U75))</f>
        <v>0</v>
      </c>
      <c r="N75" s="144" t="e">
        <f t="shared" si="19"/>
        <v>#N/A</v>
      </c>
      <c r="O75" s="338" t="e">
        <f ca="1">OFFSET(LOAD_DATA!$J65,0,$N$62*(O$63-1))</f>
        <v>#N/A</v>
      </c>
      <c r="P75" s="338" t="e">
        <f ca="1">OFFSET(LOAD_DATA!$J65,0,$N$62*(P$63-1))</f>
        <v>#N/A</v>
      </c>
      <c r="Q75" s="338" t="e">
        <f ca="1">OFFSET(LOAD_DATA!$J65,0,$N$62*(Q$63-1))</f>
        <v>#N/A</v>
      </c>
      <c r="R75" s="338" t="e">
        <f ca="1">OFFSET(LOAD_DATA!$J65,0,$N$62*(R$63-1))</f>
        <v>#N/A</v>
      </c>
      <c r="S75" s="124" t="e">
        <f ca="1">OFFSET(LOAD_DATA!$J65,0,$N$62*(S$63-1))</f>
        <v>#N/A</v>
      </c>
      <c r="T75" s="124" t="e">
        <f ca="1">OFFSET(LOAD_DATA!$J65,0,$N$62*(T$63-1))</f>
        <v>#N/A</v>
      </c>
      <c r="U75" s="98" t="e">
        <f ca="1">OFFSET(LOAD_DATA!$J65,0,$N$62*(U$63-1))</f>
        <v>#N/A</v>
      </c>
      <c r="Y75" s="9">
        <f t="shared" si="7"/>
        <v>-6</v>
      </c>
      <c r="Z75" s="137" t="str">
        <f t="shared" si="8"/>
        <v>-</v>
      </c>
      <c r="AA75" s="9" t="s">
        <v>548</v>
      </c>
      <c r="AB75" s="1" t="e">
        <f t="shared" si="9"/>
        <v>#VALUE!</v>
      </c>
      <c r="AC75" s="940" t="e">
        <f t="shared" ca="1" si="10"/>
        <v>#REF!</v>
      </c>
      <c r="AD75" s="27">
        <v>0</v>
      </c>
      <c r="AE75" s="941">
        <v>0</v>
      </c>
    </row>
    <row r="76" spans="3:31" x14ac:dyDescent="0.25">
      <c r="Y76" s="9">
        <f t="shared" si="7"/>
        <v>-7</v>
      </c>
      <c r="Z76" s="137" t="str">
        <f t="shared" si="8"/>
        <v>-</v>
      </c>
      <c r="AA76" s="9" t="s">
        <v>548</v>
      </c>
      <c r="AB76" s="1" t="e">
        <f t="shared" si="9"/>
        <v>#VALUE!</v>
      </c>
      <c r="AC76" s="940" t="e">
        <f t="shared" ca="1" si="10"/>
        <v>#REF!</v>
      </c>
      <c r="AD76" s="27">
        <v>0</v>
      </c>
      <c r="AE76" s="941">
        <v>0</v>
      </c>
    </row>
    <row r="77" spans="3:31" x14ac:dyDescent="0.25">
      <c r="Y77" s="9">
        <f t="shared" si="7"/>
        <v>-7</v>
      </c>
      <c r="Z77" s="137" t="str">
        <f t="shared" si="8"/>
        <v>-</v>
      </c>
      <c r="AA77" s="9" t="s">
        <v>548</v>
      </c>
      <c r="AB77" s="1" t="e">
        <f t="shared" si="9"/>
        <v>#VALUE!</v>
      </c>
      <c r="AC77" s="940" t="e">
        <f t="shared" ca="1" si="10"/>
        <v>#REF!</v>
      </c>
      <c r="AD77" s="27">
        <v>0</v>
      </c>
      <c r="AE77" s="941">
        <v>0</v>
      </c>
    </row>
    <row r="78" spans="3:31" x14ac:dyDescent="0.25">
      <c r="Y78" s="9">
        <f t="shared" si="7"/>
        <v>-7</v>
      </c>
      <c r="Z78" s="137" t="str">
        <f t="shared" si="8"/>
        <v>-</v>
      </c>
      <c r="AA78" s="9" t="s">
        <v>548</v>
      </c>
      <c r="AB78" s="1" t="e">
        <f t="shared" si="9"/>
        <v>#VALUE!</v>
      </c>
      <c r="AC78" s="940" t="e">
        <f t="shared" ca="1" si="10"/>
        <v>#REF!</v>
      </c>
      <c r="AD78" s="27">
        <v>0</v>
      </c>
      <c r="AE78" s="941">
        <v>0</v>
      </c>
    </row>
    <row r="79" spans="3:31" x14ac:dyDescent="0.25">
      <c r="Y79" s="9">
        <f t="shared" si="7"/>
        <v>-7</v>
      </c>
      <c r="Z79" s="137" t="str">
        <f t="shared" si="8"/>
        <v>-</v>
      </c>
      <c r="AA79" s="9" t="s">
        <v>548</v>
      </c>
      <c r="AB79" s="1" t="e">
        <f t="shared" si="9"/>
        <v>#VALUE!</v>
      </c>
      <c r="AC79" s="940" t="e">
        <f t="shared" ca="1" si="10"/>
        <v>#REF!</v>
      </c>
      <c r="AD79" s="27">
        <v>0</v>
      </c>
      <c r="AE79" s="941">
        <v>0</v>
      </c>
    </row>
    <row r="80" spans="3:31" x14ac:dyDescent="0.25">
      <c r="Y80" s="9">
        <f t="shared" si="7"/>
        <v>-8</v>
      </c>
      <c r="Z80" s="137" t="str">
        <f t="shared" si="8"/>
        <v>-</v>
      </c>
      <c r="AA80" s="9" t="s">
        <v>548</v>
      </c>
      <c r="AB80" s="1" t="e">
        <f t="shared" si="9"/>
        <v>#VALUE!</v>
      </c>
      <c r="AC80" s="940" t="e">
        <f t="shared" ca="1" si="10"/>
        <v>#REF!</v>
      </c>
      <c r="AD80" s="27">
        <v>0</v>
      </c>
      <c r="AE80" s="941">
        <v>0</v>
      </c>
    </row>
    <row r="81" spans="1:31" x14ac:dyDescent="0.25">
      <c r="Y81" s="9">
        <f t="shared" si="7"/>
        <v>-8</v>
      </c>
      <c r="Z81" s="137" t="str">
        <f t="shared" si="8"/>
        <v>-</v>
      </c>
      <c r="AA81" s="9" t="s">
        <v>548</v>
      </c>
      <c r="AB81" s="1" t="e">
        <f t="shared" si="9"/>
        <v>#VALUE!</v>
      </c>
      <c r="AC81" s="940" t="e">
        <f t="shared" ca="1" si="10"/>
        <v>#REF!</v>
      </c>
      <c r="AD81" s="27">
        <v>0</v>
      </c>
      <c r="AE81" s="941">
        <v>0</v>
      </c>
    </row>
    <row r="82" spans="1:31" x14ac:dyDescent="0.25">
      <c r="Y82" s="9">
        <f t="shared" si="7"/>
        <v>-8</v>
      </c>
      <c r="Z82" s="137" t="str">
        <f t="shared" si="8"/>
        <v>-</v>
      </c>
      <c r="AA82" s="9" t="s">
        <v>548</v>
      </c>
      <c r="AB82" s="1" t="e">
        <f t="shared" si="9"/>
        <v>#VALUE!</v>
      </c>
      <c r="AC82" s="940" t="e">
        <f t="shared" ca="1" si="10"/>
        <v>#REF!</v>
      </c>
      <c r="AD82" s="27">
        <v>0</v>
      </c>
      <c r="AE82" s="941">
        <v>0</v>
      </c>
    </row>
    <row r="83" spans="1:31" x14ac:dyDescent="0.25">
      <c r="Y83" s="9">
        <f t="shared" si="7"/>
        <v>-8</v>
      </c>
      <c r="Z83" s="137" t="str">
        <f t="shared" si="8"/>
        <v>-</v>
      </c>
      <c r="AA83" s="9" t="s">
        <v>548</v>
      </c>
      <c r="AB83" s="1" t="e">
        <f t="shared" si="9"/>
        <v>#VALUE!</v>
      </c>
      <c r="AC83" s="940" t="e">
        <f t="shared" ca="1" si="10"/>
        <v>#REF!</v>
      </c>
      <c r="AD83" s="27">
        <v>0</v>
      </c>
      <c r="AE83" s="941">
        <v>0</v>
      </c>
    </row>
    <row r="84" spans="1:31" x14ac:dyDescent="0.25">
      <c r="Y84" s="9">
        <f t="shared" si="7"/>
        <v>-9</v>
      </c>
      <c r="Z84" s="137" t="str">
        <f t="shared" si="8"/>
        <v>-</v>
      </c>
      <c r="AA84" s="9" t="s">
        <v>548</v>
      </c>
      <c r="AB84" s="1" t="e">
        <f t="shared" si="9"/>
        <v>#VALUE!</v>
      </c>
      <c r="AC84" s="940" t="e">
        <f t="shared" ca="1" si="10"/>
        <v>#REF!</v>
      </c>
      <c r="AD84" s="27">
        <v>0</v>
      </c>
      <c r="AE84" s="941">
        <v>0</v>
      </c>
    </row>
    <row r="85" spans="1:31" x14ac:dyDescent="0.25">
      <c r="V85" t="s">
        <v>582</v>
      </c>
      <c r="W85" s="40">
        <f>Vb!B27</f>
        <v>5.0564322698953362E-2</v>
      </c>
      <c r="Y85" s="9">
        <f t="shared" si="7"/>
        <v>-9</v>
      </c>
      <c r="Z85" s="137" t="str">
        <f t="shared" si="8"/>
        <v>-</v>
      </c>
      <c r="AA85" s="9" t="s">
        <v>548</v>
      </c>
      <c r="AB85" s="1" t="e">
        <f t="shared" si="9"/>
        <v>#VALUE!</v>
      </c>
      <c r="AC85" s="940" t="e">
        <f t="shared" ca="1" si="10"/>
        <v>#REF!</v>
      </c>
      <c r="AD85" s="27">
        <v>0</v>
      </c>
      <c r="AE85" s="941">
        <v>0</v>
      </c>
    </row>
    <row r="86" spans="1:31" x14ac:dyDescent="0.25">
      <c r="V86" t="s">
        <v>583</v>
      </c>
      <c r="W86" s="283">
        <f ca="1">T88</f>
        <v>11279.574999999999</v>
      </c>
      <c r="X86" t="s">
        <v>40</v>
      </c>
      <c r="Y86" s="9">
        <f t="shared" si="7"/>
        <v>-9</v>
      </c>
      <c r="Z86" s="137" t="str">
        <f t="shared" si="8"/>
        <v>-</v>
      </c>
      <c r="AA86" s="9" t="s">
        <v>548</v>
      </c>
      <c r="AB86" s="1" t="e">
        <f t="shared" si="9"/>
        <v>#VALUE!</v>
      </c>
      <c r="AC86" s="940" t="e">
        <f t="shared" ca="1" si="10"/>
        <v>#REF!</v>
      </c>
      <c r="AD86" s="27">
        <v>0</v>
      </c>
      <c r="AE86" s="941">
        <v>0</v>
      </c>
    </row>
    <row r="87" spans="1:31" ht="15.75" thickBot="1" x14ac:dyDescent="0.3">
      <c r="T87" s="40"/>
      <c r="V87" t="s">
        <v>584</v>
      </c>
      <c r="W87" s="673">
        <f ca="1">W85*W86</f>
        <v>570.3440702070468</v>
      </c>
      <c r="X87" t="s">
        <v>40</v>
      </c>
      <c r="Y87" s="9">
        <f t="shared" si="7"/>
        <v>-9</v>
      </c>
      <c r="Z87" s="137" t="str">
        <f t="shared" si="8"/>
        <v>-</v>
      </c>
      <c r="AA87" s="9" t="s">
        <v>548</v>
      </c>
      <c r="AB87" s="1" t="e">
        <f t="shared" si="9"/>
        <v>#VALUE!</v>
      </c>
      <c r="AC87" s="940" t="e">
        <f t="shared" ca="1" si="10"/>
        <v>#REF!</v>
      </c>
      <c r="AD87" s="27">
        <v>0</v>
      </c>
      <c r="AE87" s="941">
        <v>0</v>
      </c>
    </row>
    <row r="88" spans="1:31" ht="19.5" thickBot="1" x14ac:dyDescent="0.35">
      <c r="O88" s="127"/>
      <c r="P88" s="178" t="s">
        <v>585</v>
      </c>
      <c r="Q88" s="178">
        <f t="array" aca="1" ref="Q88" ca="1">SUM(IF(ISERROR(O96:U107), "", O96:U107))</f>
        <v>1.1498037716615697</v>
      </c>
      <c r="R88" s="179" t="s">
        <v>586</v>
      </c>
      <c r="S88" s="129"/>
      <c r="T88" s="321">
        <f ca="1">Q88*9810</f>
        <v>11279.574999999999</v>
      </c>
      <c r="U88" t="s">
        <v>40</v>
      </c>
      <c r="V88" s="121" t="s">
        <v>587</v>
      </c>
      <c r="W88" s="8">
        <f>RxnCheck!C34</f>
        <v>5834</v>
      </c>
      <c r="X88" t="s">
        <v>40</v>
      </c>
      <c r="Y88" s="9">
        <f t="shared" ref="Y88:Y95" si="20">$AH$21-QUOTIENT((ROW()-24), $AJ$21 + 1) + 1</f>
        <v>-10</v>
      </c>
      <c r="Z88" s="137" t="str">
        <f t="shared" ref="Z88:Z95" si="21">IF(Y88&lt;=1,"-",(ROW()-23) - QUOTIENT(ROW()-24, $AJ$21+1) * ($AJ$21+1))</f>
        <v>-</v>
      </c>
      <c r="AA88" s="9" t="s">
        <v>548</v>
      </c>
      <c r="AB88" s="1" t="e">
        <f t="shared" ref="AB88:AB95" si="22">200000+Y88*1000+Z88*10+3</f>
        <v>#VALUE!</v>
      </c>
      <c r="AC88" s="940" t="e">
        <f t="shared" ref="AC88:AC95" ca="1" si="23">INDEX($U$24:$U$35, $AH$21+2-Y88)*INDEX($AH$24:$AQ$43, $AH$21+2-Y88, Z88)/INDEX($AF$24:$AF$43, $AH$21+2-Y88)</f>
        <v>#REF!</v>
      </c>
      <c r="AD88" s="27">
        <v>0</v>
      </c>
      <c r="AE88" s="941">
        <v>0</v>
      </c>
    </row>
    <row r="89" spans="1:31" x14ac:dyDescent="0.25">
      <c r="A89" s="164" t="s">
        <v>588</v>
      </c>
      <c r="L89" s="164" t="s">
        <v>589</v>
      </c>
      <c r="U89" s="340"/>
      <c r="V89" s="122" t="s">
        <v>590</v>
      </c>
      <c r="W89" s="336">
        <f>W88/9</f>
        <v>648.22222222222217</v>
      </c>
      <c r="X89" t="s">
        <v>40</v>
      </c>
      <c r="Y89" s="9">
        <f t="shared" si="20"/>
        <v>-10</v>
      </c>
      <c r="Z89" s="137" t="str">
        <f t="shared" si="21"/>
        <v>-</v>
      </c>
      <c r="AA89" s="9" t="s">
        <v>548</v>
      </c>
      <c r="AB89" s="1" t="e">
        <f t="shared" si="22"/>
        <v>#VALUE!</v>
      </c>
      <c r="AC89" s="940" t="e">
        <f t="shared" ca="1" si="23"/>
        <v>#REF!</v>
      </c>
      <c r="AD89" s="27">
        <v>0</v>
      </c>
      <c r="AE89" s="941">
        <v>0</v>
      </c>
    </row>
    <row r="90" spans="1:31" ht="15.75" thickBot="1" x14ac:dyDescent="0.3">
      <c r="A90" s="164"/>
      <c r="B90" s="177" t="s">
        <v>444</v>
      </c>
      <c r="L90" s="164"/>
      <c r="M90" s="177" t="s">
        <v>455</v>
      </c>
      <c r="V90" s="374" t="s">
        <v>591</v>
      </c>
      <c r="W90" s="375">
        <v>1959</v>
      </c>
      <c r="X90" t="s">
        <v>40</v>
      </c>
      <c r="Y90" s="9">
        <f t="shared" si="20"/>
        <v>-10</v>
      </c>
      <c r="Z90" s="137" t="str">
        <f t="shared" si="21"/>
        <v>-</v>
      </c>
      <c r="AA90" s="9" t="s">
        <v>548</v>
      </c>
      <c r="AB90" s="1" t="e">
        <f t="shared" si="22"/>
        <v>#VALUE!</v>
      </c>
      <c r="AC90" s="940" t="e">
        <f t="shared" ca="1" si="23"/>
        <v>#REF!</v>
      </c>
      <c r="AD90" s="27">
        <v>0</v>
      </c>
      <c r="AE90" s="941">
        <v>0</v>
      </c>
    </row>
    <row r="91" spans="1:31" ht="15.75" x14ac:dyDescent="0.25">
      <c r="V91" s="674" t="s">
        <v>592</v>
      </c>
      <c r="W91" s="675">
        <f>W90/W89</f>
        <v>3.0221117586561537</v>
      </c>
      <c r="Y91" s="9">
        <f t="shared" si="20"/>
        <v>-10</v>
      </c>
      <c r="Z91" s="137" t="str">
        <f t="shared" si="21"/>
        <v>-</v>
      </c>
      <c r="AA91" s="9" t="s">
        <v>548</v>
      </c>
      <c r="AB91" s="1" t="e">
        <f t="shared" si="22"/>
        <v>#VALUE!</v>
      </c>
      <c r="AC91" s="940" t="e">
        <f t="shared" ca="1" si="23"/>
        <v>#REF!</v>
      </c>
      <c r="AD91" s="27">
        <v>0</v>
      </c>
      <c r="AE91" s="941">
        <v>0</v>
      </c>
    </row>
    <row r="92" spans="1:31" ht="15.75" thickBot="1" x14ac:dyDescent="0.3">
      <c r="Y92" s="9">
        <f t="shared" si="20"/>
        <v>-11</v>
      </c>
      <c r="Z92" s="137" t="str">
        <f t="shared" si="21"/>
        <v>-</v>
      </c>
      <c r="AA92" s="9" t="s">
        <v>548</v>
      </c>
      <c r="AB92" s="1" t="e">
        <f t="shared" si="22"/>
        <v>#VALUE!</v>
      </c>
      <c r="AC92" s="940" t="e">
        <f t="shared" ca="1" si="23"/>
        <v>#REF!</v>
      </c>
      <c r="AD92" s="27">
        <v>0</v>
      </c>
      <c r="AE92" s="941">
        <v>0</v>
      </c>
    </row>
    <row r="93" spans="1:31" ht="15.75" thickBot="1" x14ac:dyDescent="0.3">
      <c r="C93" s="1089" t="s">
        <v>593</v>
      </c>
      <c r="D93" s="1090"/>
      <c r="E93" s="1090"/>
      <c r="F93" s="1090"/>
      <c r="G93" s="1090"/>
      <c r="H93" s="1090"/>
      <c r="I93" s="1090"/>
      <c r="J93" s="1091"/>
      <c r="N93" s="1089" t="s">
        <v>594</v>
      </c>
      <c r="O93" s="1090"/>
      <c r="P93" s="1090"/>
      <c r="Q93" s="1090"/>
      <c r="R93" s="1090"/>
      <c r="S93" s="1090"/>
      <c r="T93" s="1090"/>
      <c r="U93" s="1091"/>
      <c r="Y93" s="9">
        <f t="shared" si="20"/>
        <v>-11</v>
      </c>
      <c r="Z93" s="137" t="str">
        <f t="shared" si="21"/>
        <v>-</v>
      </c>
      <c r="AA93" s="9" t="s">
        <v>548</v>
      </c>
      <c r="AB93" s="1" t="e">
        <f t="shared" si="22"/>
        <v>#VALUE!</v>
      </c>
      <c r="AC93" s="940" t="e">
        <f t="shared" ca="1" si="23"/>
        <v>#REF!</v>
      </c>
      <c r="AD93" s="27">
        <v>0</v>
      </c>
      <c r="AE93" s="941">
        <v>0</v>
      </c>
    </row>
    <row r="94" spans="1:31" ht="15.75" thickBot="1" x14ac:dyDescent="0.3">
      <c r="C94" s="165">
        <v>9</v>
      </c>
      <c r="D94" s="1089" t="s">
        <v>332</v>
      </c>
      <c r="E94" s="1090"/>
      <c r="F94" s="1090"/>
      <c r="G94" s="1090"/>
      <c r="H94" s="1090"/>
      <c r="I94" s="1090"/>
      <c r="J94" s="1091"/>
      <c r="M94" s="314" t="s">
        <v>580</v>
      </c>
      <c r="N94" s="165">
        <v>9</v>
      </c>
      <c r="O94" s="1089" t="s">
        <v>332</v>
      </c>
      <c r="P94" s="1090"/>
      <c r="Q94" s="1090"/>
      <c r="R94" s="1090"/>
      <c r="S94" s="1090"/>
      <c r="T94" s="1090"/>
      <c r="U94" s="1091"/>
      <c r="Y94" s="9">
        <f t="shared" si="20"/>
        <v>-11</v>
      </c>
      <c r="Z94" s="137" t="str">
        <f t="shared" si="21"/>
        <v>-</v>
      </c>
      <c r="AA94" s="9" t="s">
        <v>548</v>
      </c>
      <c r="AB94" s="1" t="e">
        <f t="shared" si="22"/>
        <v>#VALUE!</v>
      </c>
      <c r="AC94" s="940" t="e">
        <f t="shared" ca="1" si="23"/>
        <v>#REF!</v>
      </c>
      <c r="AD94" s="27">
        <v>0</v>
      </c>
      <c r="AE94" s="941">
        <v>0</v>
      </c>
    </row>
    <row r="95" spans="1:31" ht="15.75" thickBot="1" x14ac:dyDescent="0.3">
      <c r="C95" s="145" t="s">
        <v>581</v>
      </c>
      <c r="D95" s="124">
        <v>1</v>
      </c>
      <c r="E95" s="124">
        <f t="shared" ref="E95:J95" si="24">IF(D95+1&lt;=$C$8 +1,D95+1,NA())</f>
        <v>2</v>
      </c>
      <c r="F95" s="124">
        <f t="shared" si="24"/>
        <v>3</v>
      </c>
      <c r="G95" s="124">
        <f t="shared" si="24"/>
        <v>4</v>
      </c>
      <c r="H95" s="124" t="e">
        <f t="shared" si="24"/>
        <v>#N/A</v>
      </c>
      <c r="I95" s="124" t="e">
        <f t="shared" si="24"/>
        <v>#N/A</v>
      </c>
      <c r="J95" s="98" t="e">
        <f t="shared" si="24"/>
        <v>#N/A</v>
      </c>
      <c r="M95" s="385" t="s">
        <v>73</v>
      </c>
      <c r="N95" s="382" t="s">
        <v>581</v>
      </c>
      <c r="O95" s="124">
        <v>1</v>
      </c>
      <c r="P95" s="124">
        <f t="shared" ref="P95:U95" si="25">IF(O95+1&lt;=$C$8 +1,O95+1,NA())</f>
        <v>2</v>
      </c>
      <c r="Q95" s="124">
        <f t="shared" si="25"/>
        <v>3</v>
      </c>
      <c r="R95" s="124">
        <f t="shared" si="25"/>
        <v>4</v>
      </c>
      <c r="S95" s="124" t="e">
        <f t="shared" si="25"/>
        <v>#N/A</v>
      </c>
      <c r="T95" s="124" t="e">
        <f t="shared" si="25"/>
        <v>#N/A</v>
      </c>
      <c r="U95" s="98" t="e">
        <f t="shared" si="25"/>
        <v>#N/A</v>
      </c>
      <c r="Y95" s="15">
        <f t="shared" si="20"/>
        <v>-11</v>
      </c>
      <c r="Z95" s="133" t="str">
        <f t="shared" si="21"/>
        <v>-</v>
      </c>
      <c r="AA95" s="15" t="s">
        <v>548</v>
      </c>
      <c r="AB95" s="17" t="e">
        <f t="shared" si="22"/>
        <v>#VALUE!</v>
      </c>
      <c r="AC95" s="942" t="e">
        <f t="shared" ca="1" si="23"/>
        <v>#REF!</v>
      </c>
      <c r="AD95" s="216">
        <v>0</v>
      </c>
      <c r="AE95" s="943">
        <v>0</v>
      </c>
    </row>
    <row r="96" spans="1:31" x14ac:dyDescent="0.25">
      <c r="C96" s="228">
        <f>$C$7</f>
        <v>5</v>
      </c>
      <c r="D96" s="7">
        <f ca="1">OFFSET(LOAD_DATA!$J89,0,$C$94*(D$95-1))</f>
        <v>380.08083333333332</v>
      </c>
      <c r="E96" s="7">
        <f ca="1">OFFSET(LOAD_DATA!$J89,0,$C$94*(E$95-1))</f>
        <v>745.98666666666668</v>
      </c>
      <c r="F96" s="7">
        <f ca="1">OFFSET(LOAD_DATA!$J89,0,$C$94*(F$95-1))</f>
        <v>745.98666666666668</v>
      </c>
      <c r="G96" s="7">
        <f ca="1">OFFSET(LOAD_DATA!$J89,0,$C$94*(G$95-1))</f>
        <v>380.08083333333332</v>
      </c>
      <c r="H96" s="7" t="e">
        <f ca="1">OFFSET(LOAD_DATA!$J89,0,$C$94*(H$95-1))</f>
        <v>#N/A</v>
      </c>
      <c r="I96" s="7" t="e">
        <f ca="1">OFFSET(LOAD_DATA!$J89,0,$C$94*(I$95-1))</f>
        <v>#N/A</v>
      </c>
      <c r="J96" s="8" t="e">
        <f ca="1">OFFSET(LOAD_DATA!$J89,0,$C$94*(J$95-1))</f>
        <v>#N/A</v>
      </c>
      <c r="L96">
        <f ca="1">M96/$M$96</f>
        <v>1</v>
      </c>
      <c r="M96" s="1073">
        <f t="array" aca="1" ref="M96" ca="1">SUM(IF(ISERROR(O96:U96),"",O96:U96))</f>
        <v>0.22957543323139654</v>
      </c>
      <c r="N96" s="228">
        <f>$C$7</f>
        <v>5</v>
      </c>
      <c r="O96" s="7">
        <f ca="1">OFFSET(LOAD_DATA!$J124,0,$N$94*(O$95-1))</f>
        <v>3.8744223581379543E-2</v>
      </c>
      <c r="P96" s="7">
        <f ca="1">OFFSET(LOAD_DATA!$J124,0,$N$94*(P$95-1))</f>
        <v>7.6043493034318718E-2</v>
      </c>
      <c r="Q96" s="7">
        <f ca="1">OFFSET(LOAD_DATA!$J124,0,$N$94*(Q$95-1))</f>
        <v>7.6043493034318718E-2</v>
      </c>
      <c r="R96" s="7">
        <f ca="1">OFFSET(LOAD_DATA!$J124,0,$N$94*(R$95-1))</f>
        <v>3.8744223581379543E-2</v>
      </c>
      <c r="S96" s="7" t="e">
        <f ca="1">OFFSET(LOAD_DATA!$J124,0,$N$94*(S$95-1))</f>
        <v>#N/A</v>
      </c>
      <c r="T96" s="7" t="e">
        <f ca="1">OFFSET(LOAD_DATA!$J124,0,$N$94*(T$95-1))</f>
        <v>#N/A</v>
      </c>
      <c r="U96" s="8" t="e">
        <f ca="1">OFFSET(LOAD_DATA!$J124,0,$N$94*(U$95-1))</f>
        <v>#N/A</v>
      </c>
    </row>
    <row r="97" spans="1:21" x14ac:dyDescent="0.25">
      <c r="C97" s="143">
        <f t="shared" ref="C97:C107" si="26">IF(C96-1&gt;=1,C96-1,NA())</f>
        <v>4</v>
      </c>
      <c r="D97">
        <f ca="1">OFFSET(LOAD_DATA!$J90,0,$C$94*(D$95-1))</f>
        <v>760.16166666666663</v>
      </c>
      <c r="E97">
        <f ca="1">OFFSET(LOAD_DATA!$J90,0,$C$94*(E$95-1))</f>
        <v>1491.9733333333334</v>
      </c>
      <c r="F97">
        <f ca="1">OFFSET(LOAD_DATA!$J90,0,$C$94*(F$95-1))</f>
        <v>1491.9733333333334</v>
      </c>
      <c r="G97">
        <f ca="1">OFFSET(LOAD_DATA!$J90,0,$C$94*(G$95-1))</f>
        <v>760.16166666666663</v>
      </c>
      <c r="H97" t="e">
        <f ca="1">OFFSET(LOAD_DATA!$J90,0,$C$94*(H$95-1))</f>
        <v>#N/A</v>
      </c>
      <c r="I97" t="e">
        <f ca="1">OFFSET(LOAD_DATA!$J90,0,$C$94*(I$95-1))</f>
        <v>#N/A</v>
      </c>
      <c r="J97" s="10" t="e">
        <f ca="1">OFFSET(LOAD_DATA!$J90,0,$C$94*(J$95-1))</f>
        <v>#N/A</v>
      </c>
      <c r="L97">
        <f t="shared" ref="L97:L102" ca="1" si="27">M97/$M$96</f>
        <v>1</v>
      </c>
      <c r="M97" s="11">
        <f t="array" aca="1" ref="M97" ca="1">SUM(IF(ISERROR(O97:U97),"",O97:U97))</f>
        <v>0.22957543323139654</v>
      </c>
      <c r="N97" s="143">
        <f t="shared" ref="N97:N107" si="28">IF(N96-1&gt;=1,N96-1,NA())</f>
        <v>4</v>
      </c>
      <c r="O97">
        <f ca="1">OFFSET(LOAD_DATA!$J125,0,$N$94*(O$95-1))</f>
        <v>3.8744223581379543E-2</v>
      </c>
      <c r="P97">
        <f ca="1">OFFSET(LOAD_DATA!$J125,0,$N$94*(P$95-1))</f>
        <v>7.6043493034318718E-2</v>
      </c>
      <c r="Q97">
        <f ca="1">OFFSET(LOAD_DATA!$J125,0,$N$94*(Q$95-1))</f>
        <v>7.6043493034318718E-2</v>
      </c>
      <c r="R97">
        <f ca="1">OFFSET(LOAD_DATA!$J125,0,$N$94*(R$95-1))</f>
        <v>3.8744223581379543E-2</v>
      </c>
      <c r="S97" t="e">
        <f ca="1">OFFSET(LOAD_DATA!$J125,0,$N$94*(S$95-1))</f>
        <v>#N/A</v>
      </c>
      <c r="T97" t="e">
        <f ca="1">OFFSET(LOAD_DATA!$J125,0,$N$94*(T$95-1))</f>
        <v>#N/A</v>
      </c>
      <c r="U97" s="10" t="e">
        <f ca="1">OFFSET(LOAD_DATA!$J125,0,$N$94*(U$95-1))</f>
        <v>#N/A</v>
      </c>
    </row>
    <row r="98" spans="1:21" x14ac:dyDescent="0.25">
      <c r="C98" s="143">
        <f t="shared" si="26"/>
        <v>3</v>
      </c>
      <c r="D98">
        <f ca="1">OFFSET(LOAD_DATA!$J91,0,$C$94*(D$95-1))</f>
        <v>1140.2424999999998</v>
      </c>
      <c r="E98">
        <f ca="1">OFFSET(LOAD_DATA!$J91,0,$C$94*(E$95-1))</f>
        <v>2237.96</v>
      </c>
      <c r="F98">
        <f ca="1">OFFSET(LOAD_DATA!$J91,0,$C$94*(F$95-1))</f>
        <v>2237.96</v>
      </c>
      <c r="G98">
        <f ca="1">OFFSET(LOAD_DATA!$J91,0,$C$94*(G$95-1))</f>
        <v>1140.2424999999998</v>
      </c>
      <c r="H98" t="e">
        <f ca="1">OFFSET(LOAD_DATA!$J91,0,$C$94*(H$95-1))</f>
        <v>#N/A</v>
      </c>
      <c r="I98" t="e">
        <f ca="1">OFFSET(LOAD_DATA!$J91,0,$C$94*(I$95-1))</f>
        <v>#N/A</v>
      </c>
      <c r="J98" s="10" t="e">
        <f ca="1">OFFSET(LOAD_DATA!$J91,0,$C$94*(J$95-1))</f>
        <v>#N/A</v>
      </c>
      <c r="L98">
        <f t="shared" ca="1" si="27"/>
        <v>1</v>
      </c>
      <c r="M98" s="11">
        <f t="array" aca="1" ref="M98" ca="1">SUM(IF(ISERROR(O98:U98),"",O98:U98))</f>
        <v>0.22957543323139654</v>
      </c>
      <c r="N98" s="143">
        <f t="shared" si="28"/>
        <v>3</v>
      </c>
      <c r="O98">
        <f ca="1">OFFSET(LOAD_DATA!$J126,0,$N$94*(O$95-1))</f>
        <v>3.8744223581379543E-2</v>
      </c>
      <c r="P98">
        <f ca="1">OFFSET(LOAD_DATA!$J126,0,$N$94*(P$95-1))</f>
        <v>7.6043493034318718E-2</v>
      </c>
      <c r="Q98">
        <f ca="1">OFFSET(LOAD_DATA!$J126,0,$N$94*(Q$95-1))</f>
        <v>7.6043493034318718E-2</v>
      </c>
      <c r="R98">
        <f ca="1">OFFSET(LOAD_DATA!$J126,0,$N$94*(R$95-1))</f>
        <v>3.8744223581379543E-2</v>
      </c>
      <c r="S98" t="e">
        <f ca="1">OFFSET(LOAD_DATA!$J126,0,$N$94*(S$95-1))</f>
        <v>#N/A</v>
      </c>
      <c r="T98" t="e">
        <f ca="1">OFFSET(LOAD_DATA!$J126,0,$N$94*(T$95-1))</f>
        <v>#N/A</v>
      </c>
      <c r="U98" s="10" t="e">
        <f ca="1">OFFSET(LOAD_DATA!$J126,0,$N$94*(U$95-1))</f>
        <v>#N/A</v>
      </c>
    </row>
    <row r="99" spans="1:21" x14ac:dyDescent="0.25">
      <c r="C99" s="143">
        <f t="shared" si="26"/>
        <v>2</v>
      </c>
      <c r="D99">
        <f ca="1">OFFSET(LOAD_DATA!$J92,0,$C$94*(D$95-1))</f>
        <v>1520.3233333333333</v>
      </c>
      <c r="E99">
        <f ca="1">OFFSET(LOAD_DATA!$J92,0,$C$94*(E$95-1))</f>
        <v>2983.9466666666667</v>
      </c>
      <c r="F99">
        <f ca="1">OFFSET(LOAD_DATA!$J92,0,$C$94*(F$95-1))</f>
        <v>2983.9466666666667</v>
      </c>
      <c r="G99">
        <f ca="1">OFFSET(LOAD_DATA!$J92,0,$C$94*(G$95-1))</f>
        <v>1520.3233333333333</v>
      </c>
      <c r="H99" t="e">
        <f ca="1">OFFSET(LOAD_DATA!$J92,0,$C$94*(H$95-1))</f>
        <v>#N/A</v>
      </c>
      <c r="I99" t="e">
        <f ca="1">OFFSET(LOAD_DATA!$J92,0,$C$94*(I$95-1))</f>
        <v>#N/A</v>
      </c>
      <c r="J99" s="10" t="e">
        <f ca="1">OFFSET(LOAD_DATA!$J92,0,$C$94*(J$95-1))</f>
        <v>#N/A</v>
      </c>
      <c r="L99">
        <f t="shared" ca="1" si="27"/>
        <v>1</v>
      </c>
      <c r="M99" s="11">
        <f t="array" aca="1" ref="M99" ca="1">SUM(IF(ISERROR(O99:U99),"",O99:U99))</f>
        <v>0.22957543323139654</v>
      </c>
      <c r="N99" s="143">
        <f t="shared" si="28"/>
        <v>2</v>
      </c>
      <c r="O99">
        <f ca="1">OFFSET(LOAD_DATA!$J127,0,$N$94*(O$95-1))</f>
        <v>3.8744223581379543E-2</v>
      </c>
      <c r="P99">
        <f ca="1">OFFSET(LOAD_DATA!$J127,0,$N$94*(P$95-1))</f>
        <v>7.6043493034318718E-2</v>
      </c>
      <c r="Q99">
        <f ca="1">OFFSET(LOAD_DATA!$J127,0,$N$94*(Q$95-1))</f>
        <v>7.6043493034318718E-2</v>
      </c>
      <c r="R99">
        <f ca="1">OFFSET(LOAD_DATA!$J127,0,$N$94*(R$95-1))</f>
        <v>3.8744223581379543E-2</v>
      </c>
      <c r="S99" t="e">
        <f ca="1">OFFSET(LOAD_DATA!$J127,0,$N$94*(S$95-1))</f>
        <v>#N/A</v>
      </c>
      <c r="T99" t="e">
        <f ca="1">OFFSET(LOAD_DATA!$J127,0,$N$94*(T$95-1))</f>
        <v>#N/A</v>
      </c>
      <c r="U99" s="10" t="e">
        <f ca="1">OFFSET(LOAD_DATA!$J127,0,$N$94*(U$95-1))</f>
        <v>#N/A</v>
      </c>
    </row>
    <row r="100" spans="1:21" x14ac:dyDescent="0.25">
      <c r="C100" s="143">
        <f t="shared" si="26"/>
        <v>1</v>
      </c>
      <c r="D100">
        <f ca="1">OFFSET(LOAD_DATA!$J93,0,$C$94*(D$95-1))</f>
        <v>1904.4541666666667</v>
      </c>
      <c r="E100">
        <f ca="1">OFFSET(LOAD_DATA!$J93,0,$C$94*(E$95-1))</f>
        <v>3735.3333333333335</v>
      </c>
      <c r="F100">
        <f ca="1">OFFSET(LOAD_DATA!$J93,0,$C$94*(F$95-1))</f>
        <v>3735.3333333333335</v>
      </c>
      <c r="G100">
        <f ca="1">OFFSET(LOAD_DATA!$J93,0,$C$94*(G$95-1))</f>
        <v>1904.4541666666667</v>
      </c>
      <c r="H100" t="e">
        <f ca="1">OFFSET(LOAD_DATA!$J93,0,$C$94*(H$95-1))</f>
        <v>#N/A</v>
      </c>
      <c r="I100" t="e">
        <f ca="1">OFFSET(LOAD_DATA!$J93,0,$C$94*(I$95-1))</f>
        <v>#N/A</v>
      </c>
      <c r="J100" s="10" t="e">
        <f ca="1">OFFSET(LOAD_DATA!$J93,0,$C$94*(J$95-1))</f>
        <v>#N/A</v>
      </c>
      <c r="L100">
        <f t="shared" ca="1" si="27"/>
        <v>1.0083920368894403</v>
      </c>
      <c r="M100" s="11">
        <f t="array" aca="1" ref="M100" ca="1">SUM(IF(ISERROR(O100:U100),"",O100:U100))</f>
        <v>0.23150203873598368</v>
      </c>
      <c r="N100" s="143">
        <f t="shared" si="28"/>
        <v>1</v>
      </c>
      <c r="O100">
        <f ca="1">OFFSET(LOAD_DATA!$J128,0,$N$94*(O$95-1))</f>
        <v>3.9157067618076795E-2</v>
      </c>
      <c r="P100">
        <f ca="1">OFFSET(LOAD_DATA!$J128,0,$N$94*(P$95-1))</f>
        <v>7.6593951749915054E-2</v>
      </c>
      <c r="Q100">
        <f ca="1">OFFSET(LOAD_DATA!$J128,0,$N$94*(Q$95-1))</f>
        <v>7.6593951749915054E-2</v>
      </c>
      <c r="R100">
        <f ca="1">OFFSET(LOAD_DATA!$J128,0,$N$94*(R$95-1))</f>
        <v>3.9157067618076795E-2</v>
      </c>
      <c r="S100" t="e">
        <f ca="1">OFFSET(LOAD_DATA!$J128,0,$N$94*(S$95-1))</f>
        <v>#N/A</v>
      </c>
      <c r="T100" t="e">
        <f ca="1">OFFSET(LOAD_DATA!$J128,0,$N$94*(T$95-1))</f>
        <v>#N/A</v>
      </c>
      <c r="U100" s="10" t="e">
        <f ca="1">OFFSET(LOAD_DATA!$J128,0,$N$94*(U$95-1))</f>
        <v>#N/A</v>
      </c>
    </row>
    <row r="101" spans="1:21" x14ac:dyDescent="0.25">
      <c r="C101" s="143" t="e">
        <f t="shared" si="26"/>
        <v>#N/A</v>
      </c>
      <c r="D101" t="e">
        <f ca="1">OFFSET(LOAD_DATA!$J94,0,$C$94*(D$95-1))</f>
        <v>#N/A</v>
      </c>
      <c r="E101" t="e">
        <f ca="1">OFFSET(LOAD_DATA!$J94,0,$C$94*(E$95-1))</f>
        <v>#N/A</v>
      </c>
      <c r="F101" t="e">
        <f ca="1">OFFSET(LOAD_DATA!$J94,0,$C$94*(F$95-1))</f>
        <v>#N/A</v>
      </c>
      <c r="G101" t="e">
        <f ca="1">OFFSET(LOAD_DATA!$J94,0,$C$94*(G$95-1))</f>
        <v>#N/A</v>
      </c>
      <c r="H101" t="e">
        <f ca="1">OFFSET(LOAD_DATA!$J94,0,$C$94*(H$95-1))</f>
        <v>#N/A</v>
      </c>
      <c r="I101" t="e">
        <f ca="1">OFFSET(LOAD_DATA!$J94,0,$C$94*(I$95-1))</f>
        <v>#N/A</v>
      </c>
      <c r="J101" s="10" t="e">
        <f ca="1">OFFSET(LOAD_DATA!$J94,0,$C$94*(J$95-1))</f>
        <v>#N/A</v>
      </c>
      <c r="L101">
        <f t="shared" ca="1" si="27"/>
        <v>0</v>
      </c>
      <c r="M101" s="11">
        <f t="array" aca="1" ref="M101" ca="1">SUM(IF(ISERROR(O101:U101),"",O101:U101))</f>
        <v>0</v>
      </c>
      <c r="N101" s="143" t="e">
        <f t="shared" si="28"/>
        <v>#N/A</v>
      </c>
      <c r="O101" t="e">
        <f ca="1">OFFSET(LOAD_DATA!$J129,0,$N$94*(O$95-1))</f>
        <v>#N/A</v>
      </c>
      <c r="P101" t="e">
        <f ca="1">OFFSET(LOAD_DATA!$J129,0,$N$94*(P$95-1))</f>
        <v>#N/A</v>
      </c>
      <c r="Q101" t="e">
        <f ca="1">OFFSET(LOAD_DATA!$J129,0,$N$94*(Q$95-1))</f>
        <v>#N/A</v>
      </c>
      <c r="R101" t="e">
        <f ca="1">OFFSET(LOAD_DATA!$J129,0,$N$94*(R$95-1))</f>
        <v>#N/A</v>
      </c>
      <c r="S101" t="e">
        <f ca="1">OFFSET(LOAD_DATA!$J129,0,$N$94*(S$95-1))</f>
        <v>#N/A</v>
      </c>
      <c r="T101" t="e">
        <f ca="1">OFFSET(LOAD_DATA!$J129,0,$N$94*(T$95-1))</f>
        <v>#N/A</v>
      </c>
      <c r="U101" s="10" t="e">
        <f ca="1">OFFSET(LOAD_DATA!$J129,0,$N$94*(U$95-1))</f>
        <v>#N/A</v>
      </c>
    </row>
    <row r="102" spans="1:21" x14ac:dyDescent="0.25">
      <c r="C102" s="143" t="e">
        <f t="shared" si="26"/>
        <v>#N/A</v>
      </c>
      <c r="D102" t="e">
        <f ca="1">OFFSET(LOAD_DATA!$J95,0,$C$94*(D$95-1))</f>
        <v>#N/A</v>
      </c>
      <c r="E102" t="e">
        <f ca="1">OFFSET(LOAD_DATA!$J95,0,$C$94*(E$95-1))</f>
        <v>#N/A</v>
      </c>
      <c r="F102" t="e">
        <f ca="1">OFFSET(LOAD_DATA!$J95,0,$C$94*(F$95-1))</f>
        <v>#N/A</v>
      </c>
      <c r="G102" t="e">
        <f ca="1">OFFSET(LOAD_DATA!$J95,0,$C$94*(G$95-1))</f>
        <v>#N/A</v>
      </c>
      <c r="H102" t="e">
        <f ca="1">OFFSET(LOAD_DATA!$J95,0,$C$94*(H$95-1))</f>
        <v>#N/A</v>
      </c>
      <c r="I102" t="e">
        <f ca="1">OFFSET(LOAD_DATA!$J95,0,$C$94*(I$95-1))</f>
        <v>#N/A</v>
      </c>
      <c r="J102" s="10" t="e">
        <f ca="1">OFFSET(LOAD_DATA!$J95,0,$C$94*(J$95-1))</f>
        <v>#N/A</v>
      </c>
      <c r="L102">
        <f t="shared" ca="1" si="27"/>
        <v>0</v>
      </c>
      <c r="M102" s="11">
        <f t="array" aca="1" ref="M102" ca="1">SUM(IF(ISERROR(O102:U102),"",O102:U102))</f>
        <v>0</v>
      </c>
      <c r="N102" s="143" t="e">
        <f t="shared" si="28"/>
        <v>#N/A</v>
      </c>
      <c r="O102" t="e">
        <f ca="1">OFFSET(LOAD_DATA!$J130,0,$N$94*(O$95-1))</f>
        <v>#N/A</v>
      </c>
      <c r="P102" t="e">
        <f ca="1">OFFSET(LOAD_DATA!$J130,0,$N$94*(P$95-1))</f>
        <v>#N/A</v>
      </c>
      <c r="Q102" t="e">
        <f ca="1">OFFSET(LOAD_DATA!$J130,0,$N$94*(Q$95-1))</f>
        <v>#N/A</v>
      </c>
      <c r="R102" t="e">
        <f ca="1">OFFSET(LOAD_DATA!$J130,0,$N$94*(R$95-1))</f>
        <v>#N/A</v>
      </c>
      <c r="S102" t="e">
        <f ca="1">OFFSET(LOAD_DATA!$J130,0,$N$94*(S$95-1))</f>
        <v>#N/A</v>
      </c>
      <c r="T102" t="e">
        <f ca="1">OFFSET(LOAD_DATA!$J130,0,$N$94*(T$95-1))</f>
        <v>#N/A</v>
      </c>
      <c r="U102" s="10" t="e">
        <f ca="1">OFFSET(LOAD_DATA!$J130,0,$N$94*(U$95-1))</f>
        <v>#N/A</v>
      </c>
    </row>
    <row r="103" spans="1:21" x14ac:dyDescent="0.25">
      <c r="C103" s="143" t="e">
        <f t="shared" si="26"/>
        <v>#N/A</v>
      </c>
      <c r="D103" t="e">
        <f ca="1">OFFSET(LOAD_DATA!$J96,0,$C$94*(D$95-1))</f>
        <v>#N/A</v>
      </c>
      <c r="E103" t="e">
        <f ca="1">OFFSET(LOAD_DATA!$J96,0,$C$94*(E$95-1))</f>
        <v>#N/A</v>
      </c>
      <c r="F103" t="e">
        <f ca="1">OFFSET(LOAD_DATA!$J96,0,$C$94*(F$95-1))</f>
        <v>#N/A</v>
      </c>
      <c r="G103" t="e">
        <f ca="1">OFFSET(LOAD_DATA!$J96,0,$C$94*(G$95-1))</f>
        <v>#N/A</v>
      </c>
      <c r="H103" t="e">
        <f ca="1">OFFSET(LOAD_DATA!$J96,0,$C$94*(H$95-1))</f>
        <v>#N/A</v>
      </c>
      <c r="I103" t="e">
        <f ca="1">OFFSET(LOAD_DATA!$J96,0,$C$94*(I$95-1))</f>
        <v>#N/A</v>
      </c>
      <c r="J103" s="10" t="e">
        <f ca="1">OFFSET(LOAD_DATA!$J96,0,$C$94*(J$95-1))</f>
        <v>#N/A</v>
      </c>
      <c r="L103">
        <f ca="1">M103/$M$96</f>
        <v>0</v>
      </c>
      <c r="M103" s="11">
        <f t="array" aca="1" ref="M103" ca="1">SUM(IF(ISERROR(O103:U103),"",O103:U103))</f>
        <v>0</v>
      </c>
      <c r="N103" s="143" t="e">
        <f t="shared" si="28"/>
        <v>#N/A</v>
      </c>
      <c r="O103" t="e">
        <f ca="1">OFFSET(LOAD_DATA!$J131,0,$N$94*(O$95-1))</f>
        <v>#N/A</v>
      </c>
      <c r="P103" t="e">
        <f ca="1">OFFSET(LOAD_DATA!$J131,0,$N$94*(P$95-1))</f>
        <v>#N/A</v>
      </c>
      <c r="Q103" t="e">
        <f ca="1">OFFSET(LOAD_DATA!$J131,0,$N$94*(Q$95-1))</f>
        <v>#N/A</v>
      </c>
      <c r="R103" t="e">
        <f ca="1">OFFSET(LOAD_DATA!$J131,0,$N$94*(R$95-1))</f>
        <v>#N/A</v>
      </c>
      <c r="S103" t="e">
        <f ca="1">OFFSET(LOAD_DATA!$J131,0,$N$94*(S$95-1))</f>
        <v>#N/A</v>
      </c>
      <c r="T103" t="e">
        <f ca="1">OFFSET(LOAD_DATA!$J131,0,$N$94*(T$95-1))</f>
        <v>#N/A</v>
      </c>
      <c r="U103" s="10" t="e">
        <f ca="1">OFFSET(LOAD_DATA!$J131,0,$N$94*(U$95-1))</f>
        <v>#N/A</v>
      </c>
    </row>
    <row r="104" spans="1:21" x14ac:dyDescent="0.25">
      <c r="C104" s="143" t="e">
        <f t="shared" si="26"/>
        <v>#N/A</v>
      </c>
      <c r="D104" t="e">
        <f ca="1">OFFSET(LOAD_DATA!$J97,0,$C$94*(D$95-1))</f>
        <v>#N/A</v>
      </c>
      <c r="E104" t="e">
        <f ca="1">OFFSET(LOAD_DATA!$J97,0,$C$94*(E$95-1))</f>
        <v>#N/A</v>
      </c>
      <c r="F104" t="e">
        <f ca="1">OFFSET(LOAD_DATA!$J97,0,$C$94*(F$95-1))</f>
        <v>#N/A</v>
      </c>
      <c r="G104" t="e">
        <f ca="1">OFFSET(LOAD_DATA!$J97,0,$C$94*(G$95-1))</f>
        <v>#N/A</v>
      </c>
      <c r="H104" t="e">
        <f ca="1">OFFSET(LOAD_DATA!$J97,0,$C$94*(H$95-1))</f>
        <v>#N/A</v>
      </c>
      <c r="I104" t="e">
        <f ca="1">OFFSET(LOAD_DATA!$J97,0,$C$94*(I$95-1))</f>
        <v>#N/A</v>
      </c>
      <c r="J104" s="10" t="e">
        <f ca="1">OFFSET(LOAD_DATA!$J97,0,$C$94*(J$95-1))</f>
        <v>#N/A</v>
      </c>
      <c r="L104">
        <f ca="1">M104/$M$96</f>
        <v>0</v>
      </c>
      <c r="M104" s="11">
        <f t="array" aca="1" ref="M104" ca="1">SUM(IF(ISERROR(O104:U104),"",O104:U104))</f>
        <v>0</v>
      </c>
      <c r="N104" s="143" t="e">
        <f t="shared" si="28"/>
        <v>#N/A</v>
      </c>
      <c r="O104" t="e">
        <f ca="1">OFFSET(LOAD_DATA!$J132,0,$N$94*(O$95-1))</f>
        <v>#N/A</v>
      </c>
      <c r="P104" t="e">
        <f ca="1">OFFSET(LOAD_DATA!$J132,0,$N$94*(P$95-1))</f>
        <v>#N/A</v>
      </c>
      <c r="Q104" t="e">
        <f ca="1">OFFSET(LOAD_DATA!$J132,0,$N$94*(Q$95-1))</f>
        <v>#N/A</v>
      </c>
      <c r="R104" t="e">
        <f ca="1">OFFSET(LOAD_DATA!$J132,0,$N$94*(R$95-1))</f>
        <v>#N/A</v>
      </c>
      <c r="S104" t="e">
        <f ca="1">OFFSET(LOAD_DATA!$J132,0,$N$94*(S$95-1))</f>
        <v>#N/A</v>
      </c>
      <c r="T104" t="e">
        <f ca="1">OFFSET(LOAD_DATA!$J132,0,$N$94*(T$95-1))</f>
        <v>#N/A</v>
      </c>
      <c r="U104" s="10" t="e">
        <f ca="1">OFFSET(LOAD_DATA!$J132,0,$N$94*(U$95-1))</f>
        <v>#N/A</v>
      </c>
    </row>
    <row r="105" spans="1:21" x14ac:dyDescent="0.25">
      <c r="C105" s="143" t="e">
        <f t="shared" si="26"/>
        <v>#N/A</v>
      </c>
      <c r="D105" t="e">
        <f ca="1">OFFSET(LOAD_DATA!$J98,0,$C$94*(D$95-1))</f>
        <v>#N/A</v>
      </c>
      <c r="E105" t="e">
        <f ca="1">OFFSET(LOAD_DATA!$J98,0,$C$94*(E$95-1))</f>
        <v>#N/A</v>
      </c>
      <c r="F105" t="e">
        <f ca="1">OFFSET(LOAD_DATA!$J98,0,$C$94*(F$95-1))</f>
        <v>#N/A</v>
      </c>
      <c r="G105" t="e">
        <f ca="1">OFFSET(LOAD_DATA!$J98,0,$C$94*(G$95-1))</f>
        <v>#N/A</v>
      </c>
      <c r="H105" t="e">
        <f ca="1">OFFSET(LOAD_DATA!$J98,0,$C$94*(H$95-1))</f>
        <v>#N/A</v>
      </c>
      <c r="I105" t="e">
        <f ca="1">OFFSET(LOAD_DATA!$J98,0,$C$94*(I$95-1))</f>
        <v>#N/A</v>
      </c>
      <c r="J105" s="10" t="e">
        <f ca="1">OFFSET(LOAD_DATA!$J98,0,$C$94*(J$95-1))</f>
        <v>#N/A</v>
      </c>
      <c r="L105">
        <f ca="1">M105/$M$96</f>
        <v>0</v>
      </c>
      <c r="M105" s="11">
        <f t="array" aca="1" ref="M105" ca="1">SUM(IF(ISERROR(O105:U105),"",O105:U105))</f>
        <v>0</v>
      </c>
      <c r="N105" s="143" t="e">
        <f t="shared" si="28"/>
        <v>#N/A</v>
      </c>
      <c r="O105" t="e">
        <f ca="1">OFFSET(LOAD_DATA!$J133,0,$N$94*(O$95-1))</f>
        <v>#N/A</v>
      </c>
      <c r="P105" t="e">
        <f ca="1">OFFSET(LOAD_DATA!$J133,0,$N$94*(P$95-1))</f>
        <v>#N/A</v>
      </c>
      <c r="Q105" t="e">
        <f ca="1">OFFSET(LOAD_DATA!$J133,0,$N$94*(Q$95-1))</f>
        <v>#N/A</v>
      </c>
      <c r="R105" t="e">
        <f ca="1">OFFSET(LOAD_DATA!$J133,0,$N$94*(R$95-1))</f>
        <v>#N/A</v>
      </c>
      <c r="S105" t="e">
        <f ca="1">OFFSET(LOAD_DATA!$J133,0,$N$94*(S$95-1))</f>
        <v>#N/A</v>
      </c>
      <c r="T105" t="e">
        <f ca="1">OFFSET(LOAD_DATA!$J133,0,$N$94*(T$95-1))</f>
        <v>#N/A</v>
      </c>
      <c r="U105" s="10" t="e">
        <f ca="1">OFFSET(LOAD_DATA!$J133,0,$N$94*(U$95-1))</f>
        <v>#N/A</v>
      </c>
    </row>
    <row r="106" spans="1:21" x14ac:dyDescent="0.25">
      <c r="C106" s="143" t="e">
        <f t="shared" si="26"/>
        <v>#N/A</v>
      </c>
      <c r="D106" t="e">
        <f ca="1">OFFSET(LOAD_DATA!$J99,0,$C$94*(D$95-1))</f>
        <v>#N/A</v>
      </c>
      <c r="E106" t="e">
        <f ca="1">OFFSET(LOAD_DATA!$J99,0,$C$94*(E$95-1))</f>
        <v>#N/A</v>
      </c>
      <c r="F106" t="e">
        <f ca="1">OFFSET(LOAD_DATA!$J99,0,$C$94*(F$95-1))</f>
        <v>#N/A</v>
      </c>
      <c r="G106" t="e">
        <f ca="1">OFFSET(LOAD_DATA!$J99,0,$C$94*(G$95-1))</f>
        <v>#N/A</v>
      </c>
      <c r="H106" t="e">
        <f ca="1">OFFSET(LOAD_DATA!$J99,0,$C$94*(H$95-1))</f>
        <v>#N/A</v>
      </c>
      <c r="I106" t="e">
        <f ca="1">OFFSET(LOAD_DATA!$J99,0,$C$94*(I$95-1))</f>
        <v>#N/A</v>
      </c>
      <c r="J106" s="10" t="e">
        <f ca="1">OFFSET(LOAD_DATA!$J99,0,$C$94*(J$95-1))</f>
        <v>#N/A</v>
      </c>
      <c r="L106">
        <f ca="1">M106/$M$96</f>
        <v>0</v>
      </c>
      <c r="M106" s="11">
        <f t="array" aca="1" ref="M106" ca="1">SUM(IF(ISERROR(O106:U106),"",O106:U106))</f>
        <v>0</v>
      </c>
      <c r="N106" s="143" t="e">
        <f t="shared" si="28"/>
        <v>#N/A</v>
      </c>
      <c r="O106" t="e">
        <f ca="1">OFFSET(LOAD_DATA!$J134,0,$N$94*(O$95-1))</f>
        <v>#N/A</v>
      </c>
      <c r="P106" t="e">
        <f ca="1">OFFSET(LOAD_DATA!$J134,0,$N$94*(P$95-1))</f>
        <v>#N/A</v>
      </c>
      <c r="Q106" t="e">
        <f ca="1">OFFSET(LOAD_DATA!$J134,0,$N$94*(Q$95-1))</f>
        <v>#N/A</v>
      </c>
      <c r="R106" t="e">
        <f ca="1">OFFSET(LOAD_DATA!$J134,0,$N$94*(R$95-1))</f>
        <v>#N/A</v>
      </c>
      <c r="S106" t="e">
        <f ca="1">OFFSET(LOAD_DATA!$J134,0,$N$94*(S$95-1))</f>
        <v>#N/A</v>
      </c>
      <c r="T106" t="e">
        <f ca="1">OFFSET(LOAD_DATA!$J134,0,$N$94*(T$95-1))</f>
        <v>#N/A</v>
      </c>
      <c r="U106" s="10" t="e">
        <f ca="1">OFFSET(LOAD_DATA!$J134,0,$N$94*(U$95-1))</f>
        <v>#N/A</v>
      </c>
    </row>
    <row r="107" spans="1:21" ht="15.75" thickBot="1" x14ac:dyDescent="0.3">
      <c r="C107" s="144" t="e">
        <f t="shared" si="26"/>
        <v>#N/A</v>
      </c>
      <c r="D107" s="124" t="e">
        <f ca="1">OFFSET(LOAD_DATA!$J100,0,$C$94*(D$95-1))</f>
        <v>#N/A</v>
      </c>
      <c r="E107" s="124" t="e">
        <f ca="1">OFFSET(LOAD_DATA!$J100,0,$C$94*(E$95-1))</f>
        <v>#N/A</v>
      </c>
      <c r="F107" s="124" t="e">
        <f ca="1">OFFSET(LOAD_DATA!$J100,0,$C$94*(F$95-1))</f>
        <v>#N/A</v>
      </c>
      <c r="G107" s="124" t="e">
        <f ca="1">OFFSET(LOAD_DATA!$J100,0,$C$94*(G$95-1))</f>
        <v>#N/A</v>
      </c>
      <c r="H107" s="124" t="e">
        <f ca="1">OFFSET(LOAD_DATA!$J100,0,$C$94*(H$95-1))</f>
        <v>#N/A</v>
      </c>
      <c r="I107" s="124" t="e">
        <f ca="1">OFFSET(LOAD_DATA!$J100,0,$C$94*(I$95-1))</f>
        <v>#N/A</v>
      </c>
      <c r="J107" s="98" t="e">
        <f ca="1">OFFSET(LOAD_DATA!$J100,0,$C$94*(J$95-1))</f>
        <v>#N/A</v>
      </c>
      <c r="L107">
        <f ca="1">M107/$M$96</f>
        <v>0</v>
      </c>
      <c r="M107" s="183">
        <f t="array" aca="1" ref="M107" ca="1">SUM(IF(ISERROR(O107:U107),"",O107:U107))</f>
        <v>0</v>
      </c>
      <c r="N107" s="144" t="e">
        <f t="shared" si="28"/>
        <v>#N/A</v>
      </c>
      <c r="O107" s="124" t="e">
        <f ca="1">OFFSET(LOAD_DATA!$J135,0,$N$94*(O$95-1))</f>
        <v>#N/A</v>
      </c>
      <c r="P107" s="124" t="e">
        <f ca="1">OFFSET(LOAD_DATA!$J135,0,$N$94*(P$95-1))</f>
        <v>#N/A</v>
      </c>
      <c r="Q107" s="124" t="e">
        <f ca="1">OFFSET(LOAD_DATA!$J135,0,$N$94*(Q$95-1))</f>
        <v>#N/A</v>
      </c>
      <c r="R107" s="124" t="e">
        <f ca="1">OFFSET(LOAD_DATA!$J135,0,$N$94*(R$95-1))</f>
        <v>#N/A</v>
      </c>
      <c r="S107" s="124" t="e">
        <f ca="1">OFFSET(LOAD_DATA!$J135,0,$N$94*(S$95-1))</f>
        <v>#N/A</v>
      </c>
      <c r="T107" s="124" t="e">
        <f ca="1">OFFSET(LOAD_DATA!$J135,0,$N$94*(T$95-1))</f>
        <v>#N/A</v>
      </c>
      <c r="U107" s="98" t="e">
        <f ca="1">OFFSET(LOAD_DATA!$J135,0,$N$94*(U$95-1))</f>
        <v>#N/A</v>
      </c>
    </row>
    <row r="108" spans="1:21" x14ac:dyDescent="0.25">
      <c r="C108" s="143"/>
      <c r="J108" s="10"/>
    </row>
    <row r="110" spans="1:21" x14ac:dyDescent="0.25">
      <c r="A110" s="164" t="s">
        <v>595</v>
      </c>
    </row>
    <row r="112" spans="1:21" ht="15.75" thickBot="1" x14ac:dyDescent="0.3"/>
    <row r="113" spans="3:21" ht="15.75" thickBot="1" x14ac:dyDescent="0.3">
      <c r="C113" s="1089" t="s">
        <v>596</v>
      </c>
      <c r="D113" s="1090"/>
      <c r="E113" s="1090"/>
      <c r="F113" s="1090"/>
      <c r="G113" s="1090"/>
      <c r="H113" s="1090"/>
      <c r="I113" s="1090"/>
      <c r="J113" s="1091"/>
      <c r="N113" s="1089" t="s">
        <v>597</v>
      </c>
      <c r="O113" s="1090"/>
      <c r="P113" s="1090"/>
      <c r="Q113" s="1090"/>
      <c r="R113" s="1090"/>
      <c r="S113" s="1090"/>
      <c r="T113" s="1090"/>
      <c r="U113" s="1091"/>
    </row>
    <row r="114" spans="3:21" ht="15.75" thickBot="1" x14ac:dyDescent="0.3">
      <c r="C114" s="165">
        <v>9</v>
      </c>
      <c r="D114" s="1089" t="s">
        <v>332</v>
      </c>
      <c r="E114" s="1090"/>
      <c r="F114" s="1090"/>
      <c r="G114" s="1090"/>
      <c r="H114" s="1090"/>
      <c r="I114" s="1090"/>
      <c r="J114" s="1091"/>
      <c r="N114" s="165">
        <v>9</v>
      </c>
      <c r="O114" s="1089" t="s">
        <v>332</v>
      </c>
      <c r="P114" s="1090"/>
      <c r="Q114" s="1090"/>
      <c r="R114" s="1090"/>
      <c r="S114" s="1090"/>
      <c r="T114" s="1090"/>
      <c r="U114" s="1091"/>
    </row>
    <row r="115" spans="3:21" ht="15.75" thickBot="1" x14ac:dyDescent="0.3">
      <c r="C115" s="145" t="s">
        <v>581</v>
      </c>
      <c r="D115" s="124">
        <v>1</v>
      </c>
      <c r="E115" s="124">
        <f t="shared" ref="E115:J115" si="29">IF(D115+1&lt;=$C$8 +1,D115+1,NA())</f>
        <v>2</v>
      </c>
      <c r="F115" s="124">
        <f t="shared" si="29"/>
        <v>3</v>
      </c>
      <c r="G115" s="124">
        <f t="shared" si="29"/>
        <v>4</v>
      </c>
      <c r="H115" s="124" t="e">
        <f t="shared" si="29"/>
        <v>#N/A</v>
      </c>
      <c r="I115" s="124" t="e">
        <f t="shared" si="29"/>
        <v>#N/A</v>
      </c>
      <c r="J115" s="124" t="e">
        <f t="shared" si="29"/>
        <v>#N/A</v>
      </c>
      <c r="N115" s="145" t="s">
        <v>581</v>
      </c>
      <c r="O115" s="124">
        <v>1</v>
      </c>
      <c r="P115" s="124">
        <f t="shared" ref="P115:U115" si="30">IF(O115+1&lt;=$C$8 +1,O115+1,NA())</f>
        <v>2</v>
      </c>
      <c r="Q115" s="124">
        <f t="shared" si="30"/>
        <v>3</v>
      </c>
      <c r="R115" s="124">
        <f t="shared" si="30"/>
        <v>4</v>
      </c>
      <c r="S115" s="124" t="e">
        <f t="shared" si="30"/>
        <v>#N/A</v>
      </c>
      <c r="T115" s="124" t="e">
        <f t="shared" si="30"/>
        <v>#N/A</v>
      </c>
      <c r="U115" s="124" t="e">
        <f t="shared" si="30"/>
        <v>#N/A</v>
      </c>
    </row>
    <row r="116" spans="3:21" x14ac:dyDescent="0.25">
      <c r="C116" s="143">
        <f>$C$7</f>
        <v>5</v>
      </c>
      <c r="D116" s="360">
        <f ca="1">D96*1000/(OFFSET(LOAD_DATA!$C54,0,$C$114*(D$115 - 1))*OFFSET(LOAD_DATA!$D54,0,$C$114*(D$115 - 1))*GeneralInput!$C$16)</f>
        <v>2.4177016575757094E-2</v>
      </c>
      <c r="E116" s="360">
        <f ca="1">E96*1000/(OFFSET(LOAD_DATA!$C54,0,$C$114*(E$115 - 1))*OFFSET(LOAD_DATA!$D54,0,$C$114*(E$115 - 1))*GeneralInput!$C$16)</f>
        <v>3.5589268959814256E-2</v>
      </c>
      <c r="F116" s="360">
        <f ca="1">F96*1000/(OFFSET(LOAD_DATA!$C54,0,$C$114*(F$115 - 1))*OFFSET(LOAD_DATA!$D54,0,$C$114*(F$115 - 1))*GeneralInput!$C$16)</f>
        <v>3.5589268959814256E-2</v>
      </c>
      <c r="G116" s="360">
        <f ca="1">G96*1000/(OFFSET(LOAD_DATA!$C54,0,$C$114*(G$115 - 1))*OFFSET(LOAD_DATA!$D54,0,$C$114*(G$115 - 1))*GeneralInput!$C$16)</f>
        <v>2.4177016575757094E-2</v>
      </c>
      <c r="H116" s="360" t="e">
        <f ca="1">H96*1000/(OFFSET(LOAD_DATA!$C54,0,$C$114*(H$115 - 1))*OFFSET(LOAD_DATA!$D54,0,$C$114*(H$115 - 1))*GeneralInput!$C$16)</f>
        <v>#N/A</v>
      </c>
      <c r="I116" s="360" t="e">
        <f ca="1">I96*1000/(OFFSET(LOAD_DATA!$C54,0,$C$114*(I$115 - 1))*OFFSET(LOAD_DATA!$D54,0,$C$114*(I$115 - 1))*GeneralInput!$C$16)</f>
        <v>#N/A</v>
      </c>
      <c r="J116" s="360" t="e">
        <f ca="1">J96*1000/(OFFSET(LOAD_DATA!$C54,0,$C$114*(J$115 - 1))*OFFSET(LOAD_DATA!$D54,0,$C$114*(J$115 - 1))*GeneralInput!$C$16)</f>
        <v>#N/A</v>
      </c>
      <c r="N116" s="143">
        <f>$C$7</f>
        <v>5</v>
      </c>
      <c r="O116" s="50" t="str">
        <f ca="1">CONCATENATE(OFFSET(LOAD_DATA!$C54,0,$C$114*(D$115 - 1)), " x ", OFFSET(LOAD_DATA!$D54,0,$C$114*(D$115 - 1)))</f>
        <v>450 x 600</v>
      </c>
      <c r="P116" s="50" t="str">
        <f ca="1">CONCATENATE(OFFSET(LOAD_DATA!$C54,0,$C$114*(E$115 - 1)), " x ", OFFSET(LOAD_DATA!$D54,0,$C$114*(E$115 - 1)))</f>
        <v>600 x 600</v>
      </c>
      <c r="Q116" s="50" t="str">
        <f ca="1">CONCATENATE(OFFSET(LOAD_DATA!$C54,0,$C$114*(F$115 - 1)), " x ", OFFSET(LOAD_DATA!$D54,0,$C$114*(F$115 - 1)))</f>
        <v>600 x 600</v>
      </c>
      <c r="R116" s="50" t="str">
        <f ca="1">CONCATENATE(OFFSET(LOAD_DATA!$C54,0,$C$114*(G$115 - 1)), " x ", OFFSET(LOAD_DATA!$D54,0,$C$114*(G$115 - 1)))</f>
        <v>450 x 600</v>
      </c>
      <c r="S116" s="50" t="e">
        <f ca="1">CONCATENATE(OFFSET(LOAD_DATA!$C54,0,$C$114*(H$115 - 1)), " x ", OFFSET(LOAD_DATA!$D54,0,$C$114*(H$115 - 1)))</f>
        <v>#N/A</v>
      </c>
      <c r="T116" s="50" t="e">
        <f ca="1">CONCATENATE(OFFSET(LOAD_DATA!$C54,0,$C$114*(I$115 - 1)), " x ", OFFSET(LOAD_DATA!$D54,0,$C$114*(I$115 - 1)))</f>
        <v>#N/A</v>
      </c>
      <c r="U116" s="50" t="e">
        <f ca="1">CONCATENATE(OFFSET(LOAD_DATA!$C54,0,$C$114*(J$115 - 1)), " x ", OFFSET(LOAD_DATA!$D54,0,$C$114*(J$115 - 1)))</f>
        <v>#N/A</v>
      </c>
    </row>
    <row r="117" spans="3:21" x14ac:dyDescent="0.25">
      <c r="C117" s="143">
        <f t="shared" ref="C117:C127" si="31">IF(C96-1&gt;=1,C96-1,NA())</f>
        <v>4</v>
      </c>
      <c r="D117" s="360">
        <f ca="1">D97*1000/(OFFSET(LOAD_DATA!$C55,0,$C$114*(D$115 - 1))*OFFSET(LOAD_DATA!$D55,0,$C$114*(D$115 - 1))*GeneralInput!$C$16)</f>
        <v>4.8354033151514188E-2</v>
      </c>
      <c r="E117" s="360">
        <f ca="1">E97*1000/(OFFSET(LOAD_DATA!$C55,0,$C$114*(E$115 - 1))*OFFSET(LOAD_DATA!$D55,0,$C$114*(E$115 - 1))*GeneralInput!$C$16)</f>
        <v>7.1178537919628512E-2</v>
      </c>
      <c r="F117" s="360">
        <f ca="1">F97*1000/(OFFSET(LOAD_DATA!$C55,0,$C$114*(F$115 - 1))*OFFSET(LOAD_DATA!$D55,0,$C$114*(F$115 - 1))*GeneralInput!$C$16)</f>
        <v>7.1178537919628512E-2</v>
      </c>
      <c r="G117" s="360">
        <f ca="1">G97*1000/(OFFSET(LOAD_DATA!$C55,0,$C$114*(G$115 - 1))*OFFSET(LOAD_DATA!$D55,0,$C$114*(G$115 - 1))*GeneralInput!$C$16)</f>
        <v>4.8354033151514188E-2</v>
      </c>
      <c r="H117" s="360" t="e">
        <f ca="1">H97*1000/(OFFSET(LOAD_DATA!$C55,0,$C$114*(H$115 - 1))*OFFSET(LOAD_DATA!$D55,0,$C$114*(H$115 - 1))*GeneralInput!$C$16)</f>
        <v>#N/A</v>
      </c>
      <c r="I117" s="360" t="e">
        <f ca="1">I97*1000/(OFFSET(LOAD_DATA!$C55,0,$C$114*(I$115 - 1))*OFFSET(LOAD_DATA!$D55,0,$C$114*(I$115 - 1))*GeneralInput!$C$16)</f>
        <v>#N/A</v>
      </c>
      <c r="J117" s="360" t="e">
        <f ca="1">J97*1000/(OFFSET(LOAD_DATA!$C55,0,$C$114*(J$115 - 1))*OFFSET(LOAD_DATA!$D55,0,$C$114*(J$115 - 1))*GeneralInput!$C$16)</f>
        <v>#N/A</v>
      </c>
      <c r="N117" s="143">
        <f t="shared" ref="N117:N127" si="32">IF(N96-1&gt;=1,N96-1,NA())</f>
        <v>4</v>
      </c>
      <c r="O117" s="50" t="str">
        <f ca="1">CONCATENATE(OFFSET(LOAD_DATA!$C55,0,$C$114*(D$115 - 1)), " x ", OFFSET(LOAD_DATA!$D55,0,$C$114*(D$115 - 1)))</f>
        <v>450 x 600</v>
      </c>
      <c r="P117" s="50" t="str">
        <f ca="1">CONCATENATE(OFFSET(LOAD_DATA!$C55,0,$C$114*(E$115 - 1)), " x ", OFFSET(LOAD_DATA!$D55,0,$C$114*(E$115 - 1)))</f>
        <v>600 x 600</v>
      </c>
      <c r="Q117" s="50" t="str">
        <f ca="1">CONCATENATE(OFFSET(LOAD_DATA!$C55,0,$C$114*(F$115 - 1)), " x ", OFFSET(LOAD_DATA!$D55,0,$C$114*(F$115 - 1)))</f>
        <v>600 x 600</v>
      </c>
      <c r="R117" s="50" t="str">
        <f ca="1">CONCATENATE(OFFSET(LOAD_DATA!$C55,0,$C$114*(G$115 - 1)), " x ", OFFSET(LOAD_DATA!$D55,0,$C$114*(G$115 - 1)))</f>
        <v>450 x 600</v>
      </c>
      <c r="S117" s="50" t="e">
        <f ca="1">CONCATENATE(OFFSET(LOAD_DATA!$C55,0,$C$114*(H$115 - 1)), " x ", OFFSET(LOAD_DATA!$D55,0,$C$114*(H$115 - 1)))</f>
        <v>#N/A</v>
      </c>
      <c r="T117" s="50" t="e">
        <f ca="1">CONCATENATE(OFFSET(LOAD_DATA!$C55,0,$C$114*(I$115 - 1)), " x ", OFFSET(LOAD_DATA!$D55,0,$C$114*(I$115 - 1)))</f>
        <v>#N/A</v>
      </c>
      <c r="U117" s="50" t="e">
        <f ca="1">CONCATENATE(OFFSET(LOAD_DATA!$C55,0,$C$114*(J$115 - 1)), " x ", OFFSET(LOAD_DATA!$D55,0,$C$114*(J$115 - 1)))</f>
        <v>#N/A</v>
      </c>
    </row>
    <row r="118" spans="3:21" x14ac:dyDescent="0.25">
      <c r="C118" s="143">
        <f t="shared" si="31"/>
        <v>3</v>
      </c>
      <c r="D118" s="360">
        <f ca="1">D98*1000/(OFFSET(LOAD_DATA!$C56,0,$C$114*(D$115 - 1))*OFFSET(LOAD_DATA!$D56,0,$C$114*(D$115 - 1))*GeneralInput!$C$16)</f>
        <v>7.2531049727271271E-2</v>
      </c>
      <c r="E118" s="360">
        <f ca="1">E98*1000/(OFFSET(LOAD_DATA!$C56,0,$C$114*(E$115 - 1))*OFFSET(LOAD_DATA!$D56,0,$C$114*(E$115 - 1))*GeneralInput!$C$16)</f>
        <v>0.10676780687944278</v>
      </c>
      <c r="F118" s="360">
        <f ca="1">F98*1000/(OFFSET(LOAD_DATA!$C56,0,$C$114*(F$115 - 1))*OFFSET(LOAD_DATA!$D56,0,$C$114*(F$115 - 1))*GeneralInput!$C$16)</f>
        <v>0.10676780687944278</v>
      </c>
      <c r="G118" s="360">
        <f ca="1">G98*1000/(OFFSET(LOAD_DATA!$C56,0,$C$114*(G$115 - 1))*OFFSET(LOAD_DATA!$D56,0,$C$114*(G$115 - 1))*GeneralInput!$C$16)</f>
        <v>7.2531049727271271E-2</v>
      </c>
      <c r="H118" s="360" t="e">
        <f ca="1">H98*1000/(OFFSET(LOAD_DATA!$C56,0,$C$114*(H$115 - 1))*OFFSET(LOAD_DATA!$D56,0,$C$114*(H$115 - 1))*GeneralInput!$C$16)</f>
        <v>#N/A</v>
      </c>
      <c r="I118" s="360" t="e">
        <f ca="1">I98*1000/(OFFSET(LOAD_DATA!$C56,0,$C$114*(I$115 - 1))*OFFSET(LOAD_DATA!$D56,0,$C$114*(I$115 - 1))*GeneralInput!$C$16)</f>
        <v>#N/A</v>
      </c>
      <c r="J118" s="360" t="e">
        <f ca="1">J98*1000/(OFFSET(LOAD_DATA!$C56,0,$C$114*(J$115 - 1))*OFFSET(LOAD_DATA!$D56,0,$C$114*(J$115 - 1))*GeneralInput!$C$16)</f>
        <v>#N/A</v>
      </c>
      <c r="N118" s="143">
        <f t="shared" si="32"/>
        <v>3</v>
      </c>
      <c r="O118" s="50" t="str">
        <f ca="1">CONCATENATE(OFFSET(LOAD_DATA!$C56,0,$C$114*(D$115 - 1)), " x ", OFFSET(LOAD_DATA!$D56,0,$C$114*(D$115 - 1)))</f>
        <v>450 x 600</v>
      </c>
      <c r="P118" s="50" t="str">
        <f ca="1">CONCATENATE(OFFSET(LOAD_DATA!$C56,0,$C$114*(E$115 - 1)), " x ", OFFSET(LOAD_DATA!$D56,0,$C$114*(E$115 - 1)))</f>
        <v>600 x 600</v>
      </c>
      <c r="Q118" s="50" t="str">
        <f ca="1">CONCATENATE(OFFSET(LOAD_DATA!$C56,0,$C$114*(F$115 - 1)), " x ", OFFSET(LOAD_DATA!$D56,0,$C$114*(F$115 - 1)))</f>
        <v>600 x 600</v>
      </c>
      <c r="R118" s="50" t="str">
        <f ca="1">CONCATENATE(OFFSET(LOAD_DATA!$C56,0,$C$114*(G$115 - 1)), " x ", OFFSET(LOAD_DATA!$D56,0,$C$114*(G$115 - 1)))</f>
        <v>450 x 600</v>
      </c>
      <c r="S118" s="50" t="e">
        <f ca="1">CONCATENATE(OFFSET(LOAD_DATA!$C56,0,$C$114*(H$115 - 1)), " x ", OFFSET(LOAD_DATA!$D56,0,$C$114*(H$115 - 1)))</f>
        <v>#N/A</v>
      </c>
      <c r="T118" s="50" t="e">
        <f ca="1">CONCATENATE(OFFSET(LOAD_DATA!$C56,0,$C$114*(I$115 - 1)), " x ", OFFSET(LOAD_DATA!$D56,0,$C$114*(I$115 - 1)))</f>
        <v>#N/A</v>
      </c>
      <c r="U118" s="50" t="e">
        <f ca="1">CONCATENATE(OFFSET(LOAD_DATA!$C56,0,$C$114*(J$115 - 1)), " x ", OFFSET(LOAD_DATA!$D56,0,$C$114*(J$115 - 1)))</f>
        <v>#N/A</v>
      </c>
    </row>
    <row r="119" spans="3:21" x14ac:dyDescent="0.25">
      <c r="C119" s="143">
        <f t="shared" si="31"/>
        <v>2</v>
      </c>
      <c r="D119" s="360">
        <f ca="1">D99*1000/(OFFSET(LOAD_DATA!$C57,0,$C$114*(D$115 - 1))*OFFSET(LOAD_DATA!$D57,0,$C$114*(D$115 - 1))*GeneralInput!$C$16)</f>
        <v>9.6708066303028375E-2</v>
      </c>
      <c r="E119" s="360">
        <f ca="1">E99*1000/(OFFSET(LOAD_DATA!$C57,0,$C$114*(E$115 - 1))*OFFSET(LOAD_DATA!$D57,0,$C$114*(E$115 - 1))*GeneralInput!$C$16)</f>
        <v>0.14235707583925702</v>
      </c>
      <c r="F119" s="360">
        <f ca="1">F99*1000/(OFFSET(LOAD_DATA!$C57,0,$C$114*(F$115 - 1))*OFFSET(LOAD_DATA!$D57,0,$C$114*(F$115 - 1))*GeneralInput!$C$16)</f>
        <v>0.14235707583925702</v>
      </c>
      <c r="G119" s="360">
        <f ca="1">G99*1000/(OFFSET(LOAD_DATA!$C57,0,$C$114*(G$115 - 1))*OFFSET(LOAD_DATA!$D57,0,$C$114*(G$115 - 1))*GeneralInput!$C$16)</f>
        <v>9.6708066303028375E-2</v>
      </c>
      <c r="H119" s="360" t="e">
        <f ca="1">H99*1000/(OFFSET(LOAD_DATA!$C57,0,$C$114*(H$115 - 1))*OFFSET(LOAD_DATA!$D57,0,$C$114*(H$115 - 1))*GeneralInput!$C$16)</f>
        <v>#N/A</v>
      </c>
      <c r="I119" s="360" t="e">
        <f ca="1">I99*1000/(OFFSET(LOAD_DATA!$C57,0,$C$114*(I$115 - 1))*OFFSET(LOAD_DATA!$D57,0,$C$114*(I$115 - 1))*GeneralInput!$C$16)</f>
        <v>#N/A</v>
      </c>
      <c r="J119" s="360" t="e">
        <f ca="1">J99*1000/(OFFSET(LOAD_DATA!$C57,0,$C$114*(J$115 - 1))*OFFSET(LOAD_DATA!$D57,0,$C$114*(J$115 - 1))*GeneralInput!$C$16)</f>
        <v>#N/A</v>
      </c>
      <c r="N119" s="143">
        <f t="shared" si="32"/>
        <v>2</v>
      </c>
      <c r="O119" s="50" t="str">
        <f ca="1">CONCATENATE(OFFSET(LOAD_DATA!$C57,0,$C$114*(D$115 - 1)), " x ", OFFSET(LOAD_DATA!$D57,0,$C$114*(D$115 - 1)))</f>
        <v>450 x 600</v>
      </c>
      <c r="P119" s="50" t="str">
        <f ca="1">CONCATENATE(OFFSET(LOAD_DATA!$C57,0,$C$114*(E$115 - 1)), " x ", OFFSET(LOAD_DATA!$D57,0,$C$114*(E$115 - 1)))</f>
        <v>600 x 600</v>
      </c>
      <c r="Q119" s="50" t="str">
        <f ca="1">CONCATENATE(OFFSET(LOAD_DATA!$C57,0,$C$114*(F$115 - 1)), " x ", OFFSET(LOAD_DATA!$D57,0,$C$114*(F$115 - 1)))</f>
        <v>600 x 600</v>
      </c>
      <c r="R119" s="50" t="str">
        <f ca="1">CONCATENATE(OFFSET(LOAD_DATA!$C57,0,$C$114*(G$115 - 1)), " x ", OFFSET(LOAD_DATA!$D57,0,$C$114*(G$115 - 1)))</f>
        <v>450 x 600</v>
      </c>
      <c r="S119" s="50" t="e">
        <f ca="1">CONCATENATE(OFFSET(LOAD_DATA!$C57,0,$C$114*(H$115 - 1)), " x ", OFFSET(LOAD_DATA!$D57,0,$C$114*(H$115 - 1)))</f>
        <v>#N/A</v>
      </c>
      <c r="T119" s="50" t="e">
        <f ca="1">CONCATENATE(OFFSET(LOAD_DATA!$C57,0,$C$114*(I$115 - 1)), " x ", OFFSET(LOAD_DATA!$D57,0,$C$114*(I$115 - 1)))</f>
        <v>#N/A</v>
      </c>
      <c r="U119" s="50" t="e">
        <f ca="1">CONCATENATE(OFFSET(LOAD_DATA!$C57,0,$C$114*(J$115 - 1)), " x ", OFFSET(LOAD_DATA!$D57,0,$C$114*(J$115 - 1)))</f>
        <v>#N/A</v>
      </c>
    </row>
    <row r="120" spans="3:21" x14ac:dyDescent="0.25">
      <c r="C120" s="143">
        <f t="shared" si="31"/>
        <v>1</v>
      </c>
      <c r="D120" s="360">
        <f ca="1">D100*1000/(OFFSET(LOAD_DATA!$C58,0,$C$114*(D$115 - 1))*OFFSET(LOAD_DATA!$D58,0,$C$114*(D$115 - 1))*GeneralInput!$C$16)</f>
        <v>0.12114270417547933</v>
      </c>
      <c r="E120" s="360">
        <f ca="1">E100*1000/(OFFSET(LOAD_DATA!$C58,0,$C$114*(E$115 - 1))*OFFSET(LOAD_DATA!$D58,0,$C$114*(E$115 - 1))*GeneralInput!$C$16)</f>
        <v>0.17820396609576517</v>
      </c>
      <c r="F120" s="360">
        <f ca="1">F100*1000/(OFFSET(LOAD_DATA!$C58,0,$C$114*(F$115 - 1))*OFFSET(LOAD_DATA!$D58,0,$C$114*(F$115 - 1))*GeneralInput!$C$16)</f>
        <v>0.17820396609576517</v>
      </c>
      <c r="G120" s="360">
        <f ca="1">G100*1000/(OFFSET(LOAD_DATA!$C58,0,$C$114*(G$115 - 1))*OFFSET(LOAD_DATA!$D58,0,$C$114*(G$115 - 1))*GeneralInput!$C$16)</f>
        <v>0.12114270417547933</v>
      </c>
      <c r="H120" s="360" t="e">
        <f ca="1">H100*1000/(OFFSET(LOAD_DATA!$C58,0,$C$114*(H$115 - 1))*OFFSET(LOAD_DATA!$D58,0,$C$114*(H$115 - 1))*GeneralInput!$C$16)</f>
        <v>#N/A</v>
      </c>
      <c r="I120" s="360" t="e">
        <f ca="1">I100*1000/(OFFSET(LOAD_DATA!$C58,0,$C$114*(I$115 - 1))*OFFSET(LOAD_DATA!$D58,0,$C$114*(I$115 - 1))*GeneralInput!$C$16)</f>
        <v>#N/A</v>
      </c>
      <c r="J120" s="360" t="e">
        <f ca="1">J100*1000/(OFFSET(LOAD_DATA!$C58,0,$C$114*(J$115 - 1))*OFFSET(LOAD_DATA!$D58,0,$C$114*(J$115 - 1))*GeneralInput!$C$16)</f>
        <v>#N/A</v>
      </c>
      <c r="N120" s="143">
        <f t="shared" si="32"/>
        <v>1</v>
      </c>
      <c r="O120" s="50" t="str">
        <f ca="1">CONCATENATE(OFFSET(LOAD_DATA!$C58,0,$C$114*(D$115 - 1)), " x ", OFFSET(LOAD_DATA!$D58,0,$C$114*(D$115 - 1)))</f>
        <v>450 x 600</v>
      </c>
      <c r="P120" s="50" t="str">
        <f ca="1">CONCATENATE(OFFSET(LOAD_DATA!$C58,0,$C$114*(E$115 - 1)), " x ", OFFSET(LOAD_DATA!$D58,0,$C$114*(E$115 - 1)))</f>
        <v>600 x 600</v>
      </c>
      <c r="Q120" s="50" t="str">
        <f ca="1">CONCATENATE(OFFSET(LOAD_DATA!$C58,0,$C$114*(F$115 - 1)), " x ", OFFSET(LOAD_DATA!$D58,0,$C$114*(F$115 - 1)))</f>
        <v>600 x 600</v>
      </c>
      <c r="R120" s="50" t="str">
        <f ca="1">CONCATENATE(OFFSET(LOAD_DATA!$C58,0,$C$114*(G$115 - 1)), " x ", OFFSET(LOAD_DATA!$D58,0,$C$114*(G$115 - 1)))</f>
        <v>450 x 600</v>
      </c>
      <c r="S120" s="50" t="e">
        <f ca="1">CONCATENATE(OFFSET(LOAD_DATA!$C58,0,$C$114*(H$115 - 1)), " x ", OFFSET(LOAD_DATA!$D58,0,$C$114*(H$115 - 1)))</f>
        <v>#N/A</v>
      </c>
      <c r="T120" s="50" t="e">
        <f ca="1">CONCATENATE(OFFSET(LOAD_DATA!$C58,0,$C$114*(I$115 - 1)), " x ", OFFSET(LOAD_DATA!$D58,0,$C$114*(I$115 - 1)))</f>
        <v>#N/A</v>
      </c>
      <c r="U120" s="50" t="e">
        <f ca="1">CONCATENATE(OFFSET(LOAD_DATA!$C58,0,$C$114*(J$115 - 1)), " x ", OFFSET(LOAD_DATA!$D58,0,$C$114*(J$115 - 1)))</f>
        <v>#N/A</v>
      </c>
    </row>
    <row r="121" spans="3:21" x14ac:dyDescent="0.25">
      <c r="C121" s="143" t="e">
        <f t="shared" si="31"/>
        <v>#N/A</v>
      </c>
      <c r="D121" s="360" t="e">
        <f ca="1">D101*1000/(OFFSET(LOAD_DATA!$C59,0,$C$114*(D$115 - 1))*OFFSET(LOAD_DATA!$D59,0,$C$114*(D$115 - 1))*GeneralInput!$C$16)</f>
        <v>#N/A</v>
      </c>
      <c r="E121" s="360" t="e">
        <f ca="1">E101*1000/(OFFSET(LOAD_DATA!$C59,0,$C$114*(E$115 - 1))*OFFSET(LOAD_DATA!$D59,0,$C$114*(E$115 - 1))*GeneralInput!$C$16)</f>
        <v>#N/A</v>
      </c>
      <c r="F121" s="360" t="e">
        <f ca="1">F101*1000/(OFFSET(LOAD_DATA!$C59,0,$C$114*(F$115 - 1))*OFFSET(LOAD_DATA!$D59,0,$C$114*(F$115 - 1))*GeneralInput!$C$16)</f>
        <v>#N/A</v>
      </c>
      <c r="G121" s="360" t="e">
        <f ca="1">G101*1000/(OFFSET(LOAD_DATA!$C59,0,$C$114*(G$115 - 1))*OFFSET(LOAD_DATA!$D59,0,$C$114*(G$115 - 1))*GeneralInput!$C$16)</f>
        <v>#N/A</v>
      </c>
      <c r="H121" s="360" t="e">
        <f ca="1">H101*1000/(OFFSET(LOAD_DATA!$C59,0,$C$114*(H$115 - 1))*OFFSET(LOAD_DATA!$D59,0,$C$114*(H$115 - 1))*GeneralInput!$C$16)</f>
        <v>#N/A</v>
      </c>
      <c r="I121" s="360" t="e">
        <f ca="1">I101*1000/(OFFSET(LOAD_DATA!$C59,0,$C$114*(I$115 - 1))*OFFSET(LOAD_DATA!$D59,0,$C$114*(I$115 - 1))*GeneralInput!$C$16)</f>
        <v>#N/A</v>
      </c>
      <c r="J121" s="360" t="e">
        <f ca="1">J101*1000/(OFFSET(LOAD_DATA!$C59,0,$C$114*(J$115 - 1))*OFFSET(LOAD_DATA!$D59,0,$C$114*(J$115 - 1))*GeneralInput!$C$16)</f>
        <v>#N/A</v>
      </c>
      <c r="N121" s="143" t="e">
        <f t="shared" si="32"/>
        <v>#N/A</v>
      </c>
      <c r="O121" s="50" t="e">
        <f ca="1">CONCATENATE(OFFSET(LOAD_DATA!$C59,0,$C$114*(D$115 - 1)), " x ", OFFSET(LOAD_DATA!$D59,0,$C$114*(D$115 - 1)))</f>
        <v>#N/A</v>
      </c>
      <c r="P121" s="50" t="e">
        <f ca="1">CONCATENATE(OFFSET(LOAD_DATA!$C59,0,$C$114*(E$115 - 1)), " x ", OFFSET(LOAD_DATA!$D59,0,$C$114*(E$115 - 1)))</f>
        <v>#N/A</v>
      </c>
      <c r="Q121" s="50" t="e">
        <f ca="1">CONCATENATE(OFFSET(LOAD_DATA!$C59,0,$C$114*(F$115 - 1)), " x ", OFFSET(LOAD_DATA!$D59,0,$C$114*(F$115 - 1)))</f>
        <v>#N/A</v>
      </c>
      <c r="R121" s="50" t="e">
        <f ca="1">CONCATENATE(OFFSET(LOAD_DATA!$C59,0,$C$114*(G$115 - 1)), " x ", OFFSET(LOAD_DATA!$D59,0,$C$114*(G$115 - 1)))</f>
        <v>#N/A</v>
      </c>
      <c r="S121" s="50" t="e">
        <f ca="1">CONCATENATE(OFFSET(LOAD_DATA!$C59,0,$C$114*(H$115 - 1)), " x ", OFFSET(LOAD_DATA!$D59,0,$C$114*(H$115 - 1)))</f>
        <v>#N/A</v>
      </c>
      <c r="T121" s="50" t="e">
        <f ca="1">CONCATENATE(OFFSET(LOAD_DATA!$C59,0,$C$114*(I$115 - 1)), " x ", OFFSET(LOAD_DATA!$D59,0,$C$114*(I$115 - 1)))</f>
        <v>#N/A</v>
      </c>
      <c r="U121" s="50" t="e">
        <f ca="1">CONCATENATE(OFFSET(LOAD_DATA!$C59,0,$C$114*(J$115 - 1)), " x ", OFFSET(LOAD_DATA!$D59,0,$C$114*(J$115 - 1)))</f>
        <v>#N/A</v>
      </c>
    </row>
    <row r="122" spans="3:21" x14ac:dyDescent="0.25">
      <c r="C122" s="143" t="e">
        <f t="shared" si="31"/>
        <v>#N/A</v>
      </c>
      <c r="D122" s="360" t="e">
        <f ca="1">D102*1000/(OFFSET(LOAD_DATA!$C60,0,$C$114*(D$115 - 1))*OFFSET(LOAD_DATA!$D60,0,$C$114*(D$115 - 1))*GeneralInput!$C$16)</f>
        <v>#N/A</v>
      </c>
      <c r="E122" s="360" t="e">
        <f ca="1">E102*1000/(OFFSET(LOAD_DATA!$C60,0,$C$114*(E$115 - 1))*OFFSET(LOAD_DATA!$D60,0,$C$114*(E$115 - 1))*GeneralInput!$C$16)</f>
        <v>#N/A</v>
      </c>
      <c r="F122" s="360" t="e">
        <f ca="1">F102*1000/(OFFSET(LOAD_DATA!$C60,0,$C$114*(F$115 - 1))*OFFSET(LOAD_DATA!$D60,0,$C$114*(F$115 - 1))*GeneralInput!$C$16)</f>
        <v>#N/A</v>
      </c>
      <c r="G122" s="360" t="e">
        <f ca="1">G102*1000/(OFFSET(LOAD_DATA!$C60,0,$C$114*(G$115 - 1))*OFFSET(LOAD_DATA!$D60,0,$C$114*(G$115 - 1))*GeneralInput!$C$16)</f>
        <v>#N/A</v>
      </c>
      <c r="H122" s="360" t="e">
        <f ca="1">H102*1000/(OFFSET(LOAD_DATA!$C60,0,$C$114*(H$115 - 1))*OFFSET(LOAD_DATA!$D60,0,$C$114*(H$115 - 1))*GeneralInput!$C$16)</f>
        <v>#N/A</v>
      </c>
      <c r="I122" s="360" t="e">
        <f ca="1">I102*1000/(OFFSET(LOAD_DATA!$C60,0,$C$114*(I$115 - 1))*OFFSET(LOAD_DATA!$D60,0,$C$114*(I$115 - 1))*GeneralInput!$C$16)</f>
        <v>#N/A</v>
      </c>
      <c r="J122" s="360" t="e">
        <f ca="1">J102*1000/(OFFSET(LOAD_DATA!$C60,0,$C$114*(J$115 - 1))*OFFSET(LOAD_DATA!$D60,0,$C$114*(J$115 - 1))*GeneralInput!$C$16)</f>
        <v>#N/A</v>
      </c>
      <c r="N122" s="143" t="e">
        <f t="shared" si="32"/>
        <v>#N/A</v>
      </c>
      <c r="O122" s="50" t="e">
        <f ca="1">CONCATENATE(OFFSET(LOAD_DATA!$C60,0,$C$114*(D$115 - 1)), " x ", OFFSET(LOAD_DATA!$D60,0,$C$114*(D$115 - 1)))</f>
        <v>#N/A</v>
      </c>
      <c r="P122" s="50" t="e">
        <f ca="1">CONCATENATE(OFFSET(LOAD_DATA!$C60,0,$C$114*(E$115 - 1)), " x ", OFFSET(LOAD_DATA!$D60,0,$C$114*(E$115 - 1)))</f>
        <v>#N/A</v>
      </c>
      <c r="Q122" s="50" t="e">
        <f ca="1">CONCATENATE(OFFSET(LOAD_DATA!$C60,0,$C$114*(F$115 - 1)), " x ", OFFSET(LOAD_DATA!$D60,0,$C$114*(F$115 - 1)))</f>
        <v>#N/A</v>
      </c>
      <c r="R122" s="50" t="e">
        <f ca="1">CONCATENATE(OFFSET(LOAD_DATA!$C60,0,$C$114*(G$115 - 1)), " x ", OFFSET(LOAD_DATA!$D60,0,$C$114*(G$115 - 1)))</f>
        <v>#N/A</v>
      </c>
      <c r="S122" s="50" t="e">
        <f ca="1">CONCATENATE(OFFSET(LOAD_DATA!$C60,0,$C$114*(H$115 - 1)), " x ", OFFSET(LOAD_DATA!$D60,0,$C$114*(H$115 - 1)))</f>
        <v>#N/A</v>
      </c>
      <c r="T122" s="50" t="e">
        <f ca="1">CONCATENATE(OFFSET(LOAD_DATA!$C60,0,$C$114*(I$115 - 1)), " x ", OFFSET(LOAD_DATA!$D60,0,$C$114*(I$115 - 1)))</f>
        <v>#N/A</v>
      </c>
      <c r="U122" s="50" t="e">
        <f ca="1">CONCATENATE(OFFSET(LOAD_DATA!$C60,0,$C$114*(J$115 - 1)), " x ", OFFSET(LOAD_DATA!$D60,0,$C$114*(J$115 - 1)))</f>
        <v>#N/A</v>
      </c>
    </row>
    <row r="123" spans="3:21" x14ac:dyDescent="0.25">
      <c r="C123" s="143" t="e">
        <f t="shared" si="31"/>
        <v>#N/A</v>
      </c>
      <c r="D123" s="360" t="e">
        <f ca="1">D103*1000/(OFFSET(LOAD_DATA!$C61,0,$C$114*(D$115 - 1))*OFFSET(LOAD_DATA!$D61,0,$C$114*(D$115 - 1))*GeneralInput!$C$16)</f>
        <v>#N/A</v>
      </c>
      <c r="E123" s="360" t="e">
        <f ca="1">E103*1000/(OFFSET(LOAD_DATA!$C61,0,$C$114*(E$115 - 1))*OFFSET(LOAD_DATA!$D61,0,$C$114*(E$115 - 1))*GeneralInput!$C$16)</f>
        <v>#N/A</v>
      </c>
      <c r="F123" s="360" t="e">
        <f ca="1">F103*1000/(OFFSET(LOAD_DATA!$C61,0,$C$114*(F$115 - 1))*OFFSET(LOAD_DATA!$D61,0,$C$114*(F$115 - 1))*GeneralInput!$C$16)</f>
        <v>#N/A</v>
      </c>
      <c r="G123" s="360" t="e">
        <f ca="1">G103*1000/(OFFSET(LOAD_DATA!$C61,0,$C$114*(G$115 - 1))*OFFSET(LOAD_DATA!$D61,0,$C$114*(G$115 - 1))*GeneralInput!$C$16)</f>
        <v>#N/A</v>
      </c>
      <c r="H123" s="360" t="e">
        <f ca="1">H103*1000/(OFFSET(LOAD_DATA!$C61,0,$C$114*(H$115 - 1))*OFFSET(LOAD_DATA!$D61,0,$C$114*(H$115 - 1))*GeneralInput!$C$16)</f>
        <v>#N/A</v>
      </c>
      <c r="I123" s="360" t="e">
        <f ca="1">I103*1000/(OFFSET(LOAD_DATA!$C61,0,$C$114*(I$115 - 1))*OFFSET(LOAD_DATA!$D61,0,$C$114*(I$115 - 1))*GeneralInput!$C$16)</f>
        <v>#N/A</v>
      </c>
      <c r="J123" s="360" t="e">
        <f ca="1">J103*1000/(OFFSET(LOAD_DATA!$C61,0,$C$114*(J$115 - 1))*OFFSET(LOAD_DATA!$D61,0,$C$114*(J$115 - 1))*GeneralInput!$C$16)</f>
        <v>#N/A</v>
      </c>
      <c r="N123" s="143" t="e">
        <f t="shared" si="32"/>
        <v>#N/A</v>
      </c>
      <c r="O123" s="50" t="e">
        <f ca="1">CONCATENATE(OFFSET(LOAD_DATA!$C61,0,$C$114*(D$115 - 1)), " x ", OFFSET(LOAD_DATA!$D61,0,$C$114*(D$115 - 1)))</f>
        <v>#N/A</v>
      </c>
      <c r="P123" s="50" t="e">
        <f ca="1">CONCATENATE(OFFSET(LOAD_DATA!$C61,0,$C$114*(E$115 - 1)), " x ", OFFSET(LOAD_DATA!$D61,0,$C$114*(E$115 - 1)))</f>
        <v>#N/A</v>
      </c>
      <c r="Q123" s="50" t="e">
        <f ca="1">CONCATENATE(OFFSET(LOAD_DATA!$C61,0,$C$114*(F$115 - 1)), " x ", OFFSET(LOAD_DATA!$D61,0,$C$114*(F$115 - 1)))</f>
        <v>#N/A</v>
      </c>
      <c r="R123" s="50" t="e">
        <f ca="1">CONCATENATE(OFFSET(LOAD_DATA!$C61,0,$C$114*(G$115 - 1)), " x ", OFFSET(LOAD_DATA!$D61,0,$C$114*(G$115 - 1)))</f>
        <v>#N/A</v>
      </c>
      <c r="S123" s="50" t="e">
        <f ca="1">CONCATENATE(OFFSET(LOAD_DATA!$C61,0,$C$114*(H$115 - 1)), " x ", OFFSET(LOAD_DATA!$D61,0,$C$114*(H$115 - 1)))</f>
        <v>#N/A</v>
      </c>
      <c r="T123" s="50" t="e">
        <f ca="1">CONCATENATE(OFFSET(LOAD_DATA!$C61,0,$C$114*(I$115 - 1)), " x ", OFFSET(LOAD_DATA!$D61,0,$C$114*(I$115 - 1)))</f>
        <v>#N/A</v>
      </c>
      <c r="U123" s="50" t="e">
        <f ca="1">CONCATENATE(OFFSET(LOAD_DATA!$C61,0,$C$114*(J$115 - 1)), " x ", OFFSET(LOAD_DATA!$D61,0,$C$114*(J$115 - 1)))</f>
        <v>#N/A</v>
      </c>
    </row>
    <row r="124" spans="3:21" x14ac:dyDescent="0.25">
      <c r="C124" s="143" t="e">
        <f t="shared" si="31"/>
        <v>#N/A</v>
      </c>
      <c r="D124" s="360" t="e">
        <f ca="1">D104*1000/(OFFSET(LOAD_DATA!$C62,0,$C$114*(D$115 - 1))*OFFSET(LOAD_DATA!$D62,0,$C$114*(D$115 - 1))*GeneralInput!$C$16)</f>
        <v>#N/A</v>
      </c>
      <c r="E124" s="360" t="e">
        <f ca="1">E104*1000/(OFFSET(LOAD_DATA!$C62,0,$C$114*(E$115 - 1))*OFFSET(LOAD_DATA!$D62,0,$C$114*(E$115 - 1))*GeneralInput!$C$16)</f>
        <v>#N/A</v>
      </c>
      <c r="F124" s="360" t="e">
        <f ca="1">F104*1000/(OFFSET(LOAD_DATA!$C62,0,$C$114*(F$115 - 1))*OFFSET(LOAD_DATA!$D62,0,$C$114*(F$115 - 1))*GeneralInput!$C$16)</f>
        <v>#N/A</v>
      </c>
      <c r="G124" s="360" t="e">
        <f ca="1">G104*1000/(OFFSET(LOAD_DATA!$C62,0,$C$114*(G$115 - 1))*OFFSET(LOAD_DATA!$D62,0,$C$114*(G$115 - 1))*GeneralInput!$C$16)</f>
        <v>#N/A</v>
      </c>
      <c r="H124" s="360" t="e">
        <f ca="1">H104*1000/(OFFSET(LOAD_DATA!$C62,0,$C$114*(H$115 - 1))*OFFSET(LOAD_DATA!$D62,0,$C$114*(H$115 - 1))*GeneralInput!$C$16)</f>
        <v>#N/A</v>
      </c>
      <c r="I124" s="360" t="e">
        <f ca="1">I104*1000/(OFFSET(LOAD_DATA!$C62,0,$C$114*(I$115 - 1))*OFFSET(LOAD_DATA!$D62,0,$C$114*(I$115 - 1))*GeneralInput!$C$16)</f>
        <v>#N/A</v>
      </c>
      <c r="J124" s="360" t="e">
        <f ca="1">J104*1000/(OFFSET(LOAD_DATA!$C62,0,$C$114*(J$115 - 1))*OFFSET(LOAD_DATA!$D62,0,$C$114*(J$115 - 1))*GeneralInput!$C$16)</f>
        <v>#N/A</v>
      </c>
      <c r="N124" s="143" t="e">
        <f t="shared" si="32"/>
        <v>#N/A</v>
      </c>
      <c r="O124" s="50" t="e">
        <f ca="1">CONCATENATE(OFFSET(LOAD_DATA!$C62,0,$C$114*(D$115 - 1)), " x ", OFFSET(LOAD_DATA!$D62,0,$C$114*(D$115 - 1)))</f>
        <v>#N/A</v>
      </c>
      <c r="P124" s="50" t="e">
        <f ca="1">CONCATENATE(OFFSET(LOAD_DATA!$C62,0,$C$114*(E$115 - 1)), " x ", OFFSET(LOAD_DATA!$D62,0,$C$114*(E$115 - 1)))</f>
        <v>#N/A</v>
      </c>
      <c r="Q124" s="50" t="e">
        <f ca="1">CONCATENATE(OFFSET(LOAD_DATA!$C62,0,$C$114*(F$115 - 1)), " x ", OFFSET(LOAD_DATA!$D62,0,$C$114*(F$115 - 1)))</f>
        <v>#N/A</v>
      </c>
      <c r="R124" s="50" t="e">
        <f ca="1">CONCATENATE(OFFSET(LOAD_DATA!$C62,0,$C$114*(G$115 - 1)), " x ", OFFSET(LOAD_DATA!$D62,0,$C$114*(G$115 - 1)))</f>
        <v>#N/A</v>
      </c>
      <c r="S124" s="50" t="e">
        <f ca="1">CONCATENATE(OFFSET(LOAD_DATA!$C62,0,$C$114*(H$115 - 1)), " x ", OFFSET(LOAD_DATA!$D62,0,$C$114*(H$115 - 1)))</f>
        <v>#N/A</v>
      </c>
      <c r="T124" s="50" t="e">
        <f ca="1">CONCATENATE(OFFSET(LOAD_DATA!$C62,0,$C$114*(I$115 - 1)), " x ", OFFSET(LOAD_DATA!$D62,0,$C$114*(I$115 - 1)))</f>
        <v>#N/A</v>
      </c>
      <c r="U124" s="50" t="e">
        <f ca="1">CONCATENATE(OFFSET(LOAD_DATA!$C62,0,$C$114*(J$115 - 1)), " x ", OFFSET(LOAD_DATA!$D62,0,$C$114*(J$115 - 1)))</f>
        <v>#N/A</v>
      </c>
    </row>
    <row r="125" spans="3:21" x14ac:dyDescent="0.25">
      <c r="C125" s="143" t="e">
        <f t="shared" si="31"/>
        <v>#N/A</v>
      </c>
      <c r="D125" s="360" t="e">
        <f ca="1">D105*1000/(OFFSET(LOAD_DATA!$C63,0,$C$114*(D$115 - 1))*OFFSET(LOAD_DATA!$D63,0,$C$114*(D$115 - 1))*GeneralInput!$C$16)</f>
        <v>#N/A</v>
      </c>
      <c r="E125" s="360" t="e">
        <f ca="1">E105*1000/(OFFSET(LOAD_DATA!$C63,0,$C$114*(E$115 - 1))*OFFSET(LOAD_DATA!$D63,0,$C$114*(E$115 - 1))*GeneralInput!$C$16)</f>
        <v>#N/A</v>
      </c>
      <c r="F125" s="360" t="e">
        <f ca="1">F105*1000/(OFFSET(LOAD_DATA!$C63,0,$C$114*(F$115 - 1))*OFFSET(LOAD_DATA!$D63,0,$C$114*(F$115 - 1))*GeneralInput!$C$16)</f>
        <v>#N/A</v>
      </c>
      <c r="G125" s="360" t="e">
        <f ca="1">G105*1000/(OFFSET(LOAD_DATA!$C63,0,$C$114*(G$115 - 1))*OFFSET(LOAD_DATA!$D63,0,$C$114*(G$115 - 1))*GeneralInput!$C$16)</f>
        <v>#N/A</v>
      </c>
      <c r="H125" s="360" t="e">
        <f ca="1">H105*1000/(OFFSET(LOAD_DATA!$C63,0,$C$114*(H$115 - 1))*OFFSET(LOAD_DATA!$D63,0,$C$114*(H$115 - 1))*GeneralInput!$C$16)</f>
        <v>#N/A</v>
      </c>
      <c r="I125" s="360" t="e">
        <f ca="1">I105*1000/(OFFSET(LOAD_DATA!$C63,0,$C$114*(I$115 - 1))*OFFSET(LOAD_DATA!$D63,0,$C$114*(I$115 - 1))*GeneralInput!$C$16)</f>
        <v>#N/A</v>
      </c>
      <c r="J125" s="360" t="e">
        <f ca="1">J105*1000/(OFFSET(LOAD_DATA!$C63,0,$C$114*(J$115 - 1))*OFFSET(LOAD_DATA!$D63,0,$C$114*(J$115 - 1))*GeneralInput!$C$16)</f>
        <v>#N/A</v>
      </c>
      <c r="N125" s="143" t="e">
        <f t="shared" si="32"/>
        <v>#N/A</v>
      </c>
      <c r="O125" s="50" t="e">
        <f ca="1">CONCATENATE(OFFSET(LOAD_DATA!$C63,0,$C$114*(D$115 - 1)), " x ", OFFSET(LOAD_DATA!$D63,0,$C$114*(D$115 - 1)))</f>
        <v>#N/A</v>
      </c>
      <c r="P125" s="50" t="e">
        <f ca="1">CONCATENATE(OFFSET(LOAD_DATA!$C63,0,$C$114*(E$115 - 1)), " x ", OFFSET(LOAD_DATA!$D63,0,$C$114*(E$115 - 1)))</f>
        <v>#N/A</v>
      </c>
      <c r="Q125" s="50" t="e">
        <f ca="1">CONCATENATE(OFFSET(LOAD_DATA!$C63,0,$C$114*(F$115 - 1)), " x ", OFFSET(LOAD_DATA!$D63,0,$C$114*(F$115 - 1)))</f>
        <v>#N/A</v>
      </c>
      <c r="R125" s="50" t="e">
        <f ca="1">CONCATENATE(OFFSET(LOAD_DATA!$C63,0,$C$114*(G$115 - 1)), " x ", OFFSET(LOAD_DATA!$D63,0,$C$114*(G$115 - 1)))</f>
        <v>#N/A</v>
      </c>
      <c r="S125" s="50" t="e">
        <f ca="1">CONCATENATE(OFFSET(LOAD_DATA!$C63,0,$C$114*(H$115 - 1)), " x ", OFFSET(LOAD_DATA!$D63,0,$C$114*(H$115 - 1)))</f>
        <v>#N/A</v>
      </c>
      <c r="T125" s="50" t="e">
        <f ca="1">CONCATENATE(OFFSET(LOAD_DATA!$C63,0,$C$114*(I$115 - 1)), " x ", OFFSET(LOAD_DATA!$D63,0,$C$114*(I$115 - 1)))</f>
        <v>#N/A</v>
      </c>
      <c r="U125" s="50" t="e">
        <f ca="1">CONCATENATE(OFFSET(LOAD_DATA!$C63,0,$C$114*(J$115 - 1)), " x ", OFFSET(LOAD_DATA!$D63,0,$C$114*(J$115 - 1)))</f>
        <v>#N/A</v>
      </c>
    </row>
    <row r="126" spans="3:21" x14ac:dyDescent="0.25">
      <c r="C126" s="143" t="e">
        <f t="shared" si="31"/>
        <v>#N/A</v>
      </c>
      <c r="D126" s="360" t="e">
        <f ca="1">D106*1000/(OFFSET(LOAD_DATA!$C64,0,$C$114*(D$115 - 1))*OFFSET(LOAD_DATA!$D64,0,$C$114*(D$115 - 1))*GeneralInput!$C$16)</f>
        <v>#N/A</v>
      </c>
      <c r="E126" s="360" t="e">
        <f ca="1">E106*1000/(OFFSET(LOAD_DATA!$C64,0,$C$114*(E$115 - 1))*OFFSET(LOAD_DATA!$D64,0,$C$114*(E$115 - 1))*GeneralInput!$C$16)</f>
        <v>#N/A</v>
      </c>
      <c r="F126" s="360" t="e">
        <f ca="1">F106*1000/(OFFSET(LOAD_DATA!$C64,0,$C$114*(F$115 - 1))*OFFSET(LOAD_DATA!$D64,0,$C$114*(F$115 - 1))*GeneralInput!$C$16)</f>
        <v>#N/A</v>
      </c>
      <c r="G126" s="360" t="e">
        <f ca="1">G106*1000/(OFFSET(LOAD_DATA!$C64,0,$C$114*(G$115 - 1))*OFFSET(LOAD_DATA!$D64,0,$C$114*(G$115 - 1))*GeneralInput!$C$16)</f>
        <v>#N/A</v>
      </c>
      <c r="H126" s="360" t="e">
        <f ca="1">H106*1000/(OFFSET(LOAD_DATA!$C64,0,$C$114*(H$115 - 1))*OFFSET(LOAD_DATA!$D64,0,$C$114*(H$115 - 1))*GeneralInput!$C$16)</f>
        <v>#N/A</v>
      </c>
      <c r="I126" s="360" t="e">
        <f ca="1">I106*1000/(OFFSET(LOAD_DATA!$C64,0,$C$114*(I$115 - 1))*OFFSET(LOAD_DATA!$D64,0,$C$114*(I$115 - 1))*GeneralInput!$C$16)</f>
        <v>#N/A</v>
      </c>
      <c r="J126" s="360" t="e">
        <f ca="1">J106*1000/(OFFSET(LOAD_DATA!$C64,0,$C$114*(J$115 - 1))*OFFSET(LOAD_DATA!$D64,0,$C$114*(J$115 - 1))*GeneralInput!$C$16)</f>
        <v>#N/A</v>
      </c>
      <c r="N126" s="143" t="e">
        <f t="shared" si="32"/>
        <v>#N/A</v>
      </c>
      <c r="O126" s="50" t="e">
        <f ca="1">CONCATENATE(OFFSET(LOAD_DATA!$C64,0,$C$114*(D$115 - 1)), " x ", OFFSET(LOAD_DATA!$D64,0,$C$114*(D$115 - 1)))</f>
        <v>#N/A</v>
      </c>
      <c r="P126" s="50" t="e">
        <f ca="1">CONCATENATE(OFFSET(LOAD_DATA!$C64,0,$C$114*(E$115 - 1)), " x ", OFFSET(LOAD_DATA!$D64,0,$C$114*(E$115 - 1)))</f>
        <v>#N/A</v>
      </c>
      <c r="Q126" s="50" t="e">
        <f ca="1">CONCATENATE(OFFSET(LOAD_DATA!$C64,0,$C$114*(F$115 - 1)), " x ", OFFSET(LOAD_DATA!$D64,0,$C$114*(F$115 - 1)))</f>
        <v>#N/A</v>
      </c>
      <c r="R126" s="50" t="e">
        <f ca="1">CONCATENATE(OFFSET(LOAD_DATA!$C64,0,$C$114*(G$115 - 1)), " x ", OFFSET(LOAD_DATA!$D64,0,$C$114*(G$115 - 1)))</f>
        <v>#N/A</v>
      </c>
      <c r="S126" s="50" t="e">
        <f ca="1">CONCATENATE(OFFSET(LOAD_DATA!$C64,0,$C$114*(H$115 - 1)), " x ", OFFSET(LOAD_DATA!$D64,0,$C$114*(H$115 - 1)))</f>
        <v>#N/A</v>
      </c>
      <c r="T126" s="50" t="e">
        <f ca="1">CONCATENATE(OFFSET(LOAD_DATA!$C64,0,$C$114*(I$115 - 1)), " x ", OFFSET(LOAD_DATA!$D64,0,$C$114*(I$115 - 1)))</f>
        <v>#N/A</v>
      </c>
      <c r="U126" s="50" t="e">
        <f ca="1">CONCATENATE(OFFSET(LOAD_DATA!$C64,0,$C$114*(J$115 - 1)), " x ", OFFSET(LOAD_DATA!$D64,0,$C$114*(J$115 - 1)))</f>
        <v>#N/A</v>
      </c>
    </row>
    <row r="127" spans="3:21" x14ac:dyDescent="0.25">
      <c r="C127" s="143" t="e">
        <f t="shared" si="31"/>
        <v>#N/A</v>
      </c>
      <c r="D127" s="360" t="e">
        <f ca="1">D107*1000/(OFFSET(LOAD_DATA!$C65,0,$C$114*(D$115 - 1))*OFFSET(LOAD_DATA!$D65,0,$C$114*(D$115 - 1))*GeneralInput!$C$16)</f>
        <v>#N/A</v>
      </c>
      <c r="E127" s="360" t="e">
        <f ca="1">E107*1000/(OFFSET(LOAD_DATA!$C65,0,$C$114*(E$115 - 1))*OFFSET(LOAD_DATA!$D65,0,$C$114*(E$115 - 1))*GeneralInput!$C$16)</f>
        <v>#N/A</v>
      </c>
      <c r="F127" s="360" t="e">
        <f ca="1">F107*1000/(OFFSET(LOAD_DATA!$C65,0,$C$114*(F$115 - 1))*OFFSET(LOAD_DATA!$D65,0,$C$114*(F$115 - 1))*GeneralInput!$C$16)</f>
        <v>#N/A</v>
      </c>
      <c r="G127" s="360" t="e">
        <f ca="1">G107*1000/(OFFSET(LOAD_DATA!$C65,0,$C$114*(G$115 - 1))*OFFSET(LOAD_DATA!$D65,0,$C$114*(G$115 - 1))*GeneralInput!$C$16)</f>
        <v>#N/A</v>
      </c>
      <c r="H127" s="360" t="e">
        <f ca="1">H107*1000/(OFFSET(LOAD_DATA!$C65,0,$C$114*(H$115 - 1))*OFFSET(LOAD_DATA!$D65,0,$C$114*(H$115 - 1))*GeneralInput!$C$16)</f>
        <v>#N/A</v>
      </c>
      <c r="I127" s="360" t="e">
        <f ca="1">I107*1000/(OFFSET(LOAD_DATA!$C65,0,$C$114*(I$115 - 1))*OFFSET(LOAD_DATA!$D65,0,$C$114*(I$115 - 1))*GeneralInput!$C$16)</f>
        <v>#N/A</v>
      </c>
      <c r="J127" s="360" t="e">
        <f ca="1">J107*1000/(OFFSET(LOAD_DATA!$C65,0,$C$114*(J$115 - 1))*OFFSET(LOAD_DATA!$D65,0,$C$114*(J$115 - 1))*GeneralInput!$C$16)</f>
        <v>#N/A</v>
      </c>
      <c r="N127" s="143" t="e">
        <f t="shared" si="32"/>
        <v>#N/A</v>
      </c>
      <c r="O127" s="50" t="e">
        <f ca="1">CONCATENATE(OFFSET(LOAD_DATA!$C65,0,$C$114*(D$115 - 1)), " x ", OFFSET(LOAD_DATA!$D65,0,$C$114*(D$115 - 1)))</f>
        <v>#N/A</v>
      </c>
      <c r="P127" s="50" t="e">
        <f ca="1">CONCATENATE(OFFSET(LOAD_DATA!$C65,0,$C$114*(E$115 - 1)), " x ", OFFSET(LOAD_DATA!$D65,0,$C$114*(E$115 - 1)))</f>
        <v>#N/A</v>
      </c>
      <c r="Q127" s="50" t="e">
        <f ca="1">CONCATENATE(OFFSET(LOAD_DATA!$C65,0,$C$114*(F$115 - 1)), " x ", OFFSET(LOAD_DATA!$D65,0,$C$114*(F$115 - 1)))</f>
        <v>#N/A</v>
      </c>
      <c r="R127" s="50" t="e">
        <f ca="1">CONCATENATE(OFFSET(LOAD_DATA!$C65,0,$C$114*(G$115 - 1)), " x ", OFFSET(LOAD_DATA!$D65,0,$C$114*(G$115 - 1)))</f>
        <v>#N/A</v>
      </c>
      <c r="S127" s="50" t="e">
        <f ca="1">CONCATENATE(OFFSET(LOAD_DATA!$C65,0,$C$114*(H$115 - 1)), " x ", OFFSET(LOAD_DATA!$D65,0,$C$114*(H$115 - 1)))</f>
        <v>#N/A</v>
      </c>
      <c r="T127" s="50" t="e">
        <f ca="1">CONCATENATE(OFFSET(LOAD_DATA!$C65,0,$C$114*(I$115 - 1)), " x ", OFFSET(LOAD_DATA!$D65,0,$C$114*(I$115 - 1)))</f>
        <v>#N/A</v>
      </c>
      <c r="U127" s="50" t="e">
        <f ca="1">CONCATENATE(OFFSET(LOAD_DATA!$C65,0,$C$114*(J$115 - 1)), " x ", OFFSET(LOAD_DATA!$D65,0,$C$114*(J$115 - 1)))</f>
        <v>#N/A</v>
      </c>
    </row>
  </sheetData>
  <mergeCells count="12">
    <mergeCell ref="C113:J113"/>
    <mergeCell ref="N113:U113"/>
    <mergeCell ref="D114:J114"/>
    <mergeCell ref="O114:U114"/>
    <mergeCell ref="D94:J94"/>
    <mergeCell ref="O94:U94"/>
    <mergeCell ref="O61:U61"/>
    <mergeCell ref="O62:U62"/>
    <mergeCell ref="C61:J61"/>
    <mergeCell ref="D62:J62"/>
    <mergeCell ref="C93:J93"/>
    <mergeCell ref="N93:U93"/>
  </mergeCells>
  <dataValidations count="5">
    <dataValidation type="list" allowBlank="1" showInputMessage="1" showErrorMessage="1" sqref="C35">
      <formula1>"49999,0"</formula1>
    </dataValidation>
    <dataValidation type="list" allowBlank="1" showInputMessage="1" showErrorMessage="1" sqref="C39">
      <formula1>"0,1"</formula1>
    </dataValidation>
    <dataValidation type="list" allowBlank="1" showInputMessage="1" showErrorMessage="1" sqref="O21">
      <formula1>"ASCE 7-05, IS 1893-2002, IS 1893-1984"</formula1>
    </dataValidation>
    <dataValidation type="list" allowBlank="1" showInputMessage="1" showErrorMessage="1" sqref="G12">
      <formula1>"EI_yld,EI_stf40"</formula1>
    </dataValidation>
    <dataValidation type="list" allowBlank="1" showInputMessage="1" showErrorMessage="1" sqref="G13">
      <formula1>"Full, Simplified"</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85"/>
  <sheetViews>
    <sheetView tabSelected="1" topLeftCell="A7" zoomScale="85" zoomScaleNormal="85" workbookViewId="0">
      <selection activeCell="Q31" sqref="Q31"/>
    </sheetView>
  </sheetViews>
  <sheetFormatPr defaultRowHeight="15" x14ac:dyDescent="0.25"/>
  <cols>
    <col min="1" max="4" width="13.5703125" customWidth="1"/>
    <col min="5" max="5" width="12.140625" customWidth="1"/>
    <col min="6" max="6" width="12.5703125" customWidth="1"/>
    <col min="7" max="7" width="12.28515625" bestFit="1" customWidth="1"/>
    <col min="8" max="8" width="12.85546875" customWidth="1"/>
    <col min="9" max="9" width="19.85546875" customWidth="1"/>
    <col min="10" max="10" width="17.28515625" customWidth="1"/>
    <col min="11" max="12" width="12" customWidth="1"/>
    <col min="13" max="13" width="11.140625" customWidth="1"/>
    <col min="14" max="14" width="12.42578125" customWidth="1"/>
    <col min="15" max="15" width="21.5703125" customWidth="1"/>
    <col min="16" max="16" width="12.42578125" customWidth="1"/>
    <col min="19" max="19" width="13.140625" customWidth="1"/>
    <col min="21" max="22" width="12.85546875" customWidth="1"/>
  </cols>
  <sheetData>
    <row r="1" spans="1:22" ht="18.75" thickBot="1" x14ac:dyDescent="0.4">
      <c r="C1" s="186" t="s">
        <v>598</v>
      </c>
      <c r="E1" s="5" t="s">
        <v>599</v>
      </c>
      <c r="J1" s="186" t="s">
        <v>600</v>
      </c>
      <c r="L1" s="5" t="s">
        <v>601</v>
      </c>
    </row>
    <row r="2" spans="1:22" ht="18.75" thickBot="1" x14ac:dyDescent="0.4">
      <c r="D2" s="187" t="s">
        <v>602</v>
      </c>
      <c r="E2" s="181"/>
      <c r="F2" s="181"/>
      <c r="G2" s="188"/>
      <c r="J2" s="189" t="s">
        <v>603</v>
      </c>
      <c r="K2" s="127"/>
      <c r="L2" s="190" t="s">
        <v>604</v>
      </c>
      <c r="M2" s="129"/>
    </row>
    <row r="3" spans="1:22" ht="15.75" thickBot="1" x14ac:dyDescent="0.3">
      <c r="C3" s="189" t="s">
        <v>603</v>
      </c>
      <c r="D3" s="184">
        <v>0</v>
      </c>
      <c r="E3" s="184">
        <v>0.1</v>
      </c>
      <c r="F3" s="184">
        <v>0.4</v>
      </c>
      <c r="G3" s="191">
        <v>0.8</v>
      </c>
      <c r="J3" s="143" t="s">
        <v>605</v>
      </c>
      <c r="K3" s="192">
        <v>1500</v>
      </c>
      <c r="L3" s="5" t="s">
        <v>606</v>
      </c>
      <c r="M3" s="193"/>
    </row>
    <row r="4" spans="1:22" x14ac:dyDescent="0.25">
      <c r="C4" s="143" t="s">
        <v>605</v>
      </c>
      <c r="D4" s="194">
        <v>1</v>
      </c>
      <c r="E4" s="195">
        <v>1</v>
      </c>
      <c r="F4" s="195">
        <v>1</v>
      </c>
      <c r="G4" s="196">
        <v>1</v>
      </c>
      <c r="J4" s="143" t="s">
        <v>375</v>
      </c>
      <c r="K4" s="192">
        <v>760</v>
      </c>
      <c r="L4" s="5" t="s">
        <v>607</v>
      </c>
      <c r="M4" s="197">
        <v>1500</v>
      </c>
    </row>
    <row r="5" spans="1:22" x14ac:dyDescent="0.25">
      <c r="C5" s="143" t="s">
        <v>375</v>
      </c>
      <c r="D5" s="198">
        <v>1</v>
      </c>
      <c r="E5" s="23">
        <v>1</v>
      </c>
      <c r="F5" s="23">
        <v>0.95</v>
      </c>
      <c r="G5" s="199">
        <v>0.9</v>
      </c>
      <c r="J5" s="143" t="s">
        <v>608</v>
      </c>
      <c r="K5" s="192">
        <v>360</v>
      </c>
      <c r="L5" s="5" t="s">
        <v>609</v>
      </c>
      <c r="M5" s="197">
        <v>760</v>
      </c>
    </row>
    <row r="6" spans="1:22" x14ac:dyDescent="0.25">
      <c r="C6" s="143" t="s">
        <v>608</v>
      </c>
      <c r="D6" s="198">
        <v>1</v>
      </c>
      <c r="E6" s="23">
        <v>0.95</v>
      </c>
      <c r="F6" s="23">
        <v>0.75</v>
      </c>
      <c r="G6" s="199">
        <v>0.6</v>
      </c>
      <c r="J6" s="143" t="s">
        <v>610</v>
      </c>
      <c r="K6" s="192">
        <v>180</v>
      </c>
      <c r="L6" s="5" t="s">
        <v>611</v>
      </c>
      <c r="M6" s="197">
        <v>360</v>
      </c>
    </row>
    <row r="7" spans="1:22" ht="15.75" thickBot="1" x14ac:dyDescent="0.3">
      <c r="C7" s="143" t="s">
        <v>610</v>
      </c>
      <c r="D7" s="198">
        <v>1</v>
      </c>
      <c r="E7" s="23">
        <v>0.9</v>
      </c>
      <c r="F7" s="23">
        <v>0.5</v>
      </c>
      <c r="G7" s="199">
        <v>0.1</v>
      </c>
      <c r="J7" s="143" t="s">
        <v>612</v>
      </c>
      <c r="K7" s="122"/>
      <c r="L7" s="5" t="s">
        <v>613</v>
      </c>
      <c r="M7" s="137" t="s">
        <v>614</v>
      </c>
    </row>
    <row r="8" spans="1:22" ht="15.75" thickBot="1" x14ac:dyDescent="0.3">
      <c r="C8" s="144" t="s">
        <v>612</v>
      </c>
      <c r="D8" s="200">
        <v>1</v>
      </c>
      <c r="E8" s="201">
        <v>0.6</v>
      </c>
      <c r="F8" s="201">
        <v>0.05</v>
      </c>
      <c r="G8" s="202">
        <v>0</v>
      </c>
      <c r="I8" s="1095" t="s">
        <v>615</v>
      </c>
      <c r="J8" s="1096"/>
      <c r="K8" s="1096"/>
      <c r="L8" s="1096"/>
      <c r="M8" s="1096"/>
      <c r="N8" s="1097"/>
    </row>
    <row r="9" spans="1:22" ht="15.75" thickBot="1" x14ac:dyDescent="0.3">
      <c r="I9" s="1060" t="s">
        <v>616</v>
      </c>
      <c r="J9" s="327">
        <v>500</v>
      </c>
      <c r="K9" s="1061" t="s">
        <v>617</v>
      </c>
      <c r="L9" s="7" t="s">
        <v>618</v>
      </c>
      <c r="M9" s="159">
        <f>LOAD_DATA!D10</f>
        <v>0.25</v>
      </c>
      <c r="N9" s="10"/>
    </row>
    <row r="10" spans="1:22" ht="18.75" thickBot="1" x14ac:dyDescent="0.4">
      <c r="C10" s="203" t="s">
        <v>619</v>
      </c>
      <c r="D10" s="204">
        <v>0.5</v>
      </c>
      <c r="E10" s="1070" t="s">
        <v>620</v>
      </c>
      <c r="F10" s="1072" t="str">
        <f>IF(B18&gt;$K$3,$J$3,IF(AND(B18&gt;=$K$4,B18&lt;$M$4),$J$4,IF(AND(B18&gt;=$K$5,B18&lt;$M$5),$J$5,IF(AND(B18&gt;=$K$6,B18&lt;$M$6),$J$6,IF(B18&lt;=$M$7,$J$7)))))</f>
        <v>B</v>
      </c>
      <c r="I10" s="180"/>
      <c r="J10" s="1074" t="str">
        <f>_xlfn.CONCAT(LOAD_DATA!D9,"DL + ", LOAD_DATA!D10, "LL (kN)")</f>
        <v>1DL + 0.25LL (kN)</v>
      </c>
      <c r="K10" s="181" t="s">
        <v>621</v>
      </c>
      <c r="L10" s="181" t="s">
        <v>622</v>
      </c>
      <c r="M10" s="181" t="s">
        <v>623</v>
      </c>
      <c r="N10" s="1062" t="s">
        <v>624</v>
      </c>
      <c r="O10" s="391" t="s">
        <v>625</v>
      </c>
    </row>
    <row r="11" spans="1:22" x14ac:dyDescent="0.25">
      <c r="C11" s="286"/>
      <c r="D11" s="359"/>
      <c r="E11" s="12"/>
      <c r="F11" s="12"/>
      <c r="I11" s="1057" t="s">
        <v>626</v>
      </c>
      <c r="J11" s="1056" cm="1">
        <f t="array" aca="1" ref="J11" ca="1">INDEX(LOAD_DATA!J89:J100,LOAD_DATA!C3)</f>
        <v>1904.4541666666667</v>
      </c>
      <c r="K11">
        <f>RxnCheck!$C$19</f>
        <v>4</v>
      </c>
      <c r="L11" s="1056">
        <f>K11*RxnCheck!C13*(RxnCheck!O8/2*RxnCheck!C23)/1000000</f>
        <v>672.4</v>
      </c>
      <c r="M11" s="1056">
        <f ca="1">J11-$M$9*L11</f>
        <v>1736.3541666666667</v>
      </c>
      <c r="N11" s="1063">
        <f ca="1">L11+M11</f>
        <v>2408.7541666666666</v>
      </c>
      <c r="O11" s="1065">
        <f ca="1">SQRT(N11/$J$9)*1000</f>
        <v>2194.8823051210134</v>
      </c>
    </row>
    <row r="12" spans="1:22" ht="15.75" thickBot="1" x14ac:dyDescent="0.3">
      <c r="C12" s="286"/>
      <c r="D12" s="359"/>
      <c r="E12" s="12"/>
      <c r="F12" s="12"/>
      <c r="I12" s="1058" t="s">
        <v>627</v>
      </c>
      <c r="J12" s="124" cm="1">
        <f t="array" aca="1" ref="J12" ca="1">INDEX(LOAD_DATA!S89:S100,LOAD_DATA!C3)</f>
        <v>3735.3333333333335</v>
      </c>
      <c r="K12" s="124">
        <f>RxnCheck!$C$19</f>
        <v>4</v>
      </c>
      <c r="L12" s="1059">
        <f>K12*RxnCheck!C13*((RxnCheck!O8+RxnCheck!Q8)/2*RxnCheck!C23)/1000000</f>
        <v>1344.8</v>
      </c>
      <c r="M12" s="1059">
        <f ca="1">J12-$M$9*L12</f>
        <v>3399.1333333333337</v>
      </c>
      <c r="N12" s="1064">
        <f ca="1">L12+M12</f>
        <v>4743.9333333333334</v>
      </c>
      <c r="O12" s="1065">
        <f ca="1">SQRT(N12/$J$9)*1000</f>
        <v>3080.2380860359913</v>
      </c>
    </row>
    <row r="13" spans="1:22" ht="19.5" thickBot="1" x14ac:dyDescent="0.35">
      <c r="A13" s="307" t="s">
        <v>628</v>
      </c>
      <c r="E13" t="s">
        <v>629</v>
      </c>
      <c r="K13" s="126" t="s">
        <v>630</v>
      </c>
      <c r="L13" s="126"/>
      <c r="M13" s="126" t="s">
        <v>630</v>
      </c>
      <c r="N13" s="126"/>
      <c r="O13" s="126" t="s">
        <v>631</v>
      </c>
      <c r="P13" s="126"/>
      <c r="Q13" s="126" t="s">
        <v>631</v>
      </c>
    </row>
    <row r="14" spans="1:22" ht="45.75" thickBot="1" x14ac:dyDescent="0.3">
      <c r="A14" s="287" t="s">
        <v>632</v>
      </c>
      <c r="B14" s="288" t="s">
        <v>633</v>
      </c>
      <c r="C14" s="288" t="s">
        <v>634</v>
      </c>
      <c r="D14" s="288"/>
      <c r="E14" s="1071"/>
      <c r="F14" s="1071"/>
      <c r="G14" s="298" t="s">
        <v>635</v>
      </c>
      <c r="H14" s="1071"/>
      <c r="I14" s="128"/>
      <c r="J14" s="129"/>
      <c r="K14" s="287" t="s">
        <v>636</v>
      </c>
      <c r="L14" s="288" t="s">
        <v>637</v>
      </c>
      <c r="M14" s="287" t="s">
        <v>636</v>
      </c>
      <c r="N14" s="288" t="s">
        <v>637</v>
      </c>
      <c r="O14" s="287" t="s">
        <v>636</v>
      </c>
      <c r="P14" s="289" t="s">
        <v>637</v>
      </c>
      <c r="Q14" s="288" t="s">
        <v>636</v>
      </c>
      <c r="R14" s="289" t="s">
        <v>637</v>
      </c>
      <c r="S14" s="205" t="s">
        <v>636</v>
      </c>
      <c r="T14" s="290" t="s">
        <v>637</v>
      </c>
      <c r="U14" s="205" t="s">
        <v>636</v>
      </c>
      <c r="V14" s="290" t="s">
        <v>637</v>
      </c>
    </row>
    <row r="15" spans="1:22" ht="31.5" x14ac:dyDescent="0.35">
      <c r="A15" s="297" t="s">
        <v>638</v>
      </c>
      <c r="B15" s="12" t="s">
        <v>639</v>
      </c>
      <c r="C15" s="12" t="s">
        <v>640</v>
      </c>
      <c r="D15" s="12" t="s">
        <v>641</v>
      </c>
      <c r="E15" s="12" t="s">
        <v>642</v>
      </c>
      <c r="F15" s="209" t="s">
        <v>643</v>
      </c>
      <c r="G15" s="12" t="s">
        <v>644</v>
      </c>
      <c r="H15" s="12" t="s">
        <v>375</v>
      </c>
      <c r="I15" s="34" t="s">
        <v>270</v>
      </c>
      <c r="J15" s="208" t="s">
        <v>610</v>
      </c>
      <c r="K15" s="1092" t="s">
        <v>645</v>
      </c>
      <c r="L15" s="1093"/>
      <c r="M15" s="1092" t="s">
        <v>646</v>
      </c>
      <c r="N15" s="1093"/>
      <c r="O15" s="1092" t="s">
        <v>647</v>
      </c>
      <c r="P15" s="1094"/>
      <c r="Q15" s="1093" t="s">
        <v>648</v>
      </c>
      <c r="R15" s="1094"/>
      <c r="S15" s="205" t="s">
        <v>649</v>
      </c>
      <c r="T15" s="8"/>
      <c r="U15" s="205" t="s">
        <v>650</v>
      </c>
      <c r="V15" s="8"/>
    </row>
    <row r="16" spans="1:22" ht="15.75" thickBot="1" x14ac:dyDescent="0.3">
      <c r="A16" s="183" t="s">
        <v>651</v>
      </c>
      <c r="B16" s="184" t="s">
        <v>652</v>
      </c>
      <c r="C16" s="184" t="s">
        <v>653</v>
      </c>
      <c r="D16" s="184"/>
      <c r="E16" s="184" t="s">
        <v>283</v>
      </c>
      <c r="F16" s="124"/>
      <c r="G16" s="184" t="s">
        <v>282</v>
      </c>
      <c r="H16" s="184" t="s">
        <v>282</v>
      </c>
      <c r="I16" s="184" t="s">
        <v>282</v>
      </c>
      <c r="J16" s="191" t="s">
        <v>282</v>
      </c>
      <c r="K16" s="293" t="s">
        <v>654</v>
      </c>
      <c r="L16" s="184" t="s">
        <v>654</v>
      </c>
      <c r="M16" s="183" t="s">
        <v>654</v>
      </c>
      <c r="N16" s="184" t="s">
        <v>654</v>
      </c>
      <c r="O16" s="183" t="s">
        <v>655</v>
      </c>
      <c r="P16" s="230" t="s">
        <v>655</v>
      </c>
      <c r="Q16" s="296" t="s">
        <v>655</v>
      </c>
      <c r="R16" s="230" t="s">
        <v>655</v>
      </c>
      <c r="S16" s="218"/>
      <c r="T16" s="291"/>
      <c r="U16" s="183" t="s">
        <v>654</v>
      </c>
      <c r="V16" s="291"/>
    </row>
    <row r="17" spans="1:22" x14ac:dyDescent="0.25">
      <c r="A17" s="121"/>
      <c r="B17" s="7"/>
      <c r="C17" s="299"/>
      <c r="D17" s="300"/>
      <c r="E17" s="7"/>
      <c r="F17" s="7"/>
      <c r="G17" s="1074"/>
      <c r="H17" s="1074"/>
      <c r="I17" s="7"/>
      <c r="J17" s="8"/>
      <c r="K17" s="122"/>
      <c r="M17" s="122"/>
      <c r="O17" s="122"/>
      <c r="P17" s="10"/>
      <c r="R17" s="10"/>
      <c r="S17" s="122"/>
      <c r="T17" s="10"/>
      <c r="U17" s="122"/>
      <c r="V17" s="10"/>
    </row>
    <row r="18" spans="1:22" ht="15.75" thickBot="1" x14ac:dyDescent="0.3">
      <c r="A18" s="303">
        <v>1.85</v>
      </c>
      <c r="B18" s="16">
        <v>760</v>
      </c>
      <c r="C18" s="17">
        <f>A18*B18^2</f>
        <v>1068560</v>
      </c>
      <c r="D18" s="201">
        <f ca="1">IFERROR(IF(MATCH($D$10,$D$3:$G$3,1)=4,INDEX(OFFSET($D$4:$G$8,MATCH($F$10,$C$4:$C$8,0)-1,0,1,4),1,4),INDEX(OFFSET($D$4:$G$8,MATCH($F$10,$C$4:$C$8,0)-1,0,1,4),1,MATCH($D$10,$D$3:$G$3,1))+(($D$10-INDEX($D$3:$G$3,MATCH($D$10,$D$3:$G$3,1)))*(INDEX(OFFSET($D$4:$G$8,MATCH($F$10,$C$4:$C$8,0)-1,0,1,4),1,MATCH($D$10,$D$3:$G$3,1)+1)-INDEX(OFFSET($D$4:$G$8,MATCH($F$10,$C$4:$C$8,0)-1,0,1,4),1,MATCH($D$10,$D$3:$G$3,1)))/(INDEX($D$3:$G$3,MATCH($D$10,$D$3:$G$3,1)+1)-INDEX($D$3:$G$3,MATCH($D$10,$D$3:$G$3,1))))),0)</f>
        <v>0.9375</v>
      </c>
      <c r="E18" s="217">
        <f ca="1">C18*D18/1000</f>
        <v>1001.775</v>
      </c>
      <c r="F18" s="16">
        <v>0.25</v>
      </c>
      <c r="G18" s="1066">
        <f ca="1">ROUNDUP(O11/100,0)*100</f>
        <v>2200</v>
      </c>
      <c r="H18" s="1066">
        <f ca="1">G18</f>
        <v>2200</v>
      </c>
      <c r="I18" s="301">
        <v>650</v>
      </c>
      <c r="J18" s="302">
        <v>750</v>
      </c>
      <c r="K18" s="364">
        <f ca="1">(E18*H18^3/(1-F18))*(0.4*(G18/H18)+0.1)/1000</f>
        <v>7111266800</v>
      </c>
      <c r="L18" s="365">
        <f ca="1">((E18/(1-F18))*(G18*H18^3/12)^0.75*(G18/H18)^0.25*(2.4+0.5*(H18/G18)))/1000</f>
        <v>6397186790.5030746</v>
      </c>
      <c r="M18" s="364">
        <f ca="1">(E18*(H18)^3/(1-F18))*(0.47*(G18/H18)^2.4+0.034)/1000</f>
        <v>7168156934.3999996</v>
      </c>
      <c r="N18" s="365">
        <f ca="1">((E18/(1-F18))*(H18*(G18)^3/12)^0.75*(3*(G18/H18)^0.15))/1000</f>
        <v>6617779438.451457</v>
      </c>
      <c r="O18" s="294">
        <f ca="1">(E18*H18/(2-F18))*(3.4*(G18/H18)^0.65+1.2)/1000</f>
        <v>5793.121714285714</v>
      </c>
      <c r="P18" s="304">
        <f ca="1">(E18*G18/(2-F18)*(2 + 2.5 * (H18/G18)^ 0.85) - E18 * G18 /(0.75- F18) * (0.1 * (1 - H18/G18)))/1000</f>
        <v>5667.1842857142856</v>
      </c>
      <c r="Q18" s="295">
        <f ca="1">((E18*H18/(2-F18))*(3.4*(G18/H18)^0.65+0.4*(G18/H18)+0.8))/1000</f>
        <v>5793.121714285714</v>
      </c>
      <c r="R18" s="304">
        <f ca="1">(E18*G18/(2-F18)*(2+2.5*(H18/G18)^0.85))/1000</f>
        <v>5667.1842857142856</v>
      </c>
      <c r="S18" s="138">
        <f ca="1">1+1.4*(I18/G18)^0.6*(1.5+3.7*(I18/G18)^1.9*(I18/J18)^(-0.6))</f>
        <v>2.2782687246085547</v>
      </c>
      <c r="T18" s="292">
        <f ca="1">1+0.92*(2*I18/G18)^0.6*(1.5+(2*I18/G18)^1.9*(I18/J18)^(-0.6))</f>
        <v>2.2755263798686407</v>
      </c>
      <c r="U18" s="362">
        <f ca="1">M18*S18</f>
        <v>16330987756.729454</v>
      </c>
      <c r="V18" s="363">
        <f ca="1">N18*T18</f>
        <v>15058931688.34857</v>
      </c>
    </row>
    <row r="19" spans="1:22" ht="15.75" thickBot="1" x14ac:dyDescent="0.3">
      <c r="A19" s="303">
        <v>1.85</v>
      </c>
      <c r="B19" s="16">
        <f>B18</f>
        <v>760</v>
      </c>
      <c r="C19" s="17">
        <f>A19*B19^2</f>
        <v>1068560</v>
      </c>
      <c r="D19" s="201">
        <f ca="1">IFERROR(IF(MATCH($D$10,$D$3:$G$3,1)=4,INDEX(OFFSET($D$4:$G$8,MATCH($F$10,$C$4:$C$8,0)-1,0,1,4),1,4),INDEX(OFFSET($D$4:$G$8,MATCH($F$10,$C$4:$C$8,0)-1,0,1,4),1,MATCH($D$10,$D$3:$G$3,1))+(($D$10-INDEX($D$3:$G$3,MATCH($D$10,$D$3:$G$3,1)))*(INDEX(OFFSET($D$4:$G$8,MATCH($F$10,$C$4:$C$8,0)-1,0,1,4),1,MATCH($D$10,$D$3:$G$3,1)+1)-INDEX(OFFSET($D$4:$G$8,MATCH($F$10,$C$4:$C$8,0)-1,0,1,4),1,MATCH($D$10,$D$3:$G$3,1)))/(INDEX($D$3:$G$3,MATCH($D$10,$D$3:$G$3,1)+1)-INDEX($D$3:$G$3,MATCH($D$10,$D$3:$G$3,1))))),0)</f>
        <v>0.9375</v>
      </c>
      <c r="E19" s="217">
        <f ca="1">C19*D19/1000</f>
        <v>1001.775</v>
      </c>
      <c r="F19" s="16">
        <v>0.25</v>
      </c>
      <c r="G19" s="1066">
        <f ca="1">ROUNDUP(O12/100,0)*100</f>
        <v>3100</v>
      </c>
      <c r="H19" s="1066">
        <f ca="1">G19</f>
        <v>3100</v>
      </c>
      <c r="I19" s="301">
        <v>800</v>
      </c>
      <c r="J19" s="302">
        <v>900</v>
      </c>
      <c r="K19" s="364">
        <f ca="1">(E19*H19^3/(1-F19))*(0.4*(G19/H19)+0.1)/1000</f>
        <v>19895919350</v>
      </c>
      <c r="L19" s="365">
        <f ca="1">((E19/(1-F19))*(G19*H19^3/12)^0.75*(G19/H19)^0.25*(2.4+0.5*(H19/G19)))/1000</f>
        <v>17898064582.633026</v>
      </c>
      <c r="M19" s="364">
        <f ca="1">(E19*(H19)^3/(1-F19))*(0.47*(G19/H19)^2.4+0.034)/1000</f>
        <v>20055086704.799999</v>
      </c>
      <c r="N19" s="365">
        <f ca="1">((E19/(1-F19))*(H19*(G19)^3/12)^0.75*(3*(G19/H19)^0.15))/1000</f>
        <v>18515239223.413475</v>
      </c>
      <c r="O19" s="294">
        <f ca="1">(E19*H19/(2-F19))*(3.4*(G19/H19)^0.65+1.2)/1000</f>
        <v>8163.0351428571421</v>
      </c>
      <c r="P19" s="304">
        <f ca="1">(E19*G19/(2-F19)*(2 + 2.5 * (H19/G19)^ 0.85) - E19 * G19 /(0.75- F19) * (0.1 * (1 - H19/G19)))/1000</f>
        <v>7985.5778571428564</v>
      </c>
      <c r="Q19" s="295">
        <f ca="1">((E19*H19/(2-F19))*(3.4*(G19/H19)^0.65+0.4*(G19/H19)+0.8))/1000</f>
        <v>8163.0351428571421</v>
      </c>
      <c r="R19" s="304">
        <f ca="1">(E19*G19/(2-F19)*(2+2.5*(H19/G19)^0.85))/1000</f>
        <v>7985.5778571428564</v>
      </c>
      <c r="S19" s="138">
        <f ca="1">1+1.4*(I19/G19)^0.6*(1.5+3.7*(I19/G19)^1.9*(I19/J19)^(-0.6))</f>
        <v>2.1197372061537427</v>
      </c>
      <c r="T19" s="292">
        <f ca="1">1+0.92*(2*I19/G19)^0.6*(1.5+(2*I19/G19)^1.9*(I19/J19)^(-0.6))</f>
        <v>2.1169325186048757</v>
      </c>
      <c r="U19" s="362">
        <f ca="1">M19*S19</f>
        <v>42511513460.803818</v>
      </c>
      <c r="V19" s="363">
        <f ca="1">N19*T19</f>
        <v>39195512001.792473</v>
      </c>
    </row>
    <row r="20" spans="1:22" x14ac:dyDescent="0.25">
      <c r="C20" s="286"/>
      <c r="E20" s="12"/>
      <c r="F20" s="12"/>
    </row>
    <row r="21" spans="1:22" x14ac:dyDescent="0.25">
      <c r="C21" s="286"/>
      <c r="E21" s="12"/>
      <c r="F21" s="12"/>
    </row>
    <row r="22" spans="1:22" x14ac:dyDescent="0.25">
      <c r="C22" s="286"/>
      <c r="E22" s="12"/>
      <c r="F22" s="12"/>
    </row>
    <row r="23" spans="1:22" ht="19.5" thickBot="1" x14ac:dyDescent="0.35">
      <c r="A23" s="307" t="s">
        <v>656</v>
      </c>
      <c r="C23" s="286"/>
      <c r="E23" s="12"/>
      <c r="F23" s="12"/>
      <c r="G23" s="307" t="s">
        <v>657</v>
      </c>
    </row>
    <row r="24" spans="1:22" x14ac:dyDescent="0.25">
      <c r="A24" s="180" t="s">
        <v>658</v>
      </c>
      <c r="B24" s="181"/>
      <c r="C24" s="181"/>
      <c r="D24" s="181"/>
      <c r="E24" s="181"/>
      <c r="F24" s="182"/>
      <c r="G24" s="7"/>
      <c r="H24" s="181" t="s">
        <v>659</v>
      </c>
      <c r="I24" s="7"/>
      <c r="J24" s="7"/>
      <c r="K24" s="7"/>
      <c r="L24" s="7"/>
      <c r="M24" s="7"/>
      <c r="N24" s="228" t="s">
        <v>660</v>
      </c>
      <c r="O24" s="308" t="s">
        <v>661</v>
      </c>
    </row>
    <row r="25" spans="1:22" ht="15.75" thickBot="1" x14ac:dyDescent="0.3">
      <c r="A25" s="183" t="s">
        <v>662</v>
      </c>
      <c r="B25" s="184" t="s">
        <v>663</v>
      </c>
      <c r="C25" s="184" t="s">
        <v>664</v>
      </c>
      <c r="D25" s="184" t="s">
        <v>665</v>
      </c>
      <c r="E25" s="184" t="s">
        <v>666</v>
      </c>
      <c r="F25" s="185" t="s">
        <v>667</v>
      </c>
      <c r="G25" s="124" t="s">
        <v>668</v>
      </c>
      <c r="H25" s="184" t="s">
        <v>662</v>
      </c>
      <c r="I25" s="184" t="s">
        <v>663</v>
      </c>
      <c r="J25" s="184" t="s">
        <v>664</v>
      </c>
      <c r="K25" s="184" t="s">
        <v>665</v>
      </c>
      <c r="L25" s="184" t="s">
        <v>666</v>
      </c>
      <c r="M25" s="212" t="s">
        <v>667</v>
      </c>
      <c r="N25" s="309" t="s">
        <v>667</v>
      </c>
      <c r="O25" s="310" t="s">
        <v>667</v>
      </c>
    </row>
    <row r="26" spans="1:22" ht="15.75" thickBot="1" x14ac:dyDescent="0.3">
      <c r="A26" s="14">
        <f>DesignFile!H36</f>
        <v>450</v>
      </c>
      <c r="B26" s="14">
        <f>GeneralInput!C41</f>
        <v>750</v>
      </c>
      <c r="C26" s="284">
        <f>GeneralInput!C20*SQRT(GeneralInput!C16)</f>
        <v>32048.229280258216</v>
      </c>
      <c r="D26" s="369">
        <f>A26*B26^3/12</f>
        <v>15820312500</v>
      </c>
      <c r="E26" s="14">
        <f>DesignFile!O34</f>
        <v>8200</v>
      </c>
      <c r="F26" s="305">
        <f>6*(0.35*C26*D26)/E26/1000</f>
        <v>129844793.26819554</v>
      </c>
      <c r="G26" s="361">
        <f ca="1">INDEX(GeneralInput!$D$116:$D$127, RxnCheck!C13)</f>
        <v>0.12114270417547933</v>
      </c>
      <c r="H26" s="14">
        <f ca="1">INDEX(LOAD_DATA!$C$54:$D$65, RxnCheck!C13,1)</f>
        <v>450</v>
      </c>
      <c r="I26" s="14">
        <f ca="1">INDEX(LOAD_DATA!$C$54:$D$65, RxnCheck!C13,2)</f>
        <v>600</v>
      </c>
      <c r="J26" s="284">
        <f>C26</f>
        <v>32048.229280258216</v>
      </c>
      <c r="K26" s="306">
        <f ca="1">H26*I26^3/12</f>
        <v>8100000000</v>
      </c>
      <c r="L26" s="14">
        <f>GeneralInput!C42</f>
        <v>0</v>
      </c>
      <c r="M26" s="306">
        <f ca="1">IFERROR(6*(MIN(0.8,MAX(0.35,-0.17+1.61*G26))*J26*K26)/L26/1000, 0)</f>
        <v>0</v>
      </c>
      <c r="N26" s="366">
        <f ca="1">U18</f>
        <v>16330987756.729454</v>
      </c>
      <c r="O26" s="367">
        <f ca="1">F26+M26+N26</f>
        <v>16460832549.99765</v>
      </c>
    </row>
    <row r="27" spans="1:22" ht="15.75" thickBot="1" x14ac:dyDescent="0.3">
      <c r="A27" s="14">
        <f>A26</f>
        <v>450</v>
      </c>
      <c r="B27" s="14">
        <f>B26</f>
        <v>750</v>
      </c>
      <c r="C27" s="284">
        <f>C26</f>
        <v>32048.229280258216</v>
      </c>
      <c r="D27" s="369">
        <f>A27*B27^3/12</f>
        <v>15820312500</v>
      </c>
      <c r="E27" s="14">
        <f>E26</f>
        <v>8200</v>
      </c>
      <c r="F27" s="305">
        <f>6*(0.35*C27*D27)/E27/1000</f>
        <v>129844793.26819554</v>
      </c>
      <c r="G27" s="361">
        <f ca="1">INDEX(GeneralInput!$E$116:$E$127, RxnCheck!C13)</f>
        <v>0.17820396609576517</v>
      </c>
      <c r="H27" s="14">
        <f ca="1">INDEX(LOAD_DATA!$L$54:$M$65, RxnCheck!C13,1)</f>
        <v>600</v>
      </c>
      <c r="I27" s="14">
        <f ca="1">INDEX(LOAD_DATA!$L$54:$M$65, RxnCheck!C13,2)</f>
        <v>600</v>
      </c>
      <c r="J27" s="284">
        <f>C27</f>
        <v>32048.229280258216</v>
      </c>
      <c r="K27" s="306">
        <f ca="1">H27*I27^3/12</f>
        <v>10800000000</v>
      </c>
      <c r="L27" s="14">
        <f>GeneralInput!C43</f>
        <v>0</v>
      </c>
      <c r="M27" s="306">
        <f ca="1">IFERROR(6*(MIN(0.8,MAX(0.35,-0.17+1.61*G27))*J27*K27)/L27/1000, 0)</f>
        <v>0</v>
      </c>
      <c r="N27" s="366">
        <f ca="1">U19</f>
        <v>42511513460.803818</v>
      </c>
      <c r="O27" s="367">
        <f ca="1">F27+M27+N27</f>
        <v>42641358254.072014</v>
      </c>
    </row>
    <row r="28" spans="1:22" x14ac:dyDescent="0.25">
      <c r="C28" s="286"/>
      <c r="E28" s="12"/>
      <c r="F28" s="12"/>
    </row>
    <row r="29" spans="1:22" x14ac:dyDescent="0.25">
      <c r="C29" s="286"/>
      <c r="E29" s="12"/>
      <c r="F29" s="12"/>
    </row>
    <row r="30" spans="1:22" ht="19.5" thickBot="1" x14ac:dyDescent="0.35">
      <c r="A30" s="307"/>
      <c r="C30" s="286"/>
      <c r="E30" s="12"/>
      <c r="F30" s="12"/>
      <c r="G30" s="307" t="s">
        <v>669</v>
      </c>
    </row>
    <row r="31" spans="1:22" ht="45" x14ac:dyDescent="0.25">
      <c r="G31" s="180"/>
      <c r="H31" s="181"/>
      <c r="I31" s="181"/>
      <c r="J31" s="181"/>
      <c r="K31" s="7"/>
      <c r="L31" s="356" t="s">
        <v>670</v>
      </c>
      <c r="M31" s="356" t="s">
        <v>671</v>
      </c>
      <c r="N31" s="356" t="s">
        <v>672</v>
      </c>
      <c r="O31" s="308" t="s">
        <v>661</v>
      </c>
    </row>
    <row r="32" spans="1:22" x14ac:dyDescent="0.25">
      <c r="G32" s="11" t="s">
        <v>666</v>
      </c>
      <c r="H32" s="12" t="s">
        <v>673</v>
      </c>
      <c r="I32" s="12" t="s">
        <v>674</v>
      </c>
      <c r="J32" s="12" t="s">
        <v>675</v>
      </c>
      <c r="K32" s="12" t="s">
        <v>676</v>
      </c>
      <c r="L32" s="12"/>
      <c r="M32" s="12" t="s">
        <v>677</v>
      </c>
      <c r="N32" s="354" t="s">
        <v>678</v>
      </c>
      <c r="O32" s="355" t="s">
        <v>667</v>
      </c>
    </row>
    <row r="33" spans="3:15" ht="15.75" thickBot="1" x14ac:dyDescent="0.3">
      <c r="G33" s="303">
        <f ca="1">G18</f>
        <v>2200</v>
      </c>
      <c r="H33" s="16">
        <f ca="1">H18</f>
        <v>2200</v>
      </c>
      <c r="I33" s="369">
        <f ca="1">G33*H33^3/12</f>
        <v>1952133333333.3333</v>
      </c>
      <c r="J33" s="16">
        <v>500</v>
      </c>
      <c r="K33" s="17">
        <f>J33*20.885</f>
        <v>10442.5</v>
      </c>
      <c r="L33" s="139">
        <f>(K33 - $K$52) / $K$53</f>
        <v>0.26804890137122089</v>
      </c>
      <c r="M33" s="216">
        <f>($K$50*L33^6+$M$50*L33^5+$O$50*L33^4+$Q$50*L33^3+$K$51*L33^2+$M$51*L33+$O$51) * (12^3 / 0.157)</f>
        <v>2998202.0596571877</v>
      </c>
      <c r="N33" s="368">
        <f ca="1">I33*M33/10^9</f>
        <v>5852890180.7254505</v>
      </c>
      <c r="O33" s="1076">
        <f ca="1">F26+N33</f>
        <v>5982734973.9936457</v>
      </c>
    </row>
    <row r="34" spans="3:15" ht="15.75" thickBot="1" x14ac:dyDescent="0.3">
      <c r="G34" s="303">
        <f ca="1">G19</f>
        <v>3100</v>
      </c>
      <c r="H34" s="16">
        <f ca="1">H19</f>
        <v>3100</v>
      </c>
      <c r="I34" s="369">
        <f ca="1">G34*H34^3/12</f>
        <v>7696008333333.333</v>
      </c>
      <c r="J34" s="16">
        <v>500</v>
      </c>
      <c r="K34" s="17">
        <f>J34*20.885</f>
        <v>10442.5</v>
      </c>
      <c r="L34" s="139">
        <f>(K34 - $K$52) / $K$53</f>
        <v>0.26804890137122089</v>
      </c>
      <c r="M34" s="216">
        <f>($K$50*L34^6+$M$50*L34^5+$O$50*L34^4+$Q$50*L34^3+$K$51*L34^2+$M$51*L34+$O$51) * (12^3 / 0.157)</f>
        <v>2998202.0596571877</v>
      </c>
      <c r="N34" s="368">
        <f ca="1">I34*M34/10^9</f>
        <v>23074188036.138882</v>
      </c>
      <c r="O34" s="1076">
        <f ca="1">F27+N34</f>
        <v>23204032829.407078</v>
      </c>
    </row>
    <row r="35" spans="3:15" x14ac:dyDescent="0.25">
      <c r="C35" s="286"/>
      <c r="E35" s="12"/>
      <c r="F35" s="12"/>
    </row>
    <row r="36" spans="3:15" x14ac:dyDescent="0.25">
      <c r="C36" s="286"/>
      <c r="E36" s="12"/>
      <c r="F36" s="12"/>
      <c r="H36" s="23"/>
    </row>
    <row r="37" spans="3:15" x14ac:dyDescent="0.25">
      <c r="C37" s="286"/>
      <c r="E37" s="12"/>
      <c r="F37" s="12"/>
      <c r="H37" s="175">
        <f ca="1">O33/O26</f>
        <v>0.36345275707178615</v>
      </c>
    </row>
    <row r="38" spans="3:15" x14ac:dyDescent="0.25">
      <c r="C38" s="370"/>
      <c r="E38" s="12"/>
      <c r="F38" s="12"/>
      <c r="H38" s="175">
        <f ca="1">O34/O27</f>
        <v>0.54416730093702448</v>
      </c>
    </row>
    <row r="39" spans="3:15" x14ac:dyDescent="0.25">
      <c r="C39" s="286"/>
      <c r="E39" s="12"/>
      <c r="F39" s="12"/>
    </row>
    <row r="40" spans="3:15" x14ac:dyDescent="0.25">
      <c r="C40" s="286"/>
      <c r="E40" s="12"/>
      <c r="F40" s="12"/>
    </row>
    <row r="41" spans="3:15" x14ac:dyDescent="0.25">
      <c r="C41" s="286"/>
      <c r="E41" s="12"/>
      <c r="F41" s="12"/>
    </row>
    <row r="42" spans="3:15" x14ac:dyDescent="0.25">
      <c r="C42" s="286"/>
      <c r="E42" s="12"/>
      <c r="F42" s="12"/>
    </row>
    <row r="43" spans="3:15" x14ac:dyDescent="0.25">
      <c r="C43" s="286"/>
      <c r="E43" s="12"/>
      <c r="F43" s="12"/>
    </row>
    <row r="44" spans="3:15" x14ac:dyDescent="0.25">
      <c r="C44" s="286"/>
      <c r="E44" s="12"/>
      <c r="F44" s="12"/>
    </row>
    <row r="45" spans="3:15" x14ac:dyDescent="0.25">
      <c r="C45" s="286"/>
      <c r="E45" s="12"/>
      <c r="F45" s="12"/>
    </row>
    <row r="46" spans="3:15" x14ac:dyDescent="0.25">
      <c r="C46" s="286"/>
      <c r="E46" s="12"/>
      <c r="F46" s="12"/>
    </row>
    <row r="47" spans="3:15" x14ac:dyDescent="0.25">
      <c r="C47" s="286"/>
      <c r="E47" s="12"/>
      <c r="F47" s="12"/>
    </row>
    <row r="48" spans="3:15" x14ac:dyDescent="0.25">
      <c r="C48" s="286"/>
      <c r="E48" s="12"/>
      <c r="F48" s="12"/>
    </row>
    <row r="49" spans="1:22" ht="18.75" x14ac:dyDescent="0.3">
      <c r="C49" s="286"/>
      <c r="E49" s="12"/>
      <c r="F49" s="12"/>
      <c r="J49" s="358" t="s">
        <v>679</v>
      </c>
    </row>
    <row r="50" spans="1:22" x14ac:dyDescent="0.25">
      <c r="C50" s="286"/>
      <c r="E50" s="12"/>
      <c r="F50" s="12"/>
      <c r="J50" t="s">
        <v>680</v>
      </c>
      <c r="K50">
        <v>-1.9450000000000001</v>
      </c>
      <c r="L50" t="s">
        <v>681</v>
      </c>
      <c r="M50">
        <v>6.093</v>
      </c>
      <c r="N50" t="s">
        <v>682</v>
      </c>
      <c r="O50">
        <v>-5.0529999999999999</v>
      </c>
      <c r="P50" t="s">
        <v>683</v>
      </c>
      <c r="Q50">
        <v>2.6680000000000001</v>
      </c>
    </row>
    <row r="51" spans="1:22" x14ac:dyDescent="0.25">
      <c r="C51" s="286"/>
      <c r="E51" s="12"/>
      <c r="F51" s="12"/>
      <c r="J51" t="s">
        <v>684</v>
      </c>
      <c r="K51">
        <v>-23.32</v>
      </c>
      <c r="L51" t="s">
        <v>685</v>
      </c>
      <c r="M51">
        <v>76.66</v>
      </c>
      <c r="N51" t="s">
        <v>686</v>
      </c>
      <c r="O51">
        <v>253.5</v>
      </c>
    </row>
    <row r="52" spans="1:22" x14ac:dyDescent="0.25">
      <c r="C52" s="286"/>
      <c r="E52" s="12"/>
      <c r="F52" s="12"/>
      <c r="J52" t="s">
        <v>687</v>
      </c>
      <c r="K52">
        <v>8820</v>
      </c>
    </row>
    <row r="53" spans="1:22" x14ac:dyDescent="0.25">
      <c r="C53" s="286"/>
      <c r="E53" s="12"/>
      <c r="F53" s="12"/>
      <c r="J53" t="s">
        <v>688</v>
      </c>
      <c r="K53">
        <v>6053</v>
      </c>
    </row>
    <row r="54" spans="1:22" x14ac:dyDescent="0.25">
      <c r="C54" s="286"/>
      <c r="E54" s="12"/>
      <c r="F54" s="12"/>
    </row>
    <row r="55" spans="1:22" x14ac:dyDescent="0.25">
      <c r="C55" s="286"/>
      <c r="E55" s="12"/>
      <c r="F55" s="12"/>
    </row>
    <row r="56" spans="1:22" x14ac:dyDescent="0.25">
      <c r="C56" s="286"/>
      <c r="E56" s="12"/>
      <c r="F56" s="12"/>
    </row>
    <row r="57" spans="1:22" x14ac:dyDescent="0.25">
      <c r="C57" s="286"/>
      <c r="E57" s="12"/>
      <c r="F57" s="12"/>
    </row>
    <row r="58" spans="1:22" ht="15.75" thickBot="1" x14ac:dyDescent="0.3">
      <c r="C58" s="286"/>
      <c r="E58" s="12"/>
      <c r="F58" s="12"/>
    </row>
    <row r="59" spans="1:22" ht="30" x14ac:dyDescent="0.25">
      <c r="C59" t="s">
        <v>629</v>
      </c>
      <c r="K59" s="1073" t="s">
        <v>645</v>
      </c>
      <c r="L59" s="1074"/>
      <c r="M59" s="1073" t="s">
        <v>646</v>
      </c>
      <c r="N59" s="1075"/>
      <c r="O59" s="1074" t="s">
        <v>647</v>
      </c>
      <c r="P59" s="1075"/>
      <c r="Q59" s="1073" t="s">
        <v>648</v>
      </c>
      <c r="R59" s="1075"/>
      <c r="S59" s="205" t="s">
        <v>649</v>
      </c>
      <c r="T59" s="7"/>
      <c r="U59" s="205" t="s">
        <v>650</v>
      </c>
      <c r="V59" s="8"/>
    </row>
    <row r="60" spans="1:22" ht="45" x14ac:dyDescent="0.25">
      <c r="A60" s="34" t="s">
        <v>632</v>
      </c>
      <c r="B60" s="34" t="s">
        <v>633</v>
      </c>
      <c r="C60" s="34" t="s">
        <v>634</v>
      </c>
      <c r="D60" s="34"/>
      <c r="E60" s="12"/>
      <c r="F60" s="12"/>
      <c r="G60" s="206" t="s">
        <v>635</v>
      </c>
      <c r="H60" s="12"/>
      <c r="I60" s="34" t="s">
        <v>270</v>
      </c>
      <c r="J60" s="34" t="s">
        <v>610</v>
      </c>
      <c r="K60" s="207" t="s">
        <v>636</v>
      </c>
      <c r="L60" s="34" t="s">
        <v>637</v>
      </c>
      <c r="M60" s="207" t="s">
        <v>636</v>
      </c>
      <c r="N60" s="208" t="s">
        <v>637</v>
      </c>
      <c r="O60" s="34" t="s">
        <v>636</v>
      </c>
      <c r="P60" s="208" t="s">
        <v>637</v>
      </c>
      <c r="Q60" s="207" t="s">
        <v>636</v>
      </c>
      <c r="R60" s="208" t="s">
        <v>637</v>
      </c>
      <c r="S60" s="207" t="s">
        <v>636</v>
      </c>
      <c r="T60" s="34" t="s">
        <v>637</v>
      </c>
      <c r="U60" s="207" t="s">
        <v>636</v>
      </c>
      <c r="V60" s="208" t="s">
        <v>637</v>
      </c>
    </row>
    <row r="61" spans="1:22" ht="18" x14ac:dyDescent="0.35">
      <c r="A61" s="209" t="s">
        <v>638</v>
      </c>
      <c r="B61" s="12" t="s">
        <v>639</v>
      </c>
      <c r="C61" s="12" t="s">
        <v>640</v>
      </c>
      <c r="D61" s="12" t="s">
        <v>641</v>
      </c>
      <c r="E61" s="12" t="s">
        <v>642</v>
      </c>
      <c r="F61" s="209" t="s">
        <v>643</v>
      </c>
      <c r="G61" s="12" t="s">
        <v>644</v>
      </c>
      <c r="H61" s="12" t="s">
        <v>375</v>
      </c>
      <c r="I61" s="261" t="s">
        <v>689</v>
      </c>
      <c r="J61" s="261" t="s">
        <v>689</v>
      </c>
      <c r="K61" s="285" t="s">
        <v>690</v>
      </c>
      <c r="L61" s="261" t="s">
        <v>690</v>
      </c>
      <c r="M61" s="285" t="s">
        <v>690</v>
      </c>
      <c r="N61" s="269" t="s">
        <v>690</v>
      </c>
      <c r="O61" s="261" t="s">
        <v>691</v>
      </c>
      <c r="P61" s="269" t="s">
        <v>691</v>
      </c>
      <c r="Q61" s="285" t="s">
        <v>691</v>
      </c>
      <c r="R61" s="269" t="s">
        <v>691</v>
      </c>
      <c r="S61" s="268"/>
      <c r="T61" s="253"/>
      <c r="U61" s="285" t="s">
        <v>690</v>
      </c>
      <c r="V61" s="269" t="s">
        <v>690</v>
      </c>
    </row>
    <row r="62" spans="1:22" x14ac:dyDescent="0.25">
      <c r="A62" s="267" t="s">
        <v>651</v>
      </c>
      <c r="B62" s="267" t="s">
        <v>652</v>
      </c>
      <c r="C62" s="267" t="s">
        <v>653</v>
      </c>
      <c r="D62" s="267"/>
      <c r="E62" s="267" t="s">
        <v>692</v>
      </c>
      <c r="F62" s="267"/>
      <c r="G62" s="267" t="s">
        <v>693</v>
      </c>
      <c r="H62" s="267" t="s">
        <v>693</v>
      </c>
      <c r="I62" s="261"/>
      <c r="J62" s="261"/>
      <c r="K62" s="268"/>
      <c r="L62" s="261"/>
      <c r="M62" s="268"/>
      <c r="N62" s="269"/>
      <c r="O62" s="253"/>
      <c r="P62" s="269"/>
      <c r="Q62" s="268"/>
      <c r="R62" s="269"/>
      <c r="S62" s="268"/>
      <c r="T62" s="253"/>
      <c r="U62" s="268"/>
      <c r="V62" s="270"/>
    </row>
    <row r="63" spans="1:22" ht="15.75" thickBot="1" x14ac:dyDescent="0.3">
      <c r="A63" s="271">
        <v>1.85</v>
      </c>
      <c r="B63" s="271">
        <v>285</v>
      </c>
      <c r="C63" s="272">
        <f>A63*B63^2</f>
        <v>150266.25</v>
      </c>
      <c r="D63" s="273" t="e">
        <f ca="1">[2]!INTERPLINEAR($D$10,$D$3:$G$3,OFFSET($D$4:$G$8,MATCH($F$10,$C$4:$C$8)-1,,1,4))</f>
        <v>#NAME?</v>
      </c>
      <c r="E63" s="274" t="e">
        <f ca="1">C63*D63/6.895</f>
        <v>#NAME?</v>
      </c>
      <c r="F63" s="271">
        <v>0.25</v>
      </c>
      <c r="G63" s="271">
        <v>10</v>
      </c>
      <c r="H63" s="271">
        <v>10</v>
      </c>
      <c r="I63" s="271">
        <v>12</v>
      </c>
      <c r="J63" s="271">
        <v>80</v>
      </c>
      <c r="K63" s="275" t="e">
        <f ca="1">((E63*(H63*12)^3/(1-F63))*(0.4*(G63/H63)+0.1))/1000</f>
        <v>#NAME?</v>
      </c>
      <c r="L63" s="276" t="e">
        <f ca="1">((E63/(1-F63))*(G63*12*(H63*12)^3/12)^0.75*(G63/H63)^0.25*(2.4+0.5*(H63/G63)))/1000</f>
        <v>#NAME?</v>
      </c>
      <c r="M63" s="275" t="e">
        <f ca="1">((E63*(H63*12)^3/(1-F63))*(0.47*(G63/H63)^2.4+0.034))/1000</f>
        <v>#NAME?</v>
      </c>
      <c r="N63" s="277" t="e">
        <f ca="1">((E63/(1-F63))*(H63*12*(G63*12)^3/12)^0.75*(3*(G63/H63)^0.15))/1000</f>
        <v>#NAME?</v>
      </c>
      <c r="O63" s="278" t="e">
        <f ca="1">((E63*H63*12/(2-F63))*(3.4*(G63/H63)^0.65+1.2))/1000</f>
        <v>#NAME?</v>
      </c>
      <c r="P63" s="277" t="e">
        <f ca="1">(E63*G63*12/(2-F63)*(2 + 2.5 * (H63/G63)^ 0.85) - E63 * G63* 12 /(0.75- F63) * (0.1 * (1 - H63/G63)))/1000</f>
        <v>#NAME?</v>
      </c>
      <c r="Q63" s="275" t="e">
        <f ca="1">((E63*H63*12/(2-F63))*(3.4*(G63/H63)^0.65+0.4*(G63/H63)+0.8))/1000</f>
        <v>#NAME?</v>
      </c>
      <c r="R63" s="277" t="e">
        <f ca="1">(E63*G63*12/(2-F63)*(2+2.5*(H63/G63)^0.85))/1000</f>
        <v>#NAME?</v>
      </c>
      <c r="S63" s="279">
        <f>1+1.4*(I63/G63/12)^0.6*(1.5+3.7*(I63/G63/12)^1.9*(I63/J63)^(-0.6))</f>
        <v>1.5786260577961049</v>
      </c>
      <c r="T63" s="280">
        <f>1+0.92*(2*I63/G63/12)^0.6*(1.5+(2*I63/G63/12)^1.9*(I63/J63)^(-0.6))</f>
        <v>1.5767783091099121</v>
      </c>
      <c r="U63" s="281" t="e">
        <f ca="1">M63*S63</f>
        <v>#NAME?</v>
      </c>
      <c r="V63" s="282" t="e">
        <f ca="1">N63*T63</f>
        <v>#NAME?</v>
      </c>
    </row>
    <row r="64" spans="1:22" x14ac:dyDescent="0.25">
      <c r="A64" s="1"/>
      <c r="B64" s="1"/>
      <c r="C64" s="1"/>
      <c r="D64" s="23"/>
      <c r="E64" s="1"/>
      <c r="F64" s="1"/>
      <c r="G64" s="1"/>
      <c r="H64" s="1"/>
      <c r="K64" s="210"/>
      <c r="L64" s="30"/>
      <c r="M64" s="210"/>
      <c r="N64" s="211"/>
      <c r="O64" s="30"/>
      <c r="P64" s="211"/>
      <c r="Q64" s="210"/>
      <c r="R64" s="211"/>
    </row>
    <row r="65" spans="1:22" ht="30" x14ac:dyDescent="0.25">
      <c r="A65" s="12" t="s">
        <v>651</v>
      </c>
      <c r="B65" s="12" t="s">
        <v>652</v>
      </c>
      <c r="C65" s="12" t="s">
        <v>653</v>
      </c>
      <c r="D65" s="12"/>
      <c r="E65" s="12" t="s">
        <v>283</v>
      </c>
      <c r="G65" s="12" t="s">
        <v>282</v>
      </c>
      <c r="H65" s="12" t="s">
        <v>282</v>
      </c>
      <c r="I65" s="12" t="s">
        <v>282</v>
      </c>
      <c r="J65" s="12" t="s">
        <v>282</v>
      </c>
      <c r="K65" s="214" t="s">
        <v>654</v>
      </c>
      <c r="L65" s="12" t="s">
        <v>654</v>
      </c>
      <c r="M65" s="11" t="s">
        <v>654</v>
      </c>
      <c r="N65" s="13" t="s">
        <v>654</v>
      </c>
      <c r="O65" s="12" t="s">
        <v>655</v>
      </c>
      <c r="P65" s="213" t="s">
        <v>655</v>
      </c>
      <c r="Q65" s="215" t="s">
        <v>655</v>
      </c>
      <c r="R65" s="213" t="s">
        <v>655</v>
      </c>
      <c r="S65" s="207" t="s">
        <v>636</v>
      </c>
      <c r="T65" s="34" t="s">
        <v>637</v>
      </c>
      <c r="U65" s="207" t="s">
        <v>636</v>
      </c>
      <c r="V65" s="208" t="s">
        <v>637</v>
      </c>
    </row>
    <row r="66" spans="1:22" ht="15.75" thickBot="1" x14ac:dyDescent="0.3">
      <c r="A66" s="271">
        <v>1.85</v>
      </c>
      <c r="B66" s="271">
        <v>285</v>
      </c>
      <c r="C66" s="272">
        <f>A66*B66^2</f>
        <v>150266.25</v>
      </c>
      <c r="D66" s="273" t="e">
        <f ca="1">[2]!INTERPLINEAR($D$10,$D$3:$G$3,OFFSET($D$4:$G$8,MATCH($F$10,$C$4:$C$8)-1,,1,4))</f>
        <v>#NAME?</v>
      </c>
      <c r="E66" s="274" t="e">
        <f ca="1">C66*D66/1000</f>
        <v>#NAME?</v>
      </c>
      <c r="F66" s="271">
        <v>0.25</v>
      </c>
      <c r="G66" s="271">
        <f>25.4*12*G63</f>
        <v>3047.9999999999995</v>
      </c>
      <c r="H66" s="271">
        <f>25.4*12*H63</f>
        <v>3047.9999999999995</v>
      </c>
      <c r="I66" s="271">
        <f>I63*25.4</f>
        <v>304.79999999999995</v>
      </c>
      <c r="J66" s="271">
        <f>J63*25.4</f>
        <v>2032</v>
      </c>
      <c r="K66" s="262" t="e">
        <f ca="1">(E66*H66^3/(1-F66))*(0.4*(G66/H66)+0.1)/1000</f>
        <v>#NAME?</v>
      </c>
      <c r="L66" s="263" t="e">
        <f ca="1">((E66/(1-F66))*(G66*H66^3/12)^0.75*(G66/H66)^0.25*(2.4+0.5*(H66/G66)))/1000</f>
        <v>#NAME?</v>
      </c>
      <c r="M66" s="262" t="e">
        <f ca="1">(E66*(H66)^3/(1-F66))*(0.47*(G66/H66)^2.4+0.034)/1000</f>
        <v>#NAME?</v>
      </c>
      <c r="N66" s="264" t="e">
        <f ca="1">((E66/(1-F66))*(H66*(G66)^3/12)^0.75*(3*(G66/H66)^0.15))/1000</f>
        <v>#NAME?</v>
      </c>
      <c r="O66" s="263" t="e">
        <f ca="1">(E66*H66/(2-F66))*(3.4*(G66/H66)^0.65+1.2)/1000</f>
        <v>#NAME?</v>
      </c>
      <c r="P66" s="264" t="e">
        <f ca="1">(E66*G66/(2-F66)*(2 + 2.5 * (H66/G66)^ 0.85) - E66 * G66 /(0.75- F66) * (0.1 * (1 - H66/G66)))/1000</f>
        <v>#NAME?</v>
      </c>
      <c r="Q66" s="262" t="e">
        <f ca="1">((E66*H66/(2-F66))*(3.4*(G66/H66)^0.65+0.4*(G66/H66)+0.8))/1000</f>
        <v>#NAME?</v>
      </c>
      <c r="R66" s="264" t="e">
        <f ca="1">(E66*G66/(2-F66)*(2+2.5*(H66/G66)^0.85))/1000</f>
        <v>#NAME?</v>
      </c>
      <c r="S66" s="265">
        <f>1+1.4*(I66/G66)^0.6*(1.5+3.7*(I66/G66)^1.9*(I66/J66)^(-0.6))</f>
        <v>1.5786260577961051</v>
      </c>
      <c r="T66" s="266">
        <f>1+0.92*(2*I66/G66)^0.6*(1.5+(2*I66/G66)^1.9*(I66/J66)^(-0.6))</f>
        <v>1.5767783091099123</v>
      </c>
      <c r="U66" s="251" t="e">
        <f ca="1">M66*S66</f>
        <v>#NAME?</v>
      </c>
      <c r="V66" s="252" t="e">
        <f ca="1">N66*T66</f>
        <v>#NAME?</v>
      </c>
    </row>
    <row r="68" spans="1:22" x14ac:dyDescent="0.25">
      <c r="K68" s="122"/>
      <c r="M68" s="122"/>
      <c r="N68" s="10"/>
      <c r="P68" s="10"/>
      <c r="Q68" s="122"/>
      <c r="R68" s="10"/>
    </row>
    <row r="69" spans="1:22" ht="15.75" thickBot="1" x14ac:dyDescent="0.3">
      <c r="K69" s="123"/>
      <c r="L69" s="124"/>
      <c r="M69" s="123"/>
      <c r="N69" s="98"/>
      <c r="O69" s="124"/>
      <c r="P69" s="98"/>
      <c r="Q69" s="123"/>
      <c r="R69" s="98"/>
    </row>
    <row r="71" spans="1:22" ht="15.75" thickBot="1" x14ac:dyDescent="0.3"/>
    <row r="72" spans="1:22" x14ac:dyDescent="0.25">
      <c r="A72" s="235" t="s">
        <v>658</v>
      </c>
      <c r="B72" s="236"/>
      <c r="C72" s="236"/>
      <c r="D72" s="236"/>
      <c r="E72" s="236"/>
      <c r="F72" s="237"/>
      <c r="G72" s="238"/>
      <c r="H72" s="236" t="s">
        <v>659</v>
      </c>
      <c r="I72" s="238"/>
      <c r="J72" s="238"/>
      <c r="K72" s="238"/>
      <c r="L72" s="238"/>
      <c r="M72" s="238"/>
      <c r="N72" s="235" t="s">
        <v>660</v>
      </c>
      <c r="O72" s="239" t="s">
        <v>661</v>
      </c>
    </row>
    <row r="73" spans="1:22" ht="15.75" thickBot="1" x14ac:dyDescent="0.3">
      <c r="A73" s="240" t="s">
        <v>694</v>
      </c>
      <c r="B73" s="241" t="s">
        <v>695</v>
      </c>
      <c r="C73" s="241" t="s">
        <v>696</v>
      </c>
      <c r="D73" s="241" t="s">
        <v>697</v>
      </c>
      <c r="E73" s="241" t="s">
        <v>698</v>
      </c>
      <c r="F73" s="242" t="s">
        <v>699</v>
      </c>
      <c r="G73" s="243" t="s">
        <v>668</v>
      </c>
      <c r="H73" s="241" t="s">
        <v>694</v>
      </c>
      <c r="I73" s="241" t="s">
        <v>695</v>
      </c>
      <c r="J73" s="241" t="s">
        <v>696</v>
      </c>
      <c r="K73" s="241" t="s">
        <v>697</v>
      </c>
      <c r="L73" s="241" t="s">
        <v>698</v>
      </c>
      <c r="M73" s="244" t="s">
        <v>699</v>
      </c>
      <c r="N73" s="245" t="s">
        <v>699</v>
      </c>
      <c r="O73" s="242" t="s">
        <v>699</v>
      </c>
    </row>
    <row r="74" spans="1:22" ht="15.75" thickBot="1" x14ac:dyDescent="0.3">
      <c r="A74" s="246">
        <v>30</v>
      </c>
      <c r="B74" s="247">
        <v>24</v>
      </c>
      <c r="C74" s="247">
        <v>4030</v>
      </c>
      <c r="D74" s="247">
        <f>A74*B74^3/12</f>
        <v>34560</v>
      </c>
      <c r="E74" s="247">
        <v>240</v>
      </c>
      <c r="F74" s="248">
        <f>6*(0.35*C74*D74)/E74</f>
        <v>1218672</v>
      </c>
      <c r="G74" s="249">
        <v>0.37</v>
      </c>
      <c r="H74" s="249">
        <v>30</v>
      </c>
      <c r="I74" s="249">
        <v>26</v>
      </c>
      <c r="J74" s="249">
        <v>4030</v>
      </c>
      <c r="K74" s="249">
        <f>H74*I74^3/12</f>
        <v>43940</v>
      </c>
      <c r="L74" s="249">
        <f>180-34</f>
        <v>146</v>
      </c>
      <c r="M74" s="250">
        <f>6*(MIN(0.8,MAX(0.35,-0.17+1.61*G74))*J74*K74)/L74</f>
        <v>3097898.2084931503</v>
      </c>
      <c r="N74" s="251" t="e">
        <f ca="1">U63</f>
        <v>#NAME?</v>
      </c>
      <c r="O74" s="252" t="e">
        <f ca="1">F74+M74+N74</f>
        <v>#NAME?</v>
      </c>
    </row>
    <row r="75" spans="1:22" x14ac:dyDescent="0.25">
      <c r="A75" s="253"/>
      <c r="B75" s="253"/>
      <c r="C75" s="253"/>
      <c r="D75" s="253"/>
      <c r="E75" s="253"/>
      <c r="F75" s="253"/>
      <c r="G75" s="253"/>
      <c r="H75" s="253"/>
      <c r="I75" s="253"/>
      <c r="J75" s="253"/>
      <c r="K75" s="253"/>
      <c r="L75" s="253"/>
      <c r="M75" s="253"/>
      <c r="N75" s="253"/>
      <c r="O75" s="253"/>
    </row>
    <row r="76" spans="1:22" x14ac:dyDescent="0.25">
      <c r="A76" s="253"/>
      <c r="B76" s="253"/>
      <c r="C76" s="253"/>
      <c r="D76" s="253"/>
      <c r="E76" s="253"/>
      <c r="F76" s="253"/>
      <c r="G76" s="253"/>
      <c r="H76" s="253"/>
      <c r="I76" s="253"/>
      <c r="J76" s="253"/>
      <c r="K76" s="253"/>
      <c r="L76" s="253"/>
      <c r="M76" s="253"/>
      <c r="N76" s="253"/>
      <c r="O76" s="253"/>
    </row>
    <row r="77" spans="1:22" ht="15.75" thickBot="1" x14ac:dyDescent="0.3">
      <c r="A77" s="240" t="s">
        <v>662</v>
      </c>
      <c r="B77" s="241" t="s">
        <v>663</v>
      </c>
      <c r="C77" s="241" t="s">
        <v>664</v>
      </c>
      <c r="D77" s="241" t="s">
        <v>665</v>
      </c>
      <c r="E77" s="241" t="s">
        <v>666</v>
      </c>
      <c r="F77" s="242" t="s">
        <v>667</v>
      </c>
      <c r="G77" s="243" t="s">
        <v>668</v>
      </c>
      <c r="H77" s="241" t="s">
        <v>662</v>
      </c>
      <c r="I77" s="241" t="s">
        <v>663</v>
      </c>
      <c r="J77" s="241" t="s">
        <v>664</v>
      </c>
      <c r="K77" s="241" t="s">
        <v>665</v>
      </c>
      <c r="L77" s="241" t="s">
        <v>666</v>
      </c>
      <c r="M77" s="244" t="s">
        <v>667</v>
      </c>
      <c r="N77" s="245" t="s">
        <v>667</v>
      </c>
      <c r="O77" s="242" t="s">
        <v>667</v>
      </c>
    </row>
    <row r="78" spans="1:22" ht="15.75" thickBot="1" x14ac:dyDescent="0.3">
      <c r="A78" s="254">
        <f>+A74*25.4</f>
        <v>762</v>
      </c>
      <c r="B78" s="254">
        <f>+B74*25.4</f>
        <v>609.59999999999991</v>
      </c>
      <c r="C78" s="255">
        <f>C74*6.895</f>
        <v>27786.85</v>
      </c>
      <c r="D78" s="255">
        <f>A78*B78^3/12</f>
        <v>14384958068.735994</v>
      </c>
      <c r="E78" s="255">
        <f>E74*25.4</f>
        <v>6096</v>
      </c>
      <c r="F78" s="256">
        <f>6*(0.35*C78*D78)/E78/1000</f>
        <v>137696294.52686012</v>
      </c>
      <c r="G78" s="255">
        <v>0.37</v>
      </c>
      <c r="H78" s="255">
        <f>+H74*25.4</f>
        <v>762</v>
      </c>
      <c r="I78" s="255">
        <f>+I74*25.4</f>
        <v>660.4</v>
      </c>
      <c r="J78" s="255">
        <f>J74*6.895</f>
        <v>27786.85</v>
      </c>
      <c r="K78" s="257">
        <f>H78*I78^3/12</f>
        <v>18289208840.863998</v>
      </c>
      <c r="L78" s="255">
        <f>L74*25.4</f>
        <v>3708.3999999999996</v>
      </c>
      <c r="M78" s="258">
        <f>6*(MIN(0.8,MAX(0.35,-0.17+1.61*G78))*J78*K78)/L78/1000</f>
        <v>350027820.5545916</v>
      </c>
      <c r="N78" s="259" t="e">
        <f ca="1">U66</f>
        <v>#NAME?</v>
      </c>
      <c r="O78" s="260" t="e">
        <f ca="1">F78+M78+N78</f>
        <v>#NAME?</v>
      </c>
    </row>
    <row r="79" spans="1:22" ht="15.75" thickTop="1" x14ac:dyDescent="0.25">
      <c r="A79" s="233"/>
      <c r="B79" s="233"/>
      <c r="C79" s="233"/>
      <c r="D79" s="233"/>
      <c r="E79" s="233"/>
      <c r="F79" s="233"/>
      <c r="G79" s="233"/>
      <c r="H79" s="233"/>
      <c r="I79" s="233"/>
      <c r="J79" s="233"/>
      <c r="K79" s="233"/>
      <c r="L79" s="233"/>
      <c r="M79" s="233"/>
      <c r="N79" s="233"/>
      <c r="O79" s="234"/>
      <c r="P79" s="233"/>
      <c r="Q79" s="233"/>
    </row>
    <row r="80" spans="1:22" ht="18.75" x14ac:dyDescent="0.3">
      <c r="A80" s="232"/>
    </row>
    <row r="85" spans="14:14" x14ac:dyDescent="0.25">
      <c r="N85" s="283"/>
    </row>
  </sheetData>
  <mergeCells count="5">
    <mergeCell ref="K15:L15"/>
    <mergeCell ref="M15:N15"/>
    <mergeCell ref="O15:P15"/>
    <mergeCell ref="Q15:R15"/>
    <mergeCell ref="I8:N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AD558"/>
  <sheetViews>
    <sheetView topLeftCell="A88" zoomScale="85" zoomScaleNormal="85" workbookViewId="0">
      <selection activeCell="F112" sqref="F112"/>
    </sheetView>
  </sheetViews>
  <sheetFormatPr defaultRowHeight="15" x14ac:dyDescent="0.25"/>
  <cols>
    <col min="1" max="2" width="5.7109375" customWidth="1"/>
    <col min="3" max="3" width="20.85546875" customWidth="1"/>
    <col min="4" max="4" width="13.5703125" customWidth="1"/>
    <col min="5" max="5" width="18.85546875" customWidth="1"/>
    <col min="6" max="6" width="27.7109375" customWidth="1"/>
    <col min="7" max="7" width="24.5703125" customWidth="1"/>
    <col min="8" max="12" width="20.85546875" customWidth="1"/>
    <col min="13" max="13" width="20.140625" bestFit="1" customWidth="1"/>
    <col min="14" max="19" width="13" customWidth="1"/>
    <col min="22" max="22" width="13.7109375" bestFit="1" customWidth="1"/>
    <col min="23" max="23" width="13.5703125" bestFit="1" customWidth="1"/>
    <col min="24" max="25" width="17.28515625" customWidth="1"/>
    <col min="26" max="26" width="18" bestFit="1" customWidth="1"/>
    <col min="28" max="28" width="18" bestFit="1" customWidth="1"/>
    <col min="29" max="29" width="12.7109375" bestFit="1" customWidth="1"/>
    <col min="30" max="30" width="19.5703125" bestFit="1" customWidth="1"/>
  </cols>
  <sheetData>
    <row r="1" spans="1:11" x14ac:dyDescent="0.25">
      <c r="K1" s="1056">
        <f>F101</f>
        <v>769744.70549794007</v>
      </c>
    </row>
    <row r="2" spans="1:11" ht="15.75" thickBot="1" x14ac:dyDescent="0.3"/>
    <row r="3" spans="1:11" x14ac:dyDescent="0.25">
      <c r="B3" s="117" t="s">
        <v>333</v>
      </c>
      <c r="C3" s="119">
        <f>GeneralInput!C7</f>
        <v>5</v>
      </c>
    </row>
    <row r="4" spans="1:11" ht="27" thickBot="1" x14ac:dyDescent="0.45">
      <c r="B4" s="15" t="s">
        <v>359</v>
      </c>
      <c r="C4" s="133">
        <f>GeneralInput!C8</f>
        <v>3</v>
      </c>
      <c r="F4" s="889" t="s">
        <v>700</v>
      </c>
    </row>
    <row r="5" spans="1:11" x14ac:dyDescent="0.25">
      <c r="E5" s="322" t="s">
        <v>701</v>
      </c>
      <c r="F5" t="s">
        <v>702</v>
      </c>
    </row>
    <row r="6" spans="1:11" x14ac:dyDescent="0.25">
      <c r="F6" t="s">
        <v>703</v>
      </c>
    </row>
    <row r="7" spans="1:11" ht="15.75" thickBot="1" x14ac:dyDescent="0.3">
      <c r="F7" t="s">
        <v>704</v>
      </c>
    </row>
    <row r="8" spans="1:11" x14ac:dyDescent="0.25">
      <c r="C8" s="228" t="s">
        <v>705</v>
      </c>
    </row>
    <row r="9" spans="1:11" ht="15.75" thickBot="1" x14ac:dyDescent="0.3">
      <c r="C9" s="144">
        <v>0.7</v>
      </c>
      <c r="E9" s="4" t="s">
        <v>706</v>
      </c>
      <c r="F9" t="s">
        <v>707</v>
      </c>
    </row>
    <row r="10" spans="1:11" ht="18.75" x14ac:dyDescent="0.3">
      <c r="B10" t="s">
        <v>708</v>
      </c>
      <c r="C10" s="1">
        <v>2.0000000000000001E-4</v>
      </c>
      <c r="D10" t="s">
        <v>709</v>
      </c>
      <c r="E10">
        <v>4.0000000000000001E-3</v>
      </c>
      <c r="F10" s="343"/>
    </row>
    <row r="11" spans="1:11" ht="18.75" x14ac:dyDescent="0.3">
      <c r="F11" s="907" t="s">
        <v>710</v>
      </c>
    </row>
    <row r="12" spans="1:11" x14ac:dyDescent="0.25">
      <c r="A12" t="s">
        <v>711</v>
      </c>
    </row>
    <row r="13" spans="1:11" x14ac:dyDescent="0.25">
      <c r="B13" t="s">
        <v>712</v>
      </c>
    </row>
    <row r="14" spans="1:11" x14ac:dyDescent="0.25">
      <c r="C14" t="s">
        <v>458</v>
      </c>
      <c r="D14" t="s">
        <v>713</v>
      </c>
      <c r="E14" t="s">
        <v>714</v>
      </c>
      <c r="F14" t="s">
        <v>715</v>
      </c>
    </row>
    <row r="15" spans="1:11" x14ac:dyDescent="0.25">
      <c r="C15" t="s">
        <v>716</v>
      </c>
      <c r="D15" t="s">
        <v>713</v>
      </c>
      <c r="E15">
        <v>40601</v>
      </c>
      <c r="F15" s="926">
        <v>1078001517.8328834</v>
      </c>
    </row>
    <row r="16" spans="1:11" x14ac:dyDescent="0.25">
      <c r="C16" t="s">
        <v>716</v>
      </c>
      <c r="D16" t="s">
        <v>713</v>
      </c>
      <c r="E16">
        <v>40602</v>
      </c>
      <c r="F16" s="926">
        <v>1916447142.8140147</v>
      </c>
    </row>
    <row r="17" spans="3:6" x14ac:dyDescent="0.25">
      <c r="C17" t="s">
        <v>716</v>
      </c>
      <c r="D17" t="s">
        <v>713</v>
      </c>
      <c r="E17">
        <v>40603</v>
      </c>
      <c r="F17" s="926">
        <v>1916447142.8140147</v>
      </c>
    </row>
    <row r="18" spans="3:6" x14ac:dyDescent="0.25">
      <c r="C18" t="s">
        <v>716</v>
      </c>
      <c r="D18" t="s">
        <v>713</v>
      </c>
      <c r="E18">
        <v>40604</v>
      </c>
      <c r="F18" s="926">
        <v>1078001517.8328834</v>
      </c>
    </row>
    <row r="20" spans="3:6" x14ac:dyDescent="0.25">
      <c r="C20" t="s">
        <v>716</v>
      </c>
      <c r="D20" t="s">
        <v>713</v>
      </c>
      <c r="E20">
        <v>40501</v>
      </c>
      <c r="F20" s="926">
        <v>1078001517.8328834</v>
      </c>
    </row>
    <row r="21" spans="3:6" x14ac:dyDescent="0.25">
      <c r="C21" t="s">
        <v>716</v>
      </c>
      <c r="D21" t="s">
        <v>713</v>
      </c>
      <c r="E21">
        <v>40502</v>
      </c>
      <c r="F21" s="926">
        <v>1916447142.8140147</v>
      </c>
    </row>
    <row r="22" spans="3:6" x14ac:dyDescent="0.25">
      <c r="C22" t="s">
        <v>716</v>
      </c>
      <c r="D22" t="s">
        <v>713</v>
      </c>
      <c r="E22">
        <v>40503</v>
      </c>
      <c r="F22" s="926">
        <v>1916447142.8140147</v>
      </c>
    </row>
    <row r="23" spans="3:6" x14ac:dyDescent="0.25">
      <c r="C23" t="s">
        <v>716</v>
      </c>
      <c r="D23" t="s">
        <v>713</v>
      </c>
      <c r="E23">
        <v>40504</v>
      </c>
      <c r="F23" s="926">
        <v>1078001517.8328834</v>
      </c>
    </row>
    <row r="25" spans="3:6" x14ac:dyDescent="0.25">
      <c r="C25" t="s">
        <v>716</v>
      </c>
      <c r="D25" t="s">
        <v>713</v>
      </c>
      <c r="E25">
        <v>40401</v>
      </c>
      <c r="F25" s="926">
        <v>1078001517.8328834</v>
      </c>
    </row>
    <row r="26" spans="3:6" x14ac:dyDescent="0.25">
      <c r="C26" t="s">
        <v>716</v>
      </c>
      <c r="D26" t="s">
        <v>713</v>
      </c>
      <c r="E26">
        <v>40402</v>
      </c>
      <c r="F26" s="926">
        <v>1916447142.8140147</v>
      </c>
    </row>
    <row r="27" spans="3:6" x14ac:dyDescent="0.25">
      <c r="C27" t="s">
        <v>716</v>
      </c>
      <c r="D27" t="s">
        <v>713</v>
      </c>
      <c r="E27">
        <v>40403</v>
      </c>
      <c r="F27" s="926">
        <v>1916447142.8140147</v>
      </c>
    </row>
    <row r="28" spans="3:6" x14ac:dyDescent="0.25">
      <c r="C28" t="s">
        <v>716</v>
      </c>
      <c r="D28" t="s">
        <v>713</v>
      </c>
      <c r="E28">
        <v>40404</v>
      </c>
      <c r="F28" s="926">
        <v>1078001517.8328834</v>
      </c>
    </row>
    <row r="30" spans="3:6" x14ac:dyDescent="0.25">
      <c r="C30" t="s">
        <v>716</v>
      </c>
      <c r="D30" t="s">
        <v>713</v>
      </c>
      <c r="E30">
        <v>40301</v>
      </c>
      <c r="F30" s="926">
        <v>1078001517.8328834</v>
      </c>
    </row>
    <row r="31" spans="3:6" x14ac:dyDescent="0.25">
      <c r="C31" t="s">
        <v>716</v>
      </c>
      <c r="D31" t="s">
        <v>713</v>
      </c>
      <c r="E31">
        <v>40302</v>
      </c>
      <c r="F31" s="926">
        <v>1916447142.8140147</v>
      </c>
    </row>
    <row r="32" spans="3:6" x14ac:dyDescent="0.25">
      <c r="C32" t="s">
        <v>716</v>
      </c>
      <c r="D32" t="s">
        <v>713</v>
      </c>
      <c r="E32">
        <v>40303</v>
      </c>
      <c r="F32" s="926">
        <v>1916447142.8140147</v>
      </c>
    </row>
    <row r="33" spans="1:17" x14ac:dyDescent="0.25">
      <c r="C33" t="s">
        <v>716</v>
      </c>
      <c r="D33" t="s">
        <v>713</v>
      </c>
      <c r="E33">
        <v>40304</v>
      </c>
      <c r="F33" s="926">
        <v>1078001517.8328834</v>
      </c>
    </row>
    <row r="35" spans="1:17" x14ac:dyDescent="0.25">
      <c r="C35" t="s">
        <v>716</v>
      </c>
      <c r="D35" t="s">
        <v>713</v>
      </c>
      <c r="E35">
        <v>40201</v>
      </c>
      <c r="F35" s="926">
        <v>1078001517.8328834</v>
      </c>
    </row>
    <row r="36" spans="1:17" x14ac:dyDescent="0.25">
      <c r="C36" t="s">
        <v>716</v>
      </c>
      <c r="D36" t="s">
        <v>713</v>
      </c>
      <c r="E36">
        <v>40202</v>
      </c>
      <c r="F36" s="926">
        <v>1916447142.8140147</v>
      </c>
    </row>
    <row r="37" spans="1:17" x14ac:dyDescent="0.25">
      <c r="C37" t="s">
        <v>716</v>
      </c>
      <c r="D37" t="s">
        <v>713</v>
      </c>
      <c r="E37">
        <v>40203</v>
      </c>
      <c r="F37" s="926">
        <v>1916447142.8140147</v>
      </c>
    </row>
    <row r="38" spans="1:17" x14ac:dyDescent="0.25">
      <c r="C38" t="s">
        <v>716</v>
      </c>
      <c r="D38" t="s">
        <v>713</v>
      </c>
      <c r="E38">
        <v>40204</v>
      </c>
      <c r="F38" s="926">
        <v>1078001517.8328834</v>
      </c>
    </row>
    <row r="39" spans="1:17" x14ac:dyDescent="0.25">
      <c r="B39" t="s">
        <v>717</v>
      </c>
    </row>
    <row r="41" spans="1:17" x14ac:dyDescent="0.25">
      <c r="A41" t="s">
        <v>718</v>
      </c>
    </row>
    <row r="42" spans="1:17" x14ac:dyDescent="0.25">
      <c r="B42" t="s">
        <v>719</v>
      </c>
    </row>
    <row r="43" spans="1:17" x14ac:dyDescent="0.25">
      <c r="C43" t="s">
        <v>458</v>
      </c>
      <c r="D43" t="s">
        <v>714</v>
      </c>
      <c r="E43" t="s">
        <v>720</v>
      </c>
      <c r="F43" t="s">
        <v>721</v>
      </c>
      <c r="G43" t="s">
        <v>722</v>
      </c>
      <c r="H43" t="s">
        <v>723</v>
      </c>
      <c r="I43" t="s">
        <v>724</v>
      </c>
      <c r="J43" t="s">
        <v>725</v>
      </c>
      <c r="K43" t="s">
        <v>726</v>
      </c>
      <c r="L43" t="s">
        <v>727</v>
      </c>
      <c r="M43" t="s">
        <v>728</v>
      </c>
      <c r="N43" t="s">
        <v>729</v>
      </c>
      <c r="O43" t="s">
        <v>730</v>
      </c>
      <c r="P43" t="s">
        <v>731</v>
      </c>
      <c r="Q43" t="s">
        <v>732</v>
      </c>
    </row>
    <row r="44" spans="1:17" x14ac:dyDescent="0.25">
      <c r="C44" t="s">
        <v>733</v>
      </c>
      <c r="D44">
        <v>305011</v>
      </c>
      <c r="E44" s="926">
        <v>90856730009.532028</v>
      </c>
      <c r="F44">
        <v>424280.74330689257</v>
      </c>
      <c r="G44">
        <v>-424280.74330689257</v>
      </c>
      <c r="H44">
        <v>1.1920706497454381</v>
      </c>
      <c r="I44">
        <v>4.512690979886734E-2</v>
      </c>
      <c r="J44">
        <v>-4.512690979886734E-2</v>
      </c>
      <c r="K44">
        <v>0.1</v>
      </c>
      <c r="L44">
        <v>107.28691722244101</v>
      </c>
      <c r="M44" t="s">
        <v>734</v>
      </c>
      <c r="N44" t="s">
        <v>735</v>
      </c>
      <c r="O44" t="s">
        <v>736</v>
      </c>
      <c r="P44" t="s">
        <v>737</v>
      </c>
      <c r="Q44">
        <v>3150</v>
      </c>
    </row>
    <row r="45" spans="1:17" x14ac:dyDescent="0.25">
      <c r="C45" t="s">
        <v>733</v>
      </c>
      <c r="D45">
        <v>305021</v>
      </c>
      <c r="E45" s="926">
        <v>121142306679.37605</v>
      </c>
      <c r="F45">
        <v>577562.96294220129</v>
      </c>
      <c r="G45">
        <v>-577562.96294220129</v>
      </c>
      <c r="H45">
        <v>1.1900906077062035</v>
      </c>
      <c r="I45">
        <v>3.9478074743591315E-2</v>
      </c>
      <c r="J45">
        <v>-3.9478074743591315E-2</v>
      </c>
      <c r="K45">
        <v>0.1</v>
      </c>
      <c r="L45">
        <v>105.30160510933639</v>
      </c>
      <c r="M45" t="s">
        <v>734</v>
      </c>
      <c r="N45" t="s">
        <v>735</v>
      </c>
      <c r="O45" t="s">
        <v>736</v>
      </c>
      <c r="P45" t="s">
        <v>737</v>
      </c>
      <c r="Q45">
        <v>3150</v>
      </c>
    </row>
    <row r="46" spans="1:17" x14ac:dyDescent="0.25">
      <c r="C46" t="s">
        <v>733</v>
      </c>
      <c r="D46">
        <v>305031</v>
      </c>
      <c r="E46" s="926">
        <v>121142306679.37605</v>
      </c>
      <c r="F46">
        <v>577562.96294220129</v>
      </c>
      <c r="G46">
        <v>-577562.96294220129</v>
      </c>
      <c r="H46">
        <v>1.1900906077062035</v>
      </c>
      <c r="I46">
        <v>3.9478074743591315E-2</v>
      </c>
      <c r="J46">
        <v>-3.9478074743591315E-2</v>
      </c>
      <c r="K46">
        <v>0.1</v>
      </c>
      <c r="L46">
        <v>105.30160510933639</v>
      </c>
      <c r="M46" t="s">
        <v>734</v>
      </c>
      <c r="N46" t="s">
        <v>735</v>
      </c>
      <c r="O46" t="s">
        <v>736</v>
      </c>
      <c r="P46" t="s">
        <v>737</v>
      </c>
      <c r="Q46">
        <v>3150</v>
      </c>
    </row>
    <row r="47" spans="1:17" x14ac:dyDescent="0.25">
      <c r="C47" t="s">
        <v>733</v>
      </c>
      <c r="D47">
        <v>305041</v>
      </c>
      <c r="E47" s="926">
        <v>90856730009.532028</v>
      </c>
      <c r="F47">
        <v>424280.74330689257</v>
      </c>
      <c r="G47">
        <v>-424280.74330689257</v>
      </c>
      <c r="H47">
        <v>1.1920706497454381</v>
      </c>
      <c r="I47">
        <v>4.512690979886734E-2</v>
      </c>
      <c r="J47">
        <v>-4.512690979886734E-2</v>
      </c>
      <c r="K47">
        <v>0.1</v>
      </c>
      <c r="L47">
        <v>107.28691722244101</v>
      </c>
      <c r="M47" t="s">
        <v>734</v>
      </c>
      <c r="N47" t="s">
        <v>735</v>
      </c>
      <c r="O47" t="s">
        <v>736</v>
      </c>
      <c r="P47" t="s">
        <v>737</v>
      </c>
      <c r="Q47">
        <v>3150</v>
      </c>
    </row>
    <row r="49" spans="3:17" x14ac:dyDescent="0.25">
      <c r="C49" t="s">
        <v>733</v>
      </c>
      <c r="D49">
        <v>304011</v>
      </c>
      <c r="E49" s="926">
        <v>90856730009.532028</v>
      </c>
      <c r="F49">
        <v>510050.20060014655</v>
      </c>
      <c r="G49">
        <v>-510050.20060014655</v>
      </c>
      <c r="H49">
        <v>1.1878797993205028</v>
      </c>
      <c r="I49">
        <v>4.3323288175902003E-2</v>
      </c>
      <c r="J49">
        <v>-4.3323288175902003E-2</v>
      </c>
      <c r="K49">
        <v>0.1</v>
      </c>
      <c r="L49">
        <v>103.12450022910912</v>
      </c>
      <c r="M49" t="s">
        <v>734</v>
      </c>
      <c r="N49" t="s">
        <v>735</v>
      </c>
      <c r="O49" t="s">
        <v>736</v>
      </c>
      <c r="P49" t="s">
        <v>737</v>
      </c>
      <c r="Q49">
        <v>3150</v>
      </c>
    </row>
    <row r="50" spans="3:17" x14ac:dyDescent="0.25">
      <c r="C50" t="s">
        <v>733</v>
      </c>
      <c r="D50">
        <v>304021</v>
      </c>
      <c r="E50" s="926">
        <v>121142306679.37605</v>
      </c>
      <c r="F50">
        <v>743375.27916087199</v>
      </c>
      <c r="G50">
        <v>-743375.27916087199</v>
      </c>
      <c r="H50">
        <v>1.1839369146449032</v>
      </c>
      <c r="I50">
        <v>3.7301863188623115E-2</v>
      </c>
      <c r="J50">
        <v>-3.7301863188623115E-2</v>
      </c>
      <c r="K50">
        <v>0.1</v>
      </c>
      <c r="L50">
        <v>99.343236842433072</v>
      </c>
      <c r="M50" t="s">
        <v>734</v>
      </c>
      <c r="N50" t="s">
        <v>735</v>
      </c>
      <c r="O50" t="s">
        <v>736</v>
      </c>
      <c r="P50" t="s">
        <v>737</v>
      </c>
      <c r="Q50">
        <v>3150</v>
      </c>
    </row>
    <row r="51" spans="3:17" x14ac:dyDescent="0.25">
      <c r="C51" t="s">
        <v>733</v>
      </c>
      <c r="D51">
        <v>304031</v>
      </c>
      <c r="E51" s="926">
        <v>121142306679.37605</v>
      </c>
      <c r="F51">
        <v>743375.27916087199</v>
      </c>
      <c r="G51">
        <v>-743375.27916087199</v>
      </c>
      <c r="H51">
        <v>1.1839369146449032</v>
      </c>
      <c r="I51">
        <v>3.7301863188623115E-2</v>
      </c>
      <c r="J51">
        <v>-3.7301863188623115E-2</v>
      </c>
      <c r="K51">
        <v>0.1</v>
      </c>
      <c r="L51">
        <v>99.343236842433072</v>
      </c>
      <c r="M51" t="s">
        <v>734</v>
      </c>
      <c r="N51" t="s">
        <v>735</v>
      </c>
      <c r="O51" t="s">
        <v>736</v>
      </c>
      <c r="P51" t="s">
        <v>737</v>
      </c>
      <c r="Q51">
        <v>3150</v>
      </c>
    </row>
    <row r="52" spans="3:17" x14ac:dyDescent="0.25">
      <c r="C52" t="s">
        <v>733</v>
      </c>
      <c r="D52">
        <v>304041</v>
      </c>
      <c r="E52" s="926">
        <v>90856730009.532028</v>
      </c>
      <c r="F52">
        <v>510050.20060014655</v>
      </c>
      <c r="G52">
        <v>-510050.20060014655</v>
      </c>
      <c r="H52">
        <v>1.1878797993205028</v>
      </c>
      <c r="I52">
        <v>4.3323288175902003E-2</v>
      </c>
      <c r="J52">
        <v>-4.3323288175902003E-2</v>
      </c>
      <c r="K52">
        <v>0.1</v>
      </c>
      <c r="L52">
        <v>103.12450022910912</v>
      </c>
      <c r="M52" t="s">
        <v>734</v>
      </c>
      <c r="N52" t="s">
        <v>735</v>
      </c>
      <c r="O52" t="s">
        <v>736</v>
      </c>
      <c r="P52" t="s">
        <v>737</v>
      </c>
      <c r="Q52">
        <v>3150</v>
      </c>
    </row>
    <row r="54" spans="3:17" x14ac:dyDescent="0.25">
      <c r="C54" t="s">
        <v>733</v>
      </c>
      <c r="D54">
        <v>303011</v>
      </c>
      <c r="E54" s="926">
        <v>90856730009.532028</v>
      </c>
      <c r="F54">
        <v>866998.43160170771</v>
      </c>
      <c r="G54">
        <v>-866998.43160170771</v>
      </c>
      <c r="H54">
        <v>1.1837036822733986</v>
      </c>
      <c r="I54">
        <v>4.9380974191482449E-2</v>
      </c>
      <c r="J54">
        <v>-4.9380974191482449E-2</v>
      </c>
      <c r="K54">
        <v>0.1</v>
      </c>
      <c r="L54">
        <v>98.967729541853387</v>
      </c>
      <c r="M54" t="s">
        <v>734</v>
      </c>
      <c r="N54" t="s">
        <v>735</v>
      </c>
      <c r="O54" t="s">
        <v>736</v>
      </c>
      <c r="P54" t="s">
        <v>737</v>
      </c>
      <c r="Q54">
        <v>3150</v>
      </c>
    </row>
    <row r="55" spans="3:17" x14ac:dyDescent="0.25">
      <c r="C55" t="s">
        <v>733</v>
      </c>
      <c r="D55">
        <v>303021</v>
      </c>
      <c r="E55" s="926">
        <v>121142306679.37605</v>
      </c>
      <c r="F55">
        <v>903080.73405976384</v>
      </c>
      <c r="G55">
        <v>-903080.73405976384</v>
      </c>
      <c r="H55">
        <v>1.1778150409577313</v>
      </c>
      <c r="I55">
        <v>3.532582168884698E-2</v>
      </c>
      <c r="J55">
        <v>-3.532582168884698E-2</v>
      </c>
      <c r="K55">
        <v>0.1</v>
      </c>
      <c r="L55">
        <v>93.722015880807561</v>
      </c>
      <c r="M55" t="s">
        <v>734</v>
      </c>
      <c r="N55" t="s">
        <v>735</v>
      </c>
      <c r="O55" t="s">
        <v>736</v>
      </c>
      <c r="P55" t="s">
        <v>737</v>
      </c>
      <c r="Q55">
        <v>3150</v>
      </c>
    </row>
    <row r="56" spans="3:17" x14ac:dyDescent="0.25">
      <c r="C56" t="s">
        <v>733</v>
      </c>
      <c r="D56">
        <v>303031</v>
      </c>
      <c r="E56" s="926">
        <v>121142306679.37605</v>
      </c>
      <c r="F56">
        <v>903080.73405976384</v>
      </c>
      <c r="G56">
        <v>-903080.73405976384</v>
      </c>
      <c r="H56">
        <v>1.1778150409577313</v>
      </c>
      <c r="I56">
        <v>3.532582168884698E-2</v>
      </c>
      <c r="J56">
        <v>-3.532582168884698E-2</v>
      </c>
      <c r="K56">
        <v>0.1</v>
      </c>
      <c r="L56">
        <v>93.722015880807561</v>
      </c>
      <c r="M56" t="s">
        <v>734</v>
      </c>
      <c r="N56" t="s">
        <v>735</v>
      </c>
      <c r="O56" t="s">
        <v>736</v>
      </c>
      <c r="P56" t="s">
        <v>737</v>
      </c>
      <c r="Q56">
        <v>3150</v>
      </c>
    </row>
    <row r="57" spans="3:17" x14ac:dyDescent="0.25">
      <c r="C57" t="s">
        <v>733</v>
      </c>
      <c r="D57">
        <v>303041</v>
      </c>
      <c r="E57" s="926">
        <v>90856730009.532028</v>
      </c>
      <c r="F57">
        <v>866998.43160170771</v>
      </c>
      <c r="G57">
        <v>-866998.43160170771</v>
      </c>
      <c r="H57">
        <v>1.1837036822733986</v>
      </c>
      <c r="I57">
        <v>4.9380974191482449E-2</v>
      </c>
      <c r="J57">
        <v>-4.9380974191482449E-2</v>
      </c>
      <c r="K57">
        <v>0.1</v>
      </c>
      <c r="L57">
        <v>98.967729541853387</v>
      </c>
      <c r="M57" t="s">
        <v>734</v>
      </c>
      <c r="N57" t="s">
        <v>735</v>
      </c>
      <c r="O57" t="s">
        <v>736</v>
      </c>
      <c r="P57" t="s">
        <v>737</v>
      </c>
      <c r="Q57">
        <v>3150</v>
      </c>
    </row>
    <row r="59" spans="3:17" x14ac:dyDescent="0.25">
      <c r="C59" t="s">
        <v>733</v>
      </c>
      <c r="D59">
        <v>302011</v>
      </c>
      <c r="E59" s="926">
        <v>90856730009.532028</v>
      </c>
      <c r="F59">
        <v>1207852.0883470073</v>
      </c>
      <c r="G59">
        <v>-1207852.0883470073</v>
      </c>
      <c r="H59">
        <v>1.179542246807378</v>
      </c>
      <c r="I59">
        <v>5.4721502074423743E-2</v>
      </c>
      <c r="J59">
        <v>-5.4721502074423743E-2</v>
      </c>
      <c r="K59">
        <v>0.1</v>
      </c>
      <c r="L59">
        <v>94.939594179559023</v>
      </c>
      <c r="M59" t="s">
        <v>734</v>
      </c>
      <c r="N59" t="s">
        <v>735</v>
      </c>
      <c r="O59" t="s">
        <v>736</v>
      </c>
      <c r="P59" t="s">
        <v>737</v>
      </c>
      <c r="Q59">
        <v>3150</v>
      </c>
    </row>
    <row r="60" spans="3:17" x14ac:dyDescent="0.25">
      <c r="C60" t="s">
        <v>733</v>
      </c>
      <c r="D60">
        <v>302021</v>
      </c>
      <c r="E60" s="926">
        <v>135207765371.58769</v>
      </c>
      <c r="F60">
        <v>1336165.5849328672</v>
      </c>
      <c r="G60">
        <v>-1336165.5849328672</v>
      </c>
      <c r="H60">
        <v>1.171724822113801</v>
      </c>
      <c r="I60">
        <v>3.8638569075869211E-2</v>
      </c>
      <c r="J60">
        <v>-3.8638569075869211E-2</v>
      </c>
      <c r="K60">
        <v>9.1251180417027719E-2</v>
      </c>
      <c r="L60">
        <v>88.279851967485371</v>
      </c>
      <c r="M60" t="s">
        <v>734</v>
      </c>
      <c r="N60" t="s">
        <v>735</v>
      </c>
      <c r="O60" t="s">
        <v>736</v>
      </c>
      <c r="P60" t="s">
        <v>737</v>
      </c>
      <c r="Q60">
        <v>3150</v>
      </c>
    </row>
    <row r="61" spans="3:17" x14ac:dyDescent="0.25">
      <c r="C61" t="s">
        <v>733</v>
      </c>
      <c r="D61">
        <v>302031</v>
      </c>
      <c r="E61" s="926">
        <v>135207765371.58769</v>
      </c>
      <c r="F61">
        <v>1336165.5849328672</v>
      </c>
      <c r="G61">
        <v>-1336165.5849328672</v>
      </c>
      <c r="H61">
        <v>1.171724822113801</v>
      </c>
      <c r="I61">
        <v>3.8638569075869211E-2</v>
      </c>
      <c r="J61">
        <v>-3.8638569075869211E-2</v>
      </c>
      <c r="K61">
        <v>9.1251180417027719E-2</v>
      </c>
      <c r="L61">
        <v>88.279851967485371</v>
      </c>
      <c r="M61" t="s">
        <v>734</v>
      </c>
      <c r="N61" t="s">
        <v>735</v>
      </c>
      <c r="O61" t="s">
        <v>736</v>
      </c>
      <c r="P61" t="s">
        <v>737</v>
      </c>
      <c r="Q61">
        <v>3150</v>
      </c>
    </row>
    <row r="62" spans="3:17" x14ac:dyDescent="0.25">
      <c r="C62" t="s">
        <v>733</v>
      </c>
      <c r="D62">
        <v>302041</v>
      </c>
      <c r="E62" s="926">
        <v>90856730009.532028</v>
      </c>
      <c r="F62">
        <v>1207852.0883470073</v>
      </c>
      <c r="G62">
        <v>-1207852.0883470073</v>
      </c>
      <c r="H62">
        <v>1.179542246807378</v>
      </c>
      <c r="I62">
        <v>5.4721502074423743E-2</v>
      </c>
      <c r="J62">
        <v>-5.4721502074423743E-2</v>
      </c>
      <c r="K62">
        <v>0.1</v>
      </c>
      <c r="L62">
        <v>94.939594179559023</v>
      </c>
      <c r="M62" t="s">
        <v>734</v>
      </c>
      <c r="N62" t="s">
        <v>735</v>
      </c>
      <c r="O62" t="s">
        <v>736</v>
      </c>
      <c r="P62" t="s">
        <v>737</v>
      </c>
      <c r="Q62">
        <v>3150</v>
      </c>
    </row>
    <row r="64" spans="3:17" x14ac:dyDescent="0.25">
      <c r="C64" t="s">
        <v>733</v>
      </c>
      <c r="D64">
        <v>301011</v>
      </c>
      <c r="E64" s="926">
        <v>106341264066.32288</v>
      </c>
      <c r="F64">
        <v>1399226.4684336951</v>
      </c>
      <c r="G64">
        <v>-1399226.4684336951</v>
      </c>
      <c r="H64">
        <v>1.1753513330811951</v>
      </c>
      <c r="I64">
        <v>5.3366953728145358E-2</v>
      </c>
      <c r="J64">
        <v>-5.3366953728145358E-2</v>
      </c>
      <c r="K64">
        <v>0.1</v>
      </c>
      <c r="L64">
        <v>91.217747844909141</v>
      </c>
      <c r="M64" t="s">
        <v>734</v>
      </c>
      <c r="N64" t="s">
        <v>735</v>
      </c>
      <c r="O64" t="s">
        <v>736</v>
      </c>
      <c r="P64" t="s">
        <v>737</v>
      </c>
      <c r="Q64">
        <v>3750</v>
      </c>
    </row>
    <row r="65" spans="1:17" x14ac:dyDescent="0.25">
      <c r="C65" t="s">
        <v>733</v>
      </c>
      <c r="D65">
        <v>301021</v>
      </c>
      <c r="E65" s="926">
        <v>165982217207.13864</v>
      </c>
      <c r="F65">
        <v>2231067.833436003</v>
      </c>
      <c r="G65">
        <v>-2231067.833436003</v>
      </c>
      <c r="H65">
        <v>1.1656223513126476</v>
      </c>
      <c r="I65">
        <v>4.763176891207014E-2</v>
      </c>
      <c r="J65">
        <v>-4.763176891207014E-2</v>
      </c>
      <c r="K65">
        <v>7.8097746295466966E-2</v>
      </c>
      <c r="L65">
        <v>82.851631119321866</v>
      </c>
      <c r="M65" t="s">
        <v>734</v>
      </c>
      <c r="N65" t="s">
        <v>735</v>
      </c>
      <c r="O65" t="s">
        <v>736</v>
      </c>
      <c r="P65" t="s">
        <v>737</v>
      </c>
      <c r="Q65">
        <v>3750</v>
      </c>
    </row>
    <row r="66" spans="1:17" x14ac:dyDescent="0.25">
      <c r="C66" t="s">
        <v>733</v>
      </c>
      <c r="D66">
        <v>301031</v>
      </c>
      <c r="E66" s="926">
        <v>165982217207.13864</v>
      </c>
      <c r="F66">
        <v>2231067.833436003</v>
      </c>
      <c r="G66">
        <v>-2231067.833436003</v>
      </c>
      <c r="H66">
        <v>1.1656223513126476</v>
      </c>
      <c r="I66">
        <v>4.763176891207014E-2</v>
      </c>
      <c r="J66">
        <v>-4.763176891207014E-2</v>
      </c>
      <c r="K66">
        <v>7.8097746295466966E-2</v>
      </c>
      <c r="L66">
        <v>82.851631119321866</v>
      </c>
      <c r="M66" t="s">
        <v>734</v>
      </c>
      <c r="N66" t="s">
        <v>735</v>
      </c>
      <c r="O66" t="s">
        <v>736</v>
      </c>
      <c r="P66" t="s">
        <v>737</v>
      </c>
      <c r="Q66">
        <v>3750</v>
      </c>
    </row>
    <row r="67" spans="1:17" x14ac:dyDescent="0.25">
      <c r="C67" t="s">
        <v>733</v>
      </c>
      <c r="D67">
        <v>301041</v>
      </c>
      <c r="E67" s="926">
        <v>106341264066.32288</v>
      </c>
      <c r="F67">
        <v>1399226.4684336951</v>
      </c>
      <c r="G67">
        <v>-1399226.4684336951</v>
      </c>
      <c r="H67">
        <v>1.1753513330811951</v>
      </c>
      <c r="I67">
        <v>5.3366953728145358E-2</v>
      </c>
      <c r="J67">
        <v>-5.3366953728145358E-2</v>
      </c>
      <c r="K67">
        <v>0.1</v>
      </c>
      <c r="L67">
        <v>91.217747844909141</v>
      </c>
      <c r="M67" t="s">
        <v>734</v>
      </c>
      <c r="N67" t="s">
        <v>735</v>
      </c>
      <c r="O67" t="s">
        <v>736</v>
      </c>
      <c r="P67" t="s">
        <v>737</v>
      </c>
      <c r="Q67">
        <v>3750</v>
      </c>
    </row>
    <row r="68" spans="1:17" x14ac:dyDescent="0.25">
      <c r="B68" t="s">
        <v>717</v>
      </c>
    </row>
    <row r="70" spans="1:17" x14ac:dyDescent="0.25">
      <c r="A70" t="s">
        <v>738</v>
      </c>
    </row>
    <row r="71" spans="1:17" x14ac:dyDescent="0.25">
      <c r="B71" t="s">
        <v>739</v>
      </c>
    </row>
    <row r="72" spans="1:17" x14ac:dyDescent="0.25">
      <c r="C72" t="s">
        <v>458</v>
      </c>
      <c r="D72" t="s">
        <v>714</v>
      </c>
      <c r="E72" t="s">
        <v>720</v>
      </c>
      <c r="F72" t="s">
        <v>721</v>
      </c>
      <c r="G72" t="s">
        <v>722</v>
      </c>
      <c r="H72" t="s">
        <v>723</v>
      </c>
      <c r="I72" t="s">
        <v>724</v>
      </c>
      <c r="J72" t="s">
        <v>725</v>
      </c>
      <c r="K72" t="s">
        <v>726</v>
      </c>
      <c r="L72" t="s">
        <v>727</v>
      </c>
      <c r="M72" t="s">
        <v>728</v>
      </c>
      <c r="N72" t="s">
        <v>729</v>
      </c>
      <c r="O72" t="s">
        <v>730</v>
      </c>
      <c r="P72" t="s">
        <v>731</v>
      </c>
      <c r="Q72" t="s">
        <v>732</v>
      </c>
    </row>
    <row r="73" spans="1:17" x14ac:dyDescent="0.25">
      <c r="C73" t="s">
        <v>733</v>
      </c>
      <c r="D73">
        <v>206011</v>
      </c>
      <c r="E73" s="926">
        <v>196495705774.58313</v>
      </c>
      <c r="F73">
        <v>766015.28748452745</v>
      </c>
      <c r="G73">
        <v>-806266.29261798877</v>
      </c>
      <c r="H73">
        <v>1.1962762855276916</v>
      </c>
      <c r="I73">
        <v>5.6021820804829023E-2</v>
      </c>
      <c r="J73">
        <v>-5.531370187579962E-2</v>
      </c>
      <c r="K73">
        <v>0.1</v>
      </c>
      <c r="L73">
        <v>113.31765484863791</v>
      </c>
      <c r="M73" t="s">
        <v>734</v>
      </c>
      <c r="N73" t="s">
        <v>735</v>
      </c>
      <c r="O73" t="s">
        <v>736</v>
      </c>
      <c r="P73" t="s">
        <v>737</v>
      </c>
      <c r="Q73">
        <v>7600</v>
      </c>
    </row>
    <row r="74" spans="1:17" x14ac:dyDescent="0.25">
      <c r="C74" t="s">
        <v>733</v>
      </c>
      <c r="D74">
        <v>206012</v>
      </c>
      <c r="E74" s="926">
        <v>196495705774.58313</v>
      </c>
      <c r="F74">
        <v>806266.29261798877</v>
      </c>
      <c r="G74">
        <v>-766015.28748452745</v>
      </c>
      <c r="H74">
        <v>1.1962762855276916</v>
      </c>
      <c r="I74">
        <v>5.531370187579962E-2</v>
      </c>
      <c r="J74">
        <v>-5.6021820804829023E-2</v>
      </c>
      <c r="K74">
        <v>0.1</v>
      </c>
      <c r="L74">
        <v>113.31765484863791</v>
      </c>
      <c r="M74" t="s">
        <v>734</v>
      </c>
      <c r="N74" t="s">
        <v>735</v>
      </c>
      <c r="O74" t="s">
        <v>736</v>
      </c>
      <c r="P74" t="s">
        <v>737</v>
      </c>
      <c r="Q74">
        <v>7600</v>
      </c>
    </row>
    <row r="75" spans="1:17" x14ac:dyDescent="0.25">
      <c r="C75" t="s">
        <v>733</v>
      </c>
      <c r="D75">
        <v>206021</v>
      </c>
      <c r="E75" s="926">
        <v>196495705774.58313</v>
      </c>
      <c r="F75">
        <v>631698.91454976599</v>
      </c>
      <c r="G75">
        <v>-804852.85065588041</v>
      </c>
      <c r="H75">
        <v>1.1962762855276916</v>
      </c>
      <c r="I75">
        <v>4.853153698001552E-2</v>
      </c>
      <c r="J75">
        <v>-4.5466455406742254E-2</v>
      </c>
      <c r="K75">
        <v>0.1</v>
      </c>
      <c r="L75">
        <v>104.40237766954139</v>
      </c>
      <c r="M75" t="s">
        <v>734</v>
      </c>
      <c r="N75" t="s">
        <v>735</v>
      </c>
      <c r="O75" t="s">
        <v>736</v>
      </c>
      <c r="P75" t="s">
        <v>737</v>
      </c>
      <c r="Q75">
        <v>7600</v>
      </c>
    </row>
    <row r="76" spans="1:17" x14ac:dyDescent="0.25">
      <c r="C76" t="s">
        <v>733</v>
      </c>
      <c r="D76">
        <v>206022</v>
      </c>
      <c r="E76" s="926">
        <v>196495705774.58313</v>
      </c>
      <c r="F76">
        <v>804852.85065588041</v>
      </c>
      <c r="G76">
        <v>-631698.91454976599</v>
      </c>
      <c r="H76">
        <v>1.1962762855276916</v>
      </c>
      <c r="I76">
        <v>4.5466455406742254E-2</v>
      </c>
      <c r="J76">
        <v>-4.853153698001552E-2</v>
      </c>
      <c r="K76">
        <v>0.1</v>
      </c>
      <c r="L76">
        <v>104.40237766954139</v>
      </c>
      <c r="M76" t="s">
        <v>734</v>
      </c>
      <c r="N76" t="s">
        <v>735</v>
      </c>
      <c r="O76" t="s">
        <v>736</v>
      </c>
      <c r="P76" t="s">
        <v>737</v>
      </c>
      <c r="Q76">
        <v>7600</v>
      </c>
    </row>
    <row r="77" spans="1:17" x14ac:dyDescent="0.25">
      <c r="C77" t="s">
        <v>733</v>
      </c>
      <c r="D77">
        <v>206031</v>
      </c>
      <c r="E77" s="926">
        <v>196495705774.58313</v>
      </c>
      <c r="F77">
        <v>766015.28748452745</v>
      </c>
      <c r="G77">
        <v>-806266.29261798877</v>
      </c>
      <c r="H77">
        <v>1.1962762855276916</v>
      </c>
      <c r="I77">
        <v>5.6021820804829023E-2</v>
      </c>
      <c r="J77">
        <v>-5.531370187579962E-2</v>
      </c>
      <c r="K77">
        <v>0.1</v>
      </c>
      <c r="L77">
        <v>113.31765484863791</v>
      </c>
      <c r="M77" t="s">
        <v>734</v>
      </c>
      <c r="N77" t="s">
        <v>735</v>
      </c>
      <c r="O77" t="s">
        <v>736</v>
      </c>
      <c r="P77" t="s">
        <v>737</v>
      </c>
      <c r="Q77">
        <v>7600</v>
      </c>
    </row>
    <row r="78" spans="1:17" x14ac:dyDescent="0.25">
      <c r="C78" t="s">
        <v>733</v>
      </c>
      <c r="D78">
        <v>206032</v>
      </c>
      <c r="E78" s="926">
        <v>196495705774.58313</v>
      </c>
      <c r="F78">
        <v>806266.29261798877</v>
      </c>
      <c r="G78">
        <v>-766015.28748452745</v>
      </c>
      <c r="H78">
        <v>1.1962762855276916</v>
      </c>
      <c r="I78">
        <v>5.531370187579962E-2</v>
      </c>
      <c r="J78">
        <v>-5.6021820804829023E-2</v>
      </c>
      <c r="K78">
        <v>0.1</v>
      </c>
      <c r="L78">
        <v>113.31765484863791</v>
      </c>
      <c r="M78" t="s">
        <v>734</v>
      </c>
      <c r="N78" t="s">
        <v>735</v>
      </c>
      <c r="O78" t="s">
        <v>736</v>
      </c>
      <c r="P78" t="s">
        <v>737</v>
      </c>
      <c r="Q78">
        <v>7600</v>
      </c>
    </row>
    <row r="80" spans="1:17" x14ac:dyDescent="0.25">
      <c r="C80" t="s">
        <v>733</v>
      </c>
      <c r="D80">
        <v>205011</v>
      </c>
      <c r="E80" s="926">
        <v>196495705774.58313</v>
      </c>
      <c r="F80">
        <v>632961.2942607319</v>
      </c>
      <c r="G80">
        <v>-1064863.2632735954</v>
      </c>
      <c r="H80">
        <v>1.1962762855276916</v>
      </c>
      <c r="I80">
        <v>6.0612665012517004E-2</v>
      </c>
      <c r="J80">
        <v>-5.2590008166237781E-2</v>
      </c>
      <c r="K80">
        <v>0.1</v>
      </c>
      <c r="L80">
        <v>113.31765484863791</v>
      </c>
      <c r="M80" t="s">
        <v>734</v>
      </c>
      <c r="N80" t="s">
        <v>735</v>
      </c>
      <c r="O80" t="s">
        <v>736</v>
      </c>
      <c r="P80" t="s">
        <v>737</v>
      </c>
      <c r="Q80">
        <v>7600</v>
      </c>
    </row>
    <row r="81" spans="3:17" x14ac:dyDescent="0.25">
      <c r="C81" t="s">
        <v>733</v>
      </c>
      <c r="D81">
        <v>205012</v>
      </c>
      <c r="E81" s="926">
        <v>196495705774.58313</v>
      </c>
      <c r="F81">
        <v>1064863.2632735954</v>
      </c>
      <c r="G81">
        <v>-632961.2942607319</v>
      </c>
      <c r="H81">
        <v>1.1962762855276916</v>
      </c>
      <c r="I81">
        <v>5.2590008166237781E-2</v>
      </c>
      <c r="J81">
        <v>-6.0612665012517004E-2</v>
      </c>
      <c r="K81">
        <v>0.1</v>
      </c>
      <c r="L81">
        <v>113.31765484863791</v>
      </c>
      <c r="M81" t="s">
        <v>734</v>
      </c>
      <c r="N81" t="s">
        <v>735</v>
      </c>
      <c r="O81" t="s">
        <v>736</v>
      </c>
      <c r="P81" t="s">
        <v>737</v>
      </c>
      <c r="Q81">
        <v>7600</v>
      </c>
    </row>
    <row r="82" spans="3:17" x14ac:dyDescent="0.25">
      <c r="C82" t="s">
        <v>733</v>
      </c>
      <c r="D82">
        <v>205021</v>
      </c>
      <c r="E82" s="926">
        <v>196495705774.58313</v>
      </c>
      <c r="F82">
        <v>633115.03795431007</v>
      </c>
      <c r="G82">
        <v>-1101460.0905306605</v>
      </c>
      <c r="H82">
        <v>1.1962762855276916</v>
      </c>
      <c r="I82">
        <v>6.1062279000651525E-2</v>
      </c>
      <c r="J82">
        <v>-5.2588757985487337E-2</v>
      </c>
      <c r="K82">
        <v>0.1</v>
      </c>
      <c r="L82">
        <v>113.31765484863791</v>
      </c>
      <c r="M82" t="s">
        <v>734</v>
      </c>
      <c r="N82" t="s">
        <v>735</v>
      </c>
      <c r="O82" t="s">
        <v>736</v>
      </c>
      <c r="P82" t="s">
        <v>737</v>
      </c>
      <c r="Q82">
        <v>7600</v>
      </c>
    </row>
    <row r="83" spans="3:17" x14ac:dyDescent="0.25">
      <c r="C83" t="s">
        <v>733</v>
      </c>
      <c r="D83">
        <v>205022</v>
      </c>
      <c r="E83" s="926">
        <v>196495705774.58313</v>
      </c>
      <c r="F83">
        <v>1101460.0905306605</v>
      </c>
      <c r="G83">
        <v>-633115.03795431007</v>
      </c>
      <c r="H83">
        <v>1.1962762855276916</v>
      </c>
      <c r="I83">
        <v>5.2588757985487337E-2</v>
      </c>
      <c r="J83">
        <v>-6.1062279000651525E-2</v>
      </c>
      <c r="K83">
        <v>0.1</v>
      </c>
      <c r="L83">
        <v>113.31765484863791</v>
      </c>
      <c r="M83" t="s">
        <v>734</v>
      </c>
      <c r="N83" t="s">
        <v>735</v>
      </c>
      <c r="O83" t="s">
        <v>736</v>
      </c>
      <c r="P83" t="s">
        <v>737</v>
      </c>
      <c r="Q83">
        <v>7600</v>
      </c>
    </row>
    <row r="84" spans="3:17" x14ac:dyDescent="0.25">
      <c r="C84" t="s">
        <v>733</v>
      </c>
      <c r="D84">
        <v>205031</v>
      </c>
      <c r="E84" s="926">
        <v>196495705774.58313</v>
      </c>
      <c r="F84">
        <v>632961.2942607319</v>
      </c>
      <c r="G84">
        <v>-1064863.2632735954</v>
      </c>
      <c r="H84">
        <v>1.1962762855276916</v>
      </c>
      <c r="I84">
        <v>6.0612665012517004E-2</v>
      </c>
      <c r="J84">
        <v>-5.2590008166237781E-2</v>
      </c>
      <c r="K84">
        <v>0.1</v>
      </c>
      <c r="L84">
        <v>113.31765484863791</v>
      </c>
      <c r="M84" t="s">
        <v>734</v>
      </c>
      <c r="N84" t="s">
        <v>735</v>
      </c>
      <c r="O84" t="s">
        <v>736</v>
      </c>
      <c r="P84" t="s">
        <v>737</v>
      </c>
      <c r="Q84">
        <v>7600</v>
      </c>
    </row>
    <row r="85" spans="3:17" x14ac:dyDescent="0.25">
      <c r="C85" t="s">
        <v>733</v>
      </c>
      <c r="D85">
        <v>205032</v>
      </c>
      <c r="E85" s="926">
        <v>196495705774.58313</v>
      </c>
      <c r="F85">
        <v>1064863.2632735954</v>
      </c>
      <c r="G85">
        <v>-632961.2942607319</v>
      </c>
      <c r="H85">
        <v>1.1962762855276916</v>
      </c>
      <c r="I85">
        <v>5.2590008166237781E-2</v>
      </c>
      <c r="J85">
        <v>-6.0612665012517004E-2</v>
      </c>
      <c r="K85">
        <v>0.1</v>
      </c>
      <c r="L85">
        <v>113.31765484863791</v>
      </c>
      <c r="M85" t="s">
        <v>734</v>
      </c>
      <c r="N85" t="s">
        <v>735</v>
      </c>
      <c r="O85" t="s">
        <v>736</v>
      </c>
      <c r="P85" t="s">
        <v>737</v>
      </c>
      <c r="Q85">
        <v>7600</v>
      </c>
    </row>
    <row r="87" spans="3:17" x14ac:dyDescent="0.25">
      <c r="C87" t="s">
        <v>733</v>
      </c>
      <c r="D87">
        <v>204011</v>
      </c>
      <c r="E87" s="926">
        <v>196495705774.58313</v>
      </c>
      <c r="F87">
        <v>769287.36790014047</v>
      </c>
      <c r="G87">
        <v>-1281203.3264607543</v>
      </c>
      <c r="H87">
        <v>1.1962762855276916</v>
      </c>
      <c r="I87">
        <v>6.1933469067171523E-2</v>
      </c>
      <c r="J87">
        <v>-5.4801533950757597E-2</v>
      </c>
      <c r="K87">
        <v>0.1</v>
      </c>
      <c r="L87">
        <v>113.31765484863791</v>
      </c>
      <c r="M87" t="s">
        <v>734</v>
      </c>
      <c r="N87" t="s">
        <v>735</v>
      </c>
      <c r="O87" t="s">
        <v>736</v>
      </c>
      <c r="P87" t="s">
        <v>737</v>
      </c>
      <c r="Q87">
        <v>7600</v>
      </c>
    </row>
    <row r="88" spans="3:17" x14ac:dyDescent="0.25">
      <c r="C88" t="s">
        <v>733</v>
      </c>
      <c r="D88">
        <v>204012</v>
      </c>
      <c r="E88" s="926">
        <v>196495705774.58313</v>
      </c>
      <c r="F88">
        <v>1281203.3264607543</v>
      </c>
      <c r="G88">
        <v>-769287.36790014047</v>
      </c>
      <c r="H88">
        <v>1.1962762855276916</v>
      </c>
      <c r="I88">
        <v>5.4801533950757597E-2</v>
      </c>
      <c r="J88">
        <v>-6.1933469067171523E-2</v>
      </c>
      <c r="K88">
        <v>0.1</v>
      </c>
      <c r="L88">
        <v>113.31765484863791</v>
      </c>
      <c r="M88" t="s">
        <v>734</v>
      </c>
      <c r="N88" t="s">
        <v>735</v>
      </c>
      <c r="O88" t="s">
        <v>736</v>
      </c>
      <c r="P88" t="s">
        <v>737</v>
      </c>
      <c r="Q88">
        <v>7600</v>
      </c>
    </row>
    <row r="89" spans="3:17" x14ac:dyDescent="0.25">
      <c r="C89" t="s">
        <v>733</v>
      </c>
      <c r="D89">
        <v>204021</v>
      </c>
      <c r="E89" s="926">
        <v>196495705774.58313</v>
      </c>
      <c r="F89">
        <v>633792.40097822796</v>
      </c>
      <c r="G89">
        <v>-1278224.1207526876</v>
      </c>
      <c r="H89">
        <v>1.1962762855276916</v>
      </c>
      <c r="I89">
        <v>6.3089068584097907E-2</v>
      </c>
      <c r="J89">
        <v>-5.2749851125375849E-2</v>
      </c>
      <c r="K89">
        <v>0.1</v>
      </c>
      <c r="L89">
        <v>113.31765484863791</v>
      </c>
      <c r="M89" t="s">
        <v>734</v>
      </c>
      <c r="N89" t="s">
        <v>735</v>
      </c>
      <c r="O89" t="s">
        <v>736</v>
      </c>
      <c r="P89" t="s">
        <v>737</v>
      </c>
      <c r="Q89">
        <v>7600</v>
      </c>
    </row>
    <row r="90" spans="3:17" x14ac:dyDescent="0.25">
      <c r="C90" t="s">
        <v>733</v>
      </c>
      <c r="D90">
        <v>204022</v>
      </c>
      <c r="E90" s="926">
        <v>196495705774.58313</v>
      </c>
      <c r="F90">
        <v>1278224.1207526876</v>
      </c>
      <c r="G90">
        <v>-633792.40097822796</v>
      </c>
      <c r="H90">
        <v>1.1962762855276916</v>
      </c>
      <c r="I90">
        <v>5.2749851125375849E-2</v>
      </c>
      <c r="J90">
        <v>-6.3089068584097907E-2</v>
      </c>
      <c r="K90">
        <v>0.1</v>
      </c>
      <c r="L90">
        <v>113.31765484863791</v>
      </c>
      <c r="M90" t="s">
        <v>734</v>
      </c>
      <c r="N90" t="s">
        <v>735</v>
      </c>
      <c r="O90" t="s">
        <v>736</v>
      </c>
      <c r="P90" t="s">
        <v>737</v>
      </c>
      <c r="Q90">
        <v>7600</v>
      </c>
    </row>
    <row r="91" spans="3:17" x14ac:dyDescent="0.25">
      <c r="C91" t="s">
        <v>733</v>
      </c>
      <c r="D91">
        <v>204031</v>
      </c>
      <c r="E91" s="926">
        <v>196495705774.58313</v>
      </c>
      <c r="F91">
        <v>769287.36790014047</v>
      </c>
      <c r="G91">
        <v>-1281203.3264607543</v>
      </c>
      <c r="H91">
        <v>1.1962762855276916</v>
      </c>
      <c r="I91">
        <v>6.1933469067171523E-2</v>
      </c>
      <c r="J91">
        <v>-5.4801533950757597E-2</v>
      </c>
      <c r="K91">
        <v>0.1</v>
      </c>
      <c r="L91">
        <v>113.31765484863791</v>
      </c>
      <c r="M91" t="s">
        <v>734</v>
      </c>
      <c r="N91" t="s">
        <v>735</v>
      </c>
      <c r="O91" t="s">
        <v>736</v>
      </c>
      <c r="P91" t="s">
        <v>737</v>
      </c>
      <c r="Q91">
        <v>7600</v>
      </c>
    </row>
    <row r="92" spans="3:17" x14ac:dyDescent="0.25">
      <c r="C92" t="s">
        <v>733</v>
      </c>
      <c r="D92">
        <v>204032</v>
      </c>
      <c r="E92" s="926">
        <v>196495705774.58313</v>
      </c>
      <c r="F92">
        <v>1281203.3264607543</v>
      </c>
      <c r="G92">
        <v>-769287.36790014047</v>
      </c>
      <c r="H92">
        <v>1.1962762855276916</v>
      </c>
      <c r="I92">
        <v>5.4801533950757597E-2</v>
      </c>
      <c r="J92">
        <v>-6.1933469067171523E-2</v>
      </c>
      <c r="K92">
        <v>0.1</v>
      </c>
      <c r="L92">
        <v>113.31765484863791</v>
      </c>
      <c r="M92" t="s">
        <v>734</v>
      </c>
      <c r="N92" t="s">
        <v>735</v>
      </c>
      <c r="O92" t="s">
        <v>736</v>
      </c>
      <c r="P92" t="s">
        <v>737</v>
      </c>
      <c r="Q92">
        <v>7600</v>
      </c>
    </row>
    <row r="94" spans="3:17" x14ac:dyDescent="0.25">
      <c r="C94" t="s">
        <v>733</v>
      </c>
      <c r="D94">
        <v>203011</v>
      </c>
      <c r="E94" s="926">
        <v>196495705774.58313</v>
      </c>
      <c r="F94">
        <v>769744.70549794007</v>
      </c>
      <c r="G94">
        <v>-1364171.3313756352</v>
      </c>
      <c r="H94">
        <v>1.1962762855276916</v>
      </c>
      <c r="I94">
        <v>6.2780847597552772E-2</v>
      </c>
      <c r="J94">
        <v>-5.494098216399363E-2</v>
      </c>
      <c r="K94">
        <v>0.1</v>
      </c>
      <c r="L94">
        <v>113.31765484863791</v>
      </c>
      <c r="M94" t="s">
        <v>734</v>
      </c>
      <c r="N94" t="s">
        <v>735</v>
      </c>
      <c r="O94" t="s">
        <v>736</v>
      </c>
      <c r="P94" t="s">
        <v>737</v>
      </c>
      <c r="Q94">
        <v>7600</v>
      </c>
    </row>
    <row r="95" spans="3:17" x14ac:dyDescent="0.25">
      <c r="C95" t="s">
        <v>733</v>
      </c>
      <c r="D95">
        <v>203012</v>
      </c>
      <c r="E95" s="926">
        <v>196495705774.58313</v>
      </c>
      <c r="F95">
        <v>1364171.3313756352</v>
      </c>
      <c r="G95">
        <v>-769744.70549794007</v>
      </c>
      <c r="H95">
        <v>1.1962762855276916</v>
      </c>
      <c r="I95">
        <v>5.494098216399363E-2</v>
      </c>
      <c r="J95">
        <v>-6.2780847597552772E-2</v>
      </c>
      <c r="K95">
        <v>0.1</v>
      </c>
      <c r="L95">
        <v>113.31765484863791</v>
      </c>
      <c r="M95" t="s">
        <v>734</v>
      </c>
      <c r="N95" t="s">
        <v>735</v>
      </c>
      <c r="O95" t="s">
        <v>736</v>
      </c>
      <c r="P95" t="s">
        <v>737</v>
      </c>
      <c r="Q95">
        <v>7600</v>
      </c>
    </row>
    <row r="96" spans="3:17" x14ac:dyDescent="0.25">
      <c r="C96" t="s">
        <v>733</v>
      </c>
      <c r="D96">
        <v>203021</v>
      </c>
      <c r="E96" s="926">
        <v>196495705774.58313</v>
      </c>
      <c r="F96">
        <v>769744.70549794007</v>
      </c>
      <c r="G96">
        <v>-1364171.3313756352</v>
      </c>
      <c r="H96">
        <v>1.1962762855276916</v>
      </c>
      <c r="I96">
        <v>6.2780847597552772E-2</v>
      </c>
      <c r="J96">
        <v>-5.494098216399363E-2</v>
      </c>
      <c r="K96">
        <v>0.1</v>
      </c>
      <c r="L96">
        <v>113.31765484863791</v>
      </c>
      <c r="M96" t="s">
        <v>734</v>
      </c>
      <c r="N96" t="s">
        <v>735</v>
      </c>
      <c r="O96" t="s">
        <v>736</v>
      </c>
      <c r="P96" t="s">
        <v>737</v>
      </c>
      <c r="Q96">
        <v>7600</v>
      </c>
    </row>
    <row r="97" spans="1:17" x14ac:dyDescent="0.25">
      <c r="C97" t="s">
        <v>733</v>
      </c>
      <c r="D97">
        <v>203022</v>
      </c>
      <c r="E97" s="926">
        <v>196495705774.58313</v>
      </c>
      <c r="F97">
        <v>1364171.3313756352</v>
      </c>
      <c r="G97">
        <v>-769744.70549794007</v>
      </c>
      <c r="H97">
        <v>1.1962762855276916</v>
      </c>
      <c r="I97">
        <v>5.494098216399363E-2</v>
      </c>
      <c r="J97">
        <v>-6.2780847597552772E-2</v>
      </c>
      <c r="K97">
        <v>0.1</v>
      </c>
      <c r="L97">
        <v>113.31765484863791</v>
      </c>
      <c r="M97" t="s">
        <v>734</v>
      </c>
      <c r="N97" t="s">
        <v>735</v>
      </c>
      <c r="O97" t="s">
        <v>736</v>
      </c>
      <c r="P97" t="s">
        <v>737</v>
      </c>
      <c r="Q97">
        <v>7600</v>
      </c>
    </row>
    <row r="98" spans="1:17" x14ac:dyDescent="0.25">
      <c r="C98" t="s">
        <v>733</v>
      </c>
      <c r="D98">
        <v>203031</v>
      </c>
      <c r="E98" s="926">
        <v>196495705774.58313</v>
      </c>
      <c r="F98">
        <v>769744.70549794007</v>
      </c>
      <c r="G98">
        <v>-1364171.3313756352</v>
      </c>
      <c r="H98">
        <v>1.1962762855276916</v>
      </c>
      <c r="I98">
        <v>6.2780847597552772E-2</v>
      </c>
      <c r="J98">
        <v>-5.494098216399363E-2</v>
      </c>
      <c r="K98">
        <v>0.1</v>
      </c>
      <c r="L98">
        <v>113.31765484863791</v>
      </c>
      <c r="M98" t="s">
        <v>734</v>
      </c>
      <c r="N98" t="s">
        <v>735</v>
      </c>
      <c r="O98" t="s">
        <v>736</v>
      </c>
      <c r="P98" t="s">
        <v>737</v>
      </c>
      <c r="Q98">
        <v>7600</v>
      </c>
    </row>
    <row r="99" spans="1:17" x14ac:dyDescent="0.25">
      <c r="C99" t="s">
        <v>733</v>
      </c>
      <c r="D99">
        <v>203032</v>
      </c>
      <c r="E99" s="926">
        <v>196495705774.58313</v>
      </c>
      <c r="F99">
        <v>1364171.3313756352</v>
      </c>
      <c r="G99">
        <v>-769744.70549794007</v>
      </c>
      <c r="H99">
        <v>1.1962762855276916</v>
      </c>
      <c r="I99">
        <v>5.494098216399363E-2</v>
      </c>
      <c r="J99">
        <v>-6.2780847597552772E-2</v>
      </c>
      <c r="K99">
        <v>0.1</v>
      </c>
      <c r="L99">
        <v>113.31765484863791</v>
      </c>
      <c r="M99" t="s">
        <v>734</v>
      </c>
      <c r="N99" t="s">
        <v>735</v>
      </c>
      <c r="O99" t="s">
        <v>736</v>
      </c>
      <c r="P99" t="s">
        <v>737</v>
      </c>
      <c r="Q99">
        <v>7600</v>
      </c>
    </row>
    <row r="101" spans="1:17" x14ac:dyDescent="0.25">
      <c r="C101" t="s">
        <v>733</v>
      </c>
      <c r="D101">
        <v>202011</v>
      </c>
      <c r="E101" s="926">
        <v>196495705774.58313</v>
      </c>
      <c r="F101">
        <v>769744.70549794007</v>
      </c>
      <c r="G101">
        <v>-1364171.3313756352</v>
      </c>
      <c r="H101">
        <v>1.1962762855276916</v>
      </c>
      <c r="I101">
        <v>6.2780847597552772E-2</v>
      </c>
      <c r="J101">
        <v>-5.494098216399363E-2</v>
      </c>
      <c r="K101">
        <v>0.1</v>
      </c>
      <c r="L101">
        <v>113.31765484863791</v>
      </c>
      <c r="M101" t="s">
        <v>734</v>
      </c>
      <c r="N101" t="s">
        <v>735</v>
      </c>
      <c r="O101" t="s">
        <v>736</v>
      </c>
      <c r="P101" t="s">
        <v>737</v>
      </c>
      <c r="Q101">
        <v>7600</v>
      </c>
    </row>
    <row r="102" spans="1:17" x14ac:dyDescent="0.25">
      <c r="C102" t="s">
        <v>733</v>
      </c>
      <c r="D102">
        <v>202012</v>
      </c>
      <c r="E102" s="926">
        <v>196495705774.58313</v>
      </c>
      <c r="F102">
        <v>1364171.3313756352</v>
      </c>
      <c r="G102">
        <v>-769744.70549794007</v>
      </c>
      <c r="H102">
        <v>1.1962762855276916</v>
      </c>
      <c r="I102">
        <v>5.494098216399363E-2</v>
      </c>
      <c r="J102">
        <v>-6.2780847597552772E-2</v>
      </c>
      <c r="K102">
        <v>0.1</v>
      </c>
      <c r="L102">
        <v>113.31765484863791</v>
      </c>
      <c r="M102" t="s">
        <v>734</v>
      </c>
      <c r="N102" t="s">
        <v>735</v>
      </c>
      <c r="O102" t="s">
        <v>736</v>
      </c>
      <c r="P102" t="s">
        <v>737</v>
      </c>
      <c r="Q102">
        <v>7600</v>
      </c>
    </row>
    <row r="103" spans="1:17" x14ac:dyDescent="0.25">
      <c r="C103" t="s">
        <v>733</v>
      </c>
      <c r="D103">
        <v>202021</v>
      </c>
      <c r="E103" s="926">
        <v>196495705774.58313</v>
      </c>
      <c r="F103">
        <v>769287.36790014047</v>
      </c>
      <c r="G103">
        <v>-1281203.3264607543</v>
      </c>
      <c r="H103">
        <v>1.1962762855276916</v>
      </c>
      <c r="I103">
        <v>6.1933469067171523E-2</v>
      </c>
      <c r="J103">
        <v>-5.4801533950757597E-2</v>
      </c>
      <c r="K103">
        <v>0.1</v>
      </c>
      <c r="L103">
        <v>113.31765484863791</v>
      </c>
      <c r="M103" t="s">
        <v>734</v>
      </c>
      <c r="N103" t="s">
        <v>735</v>
      </c>
      <c r="O103" t="s">
        <v>736</v>
      </c>
      <c r="P103" t="s">
        <v>737</v>
      </c>
      <c r="Q103">
        <v>7600</v>
      </c>
    </row>
    <row r="104" spans="1:17" x14ac:dyDescent="0.25">
      <c r="C104" t="s">
        <v>733</v>
      </c>
      <c r="D104">
        <v>202022</v>
      </c>
      <c r="E104" s="926">
        <v>196495705774.58313</v>
      </c>
      <c r="F104">
        <v>1281203.3264607543</v>
      </c>
      <c r="G104">
        <v>-769287.36790014047</v>
      </c>
      <c r="H104">
        <v>1.1962762855276916</v>
      </c>
      <c r="I104">
        <v>5.4801533950757597E-2</v>
      </c>
      <c r="J104">
        <v>-6.1933469067171523E-2</v>
      </c>
      <c r="K104">
        <v>0.1</v>
      </c>
      <c r="L104">
        <v>113.31765484863791</v>
      </c>
      <c r="M104" t="s">
        <v>734</v>
      </c>
      <c r="N104" t="s">
        <v>735</v>
      </c>
      <c r="O104" t="s">
        <v>736</v>
      </c>
      <c r="P104" t="s">
        <v>737</v>
      </c>
      <c r="Q104">
        <v>7600</v>
      </c>
    </row>
    <row r="105" spans="1:17" x14ac:dyDescent="0.25">
      <c r="C105" t="s">
        <v>733</v>
      </c>
      <c r="D105">
        <v>202031</v>
      </c>
      <c r="E105" s="926">
        <v>196495705774.58313</v>
      </c>
      <c r="F105">
        <v>769744.70549794007</v>
      </c>
      <c r="G105">
        <v>-1364171.3313756352</v>
      </c>
      <c r="H105">
        <v>1.1962762855276916</v>
      </c>
      <c r="I105">
        <v>6.2780847597552772E-2</v>
      </c>
      <c r="J105">
        <v>-5.494098216399363E-2</v>
      </c>
      <c r="K105">
        <v>0.1</v>
      </c>
      <c r="L105">
        <v>113.31765484863791</v>
      </c>
      <c r="M105" t="s">
        <v>734</v>
      </c>
      <c r="N105" t="s">
        <v>735</v>
      </c>
      <c r="O105" t="s">
        <v>736</v>
      </c>
      <c r="P105" t="s">
        <v>737</v>
      </c>
      <c r="Q105">
        <v>7600</v>
      </c>
    </row>
    <row r="106" spans="1:17" x14ac:dyDescent="0.25">
      <c r="C106" t="s">
        <v>733</v>
      </c>
      <c r="D106">
        <v>202032</v>
      </c>
      <c r="E106" s="926">
        <v>196495705774.58313</v>
      </c>
      <c r="F106">
        <v>1364171.3313756352</v>
      </c>
      <c r="G106">
        <v>-769744.70549794007</v>
      </c>
      <c r="H106">
        <v>1.1962762855276916</v>
      </c>
      <c r="I106">
        <v>5.494098216399363E-2</v>
      </c>
      <c r="J106">
        <v>-6.2780847597552772E-2</v>
      </c>
      <c r="K106">
        <v>0.1</v>
      </c>
      <c r="L106">
        <v>113.31765484863791</v>
      </c>
      <c r="M106" t="s">
        <v>734</v>
      </c>
      <c r="N106" t="s">
        <v>735</v>
      </c>
      <c r="O106" t="s">
        <v>736</v>
      </c>
      <c r="P106" t="s">
        <v>737</v>
      </c>
      <c r="Q106">
        <v>7600</v>
      </c>
    </row>
    <row r="107" spans="1:17" x14ac:dyDescent="0.25">
      <c r="B107" t="s">
        <v>717</v>
      </c>
    </row>
    <row r="109" spans="1:17" x14ac:dyDescent="0.25">
      <c r="A109" t="s">
        <v>740</v>
      </c>
    </row>
    <row r="110" spans="1:17" x14ac:dyDescent="0.25">
      <c r="B110" t="s">
        <v>741</v>
      </c>
    </row>
    <row r="111" spans="1:17" x14ac:dyDescent="0.25">
      <c r="C111" t="s">
        <v>458</v>
      </c>
      <c r="D111" t="s">
        <v>713</v>
      </c>
      <c r="E111" t="s">
        <v>714</v>
      </c>
      <c r="F111" t="s">
        <v>715</v>
      </c>
    </row>
    <row r="112" spans="1:17" x14ac:dyDescent="0.25">
      <c r="C112" t="s">
        <v>716</v>
      </c>
      <c r="D112" t="s">
        <v>713</v>
      </c>
      <c r="E112">
        <v>601</v>
      </c>
      <c r="F112" t="s">
        <v>1076</v>
      </c>
    </row>
    <row r="113" spans="1:6" x14ac:dyDescent="0.25">
      <c r="C113" t="s">
        <v>716</v>
      </c>
      <c r="D113" t="s">
        <v>713</v>
      </c>
      <c r="E113">
        <v>602</v>
      </c>
      <c r="F113" t="str">
        <f xml:space="preserve"> F112</f>
        <v>Use the formula referring to FDNSTIFFNESS sheet</v>
      </c>
    </row>
    <row r="114" spans="1:6" x14ac:dyDescent="0.25">
      <c r="C114" t="s">
        <v>716</v>
      </c>
      <c r="D114" t="s">
        <v>713</v>
      </c>
      <c r="E114">
        <v>603</v>
      </c>
      <c r="F114" t="str">
        <f xml:space="preserve"> F113</f>
        <v>Use the formula referring to FDNSTIFFNESS sheet</v>
      </c>
    </row>
    <row r="115" spans="1:6" x14ac:dyDescent="0.25">
      <c r="C115" t="s">
        <v>716</v>
      </c>
      <c r="D115" t="s">
        <v>713</v>
      </c>
      <c r="E115">
        <v>604</v>
      </c>
      <c r="F115" t="str">
        <f xml:space="preserve"> F114</f>
        <v>Use the formula referring to FDNSTIFFNESS sheet</v>
      </c>
    </row>
    <row r="116" spans="1:6" x14ac:dyDescent="0.25">
      <c r="B116" t="s">
        <v>717</v>
      </c>
    </row>
    <row r="119" spans="1:6" x14ac:dyDescent="0.25">
      <c r="A119" t="s">
        <v>742</v>
      </c>
    </row>
    <row r="120" spans="1:6" x14ac:dyDescent="0.25">
      <c r="B120" t="s">
        <v>743</v>
      </c>
    </row>
    <row r="121" spans="1:6" x14ac:dyDescent="0.25">
      <c r="C121" t="s">
        <v>458</v>
      </c>
      <c r="D121" t="s">
        <v>744</v>
      </c>
      <c r="E121" t="s">
        <v>745</v>
      </c>
      <c r="F121" t="s">
        <v>746</v>
      </c>
    </row>
    <row r="122" spans="1:6" x14ac:dyDescent="0.25">
      <c r="C122" t="s">
        <v>747</v>
      </c>
      <c r="D122">
        <v>201011</v>
      </c>
      <c r="E122">
        <v>0</v>
      </c>
      <c r="F122">
        <v>0</v>
      </c>
    </row>
    <row r="123" spans="1:6" x14ac:dyDescent="0.25">
      <c r="C123" t="s">
        <v>747</v>
      </c>
      <c r="D123">
        <v>201012</v>
      </c>
      <c r="E123">
        <v>0</v>
      </c>
      <c r="F123">
        <v>0</v>
      </c>
    </row>
    <row r="124" spans="1:6" x14ac:dyDescent="0.25">
      <c r="C124" t="s">
        <v>747</v>
      </c>
      <c r="D124">
        <v>201013</v>
      </c>
      <c r="E124">
        <v>0</v>
      </c>
      <c r="F124">
        <v>0</v>
      </c>
    </row>
    <row r="126" spans="1:6" x14ac:dyDescent="0.25">
      <c r="C126" t="s">
        <v>747</v>
      </c>
      <c r="D126">
        <v>201021</v>
      </c>
      <c r="E126">
        <v>8200</v>
      </c>
      <c r="F126">
        <v>0</v>
      </c>
    </row>
    <row r="127" spans="1:6" x14ac:dyDescent="0.25">
      <c r="C127" t="s">
        <v>747</v>
      </c>
      <c r="D127">
        <v>201022</v>
      </c>
      <c r="E127">
        <v>8200</v>
      </c>
      <c r="F127">
        <v>0</v>
      </c>
    </row>
    <row r="128" spans="1:6" x14ac:dyDescent="0.25">
      <c r="C128" t="s">
        <v>747</v>
      </c>
      <c r="D128">
        <v>201023</v>
      </c>
      <c r="E128">
        <v>8200</v>
      </c>
      <c r="F128">
        <v>0</v>
      </c>
    </row>
    <row r="130" spans="2:6" x14ac:dyDescent="0.25">
      <c r="C130" t="s">
        <v>747</v>
      </c>
      <c r="D130">
        <v>201031</v>
      </c>
      <c r="E130">
        <v>16400</v>
      </c>
      <c r="F130">
        <v>0</v>
      </c>
    </row>
    <row r="131" spans="2:6" x14ac:dyDescent="0.25">
      <c r="C131" t="s">
        <v>747</v>
      </c>
      <c r="D131">
        <v>201032</v>
      </c>
      <c r="E131">
        <v>16400</v>
      </c>
      <c r="F131">
        <v>0</v>
      </c>
    </row>
    <row r="132" spans="2:6" x14ac:dyDescent="0.25">
      <c r="C132" t="s">
        <v>747</v>
      </c>
      <c r="D132">
        <v>201033</v>
      </c>
      <c r="E132">
        <v>16400</v>
      </c>
      <c r="F132">
        <v>0</v>
      </c>
    </row>
    <row r="134" spans="2:6" x14ac:dyDescent="0.25">
      <c r="C134" t="s">
        <v>747</v>
      </c>
      <c r="D134">
        <v>201041</v>
      </c>
      <c r="E134">
        <v>24600</v>
      </c>
      <c r="F134">
        <v>0</v>
      </c>
    </row>
    <row r="135" spans="2:6" x14ac:dyDescent="0.25">
      <c r="C135" t="s">
        <v>747</v>
      </c>
      <c r="D135">
        <v>201042</v>
      </c>
      <c r="E135">
        <v>24600</v>
      </c>
      <c r="F135">
        <v>0</v>
      </c>
    </row>
    <row r="136" spans="2:6" x14ac:dyDescent="0.25">
      <c r="C136" t="s">
        <v>747</v>
      </c>
      <c r="D136">
        <v>201043</v>
      </c>
      <c r="E136">
        <v>24600</v>
      </c>
      <c r="F136">
        <v>0</v>
      </c>
    </row>
    <row r="138" spans="2:6" x14ac:dyDescent="0.25">
      <c r="B138" t="s">
        <v>748</v>
      </c>
    </row>
    <row r="139" spans="2:6" x14ac:dyDescent="0.25">
      <c r="C139" t="s">
        <v>747</v>
      </c>
      <c r="D139">
        <v>202011</v>
      </c>
      <c r="E139">
        <v>0</v>
      </c>
      <c r="F139">
        <v>3750</v>
      </c>
    </row>
    <row r="140" spans="2:6" x14ac:dyDescent="0.25">
      <c r="C140" t="s">
        <v>747</v>
      </c>
      <c r="D140">
        <v>202012</v>
      </c>
      <c r="E140">
        <v>300</v>
      </c>
      <c r="F140">
        <v>4125</v>
      </c>
    </row>
    <row r="141" spans="2:6" x14ac:dyDescent="0.25">
      <c r="C141" t="s">
        <v>747</v>
      </c>
      <c r="D141">
        <v>202013</v>
      </c>
      <c r="E141">
        <v>0</v>
      </c>
      <c r="F141">
        <v>4500</v>
      </c>
    </row>
    <row r="142" spans="2:6" x14ac:dyDescent="0.25">
      <c r="C142" t="s">
        <v>747</v>
      </c>
      <c r="D142">
        <v>202014</v>
      </c>
      <c r="E142">
        <v>-300</v>
      </c>
      <c r="F142">
        <v>4125</v>
      </c>
    </row>
    <row r="143" spans="2:6" x14ac:dyDescent="0.25">
      <c r="C143" t="s">
        <v>747</v>
      </c>
      <c r="D143">
        <v>202021</v>
      </c>
      <c r="E143">
        <v>8200</v>
      </c>
      <c r="F143">
        <v>3750</v>
      </c>
    </row>
    <row r="144" spans="2:6" x14ac:dyDescent="0.25">
      <c r="C144" t="s">
        <v>747</v>
      </c>
      <c r="D144">
        <v>202022</v>
      </c>
      <c r="E144">
        <v>8500</v>
      </c>
      <c r="F144">
        <v>4125</v>
      </c>
    </row>
    <row r="145" spans="3:6" x14ac:dyDescent="0.25">
      <c r="C145" t="s">
        <v>747</v>
      </c>
      <c r="D145">
        <v>202023</v>
      </c>
      <c r="E145">
        <v>8200</v>
      </c>
      <c r="F145">
        <v>4500</v>
      </c>
    </row>
    <row r="146" spans="3:6" x14ac:dyDescent="0.25">
      <c r="C146" t="s">
        <v>747</v>
      </c>
      <c r="D146">
        <v>202024</v>
      </c>
      <c r="E146">
        <v>7900</v>
      </c>
      <c r="F146">
        <v>4125</v>
      </c>
    </row>
    <row r="147" spans="3:6" x14ac:dyDescent="0.25">
      <c r="C147" t="s">
        <v>747</v>
      </c>
      <c r="D147">
        <v>202031</v>
      </c>
      <c r="E147">
        <v>16400</v>
      </c>
      <c r="F147">
        <v>3750</v>
      </c>
    </row>
    <row r="148" spans="3:6" x14ac:dyDescent="0.25">
      <c r="C148" t="s">
        <v>747</v>
      </c>
      <c r="D148">
        <v>202032</v>
      </c>
      <c r="E148">
        <v>16700</v>
      </c>
      <c r="F148">
        <v>4125</v>
      </c>
    </row>
    <row r="149" spans="3:6" x14ac:dyDescent="0.25">
      <c r="C149" t="s">
        <v>747</v>
      </c>
      <c r="D149">
        <v>202033</v>
      </c>
      <c r="E149">
        <v>16400</v>
      </c>
      <c r="F149">
        <v>4500</v>
      </c>
    </row>
    <row r="150" spans="3:6" x14ac:dyDescent="0.25">
      <c r="C150" t="s">
        <v>747</v>
      </c>
      <c r="D150">
        <v>202034</v>
      </c>
      <c r="E150">
        <v>16100</v>
      </c>
      <c r="F150">
        <v>4125</v>
      </c>
    </row>
    <row r="151" spans="3:6" x14ac:dyDescent="0.25">
      <c r="C151" t="s">
        <v>747</v>
      </c>
      <c r="D151">
        <v>202041</v>
      </c>
      <c r="E151">
        <v>24600</v>
      </c>
      <c r="F151">
        <v>3750</v>
      </c>
    </row>
    <row r="152" spans="3:6" x14ac:dyDescent="0.25">
      <c r="C152" t="s">
        <v>747</v>
      </c>
      <c r="D152">
        <v>202042</v>
      </c>
      <c r="E152">
        <v>24900</v>
      </c>
      <c r="F152">
        <v>4125</v>
      </c>
    </row>
    <row r="153" spans="3:6" x14ac:dyDescent="0.25">
      <c r="C153" t="s">
        <v>747</v>
      </c>
      <c r="D153">
        <v>202043</v>
      </c>
      <c r="E153">
        <v>24600</v>
      </c>
      <c r="F153">
        <v>4500</v>
      </c>
    </row>
    <row r="154" spans="3:6" x14ac:dyDescent="0.25">
      <c r="C154" t="s">
        <v>747</v>
      </c>
      <c r="D154">
        <v>202044</v>
      </c>
      <c r="E154">
        <v>24300</v>
      </c>
      <c r="F154">
        <v>4125</v>
      </c>
    </row>
    <row r="156" spans="3:6" x14ac:dyDescent="0.25">
      <c r="C156" t="s">
        <v>747</v>
      </c>
      <c r="D156">
        <v>203011</v>
      </c>
      <c r="E156">
        <v>0</v>
      </c>
      <c r="F156">
        <v>7650</v>
      </c>
    </row>
    <row r="157" spans="3:6" x14ac:dyDescent="0.25">
      <c r="C157" t="s">
        <v>747</v>
      </c>
      <c r="D157">
        <v>203012</v>
      </c>
      <c r="E157">
        <v>300</v>
      </c>
      <c r="F157">
        <v>8025</v>
      </c>
    </row>
    <row r="158" spans="3:6" x14ac:dyDescent="0.25">
      <c r="C158" t="s">
        <v>747</v>
      </c>
      <c r="D158">
        <v>203013</v>
      </c>
      <c r="E158">
        <v>0</v>
      </c>
      <c r="F158">
        <v>8400</v>
      </c>
    </row>
    <row r="159" spans="3:6" x14ac:dyDescent="0.25">
      <c r="C159" t="s">
        <v>747</v>
      </c>
      <c r="D159">
        <v>203014</v>
      </c>
      <c r="E159">
        <v>-300</v>
      </c>
      <c r="F159">
        <v>8025</v>
      </c>
    </row>
    <row r="160" spans="3:6" x14ac:dyDescent="0.25">
      <c r="C160" t="s">
        <v>747</v>
      </c>
      <c r="D160">
        <v>203021</v>
      </c>
      <c r="E160">
        <v>8200</v>
      </c>
      <c r="F160">
        <v>7650</v>
      </c>
    </row>
    <row r="161" spans="3:6" x14ac:dyDescent="0.25">
      <c r="C161" t="s">
        <v>747</v>
      </c>
      <c r="D161">
        <v>203022</v>
      </c>
      <c r="E161">
        <v>8500</v>
      </c>
      <c r="F161">
        <v>8025</v>
      </c>
    </row>
    <row r="162" spans="3:6" x14ac:dyDescent="0.25">
      <c r="C162" t="s">
        <v>747</v>
      </c>
      <c r="D162">
        <v>203023</v>
      </c>
      <c r="E162">
        <v>8200</v>
      </c>
      <c r="F162">
        <v>8400</v>
      </c>
    </row>
    <row r="163" spans="3:6" x14ac:dyDescent="0.25">
      <c r="C163" t="s">
        <v>747</v>
      </c>
      <c r="D163">
        <v>203024</v>
      </c>
      <c r="E163">
        <v>7900</v>
      </c>
      <c r="F163">
        <v>8025</v>
      </c>
    </row>
    <row r="164" spans="3:6" x14ac:dyDescent="0.25">
      <c r="C164" t="s">
        <v>747</v>
      </c>
      <c r="D164">
        <v>203031</v>
      </c>
      <c r="E164">
        <v>16400</v>
      </c>
      <c r="F164">
        <v>7650</v>
      </c>
    </row>
    <row r="165" spans="3:6" x14ac:dyDescent="0.25">
      <c r="C165" t="s">
        <v>747</v>
      </c>
      <c r="D165">
        <v>203032</v>
      </c>
      <c r="E165">
        <v>16700</v>
      </c>
      <c r="F165">
        <v>8025</v>
      </c>
    </row>
    <row r="166" spans="3:6" x14ac:dyDescent="0.25">
      <c r="C166" t="s">
        <v>747</v>
      </c>
      <c r="D166">
        <v>203033</v>
      </c>
      <c r="E166">
        <v>16400</v>
      </c>
      <c r="F166">
        <v>8400</v>
      </c>
    </row>
    <row r="167" spans="3:6" x14ac:dyDescent="0.25">
      <c r="C167" t="s">
        <v>747</v>
      </c>
      <c r="D167">
        <v>203034</v>
      </c>
      <c r="E167">
        <v>16100</v>
      </c>
      <c r="F167">
        <v>8025</v>
      </c>
    </row>
    <row r="168" spans="3:6" x14ac:dyDescent="0.25">
      <c r="C168" t="s">
        <v>747</v>
      </c>
      <c r="D168">
        <v>203041</v>
      </c>
      <c r="E168">
        <v>24600</v>
      </c>
      <c r="F168">
        <v>7650</v>
      </c>
    </row>
    <row r="169" spans="3:6" x14ac:dyDescent="0.25">
      <c r="C169" t="s">
        <v>747</v>
      </c>
      <c r="D169">
        <v>203042</v>
      </c>
      <c r="E169">
        <v>24900</v>
      </c>
      <c r="F169">
        <v>8025</v>
      </c>
    </row>
    <row r="170" spans="3:6" x14ac:dyDescent="0.25">
      <c r="C170" t="s">
        <v>747</v>
      </c>
      <c r="D170">
        <v>203043</v>
      </c>
      <c r="E170">
        <v>24600</v>
      </c>
      <c r="F170">
        <v>8400</v>
      </c>
    </row>
    <row r="171" spans="3:6" x14ac:dyDescent="0.25">
      <c r="C171" t="s">
        <v>747</v>
      </c>
      <c r="D171">
        <v>203044</v>
      </c>
      <c r="E171">
        <v>24300</v>
      </c>
      <c r="F171">
        <v>8025</v>
      </c>
    </row>
    <row r="173" spans="3:6" x14ac:dyDescent="0.25">
      <c r="C173" t="s">
        <v>747</v>
      </c>
      <c r="D173">
        <v>204011</v>
      </c>
      <c r="E173">
        <v>0</v>
      </c>
      <c r="F173">
        <v>11550</v>
      </c>
    </row>
    <row r="174" spans="3:6" x14ac:dyDescent="0.25">
      <c r="C174" t="s">
        <v>747</v>
      </c>
      <c r="D174">
        <v>204012</v>
      </c>
      <c r="E174">
        <v>300</v>
      </c>
      <c r="F174">
        <v>11925</v>
      </c>
    </row>
    <row r="175" spans="3:6" x14ac:dyDescent="0.25">
      <c r="C175" t="s">
        <v>747</v>
      </c>
      <c r="D175">
        <v>204013</v>
      </c>
      <c r="E175">
        <v>0</v>
      </c>
      <c r="F175">
        <v>12300</v>
      </c>
    </row>
    <row r="176" spans="3:6" x14ac:dyDescent="0.25">
      <c r="C176" t="s">
        <v>747</v>
      </c>
      <c r="D176">
        <v>204014</v>
      </c>
      <c r="E176">
        <v>-300</v>
      </c>
      <c r="F176">
        <v>11925</v>
      </c>
    </row>
    <row r="177" spans="3:6" x14ac:dyDescent="0.25">
      <c r="C177" t="s">
        <v>747</v>
      </c>
      <c r="D177">
        <v>204021</v>
      </c>
      <c r="E177">
        <v>8200</v>
      </c>
      <c r="F177">
        <v>11550</v>
      </c>
    </row>
    <row r="178" spans="3:6" x14ac:dyDescent="0.25">
      <c r="C178" t="s">
        <v>747</v>
      </c>
      <c r="D178">
        <v>204022</v>
      </c>
      <c r="E178">
        <v>8500</v>
      </c>
      <c r="F178">
        <v>11925</v>
      </c>
    </row>
    <row r="179" spans="3:6" x14ac:dyDescent="0.25">
      <c r="C179" t="s">
        <v>747</v>
      </c>
      <c r="D179">
        <v>204023</v>
      </c>
      <c r="E179">
        <v>8200</v>
      </c>
      <c r="F179">
        <v>12300</v>
      </c>
    </row>
    <row r="180" spans="3:6" x14ac:dyDescent="0.25">
      <c r="C180" t="s">
        <v>747</v>
      </c>
      <c r="D180">
        <v>204024</v>
      </c>
      <c r="E180">
        <v>7900</v>
      </c>
      <c r="F180">
        <v>11925</v>
      </c>
    </row>
    <row r="181" spans="3:6" x14ac:dyDescent="0.25">
      <c r="C181" t="s">
        <v>747</v>
      </c>
      <c r="D181">
        <v>204031</v>
      </c>
      <c r="E181">
        <v>16400</v>
      </c>
      <c r="F181">
        <v>11550</v>
      </c>
    </row>
    <row r="182" spans="3:6" x14ac:dyDescent="0.25">
      <c r="C182" t="s">
        <v>747</v>
      </c>
      <c r="D182">
        <v>204032</v>
      </c>
      <c r="E182">
        <v>16700</v>
      </c>
      <c r="F182">
        <v>11925</v>
      </c>
    </row>
    <row r="183" spans="3:6" x14ac:dyDescent="0.25">
      <c r="C183" t="s">
        <v>747</v>
      </c>
      <c r="D183">
        <v>204033</v>
      </c>
      <c r="E183">
        <v>16400</v>
      </c>
      <c r="F183">
        <v>12300</v>
      </c>
    </row>
    <row r="184" spans="3:6" x14ac:dyDescent="0.25">
      <c r="C184" t="s">
        <v>747</v>
      </c>
      <c r="D184">
        <v>204034</v>
      </c>
      <c r="E184">
        <v>16100</v>
      </c>
      <c r="F184">
        <v>11925</v>
      </c>
    </row>
    <row r="185" spans="3:6" x14ac:dyDescent="0.25">
      <c r="C185" t="s">
        <v>747</v>
      </c>
      <c r="D185">
        <v>204041</v>
      </c>
      <c r="E185">
        <v>24600</v>
      </c>
      <c r="F185">
        <v>11550</v>
      </c>
    </row>
    <row r="186" spans="3:6" x14ac:dyDescent="0.25">
      <c r="C186" t="s">
        <v>747</v>
      </c>
      <c r="D186">
        <v>204042</v>
      </c>
      <c r="E186">
        <v>24900</v>
      </c>
      <c r="F186">
        <v>11925</v>
      </c>
    </row>
    <row r="187" spans="3:6" x14ac:dyDescent="0.25">
      <c r="C187" t="s">
        <v>747</v>
      </c>
      <c r="D187">
        <v>204043</v>
      </c>
      <c r="E187">
        <v>24600</v>
      </c>
      <c r="F187">
        <v>12300</v>
      </c>
    </row>
    <row r="188" spans="3:6" x14ac:dyDescent="0.25">
      <c r="C188" t="s">
        <v>747</v>
      </c>
      <c r="D188">
        <v>204044</v>
      </c>
      <c r="E188">
        <v>24300</v>
      </c>
      <c r="F188">
        <v>11925</v>
      </c>
    </row>
    <row r="190" spans="3:6" x14ac:dyDescent="0.25">
      <c r="C190" t="s">
        <v>747</v>
      </c>
      <c r="D190">
        <v>205011</v>
      </c>
      <c r="E190">
        <v>0</v>
      </c>
      <c r="F190">
        <v>15450</v>
      </c>
    </row>
    <row r="191" spans="3:6" x14ac:dyDescent="0.25">
      <c r="C191" t="s">
        <v>747</v>
      </c>
      <c r="D191">
        <v>205012</v>
      </c>
      <c r="E191">
        <v>300</v>
      </c>
      <c r="F191">
        <v>15825</v>
      </c>
    </row>
    <row r="192" spans="3:6" x14ac:dyDescent="0.25">
      <c r="C192" t="s">
        <v>747</v>
      </c>
      <c r="D192">
        <v>205013</v>
      </c>
      <c r="E192">
        <v>0</v>
      </c>
      <c r="F192">
        <v>16200</v>
      </c>
    </row>
    <row r="193" spans="3:6" x14ac:dyDescent="0.25">
      <c r="C193" t="s">
        <v>747</v>
      </c>
      <c r="D193">
        <v>205014</v>
      </c>
      <c r="E193">
        <v>-300</v>
      </c>
      <c r="F193">
        <v>15825</v>
      </c>
    </row>
    <row r="194" spans="3:6" x14ac:dyDescent="0.25">
      <c r="C194" t="s">
        <v>747</v>
      </c>
      <c r="D194">
        <v>205021</v>
      </c>
      <c r="E194">
        <v>8200</v>
      </c>
      <c r="F194">
        <v>15450</v>
      </c>
    </row>
    <row r="195" spans="3:6" x14ac:dyDescent="0.25">
      <c r="C195" t="s">
        <v>747</v>
      </c>
      <c r="D195">
        <v>205022</v>
      </c>
      <c r="E195">
        <v>8500</v>
      </c>
      <c r="F195">
        <v>15825</v>
      </c>
    </row>
    <row r="196" spans="3:6" x14ac:dyDescent="0.25">
      <c r="C196" t="s">
        <v>747</v>
      </c>
      <c r="D196">
        <v>205023</v>
      </c>
      <c r="E196">
        <v>8200</v>
      </c>
      <c r="F196">
        <v>16200</v>
      </c>
    </row>
    <row r="197" spans="3:6" x14ac:dyDescent="0.25">
      <c r="C197" t="s">
        <v>747</v>
      </c>
      <c r="D197">
        <v>205024</v>
      </c>
      <c r="E197">
        <v>7900</v>
      </c>
      <c r="F197">
        <v>15825</v>
      </c>
    </row>
    <row r="198" spans="3:6" x14ac:dyDescent="0.25">
      <c r="C198" t="s">
        <v>747</v>
      </c>
      <c r="D198">
        <v>205031</v>
      </c>
      <c r="E198">
        <v>16400</v>
      </c>
      <c r="F198">
        <v>15450</v>
      </c>
    </row>
    <row r="199" spans="3:6" x14ac:dyDescent="0.25">
      <c r="C199" t="s">
        <v>747</v>
      </c>
      <c r="D199">
        <v>205032</v>
      </c>
      <c r="E199">
        <v>16700</v>
      </c>
      <c r="F199">
        <v>15825</v>
      </c>
    </row>
    <row r="200" spans="3:6" x14ac:dyDescent="0.25">
      <c r="C200" t="s">
        <v>747</v>
      </c>
      <c r="D200">
        <v>205033</v>
      </c>
      <c r="E200">
        <v>16400</v>
      </c>
      <c r="F200">
        <v>16200</v>
      </c>
    </row>
    <row r="201" spans="3:6" x14ac:dyDescent="0.25">
      <c r="C201" t="s">
        <v>747</v>
      </c>
      <c r="D201">
        <v>205034</v>
      </c>
      <c r="E201">
        <v>16100</v>
      </c>
      <c r="F201">
        <v>15825</v>
      </c>
    </row>
    <row r="202" spans="3:6" x14ac:dyDescent="0.25">
      <c r="C202" t="s">
        <v>747</v>
      </c>
      <c r="D202">
        <v>205041</v>
      </c>
      <c r="E202">
        <v>24600</v>
      </c>
      <c r="F202">
        <v>15450</v>
      </c>
    </row>
    <row r="203" spans="3:6" x14ac:dyDescent="0.25">
      <c r="C203" t="s">
        <v>747</v>
      </c>
      <c r="D203">
        <v>205042</v>
      </c>
      <c r="E203">
        <v>24900</v>
      </c>
      <c r="F203">
        <v>15825</v>
      </c>
    </row>
    <row r="204" spans="3:6" x14ac:dyDescent="0.25">
      <c r="C204" t="s">
        <v>747</v>
      </c>
      <c r="D204">
        <v>205043</v>
      </c>
      <c r="E204">
        <v>24600</v>
      </c>
      <c r="F204">
        <v>16200</v>
      </c>
    </row>
    <row r="205" spans="3:6" x14ac:dyDescent="0.25">
      <c r="C205" t="s">
        <v>747</v>
      </c>
      <c r="D205">
        <v>205044</v>
      </c>
      <c r="E205">
        <v>24300</v>
      </c>
      <c r="F205">
        <v>15825</v>
      </c>
    </row>
    <row r="207" spans="3:6" x14ac:dyDescent="0.25">
      <c r="C207" t="s">
        <v>747</v>
      </c>
      <c r="D207">
        <v>206011</v>
      </c>
      <c r="E207">
        <v>0</v>
      </c>
      <c r="F207">
        <v>19350</v>
      </c>
    </row>
    <row r="208" spans="3:6" x14ac:dyDescent="0.25">
      <c r="C208" t="s">
        <v>747</v>
      </c>
      <c r="D208">
        <v>206012</v>
      </c>
      <c r="E208">
        <v>300</v>
      </c>
      <c r="F208">
        <v>19725</v>
      </c>
    </row>
    <row r="209" spans="2:6" x14ac:dyDescent="0.25">
      <c r="C209" t="s">
        <v>747</v>
      </c>
      <c r="D209">
        <v>206013</v>
      </c>
      <c r="E209">
        <v>0</v>
      </c>
      <c r="F209">
        <v>20100</v>
      </c>
    </row>
    <row r="210" spans="2:6" x14ac:dyDescent="0.25">
      <c r="C210" t="s">
        <v>747</v>
      </c>
      <c r="D210">
        <v>206014</v>
      </c>
      <c r="E210">
        <v>-300</v>
      </c>
      <c r="F210">
        <v>19725</v>
      </c>
    </row>
    <row r="211" spans="2:6" x14ac:dyDescent="0.25">
      <c r="C211" t="s">
        <v>747</v>
      </c>
      <c r="D211">
        <v>206021</v>
      </c>
      <c r="E211">
        <v>8200</v>
      </c>
      <c r="F211">
        <v>19350</v>
      </c>
    </row>
    <row r="212" spans="2:6" x14ac:dyDescent="0.25">
      <c r="C212" t="s">
        <v>747</v>
      </c>
      <c r="D212">
        <v>206022</v>
      </c>
      <c r="E212">
        <v>8500</v>
      </c>
      <c r="F212">
        <v>19725</v>
      </c>
    </row>
    <row r="213" spans="2:6" x14ac:dyDescent="0.25">
      <c r="C213" t="s">
        <v>747</v>
      </c>
      <c r="D213">
        <v>206023</v>
      </c>
      <c r="E213">
        <v>8200</v>
      </c>
      <c r="F213">
        <v>20100</v>
      </c>
    </row>
    <row r="214" spans="2:6" x14ac:dyDescent="0.25">
      <c r="C214" t="s">
        <v>747</v>
      </c>
      <c r="D214">
        <v>206024</v>
      </c>
      <c r="E214">
        <v>7900</v>
      </c>
      <c r="F214">
        <v>19725</v>
      </c>
    </row>
    <row r="215" spans="2:6" x14ac:dyDescent="0.25">
      <c r="C215" t="s">
        <v>747</v>
      </c>
      <c r="D215">
        <v>206031</v>
      </c>
      <c r="E215">
        <v>16400</v>
      </c>
      <c r="F215">
        <v>19350</v>
      </c>
    </row>
    <row r="216" spans="2:6" x14ac:dyDescent="0.25">
      <c r="C216" t="s">
        <v>747</v>
      </c>
      <c r="D216">
        <v>206032</v>
      </c>
      <c r="E216">
        <v>16700</v>
      </c>
      <c r="F216">
        <v>19725</v>
      </c>
    </row>
    <row r="217" spans="2:6" x14ac:dyDescent="0.25">
      <c r="C217" t="s">
        <v>747</v>
      </c>
      <c r="D217">
        <v>206033</v>
      </c>
      <c r="E217">
        <v>16400</v>
      </c>
      <c r="F217">
        <v>20100</v>
      </c>
    </row>
    <row r="218" spans="2:6" x14ac:dyDescent="0.25">
      <c r="C218" t="s">
        <v>747</v>
      </c>
      <c r="D218">
        <v>206034</v>
      </c>
      <c r="E218">
        <v>16100</v>
      </c>
      <c r="F218">
        <v>19725</v>
      </c>
    </row>
    <row r="219" spans="2:6" x14ac:dyDescent="0.25">
      <c r="C219" t="s">
        <v>747</v>
      </c>
      <c r="D219">
        <v>206041</v>
      </c>
      <c r="E219">
        <v>24600</v>
      </c>
      <c r="F219">
        <v>19350</v>
      </c>
    </row>
    <row r="220" spans="2:6" x14ac:dyDescent="0.25">
      <c r="C220" t="s">
        <v>747</v>
      </c>
      <c r="D220">
        <v>206042</v>
      </c>
      <c r="E220">
        <v>24900</v>
      </c>
      <c r="F220">
        <v>19725</v>
      </c>
    </row>
    <row r="221" spans="2:6" x14ac:dyDescent="0.25">
      <c r="C221" t="s">
        <v>747</v>
      </c>
      <c r="D221">
        <v>206043</v>
      </c>
      <c r="E221">
        <v>24600</v>
      </c>
      <c r="F221">
        <v>20100</v>
      </c>
    </row>
    <row r="222" spans="2:6" x14ac:dyDescent="0.25">
      <c r="C222" t="s">
        <v>747</v>
      </c>
      <c r="D222">
        <v>206044</v>
      </c>
      <c r="E222">
        <v>24300</v>
      </c>
      <c r="F222">
        <v>19725</v>
      </c>
    </row>
    <row r="224" spans="2:6" x14ac:dyDescent="0.25">
      <c r="B224" t="s">
        <v>749</v>
      </c>
    </row>
    <row r="225" spans="1:7" x14ac:dyDescent="0.25">
      <c r="C225" t="s">
        <v>747</v>
      </c>
      <c r="D225">
        <v>306</v>
      </c>
      <c r="E225">
        <v>32800</v>
      </c>
      <c r="F225">
        <v>20100</v>
      </c>
    </row>
    <row r="226" spans="1:7" x14ac:dyDescent="0.25">
      <c r="C226" t="s">
        <v>747</v>
      </c>
      <c r="D226">
        <v>305</v>
      </c>
      <c r="E226">
        <v>32800</v>
      </c>
      <c r="F226">
        <v>16200</v>
      </c>
    </row>
    <row r="227" spans="1:7" x14ac:dyDescent="0.25">
      <c r="C227" t="s">
        <v>747</v>
      </c>
      <c r="D227">
        <v>304</v>
      </c>
      <c r="E227">
        <v>32800</v>
      </c>
      <c r="F227">
        <v>12300</v>
      </c>
    </row>
    <row r="228" spans="1:7" x14ac:dyDescent="0.25">
      <c r="C228" t="s">
        <v>747</v>
      </c>
      <c r="D228">
        <v>303</v>
      </c>
      <c r="E228">
        <v>32800</v>
      </c>
      <c r="F228">
        <v>8400</v>
      </c>
    </row>
    <row r="229" spans="1:7" x14ac:dyDescent="0.25">
      <c r="C229" t="s">
        <v>747</v>
      </c>
      <c r="D229">
        <v>302</v>
      </c>
      <c r="E229">
        <v>32800</v>
      </c>
      <c r="F229">
        <v>4500</v>
      </c>
    </row>
    <row r="230" spans="1:7" x14ac:dyDescent="0.25">
      <c r="C230" t="s">
        <v>747</v>
      </c>
      <c r="D230">
        <v>301</v>
      </c>
      <c r="E230">
        <v>32800</v>
      </c>
      <c r="F230">
        <v>0</v>
      </c>
    </row>
    <row r="231" spans="1:7" x14ac:dyDescent="0.25">
      <c r="B231" t="s">
        <v>717</v>
      </c>
    </row>
    <row r="233" spans="1:7" x14ac:dyDescent="0.25">
      <c r="A233" t="s">
        <v>750</v>
      </c>
    </row>
    <row r="234" spans="1:7" x14ac:dyDescent="0.25">
      <c r="C234" t="s">
        <v>458</v>
      </c>
      <c r="D234" t="s">
        <v>744</v>
      </c>
      <c r="E234" t="s">
        <v>751</v>
      </c>
      <c r="F234" t="s">
        <v>752</v>
      </c>
      <c r="G234" t="s">
        <v>753</v>
      </c>
    </row>
    <row r="235" spans="1:7" x14ac:dyDescent="0.25">
      <c r="C235" t="s">
        <v>754</v>
      </c>
      <c r="D235">
        <v>201011</v>
      </c>
      <c r="E235">
        <v>1</v>
      </c>
      <c r="F235">
        <v>1</v>
      </c>
      <c r="G235">
        <v>1</v>
      </c>
    </row>
    <row r="236" spans="1:7" x14ac:dyDescent="0.25">
      <c r="C236" t="s">
        <v>754</v>
      </c>
      <c r="D236">
        <v>201021</v>
      </c>
      <c r="E236">
        <v>1</v>
      </c>
      <c r="F236">
        <v>1</v>
      </c>
      <c r="G236">
        <v>1</v>
      </c>
    </row>
    <row r="237" spans="1:7" x14ac:dyDescent="0.25">
      <c r="C237" t="s">
        <v>754</v>
      </c>
      <c r="D237">
        <v>201031</v>
      </c>
      <c r="E237">
        <v>1</v>
      </c>
      <c r="F237">
        <v>1</v>
      </c>
      <c r="G237">
        <v>1</v>
      </c>
    </row>
    <row r="238" spans="1:7" x14ac:dyDescent="0.25">
      <c r="C238" t="s">
        <v>754</v>
      </c>
      <c r="D238">
        <v>201041</v>
      </c>
      <c r="E238">
        <v>1</v>
      </c>
      <c r="F238">
        <v>1</v>
      </c>
      <c r="G238">
        <v>1</v>
      </c>
    </row>
    <row r="241" spans="1:11" x14ac:dyDescent="0.25">
      <c r="B241" t="s">
        <v>755</v>
      </c>
    </row>
    <row r="242" spans="1:11" x14ac:dyDescent="0.25">
      <c r="C242" t="s">
        <v>754</v>
      </c>
      <c r="D242">
        <v>301</v>
      </c>
      <c r="E242">
        <v>1</v>
      </c>
      <c r="F242">
        <v>1</v>
      </c>
      <c r="G242">
        <v>1</v>
      </c>
    </row>
    <row r="243" spans="1:11" x14ac:dyDescent="0.25">
      <c r="B243" t="s">
        <v>717</v>
      </c>
    </row>
    <row r="245" spans="1:11" x14ac:dyDescent="0.25">
      <c r="A245" t="s">
        <v>756</v>
      </c>
    </row>
    <row r="246" spans="1:11" x14ac:dyDescent="0.25">
      <c r="A246" t="s">
        <v>757</v>
      </c>
    </row>
    <row r="247" spans="1:11" x14ac:dyDescent="0.25">
      <c r="C247" t="s">
        <v>458</v>
      </c>
      <c r="D247" t="s">
        <v>458</v>
      </c>
      <c r="E247" t="s">
        <v>758</v>
      </c>
      <c r="F247" t="s">
        <v>759</v>
      </c>
      <c r="G247" t="s">
        <v>760</v>
      </c>
      <c r="H247" t="s">
        <v>761</v>
      </c>
      <c r="I247" t="s">
        <v>762</v>
      </c>
      <c r="J247" t="s">
        <v>763</v>
      </c>
      <c r="K247" t="s">
        <v>764</v>
      </c>
    </row>
    <row r="248" spans="1:11" x14ac:dyDescent="0.25">
      <c r="C248" t="s">
        <v>765</v>
      </c>
      <c r="D248" t="s">
        <v>766</v>
      </c>
      <c r="E248">
        <v>30501</v>
      </c>
      <c r="F248">
        <v>205013</v>
      </c>
      <c r="G248">
        <v>206011</v>
      </c>
      <c r="H248">
        <v>270000</v>
      </c>
      <c r="I248">
        <v>32.048229280258219</v>
      </c>
      <c r="J248">
        <v>2834999999.9999995</v>
      </c>
      <c r="K248" t="s">
        <v>767</v>
      </c>
    </row>
    <row r="249" spans="1:11" x14ac:dyDescent="0.25">
      <c r="C249" t="s">
        <v>765</v>
      </c>
      <c r="D249" t="s">
        <v>766</v>
      </c>
      <c r="E249">
        <v>30502</v>
      </c>
      <c r="F249">
        <v>205023</v>
      </c>
      <c r="G249">
        <v>206021</v>
      </c>
      <c r="H249">
        <v>360000</v>
      </c>
      <c r="I249">
        <v>32.048229280258219</v>
      </c>
      <c r="J249">
        <v>3780000000</v>
      </c>
      <c r="K249" t="s">
        <v>767</v>
      </c>
    </row>
    <row r="250" spans="1:11" x14ac:dyDescent="0.25">
      <c r="C250" t="s">
        <v>765</v>
      </c>
      <c r="D250" t="s">
        <v>766</v>
      </c>
      <c r="E250">
        <v>30503</v>
      </c>
      <c r="F250">
        <v>205033</v>
      </c>
      <c r="G250">
        <v>206031</v>
      </c>
      <c r="H250">
        <v>360000</v>
      </c>
      <c r="I250">
        <v>32.048229280258219</v>
      </c>
      <c r="J250">
        <v>3780000000</v>
      </c>
      <c r="K250" t="s">
        <v>767</v>
      </c>
    </row>
    <row r="251" spans="1:11" x14ac:dyDescent="0.25">
      <c r="C251" t="s">
        <v>765</v>
      </c>
      <c r="D251" t="s">
        <v>766</v>
      </c>
      <c r="E251">
        <v>30504</v>
      </c>
      <c r="F251">
        <v>205043</v>
      </c>
      <c r="G251">
        <v>206041</v>
      </c>
      <c r="H251">
        <v>270000</v>
      </c>
      <c r="I251">
        <v>32.048229280258219</v>
      </c>
      <c r="J251">
        <v>2834999999.9999995</v>
      </c>
      <c r="K251" t="s">
        <v>767</v>
      </c>
    </row>
    <row r="253" spans="1:11" x14ac:dyDescent="0.25">
      <c r="C253" t="s">
        <v>765</v>
      </c>
      <c r="D253" t="s">
        <v>766</v>
      </c>
      <c r="E253">
        <v>30401</v>
      </c>
      <c r="F253">
        <v>204013</v>
      </c>
      <c r="G253">
        <v>205011</v>
      </c>
      <c r="H253">
        <v>270000</v>
      </c>
      <c r="I253">
        <v>32.048229280258219</v>
      </c>
      <c r="J253">
        <v>2834999999.9999995</v>
      </c>
      <c r="K253" t="s">
        <v>767</v>
      </c>
    </row>
    <row r="254" spans="1:11" x14ac:dyDescent="0.25">
      <c r="C254" t="s">
        <v>765</v>
      </c>
      <c r="D254" t="s">
        <v>766</v>
      </c>
      <c r="E254">
        <v>30402</v>
      </c>
      <c r="F254">
        <v>204023</v>
      </c>
      <c r="G254">
        <v>205021</v>
      </c>
      <c r="H254">
        <v>360000</v>
      </c>
      <c r="I254">
        <v>32.048229280258219</v>
      </c>
      <c r="J254">
        <v>3780000000</v>
      </c>
      <c r="K254" t="s">
        <v>767</v>
      </c>
    </row>
    <row r="255" spans="1:11" x14ac:dyDescent="0.25">
      <c r="C255" t="s">
        <v>765</v>
      </c>
      <c r="D255" t="s">
        <v>766</v>
      </c>
      <c r="E255">
        <v>30403</v>
      </c>
      <c r="F255">
        <v>204033</v>
      </c>
      <c r="G255">
        <v>205031</v>
      </c>
      <c r="H255">
        <v>360000</v>
      </c>
      <c r="I255">
        <v>32.048229280258219</v>
      </c>
      <c r="J255">
        <v>3780000000</v>
      </c>
      <c r="K255" t="s">
        <v>767</v>
      </c>
    </row>
    <row r="256" spans="1:11" x14ac:dyDescent="0.25">
      <c r="C256" t="s">
        <v>765</v>
      </c>
      <c r="D256" t="s">
        <v>766</v>
      </c>
      <c r="E256">
        <v>30404</v>
      </c>
      <c r="F256">
        <v>204043</v>
      </c>
      <c r="G256">
        <v>205041</v>
      </c>
      <c r="H256">
        <v>270000</v>
      </c>
      <c r="I256">
        <v>32.048229280258219</v>
      </c>
      <c r="J256">
        <v>2834999999.9999995</v>
      </c>
      <c r="K256" t="s">
        <v>767</v>
      </c>
    </row>
    <row r="258" spans="3:11" x14ac:dyDescent="0.25">
      <c r="C258" t="s">
        <v>765</v>
      </c>
      <c r="D258" t="s">
        <v>766</v>
      </c>
      <c r="E258">
        <v>30301</v>
      </c>
      <c r="F258">
        <v>203013</v>
      </c>
      <c r="G258">
        <v>204011</v>
      </c>
      <c r="H258">
        <v>270000</v>
      </c>
      <c r="I258">
        <v>32.048229280258219</v>
      </c>
      <c r="J258">
        <v>2834999999.9999995</v>
      </c>
      <c r="K258" t="s">
        <v>767</v>
      </c>
    </row>
    <row r="259" spans="3:11" x14ac:dyDescent="0.25">
      <c r="C259" t="s">
        <v>765</v>
      </c>
      <c r="D259" t="s">
        <v>766</v>
      </c>
      <c r="E259">
        <v>30302</v>
      </c>
      <c r="F259">
        <v>203023</v>
      </c>
      <c r="G259">
        <v>204021</v>
      </c>
      <c r="H259">
        <v>360000</v>
      </c>
      <c r="I259">
        <v>32.048229280258219</v>
      </c>
      <c r="J259">
        <v>3780000000</v>
      </c>
      <c r="K259" t="s">
        <v>767</v>
      </c>
    </row>
    <row r="260" spans="3:11" x14ac:dyDescent="0.25">
      <c r="C260" t="s">
        <v>765</v>
      </c>
      <c r="D260" t="s">
        <v>766</v>
      </c>
      <c r="E260">
        <v>30303</v>
      </c>
      <c r="F260">
        <v>203033</v>
      </c>
      <c r="G260">
        <v>204031</v>
      </c>
      <c r="H260">
        <v>360000</v>
      </c>
      <c r="I260">
        <v>32.048229280258219</v>
      </c>
      <c r="J260">
        <v>3780000000</v>
      </c>
      <c r="K260" t="s">
        <v>767</v>
      </c>
    </row>
    <row r="261" spans="3:11" x14ac:dyDescent="0.25">
      <c r="C261" t="s">
        <v>765</v>
      </c>
      <c r="D261" t="s">
        <v>766</v>
      </c>
      <c r="E261">
        <v>30304</v>
      </c>
      <c r="F261">
        <v>203043</v>
      </c>
      <c r="G261">
        <v>204041</v>
      </c>
      <c r="H261">
        <v>270000</v>
      </c>
      <c r="I261">
        <v>32.048229280258219</v>
      </c>
      <c r="J261">
        <v>2834999999.9999995</v>
      </c>
      <c r="K261" t="s">
        <v>767</v>
      </c>
    </row>
    <row r="263" spans="3:11" x14ac:dyDescent="0.25">
      <c r="C263" t="s">
        <v>765</v>
      </c>
      <c r="D263" t="s">
        <v>766</v>
      </c>
      <c r="E263">
        <v>30201</v>
      </c>
      <c r="F263">
        <v>202013</v>
      </c>
      <c r="G263">
        <v>203011</v>
      </c>
      <c r="H263">
        <v>270000</v>
      </c>
      <c r="I263">
        <v>32.048229280258219</v>
      </c>
      <c r="J263">
        <v>2834999999.9999995</v>
      </c>
      <c r="K263" t="s">
        <v>767</v>
      </c>
    </row>
    <row r="264" spans="3:11" x14ac:dyDescent="0.25">
      <c r="C264" t="s">
        <v>765</v>
      </c>
      <c r="D264" t="s">
        <v>766</v>
      </c>
      <c r="E264">
        <v>30202</v>
      </c>
      <c r="F264">
        <v>202023</v>
      </c>
      <c r="G264">
        <v>203021</v>
      </c>
      <c r="H264">
        <v>360000</v>
      </c>
      <c r="I264">
        <v>32.048229280258219</v>
      </c>
      <c r="J264">
        <v>4218884113.3533697</v>
      </c>
      <c r="K264" t="s">
        <v>767</v>
      </c>
    </row>
    <row r="265" spans="3:11" x14ac:dyDescent="0.25">
      <c r="C265" t="s">
        <v>765</v>
      </c>
      <c r="D265" t="s">
        <v>766</v>
      </c>
      <c r="E265">
        <v>30203</v>
      </c>
      <c r="F265">
        <v>202033</v>
      </c>
      <c r="G265">
        <v>203031</v>
      </c>
      <c r="H265">
        <v>360000</v>
      </c>
      <c r="I265">
        <v>32.048229280258219</v>
      </c>
      <c r="J265">
        <v>4218884113.3533697</v>
      </c>
      <c r="K265" t="s">
        <v>767</v>
      </c>
    </row>
    <row r="266" spans="3:11" x14ac:dyDescent="0.25">
      <c r="C266" t="s">
        <v>765</v>
      </c>
      <c r="D266" t="s">
        <v>766</v>
      </c>
      <c r="E266">
        <v>30204</v>
      </c>
      <c r="F266">
        <v>202043</v>
      </c>
      <c r="G266">
        <v>203041</v>
      </c>
      <c r="H266">
        <v>270000</v>
      </c>
      <c r="I266">
        <v>32.048229280258219</v>
      </c>
      <c r="J266">
        <v>2834999999.9999995</v>
      </c>
      <c r="K266" t="s">
        <v>767</v>
      </c>
    </row>
    <row r="268" spans="3:11" x14ac:dyDescent="0.25">
      <c r="C268" t="s">
        <v>765</v>
      </c>
      <c r="D268" t="s">
        <v>766</v>
      </c>
      <c r="E268">
        <v>30101</v>
      </c>
      <c r="F268">
        <v>201013</v>
      </c>
      <c r="G268">
        <v>202011</v>
      </c>
      <c r="H268">
        <v>270000</v>
      </c>
      <c r="I268">
        <v>32.048229280258219</v>
      </c>
      <c r="J268">
        <v>3318163482.1811934</v>
      </c>
      <c r="K268" t="s">
        <v>767</v>
      </c>
    </row>
    <row r="269" spans="3:11" x14ac:dyDescent="0.25">
      <c r="C269" t="s">
        <v>765</v>
      </c>
      <c r="D269" t="s">
        <v>766</v>
      </c>
      <c r="E269">
        <v>30102</v>
      </c>
      <c r="F269">
        <v>201023</v>
      </c>
      <c r="G269">
        <v>202021</v>
      </c>
      <c r="H269">
        <v>360000</v>
      </c>
      <c r="I269">
        <v>32.048229280258219</v>
      </c>
      <c r="J269">
        <v>5179138471.4469728</v>
      </c>
      <c r="K269" t="s">
        <v>767</v>
      </c>
    </row>
    <row r="270" spans="3:11" x14ac:dyDescent="0.25">
      <c r="C270" t="s">
        <v>765</v>
      </c>
      <c r="D270" t="s">
        <v>766</v>
      </c>
      <c r="E270">
        <v>30103</v>
      </c>
      <c r="F270">
        <v>201033</v>
      </c>
      <c r="G270">
        <v>202031</v>
      </c>
      <c r="H270">
        <v>360000</v>
      </c>
      <c r="I270">
        <v>32.048229280258219</v>
      </c>
      <c r="J270">
        <v>5179138471.4469728</v>
      </c>
      <c r="K270" t="s">
        <v>767</v>
      </c>
    </row>
    <row r="271" spans="3:11" x14ac:dyDescent="0.25">
      <c r="C271" t="s">
        <v>765</v>
      </c>
      <c r="D271" t="s">
        <v>766</v>
      </c>
      <c r="E271">
        <v>30104</v>
      </c>
      <c r="F271">
        <v>201043</v>
      </c>
      <c r="G271">
        <v>202041</v>
      </c>
      <c r="H271">
        <v>270000</v>
      </c>
      <c r="I271">
        <v>32.048229280258219</v>
      </c>
      <c r="J271">
        <v>3318163482.1811934</v>
      </c>
      <c r="K271" t="s">
        <v>767</v>
      </c>
    </row>
    <row r="273" spans="1:11" x14ac:dyDescent="0.25">
      <c r="A273" t="s">
        <v>768</v>
      </c>
    </row>
    <row r="274" spans="1:11" x14ac:dyDescent="0.25">
      <c r="C274" t="s">
        <v>765</v>
      </c>
      <c r="D274" t="s">
        <v>766</v>
      </c>
      <c r="E274">
        <v>20601</v>
      </c>
      <c r="F274">
        <v>206012</v>
      </c>
      <c r="G274">
        <v>206024</v>
      </c>
      <c r="H274">
        <v>300000</v>
      </c>
      <c r="I274">
        <v>32.048229280258219</v>
      </c>
      <c r="J274">
        <v>6131249999.9999981</v>
      </c>
      <c r="K274" t="s">
        <v>767</v>
      </c>
    </row>
    <row r="275" spans="1:11" x14ac:dyDescent="0.25">
      <c r="C275" t="s">
        <v>765</v>
      </c>
      <c r="D275" t="s">
        <v>766</v>
      </c>
      <c r="E275">
        <v>20602</v>
      </c>
      <c r="F275">
        <v>206022</v>
      </c>
      <c r="G275">
        <v>206034</v>
      </c>
      <c r="H275">
        <v>300000</v>
      </c>
      <c r="I275">
        <v>32.048229280258219</v>
      </c>
      <c r="J275">
        <v>6131249999.9999981</v>
      </c>
      <c r="K275" t="s">
        <v>767</v>
      </c>
    </row>
    <row r="276" spans="1:11" x14ac:dyDescent="0.25">
      <c r="C276" t="s">
        <v>765</v>
      </c>
      <c r="D276" t="s">
        <v>766</v>
      </c>
      <c r="E276">
        <v>20603</v>
      </c>
      <c r="F276">
        <v>206032</v>
      </c>
      <c r="G276">
        <v>206044</v>
      </c>
      <c r="H276">
        <v>300000</v>
      </c>
      <c r="I276">
        <v>32.048229280258219</v>
      </c>
      <c r="J276">
        <v>6131249999.9999981</v>
      </c>
      <c r="K276" t="s">
        <v>767</v>
      </c>
    </row>
    <row r="278" spans="1:11" x14ac:dyDescent="0.25">
      <c r="C278" t="s">
        <v>765</v>
      </c>
      <c r="D278" t="s">
        <v>766</v>
      </c>
      <c r="E278">
        <v>20501</v>
      </c>
      <c r="F278">
        <v>205012</v>
      </c>
      <c r="G278">
        <v>205024</v>
      </c>
      <c r="H278">
        <v>300000</v>
      </c>
      <c r="I278">
        <v>32.048229280258219</v>
      </c>
      <c r="J278">
        <v>6131249999.9999981</v>
      </c>
      <c r="K278" t="s">
        <v>767</v>
      </c>
    </row>
    <row r="279" spans="1:11" x14ac:dyDescent="0.25">
      <c r="C279" t="s">
        <v>765</v>
      </c>
      <c r="D279" t="s">
        <v>766</v>
      </c>
      <c r="E279">
        <v>20502</v>
      </c>
      <c r="F279">
        <v>205022</v>
      </c>
      <c r="G279">
        <v>205034</v>
      </c>
      <c r="H279">
        <v>300000</v>
      </c>
      <c r="I279">
        <v>32.048229280258219</v>
      </c>
      <c r="J279">
        <v>6131249999.9999981</v>
      </c>
      <c r="K279" t="s">
        <v>767</v>
      </c>
    </row>
    <row r="280" spans="1:11" x14ac:dyDescent="0.25">
      <c r="C280" t="s">
        <v>765</v>
      </c>
      <c r="D280" t="s">
        <v>766</v>
      </c>
      <c r="E280">
        <v>20503</v>
      </c>
      <c r="F280">
        <v>205032</v>
      </c>
      <c r="G280">
        <v>205044</v>
      </c>
      <c r="H280">
        <v>300000</v>
      </c>
      <c r="I280">
        <v>32.048229280258219</v>
      </c>
      <c r="J280">
        <v>6131249999.9999981</v>
      </c>
      <c r="K280" t="s">
        <v>767</v>
      </c>
    </row>
    <row r="282" spans="1:11" x14ac:dyDescent="0.25">
      <c r="C282" t="s">
        <v>765</v>
      </c>
      <c r="D282" t="s">
        <v>766</v>
      </c>
      <c r="E282">
        <v>20401</v>
      </c>
      <c r="F282">
        <v>204012</v>
      </c>
      <c r="G282">
        <v>204024</v>
      </c>
      <c r="H282">
        <v>300000</v>
      </c>
      <c r="I282">
        <v>32.048229280258219</v>
      </c>
      <c r="J282">
        <v>6131249999.9999981</v>
      </c>
      <c r="K282" t="s">
        <v>767</v>
      </c>
    </row>
    <row r="283" spans="1:11" x14ac:dyDescent="0.25">
      <c r="C283" t="s">
        <v>765</v>
      </c>
      <c r="D283" t="s">
        <v>766</v>
      </c>
      <c r="E283">
        <v>20402</v>
      </c>
      <c r="F283">
        <v>204022</v>
      </c>
      <c r="G283">
        <v>204034</v>
      </c>
      <c r="H283">
        <v>300000</v>
      </c>
      <c r="I283">
        <v>32.048229280258219</v>
      </c>
      <c r="J283">
        <v>6131249999.9999981</v>
      </c>
      <c r="K283" t="s">
        <v>767</v>
      </c>
    </row>
    <row r="284" spans="1:11" x14ac:dyDescent="0.25">
      <c r="C284" t="s">
        <v>765</v>
      </c>
      <c r="D284" t="s">
        <v>766</v>
      </c>
      <c r="E284">
        <v>20403</v>
      </c>
      <c r="F284">
        <v>204032</v>
      </c>
      <c r="G284">
        <v>204044</v>
      </c>
      <c r="H284">
        <v>300000</v>
      </c>
      <c r="I284">
        <v>32.048229280258219</v>
      </c>
      <c r="J284">
        <v>6131249999.9999981</v>
      </c>
      <c r="K284" t="s">
        <v>767</v>
      </c>
    </row>
    <row r="286" spans="1:11" x14ac:dyDescent="0.25">
      <c r="C286" t="s">
        <v>765</v>
      </c>
      <c r="D286" t="s">
        <v>766</v>
      </c>
      <c r="E286">
        <v>20301</v>
      </c>
      <c r="F286">
        <v>203012</v>
      </c>
      <c r="G286">
        <v>203024</v>
      </c>
      <c r="H286">
        <v>300000</v>
      </c>
      <c r="I286">
        <v>32.048229280258219</v>
      </c>
      <c r="J286">
        <v>6131249999.9999981</v>
      </c>
      <c r="K286" t="s">
        <v>767</v>
      </c>
    </row>
    <row r="287" spans="1:11" x14ac:dyDescent="0.25">
      <c r="C287" t="s">
        <v>765</v>
      </c>
      <c r="D287" t="s">
        <v>766</v>
      </c>
      <c r="E287">
        <v>20302</v>
      </c>
      <c r="F287">
        <v>203022</v>
      </c>
      <c r="G287">
        <v>203034</v>
      </c>
      <c r="H287">
        <v>300000</v>
      </c>
      <c r="I287">
        <v>32.048229280258219</v>
      </c>
      <c r="J287">
        <v>6131249999.9999981</v>
      </c>
      <c r="K287" t="s">
        <v>767</v>
      </c>
    </row>
    <row r="288" spans="1:11" x14ac:dyDescent="0.25">
      <c r="C288" t="s">
        <v>765</v>
      </c>
      <c r="D288" t="s">
        <v>766</v>
      </c>
      <c r="E288">
        <v>20303</v>
      </c>
      <c r="F288">
        <v>203032</v>
      </c>
      <c r="G288">
        <v>203044</v>
      </c>
      <c r="H288">
        <v>300000</v>
      </c>
      <c r="I288">
        <v>32.048229280258219</v>
      </c>
      <c r="J288">
        <v>6131249999.9999981</v>
      </c>
      <c r="K288" t="s">
        <v>767</v>
      </c>
    </row>
    <row r="290" spans="1:11" x14ac:dyDescent="0.25">
      <c r="C290" t="s">
        <v>765</v>
      </c>
      <c r="D290" t="s">
        <v>766</v>
      </c>
      <c r="E290">
        <v>20201</v>
      </c>
      <c r="F290">
        <v>202012</v>
      </c>
      <c r="G290">
        <v>202024</v>
      </c>
      <c r="H290">
        <v>300000</v>
      </c>
      <c r="I290">
        <v>32.048229280258219</v>
      </c>
      <c r="J290">
        <v>6131249999.9999981</v>
      </c>
      <c r="K290" t="s">
        <v>767</v>
      </c>
    </row>
    <row r="291" spans="1:11" x14ac:dyDescent="0.25">
      <c r="C291" t="s">
        <v>765</v>
      </c>
      <c r="D291" t="s">
        <v>766</v>
      </c>
      <c r="E291">
        <v>20202</v>
      </c>
      <c r="F291">
        <v>202022</v>
      </c>
      <c r="G291">
        <v>202034</v>
      </c>
      <c r="H291">
        <v>300000</v>
      </c>
      <c r="I291">
        <v>32.048229280258219</v>
      </c>
      <c r="J291">
        <v>6131249999.9999981</v>
      </c>
      <c r="K291" t="s">
        <v>767</v>
      </c>
    </row>
    <row r="292" spans="1:11" x14ac:dyDescent="0.25">
      <c r="C292" t="s">
        <v>765</v>
      </c>
      <c r="D292" t="s">
        <v>766</v>
      </c>
      <c r="E292">
        <v>20203</v>
      </c>
      <c r="F292">
        <v>202032</v>
      </c>
      <c r="G292">
        <v>202044</v>
      </c>
      <c r="H292">
        <v>300000</v>
      </c>
      <c r="I292">
        <v>32.048229280258219</v>
      </c>
      <c r="J292">
        <v>6131249999.9999981</v>
      </c>
      <c r="K292" t="s">
        <v>767</v>
      </c>
    </row>
    <row r="293" spans="1:11" x14ac:dyDescent="0.25">
      <c r="B293" t="s">
        <v>717</v>
      </c>
    </row>
    <row r="295" spans="1:11" x14ac:dyDescent="0.25">
      <c r="A295" t="s">
        <v>769</v>
      </c>
    </row>
    <row r="296" spans="1:11" x14ac:dyDescent="0.25">
      <c r="C296" t="s">
        <v>458</v>
      </c>
      <c r="D296" t="s">
        <v>770</v>
      </c>
      <c r="E296" t="s">
        <v>771</v>
      </c>
      <c r="F296" t="s">
        <v>772</v>
      </c>
      <c r="G296" t="s">
        <v>773</v>
      </c>
    </row>
    <row r="297" spans="1:11" x14ac:dyDescent="0.25">
      <c r="C297" t="s">
        <v>774</v>
      </c>
      <c r="D297">
        <v>6011</v>
      </c>
      <c r="E297">
        <v>201011</v>
      </c>
      <c r="F297">
        <v>201012</v>
      </c>
      <c r="G297">
        <v>601</v>
      </c>
    </row>
    <row r="298" spans="1:11" x14ac:dyDescent="0.25">
      <c r="C298" t="s">
        <v>774</v>
      </c>
      <c r="D298">
        <v>6012</v>
      </c>
      <c r="E298">
        <v>201012</v>
      </c>
      <c r="F298">
        <v>201013</v>
      </c>
      <c r="G298">
        <v>301011</v>
      </c>
    </row>
    <row r="300" spans="1:11" x14ac:dyDescent="0.25">
      <c r="C300" t="s">
        <v>774</v>
      </c>
      <c r="D300">
        <v>6021</v>
      </c>
      <c r="E300">
        <v>201021</v>
      </c>
      <c r="F300">
        <v>201022</v>
      </c>
      <c r="G300">
        <v>602</v>
      </c>
    </row>
    <row r="301" spans="1:11" x14ac:dyDescent="0.25">
      <c r="C301" t="s">
        <v>774</v>
      </c>
      <c r="D301">
        <v>6022</v>
      </c>
      <c r="E301">
        <v>201022</v>
      </c>
      <c r="F301">
        <v>201023</v>
      </c>
      <c r="G301">
        <v>301021</v>
      </c>
    </row>
    <row r="303" spans="1:11" x14ac:dyDescent="0.25">
      <c r="C303" t="s">
        <v>774</v>
      </c>
      <c r="D303">
        <v>6031</v>
      </c>
      <c r="E303">
        <v>201031</v>
      </c>
      <c r="F303">
        <v>201032</v>
      </c>
      <c r="G303">
        <v>603</v>
      </c>
    </row>
    <row r="304" spans="1:11" x14ac:dyDescent="0.25">
      <c r="C304" t="s">
        <v>774</v>
      </c>
      <c r="D304">
        <v>6032</v>
      </c>
      <c r="E304">
        <v>201032</v>
      </c>
      <c r="F304">
        <v>201033</v>
      </c>
      <c r="G304">
        <v>301031</v>
      </c>
    </row>
    <row r="306" spans="1:16" x14ac:dyDescent="0.25">
      <c r="C306" t="s">
        <v>774</v>
      </c>
      <c r="D306">
        <v>6041</v>
      </c>
      <c r="E306">
        <v>201041</v>
      </c>
      <c r="F306">
        <v>201042</v>
      </c>
      <c r="G306">
        <v>604</v>
      </c>
    </row>
    <row r="307" spans="1:16" x14ac:dyDescent="0.25">
      <c r="C307" t="s">
        <v>774</v>
      </c>
      <c r="D307">
        <v>6042</v>
      </c>
      <c r="E307">
        <v>201042</v>
      </c>
      <c r="F307">
        <v>201043</v>
      </c>
      <c r="G307">
        <v>301041</v>
      </c>
    </row>
    <row r="308" spans="1:16" x14ac:dyDescent="0.25">
      <c r="B308" t="s">
        <v>717</v>
      </c>
    </row>
    <row r="310" spans="1:16" x14ac:dyDescent="0.25">
      <c r="A310" t="s">
        <v>775</v>
      </c>
    </row>
    <row r="311" spans="1:16" x14ac:dyDescent="0.25">
      <c r="C311" t="s">
        <v>458</v>
      </c>
      <c r="D311" t="s">
        <v>458</v>
      </c>
      <c r="E311" t="s">
        <v>758</v>
      </c>
      <c r="F311" t="s">
        <v>776</v>
      </c>
      <c r="G311" t="s">
        <v>777</v>
      </c>
      <c r="H311" t="s">
        <v>778</v>
      </c>
      <c r="I311" t="s">
        <v>779</v>
      </c>
      <c r="J311" t="s">
        <v>780</v>
      </c>
      <c r="K311" t="s">
        <v>781</v>
      </c>
      <c r="L311" t="s">
        <v>782</v>
      </c>
      <c r="M311" t="s">
        <v>783</v>
      </c>
      <c r="N311" t="s">
        <v>784</v>
      </c>
      <c r="O311" t="s">
        <v>785</v>
      </c>
      <c r="P311" t="s">
        <v>786</v>
      </c>
    </row>
    <row r="312" spans="1:16" x14ac:dyDescent="0.25">
      <c r="C312" t="s">
        <v>765</v>
      </c>
      <c r="D312" t="s">
        <v>787</v>
      </c>
      <c r="E312">
        <v>40601</v>
      </c>
      <c r="F312">
        <v>206011</v>
      </c>
      <c r="G312">
        <v>206012</v>
      </c>
      <c r="H312">
        <v>206013</v>
      </c>
      <c r="I312">
        <v>206014</v>
      </c>
      <c r="J312">
        <v>206015</v>
      </c>
      <c r="K312">
        <v>305011</v>
      </c>
      <c r="L312">
        <v>206011</v>
      </c>
      <c r="M312">
        <v>49999</v>
      </c>
      <c r="N312">
        <v>49999</v>
      </c>
      <c r="O312">
        <v>40601</v>
      </c>
      <c r="P312" t="s">
        <v>788</v>
      </c>
    </row>
    <row r="313" spans="1:16" x14ac:dyDescent="0.25">
      <c r="C313" t="s">
        <v>765</v>
      </c>
      <c r="D313" t="s">
        <v>787</v>
      </c>
      <c r="E313">
        <v>40602</v>
      </c>
      <c r="F313">
        <v>206021</v>
      </c>
      <c r="G313">
        <v>206022</v>
      </c>
      <c r="H313">
        <v>206023</v>
      </c>
      <c r="I313">
        <v>206024</v>
      </c>
      <c r="J313">
        <v>206025</v>
      </c>
      <c r="K313">
        <v>305021</v>
      </c>
      <c r="L313">
        <v>206021</v>
      </c>
      <c r="M313">
        <v>49999</v>
      </c>
      <c r="N313">
        <v>206012</v>
      </c>
      <c r="O313">
        <v>40602</v>
      </c>
      <c r="P313" t="s">
        <v>788</v>
      </c>
    </row>
    <row r="314" spans="1:16" x14ac:dyDescent="0.25">
      <c r="C314" t="s">
        <v>765</v>
      </c>
      <c r="D314" t="s">
        <v>787</v>
      </c>
      <c r="E314">
        <v>40603</v>
      </c>
      <c r="F314">
        <v>206031</v>
      </c>
      <c r="G314">
        <v>206032</v>
      </c>
      <c r="H314">
        <v>206033</v>
      </c>
      <c r="I314">
        <v>206034</v>
      </c>
      <c r="J314">
        <v>206035</v>
      </c>
      <c r="K314">
        <v>305031</v>
      </c>
      <c r="L314">
        <v>206031</v>
      </c>
      <c r="M314">
        <v>49999</v>
      </c>
      <c r="N314">
        <v>206022</v>
      </c>
      <c r="O314">
        <v>40603</v>
      </c>
      <c r="P314" t="s">
        <v>788</v>
      </c>
    </row>
    <row r="315" spans="1:16" x14ac:dyDescent="0.25">
      <c r="C315" t="s">
        <v>765</v>
      </c>
      <c r="D315" t="s">
        <v>787</v>
      </c>
      <c r="E315">
        <v>40604</v>
      </c>
      <c r="F315">
        <v>206041</v>
      </c>
      <c r="G315">
        <v>206042</v>
      </c>
      <c r="H315">
        <v>206043</v>
      </c>
      <c r="I315">
        <v>206044</v>
      </c>
      <c r="J315">
        <v>206045</v>
      </c>
      <c r="K315">
        <v>305041</v>
      </c>
      <c r="L315">
        <v>49999</v>
      </c>
      <c r="M315">
        <v>49999</v>
      </c>
      <c r="N315">
        <v>206032</v>
      </c>
      <c r="O315">
        <v>40604</v>
      </c>
      <c r="P315" t="s">
        <v>788</v>
      </c>
    </row>
    <row r="317" spans="1:16" x14ac:dyDescent="0.25">
      <c r="C317" t="s">
        <v>765</v>
      </c>
      <c r="D317" t="s">
        <v>787</v>
      </c>
      <c r="E317">
        <v>40501</v>
      </c>
      <c r="F317">
        <v>205011</v>
      </c>
      <c r="G317">
        <v>205012</v>
      </c>
      <c r="H317">
        <v>205013</v>
      </c>
      <c r="I317">
        <v>205014</v>
      </c>
      <c r="J317">
        <v>205015</v>
      </c>
      <c r="K317">
        <v>304011</v>
      </c>
      <c r="L317">
        <v>205011</v>
      </c>
      <c r="M317">
        <v>305011</v>
      </c>
      <c r="N317">
        <v>49999</v>
      </c>
      <c r="O317">
        <v>40501</v>
      </c>
      <c r="P317" t="s">
        <v>788</v>
      </c>
    </row>
    <row r="318" spans="1:16" x14ac:dyDescent="0.25">
      <c r="C318" t="s">
        <v>765</v>
      </c>
      <c r="D318" t="s">
        <v>787</v>
      </c>
      <c r="E318">
        <v>40502</v>
      </c>
      <c r="F318">
        <v>205021</v>
      </c>
      <c r="G318">
        <v>205022</v>
      </c>
      <c r="H318">
        <v>205023</v>
      </c>
      <c r="I318">
        <v>205024</v>
      </c>
      <c r="J318">
        <v>205025</v>
      </c>
      <c r="K318">
        <v>304021</v>
      </c>
      <c r="L318">
        <v>205021</v>
      </c>
      <c r="M318">
        <v>305021</v>
      </c>
      <c r="N318">
        <v>205012</v>
      </c>
      <c r="O318">
        <v>40502</v>
      </c>
      <c r="P318" t="s">
        <v>788</v>
      </c>
    </row>
    <row r="319" spans="1:16" x14ac:dyDescent="0.25">
      <c r="C319" t="s">
        <v>765</v>
      </c>
      <c r="D319" t="s">
        <v>787</v>
      </c>
      <c r="E319">
        <v>40503</v>
      </c>
      <c r="F319">
        <v>205031</v>
      </c>
      <c r="G319">
        <v>205032</v>
      </c>
      <c r="H319">
        <v>205033</v>
      </c>
      <c r="I319">
        <v>205034</v>
      </c>
      <c r="J319">
        <v>205035</v>
      </c>
      <c r="K319">
        <v>304031</v>
      </c>
      <c r="L319">
        <v>205031</v>
      </c>
      <c r="M319">
        <v>305031</v>
      </c>
      <c r="N319">
        <v>205022</v>
      </c>
      <c r="O319">
        <v>40503</v>
      </c>
      <c r="P319" t="s">
        <v>788</v>
      </c>
    </row>
    <row r="320" spans="1:16" x14ac:dyDescent="0.25">
      <c r="C320" t="s">
        <v>765</v>
      </c>
      <c r="D320" t="s">
        <v>787</v>
      </c>
      <c r="E320">
        <v>40504</v>
      </c>
      <c r="F320">
        <v>205041</v>
      </c>
      <c r="G320">
        <v>205042</v>
      </c>
      <c r="H320">
        <v>205043</v>
      </c>
      <c r="I320">
        <v>205044</v>
      </c>
      <c r="J320">
        <v>205045</v>
      </c>
      <c r="K320">
        <v>304041</v>
      </c>
      <c r="L320">
        <v>49999</v>
      </c>
      <c r="M320">
        <v>305041</v>
      </c>
      <c r="N320">
        <v>205032</v>
      </c>
      <c r="O320">
        <v>40504</v>
      </c>
      <c r="P320" t="s">
        <v>788</v>
      </c>
    </row>
    <row r="322" spans="2:16" x14ac:dyDescent="0.25">
      <c r="C322" t="s">
        <v>765</v>
      </c>
      <c r="D322" t="s">
        <v>787</v>
      </c>
      <c r="E322">
        <v>40401</v>
      </c>
      <c r="F322">
        <v>204011</v>
      </c>
      <c r="G322">
        <v>204012</v>
      </c>
      <c r="H322">
        <v>204013</v>
      </c>
      <c r="I322">
        <v>204014</v>
      </c>
      <c r="J322">
        <v>204015</v>
      </c>
      <c r="K322">
        <v>303011</v>
      </c>
      <c r="L322">
        <v>204011</v>
      </c>
      <c r="M322">
        <v>304011</v>
      </c>
      <c r="N322">
        <v>49999</v>
      </c>
      <c r="O322">
        <v>40401</v>
      </c>
      <c r="P322" t="s">
        <v>788</v>
      </c>
    </row>
    <row r="323" spans="2:16" x14ac:dyDescent="0.25">
      <c r="C323" t="s">
        <v>765</v>
      </c>
      <c r="D323" t="s">
        <v>787</v>
      </c>
      <c r="E323">
        <v>40402</v>
      </c>
      <c r="F323">
        <v>204021</v>
      </c>
      <c r="G323">
        <v>204022</v>
      </c>
      <c r="H323">
        <v>204023</v>
      </c>
      <c r="I323">
        <v>204024</v>
      </c>
      <c r="J323">
        <v>204025</v>
      </c>
      <c r="K323">
        <v>303021</v>
      </c>
      <c r="L323">
        <v>204021</v>
      </c>
      <c r="M323">
        <v>304021</v>
      </c>
      <c r="N323">
        <v>204012</v>
      </c>
      <c r="O323">
        <v>40402</v>
      </c>
      <c r="P323" t="s">
        <v>788</v>
      </c>
    </row>
    <row r="324" spans="2:16" x14ac:dyDescent="0.25">
      <c r="C324" t="s">
        <v>765</v>
      </c>
      <c r="D324" t="s">
        <v>787</v>
      </c>
      <c r="E324">
        <v>40403</v>
      </c>
      <c r="F324">
        <v>204031</v>
      </c>
      <c r="G324">
        <v>204032</v>
      </c>
      <c r="H324">
        <v>204033</v>
      </c>
      <c r="I324">
        <v>204034</v>
      </c>
      <c r="J324">
        <v>204035</v>
      </c>
      <c r="K324">
        <v>303031</v>
      </c>
      <c r="L324">
        <v>204031</v>
      </c>
      <c r="M324">
        <v>304031</v>
      </c>
      <c r="N324">
        <v>204022</v>
      </c>
      <c r="O324">
        <v>40403</v>
      </c>
      <c r="P324" t="s">
        <v>788</v>
      </c>
    </row>
    <row r="325" spans="2:16" x14ac:dyDescent="0.25">
      <c r="C325" t="s">
        <v>765</v>
      </c>
      <c r="D325" t="s">
        <v>787</v>
      </c>
      <c r="E325">
        <v>40404</v>
      </c>
      <c r="F325">
        <v>204041</v>
      </c>
      <c r="G325">
        <v>204042</v>
      </c>
      <c r="H325">
        <v>204043</v>
      </c>
      <c r="I325">
        <v>204044</v>
      </c>
      <c r="J325">
        <v>204045</v>
      </c>
      <c r="K325">
        <v>303041</v>
      </c>
      <c r="L325">
        <v>49999</v>
      </c>
      <c r="M325">
        <v>304041</v>
      </c>
      <c r="N325">
        <v>204032</v>
      </c>
      <c r="O325">
        <v>40404</v>
      </c>
      <c r="P325" t="s">
        <v>788</v>
      </c>
    </row>
    <row r="327" spans="2:16" x14ac:dyDescent="0.25">
      <c r="C327" t="s">
        <v>765</v>
      </c>
      <c r="D327" t="s">
        <v>787</v>
      </c>
      <c r="E327">
        <v>40301</v>
      </c>
      <c r="F327">
        <v>203011</v>
      </c>
      <c r="G327">
        <v>203012</v>
      </c>
      <c r="H327">
        <v>203013</v>
      </c>
      <c r="I327">
        <v>203014</v>
      </c>
      <c r="J327">
        <v>203015</v>
      </c>
      <c r="K327">
        <v>302011</v>
      </c>
      <c r="L327">
        <v>203011</v>
      </c>
      <c r="M327">
        <v>303011</v>
      </c>
      <c r="N327">
        <v>49999</v>
      </c>
      <c r="O327">
        <v>40301</v>
      </c>
      <c r="P327" t="s">
        <v>788</v>
      </c>
    </row>
    <row r="328" spans="2:16" x14ac:dyDescent="0.25">
      <c r="C328" t="s">
        <v>765</v>
      </c>
      <c r="D328" t="s">
        <v>787</v>
      </c>
      <c r="E328">
        <v>40302</v>
      </c>
      <c r="F328">
        <v>203021</v>
      </c>
      <c r="G328">
        <v>203022</v>
      </c>
      <c r="H328">
        <v>203023</v>
      </c>
      <c r="I328">
        <v>203024</v>
      </c>
      <c r="J328">
        <v>203025</v>
      </c>
      <c r="K328">
        <v>302021</v>
      </c>
      <c r="L328">
        <v>203021</v>
      </c>
      <c r="M328">
        <v>303021</v>
      </c>
      <c r="N328">
        <v>203012</v>
      </c>
      <c r="O328">
        <v>40302</v>
      </c>
      <c r="P328" t="s">
        <v>788</v>
      </c>
    </row>
    <row r="329" spans="2:16" x14ac:dyDescent="0.25">
      <c r="C329" t="s">
        <v>765</v>
      </c>
      <c r="D329" t="s">
        <v>787</v>
      </c>
      <c r="E329">
        <v>40303</v>
      </c>
      <c r="F329">
        <v>203031</v>
      </c>
      <c r="G329">
        <v>203032</v>
      </c>
      <c r="H329">
        <v>203033</v>
      </c>
      <c r="I329">
        <v>203034</v>
      </c>
      <c r="J329">
        <v>203035</v>
      </c>
      <c r="K329">
        <v>302031</v>
      </c>
      <c r="L329">
        <v>203031</v>
      </c>
      <c r="M329">
        <v>303031</v>
      </c>
      <c r="N329">
        <v>203022</v>
      </c>
      <c r="O329">
        <v>40303</v>
      </c>
      <c r="P329" t="s">
        <v>788</v>
      </c>
    </row>
    <row r="330" spans="2:16" x14ac:dyDescent="0.25">
      <c r="C330" t="s">
        <v>765</v>
      </c>
      <c r="D330" t="s">
        <v>787</v>
      </c>
      <c r="E330">
        <v>40304</v>
      </c>
      <c r="F330">
        <v>203041</v>
      </c>
      <c r="G330">
        <v>203042</v>
      </c>
      <c r="H330">
        <v>203043</v>
      </c>
      <c r="I330">
        <v>203044</v>
      </c>
      <c r="J330">
        <v>203045</v>
      </c>
      <c r="K330">
        <v>302041</v>
      </c>
      <c r="L330">
        <v>49999</v>
      </c>
      <c r="M330">
        <v>303041</v>
      </c>
      <c r="N330">
        <v>203032</v>
      </c>
      <c r="O330">
        <v>40304</v>
      </c>
      <c r="P330" t="s">
        <v>788</v>
      </c>
    </row>
    <row r="332" spans="2:16" x14ac:dyDescent="0.25">
      <c r="C332" t="s">
        <v>765</v>
      </c>
      <c r="D332" t="s">
        <v>787</v>
      </c>
      <c r="E332">
        <v>40201</v>
      </c>
      <c r="F332">
        <v>202011</v>
      </c>
      <c r="G332">
        <v>202012</v>
      </c>
      <c r="H332">
        <v>202013</v>
      </c>
      <c r="I332">
        <v>202014</v>
      </c>
      <c r="J332">
        <v>202015</v>
      </c>
      <c r="K332">
        <v>301011</v>
      </c>
      <c r="L332">
        <v>202011</v>
      </c>
      <c r="M332">
        <v>302011</v>
      </c>
      <c r="N332">
        <v>49999</v>
      </c>
      <c r="O332">
        <v>40201</v>
      </c>
      <c r="P332" t="s">
        <v>788</v>
      </c>
    </row>
    <row r="333" spans="2:16" x14ac:dyDescent="0.25">
      <c r="C333" t="s">
        <v>765</v>
      </c>
      <c r="D333" t="s">
        <v>787</v>
      </c>
      <c r="E333">
        <v>40202</v>
      </c>
      <c r="F333">
        <v>202021</v>
      </c>
      <c r="G333">
        <v>202022</v>
      </c>
      <c r="H333">
        <v>202023</v>
      </c>
      <c r="I333">
        <v>202024</v>
      </c>
      <c r="J333">
        <v>202025</v>
      </c>
      <c r="K333">
        <v>301021</v>
      </c>
      <c r="L333">
        <v>202021</v>
      </c>
      <c r="M333">
        <v>302021</v>
      </c>
      <c r="N333">
        <v>202012</v>
      </c>
      <c r="O333">
        <v>40202</v>
      </c>
      <c r="P333" t="s">
        <v>788</v>
      </c>
    </row>
    <row r="334" spans="2:16" x14ac:dyDescent="0.25">
      <c r="C334" t="s">
        <v>765</v>
      </c>
      <c r="D334" t="s">
        <v>787</v>
      </c>
      <c r="E334">
        <v>40203</v>
      </c>
      <c r="F334">
        <v>202031</v>
      </c>
      <c r="G334">
        <v>202032</v>
      </c>
      <c r="H334">
        <v>202033</v>
      </c>
      <c r="I334">
        <v>202034</v>
      </c>
      <c r="J334">
        <v>202035</v>
      </c>
      <c r="K334">
        <v>301031</v>
      </c>
      <c r="L334">
        <v>202031</v>
      </c>
      <c r="M334">
        <v>302031</v>
      </c>
      <c r="N334">
        <v>202022</v>
      </c>
      <c r="O334">
        <v>40203</v>
      </c>
      <c r="P334" t="s">
        <v>788</v>
      </c>
    </row>
    <row r="335" spans="2:16" x14ac:dyDescent="0.25">
      <c r="C335" t="s">
        <v>765</v>
      </c>
      <c r="D335" t="s">
        <v>787</v>
      </c>
      <c r="E335">
        <v>40204</v>
      </c>
      <c r="F335">
        <v>202041</v>
      </c>
      <c r="G335">
        <v>202042</v>
      </c>
      <c r="H335">
        <v>202043</v>
      </c>
      <c r="I335">
        <v>202044</v>
      </c>
      <c r="J335">
        <v>202045</v>
      </c>
      <c r="K335">
        <v>301041</v>
      </c>
      <c r="L335">
        <v>49999</v>
      </c>
      <c r="M335">
        <v>302041</v>
      </c>
      <c r="N335">
        <v>202032</v>
      </c>
      <c r="O335">
        <v>40204</v>
      </c>
      <c r="P335" t="s">
        <v>788</v>
      </c>
    </row>
    <row r="336" spans="2:16" x14ac:dyDescent="0.25">
      <c r="B336" t="s">
        <v>717</v>
      </c>
    </row>
    <row r="338" spans="1:11" x14ac:dyDescent="0.25">
      <c r="A338" t="s">
        <v>789</v>
      </c>
    </row>
    <row r="339" spans="1:11" x14ac:dyDescent="0.25">
      <c r="C339" t="s">
        <v>765</v>
      </c>
      <c r="D339" t="s">
        <v>766</v>
      </c>
      <c r="E339">
        <v>5051</v>
      </c>
      <c r="F339">
        <v>305</v>
      </c>
      <c r="G339">
        <v>306</v>
      </c>
      <c r="H339" t="s">
        <v>790</v>
      </c>
      <c r="I339" t="s">
        <v>791</v>
      </c>
      <c r="J339" t="s">
        <v>792</v>
      </c>
      <c r="K339" t="s">
        <v>767</v>
      </c>
    </row>
    <row r="340" spans="1:11" x14ac:dyDescent="0.25">
      <c r="C340" t="s">
        <v>765</v>
      </c>
      <c r="D340" t="s">
        <v>766</v>
      </c>
      <c r="E340">
        <v>5041</v>
      </c>
      <c r="F340">
        <v>304</v>
      </c>
      <c r="G340">
        <v>305</v>
      </c>
      <c r="H340" t="s">
        <v>790</v>
      </c>
      <c r="I340" t="s">
        <v>791</v>
      </c>
      <c r="J340" t="s">
        <v>793</v>
      </c>
      <c r="K340" t="s">
        <v>767</v>
      </c>
    </row>
    <row r="341" spans="1:11" x14ac:dyDescent="0.25">
      <c r="C341" t="s">
        <v>765</v>
      </c>
      <c r="D341" t="s">
        <v>766</v>
      </c>
      <c r="E341">
        <v>5031</v>
      </c>
      <c r="F341">
        <v>303</v>
      </c>
      <c r="G341">
        <v>304</v>
      </c>
      <c r="H341" t="s">
        <v>790</v>
      </c>
      <c r="I341" t="s">
        <v>791</v>
      </c>
      <c r="J341" t="s">
        <v>792</v>
      </c>
      <c r="K341" t="s">
        <v>767</v>
      </c>
    </row>
    <row r="342" spans="1:11" x14ac:dyDescent="0.25">
      <c r="C342" t="s">
        <v>765</v>
      </c>
      <c r="D342" t="s">
        <v>766</v>
      </c>
      <c r="E342">
        <v>5021</v>
      </c>
      <c r="F342">
        <v>302</v>
      </c>
      <c r="G342">
        <v>303</v>
      </c>
      <c r="H342" t="s">
        <v>790</v>
      </c>
      <c r="I342" t="s">
        <v>791</v>
      </c>
      <c r="J342" t="s">
        <v>793</v>
      </c>
      <c r="K342" t="s">
        <v>767</v>
      </c>
    </row>
    <row r="343" spans="1:11" x14ac:dyDescent="0.25">
      <c r="C343" t="s">
        <v>765</v>
      </c>
      <c r="D343" t="s">
        <v>766</v>
      </c>
      <c r="E343">
        <v>5011</v>
      </c>
      <c r="F343">
        <v>301</v>
      </c>
      <c r="G343">
        <v>302</v>
      </c>
      <c r="H343" t="s">
        <v>790</v>
      </c>
      <c r="I343" t="s">
        <v>791</v>
      </c>
      <c r="J343" t="s">
        <v>792</v>
      </c>
      <c r="K343" t="s">
        <v>767</v>
      </c>
    </row>
    <row r="345" spans="1:11" x14ac:dyDescent="0.25">
      <c r="C345" t="s">
        <v>794</v>
      </c>
    </row>
    <row r="346" spans="1:11" x14ac:dyDescent="0.25">
      <c r="C346" t="s">
        <v>765</v>
      </c>
      <c r="D346" t="s">
        <v>795</v>
      </c>
      <c r="E346">
        <v>5062</v>
      </c>
      <c r="F346">
        <v>206043</v>
      </c>
      <c r="G346">
        <v>306</v>
      </c>
      <c r="H346" t="s">
        <v>790</v>
      </c>
      <c r="I346" t="s">
        <v>796</v>
      </c>
    </row>
    <row r="347" spans="1:11" x14ac:dyDescent="0.25">
      <c r="C347" t="s">
        <v>765</v>
      </c>
      <c r="D347" t="s">
        <v>795</v>
      </c>
      <c r="E347">
        <v>5052</v>
      </c>
      <c r="F347">
        <v>205043</v>
      </c>
      <c r="G347">
        <v>305</v>
      </c>
      <c r="H347" t="s">
        <v>790</v>
      </c>
      <c r="I347" t="s">
        <v>796</v>
      </c>
    </row>
    <row r="348" spans="1:11" x14ac:dyDescent="0.25">
      <c r="C348" t="s">
        <v>765</v>
      </c>
      <c r="D348" t="s">
        <v>795</v>
      </c>
      <c r="E348">
        <v>5042</v>
      </c>
      <c r="F348">
        <v>204043</v>
      </c>
      <c r="G348">
        <v>304</v>
      </c>
      <c r="H348" t="s">
        <v>790</v>
      </c>
      <c r="I348" t="s">
        <v>796</v>
      </c>
    </row>
    <row r="349" spans="1:11" x14ac:dyDescent="0.25">
      <c r="C349" t="s">
        <v>765</v>
      </c>
      <c r="D349" t="s">
        <v>795</v>
      </c>
      <c r="E349">
        <v>5032</v>
      </c>
      <c r="F349">
        <v>203043</v>
      </c>
      <c r="G349">
        <v>303</v>
      </c>
      <c r="H349" t="s">
        <v>790</v>
      </c>
      <c r="I349" t="s">
        <v>796</v>
      </c>
    </row>
    <row r="350" spans="1:11" x14ac:dyDescent="0.25">
      <c r="C350" t="s">
        <v>765</v>
      </c>
      <c r="D350" t="s">
        <v>795</v>
      </c>
      <c r="E350">
        <v>5022</v>
      </c>
      <c r="F350">
        <v>202043</v>
      </c>
      <c r="G350">
        <v>302</v>
      </c>
      <c r="H350" t="s">
        <v>790</v>
      </c>
      <c r="I350" t="s">
        <v>796</v>
      </c>
    </row>
    <row r="351" spans="1:11" x14ac:dyDescent="0.25">
      <c r="B351" t="s">
        <v>717</v>
      </c>
    </row>
    <row r="354" spans="1:6" x14ac:dyDescent="0.25">
      <c r="A354" t="s">
        <v>797</v>
      </c>
    </row>
    <row r="356" spans="1:6" x14ac:dyDescent="0.25">
      <c r="B356" t="s">
        <v>798</v>
      </c>
    </row>
    <row r="357" spans="1:6" x14ac:dyDescent="0.25">
      <c r="B357" t="s">
        <v>799</v>
      </c>
    </row>
    <row r="358" spans="1:6" x14ac:dyDescent="0.25">
      <c r="C358" t="s">
        <v>800</v>
      </c>
      <c r="D358">
        <v>20601</v>
      </c>
      <c r="E358" t="s">
        <v>801</v>
      </c>
      <c r="F358">
        <v>-9.4425877192982455E-2</v>
      </c>
    </row>
    <row r="359" spans="1:6" x14ac:dyDescent="0.25">
      <c r="C359" t="s">
        <v>800</v>
      </c>
      <c r="D359">
        <v>20602</v>
      </c>
      <c r="E359" t="s">
        <v>801</v>
      </c>
      <c r="F359">
        <v>-9.4425877192982455E-2</v>
      </c>
    </row>
    <row r="360" spans="1:6" x14ac:dyDescent="0.25">
      <c r="C360" t="s">
        <v>800</v>
      </c>
      <c r="D360">
        <v>20603</v>
      </c>
      <c r="E360" t="s">
        <v>801</v>
      </c>
      <c r="F360">
        <v>-9.4425877192982455E-2</v>
      </c>
    </row>
    <row r="361" spans="1:6" x14ac:dyDescent="0.25">
      <c r="C361" t="s">
        <v>800</v>
      </c>
      <c r="D361">
        <v>20501</v>
      </c>
      <c r="E361" t="s">
        <v>801</v>
      </c>
      <c r="F361">
        <v>-9.4425877192982455E-2</v>
      </c>
    </row>
    <row r="362" spans="1:6" x14ac:dyDescent="0.25">
      <c r="C362" t="s">
        <v>800</v>
      </c>
      <c r="D362">
        <v>20502</v>
      </c>
      <c r="E362" t="s">
        <v>801</v>
      </c>
      <c r="F362">
        <v>-9.4425877192982455E-2</v>
      </c>
    </row>
    <row r="363" spans="1:6" x14ac:dyDescent="0.25">
      <c r="C363" t="s">
        <v>800</v>
      </c>
      <c r="D363">
        <v>20503</v>
      </c>
      <c r="E363" t="s">
        <v>801</v>
      </c>
      <c r="F363">
        <v>-9.4425877192982455E-2</v>
      </c>
    </row>
    <row r="364" spans="1:6" x14ac:dyDescent="0.25">
      <c r="C364" t="s">
        <v>800</v>
      </c>
      <c r="D364">
        <v>20401</v>
      </c>
      <c r="E364" t="s">
        <v>801</v>
      </c>
      <c r="F364">
        <v>-9.4425877192982455E-2</v>
      </c>
    </row>
    <row r="365" spans="1:6" x14ac:dyDescent="0.25">
      <c r="C365" t="s">
        <v>800</v>
      </c>
      <c r="D365">
        <v>20402</v>
      </c>
      <c r="E365" t="s">
        <v>801</v>
      </c>
      <c r="F365">
        <v>-9.4425877192982455E-2</v>
      </c>
    </row>
    <row r="366" spans="1:6" x14ac:dyDescent="0.25">
      <c r="C366" t="s">
        <v>800</v>
      </c>
      <c r="D366">
        <v>20403</v>
      </c>
      <c r="E366" t="s">
        <v>801</v>
      </c>
      <c r="F366">
        <v>-9.4425877192982455E-2</v>
      </c>
    </row>
    <row r="367" spans="1:6" x14ac:dyDescent="0.25">
      <c r="C367" t="s">
        <v>800</v>
      </c>
      <c r="D367">
        <v>20301</v>
      </c>
      <c r="E367" t="s">
        <v>801</v>
      </c>
      <c r="F367">
        <v>-9.4425877192982455E-2</v>
      </c>
    </row>
    <row r="368" spans="1:6" x14ac:dyDescent="0.25">
      <c r="C368" t="s">
        <v>800</v>
      </c>
      <c r="D368">
        <v>20302</v>
      </c>
      <c r="E368" t="s">
        <v>801</v>
      </c>
      <c r="F368">
        <v>-9.4425877192982455E-2</v>
      </c>
    </row>
    <row r="369" spans="2:7" x14ac:dyDescent="0.25">
      <c r="C369" t="s">
        <v>800</v>
      </c>
      <c r="D369">
        <v>20303</v>
      </c>
      <c r="E369" t="s">
        <v>801</v>
      </c>
      <c r="F369">
        <v>-9.4425877192982455E-2</v>
      </c>
    </row>
    <row r="370" spans="2:7" x14ac:dyDescent="0.25">
      <c r="C370" t="s">
        <v>800</v>
      </c>
      <c r="D370">
        <v>20201</v>
      </c>
      <c r="E370" t="s">
        <v>801</v>
      </c>
      <c r="F370">
        <v>-9.4425877192982455E-2</v>
      </c>
    </row>
    <row r="371" spans="2:7" x14ac:dyDescent="0.25">
      <c r="C371" t="s">
        <v>800</v>
      </c>
      <c r="D371">
        <v>20202</v>
      </c>
      <c r="E371" t="s">
        <v>801</v>
      </c>
      <c r="F371">
        <v>-9.4425877192982455E-2</v>
      </c>
    </row>
    <row r="372" spans="2:7" x14ac:dyDescent="0.25">
      <c r="C372" t="s">
        <v>800</v>
      </c>
      <c r="D372">
        <v>20203</v>
      </c>
      <c r="E372" t="s">
        <v>801</v>
      </c>
      <c r="F372">
        <v>-9.4425877192982455E-2</v>
      </c>
    </row>
    <row r="374" spans="2:7" x14ac:dyDescent="0.25">
      <c r="B374" t="s">
        <v>802</v>
      </c>
    </row>
    <row r="375" spans="2:7" x14ac:dyDescent="0.25">
      <c r="C375" t="s">
        <v>458</v>
      </c>
      <c r="D375" t="s">
        <v>747</v>
      </c>
      <c r="E375" t="s">
        <v>745</v>
      </c>
      <c r="F375" t="s">
        <v>746</v>
      </c>
      <c r="G375" t="s">
        <v>803</v>
      </c>
    </row>
    <row r="376" spans="2:7" x14ac:dyDescent="0.25">
      <c r="C376" t="s">
        <v>548</v>
      </c>
      <c r="D376">
        <v>306</v>
      </c>
      <c r="E376">
        <v>0</v>
      </c>
      <c r="F376">
        <v>-99.225000000000009</v>
      </c>
      <c r="G376">
        <v>0</v>
      </c>
    </row>
    <row r="377" spans="2:7" x14ac:dyDescent="0.25">
      <c r="C377" t="s">
        <v>548</v>
      </c>
      <c r="D377">
        <v>305</v>
      </c>
      <c r="E377">
        <v>0</v>
      </c>
      <c r="F377">
        <v>-99.225000000000009</v>
      </c>
      <c r="G377">
        <v>0</v>
      </c>
    </row>
    <row r="378" spans="2:7" x14ac:dyDescent="0.25">
      <c r="C378" t="s">
        <v>548</v>
      </c>
      <c r="D378">
        <v>304</v>
      </c>
      <c r="E378">
        <v>0</v>
      </c>
      <c r="F378">
        <v>-99.225000000000009</v>
      </c>
      <c r="G378">
        <v>0</v>
      </c>
    </row>
    <row r="379" spans="2:7" x14ac:dyDescent="0.25">
      <c r="C379" t="s">
        <v>548</v>
      </c>
      <c r="D379">
        <v>303</v>
      </c>
      <c r="E379">
        <v>0</v>
      </c>
      <c r="F379">
        <v>-99.225000000000009</v>
      </c>
      <c r="G379">
        <v>0</v>
      </c>
    </row>
    <row r="380" spans="2:7" x14ac:dyDescent="0.25">
      <c r="C380" t="s">
        <v>548</v>
      </c>
      <c r="D380">
        <v>302</v>
      </c>
      <c r="E380">
        <v>0</v>
      </c>
      <c r="F380">
        <v>-118.125</v>
      </c>
      <c r="G380">
        <v>0</v>
      </c>
    </row>
    <row r="382" spans="2:7" x14ac:dyDescent="0.25">
      <c r="E382" t="s">
        <v>804</v>
      </c>
    </row>
    <row r="383" spans="2:7" x14ac:dyDescent="0.25">
      <c r="B383" t="s">
        <v>717</v>
      </c>
    </row>
    <row r="385" spans="1:7" x14ac:dyDescent="0.25">
      <c r="A385" t="s">
        <v>805</v>
      </c>
    </row>
    <row r="387" spans="1:7" x14ac:dyDescent="0.25">
      <c r="B387" t="s">
        <v>806</v>
      </c>
    </row>
    <row r="388" spans="1:7" x14ac:dyDescent="0.25">
      <c r="C388" t="s">
        <v>458</v>
      </c>
      <c r="D388" t="s">
        <v>744</v>
      </c>
      <c r="E388" t="s">
        <v>745</v>
      </c>
      <c r="F388" t="s">
        <v>746</v>
      </c>
      <c r="G388" t="s">
        <v>630</v>
      </c>
    </row>
    <row r="389" spans="1:7" x14ac:dyDescent="0.25">
      <c r="C389" t="s">
        <v>807</v>
      </c>
      <c r="D389">
        <v>201011</v>
      </c>
      <c r="E389" t="s">
        <v>808</v>
      </c>
      <c r="F389" t="s">
        <v>809</v>
      </c>
      <c r="G389" t="s">
        <v>810</v>
      </c>
    </row>
    <row r="390" spans="1:7" x14ac:dyDescent="0.25">
      <c r="C390" t="s">
        <v>807</v>
      </c>
      <c r="D390">
        <v>201012</v>
      </c>
      <c r="E390" t="s">
        <v>808</v>
      </c>
      <c r="F390" t="s">
        <v>809</v>
      </c>
      <c r="G390" t="s">
        <v>810</v>
      </c>
    </row>
    <row r="391" spans="1:7" x14ac:dyDescent="0.25">
      <c r="C391" t="s">
        <v>807</v>
      </c>
      <c r="D391">
        <v>201013</v>
      </c>
      <c r="E391" t="s">
        <v>808</v>
      </c>
      <c r="F391" t="s">
        <v>809</v>
      </c>
      <c r="G391" t="s">
        <v>810</v>
      </c>
    </row>
    <row r="392" spans="1:7" x14ac:dyDescent="0.25">
      <c r="C392" t="s">
        <v>807</v>
      </c>
      <c r="D392">
        <v>201021</v>
      </c>
      <c r="E392" t="s">
        <v>808</v>
      </c>
      <c r="F392" t="s">
        <v>809</v>
      </c>
      <c r="G392" t="s">
        <v>810</v>
      </c>
    </row>
    <row r="393" spans="1:7" x14ac:dyDescent="0.25">
      <c r="C393" t="s">
        <v>807</v>
      </c>
      <c r="D393">
        <v>201022</v>
      </c>
      <c r="E393" t="s">
        <v>808</v>
      </c>
      <c r="F393" t="s">
        <v>809</v>
      </c>
      <c r="G393" t="s">
        <v>810</v>
      </c>
    </row>
    <row r="394" spans="1:7" x14ac:dyDescent="0.25">
      <c r="C394" t="s">
        <v>807</v>
      </c>
      <c r="D394">
        <v>201023</v>
      </c>
      <c r="E394" t="s">
        <v>808</v>
      </c>
      <c r="F394" t="s">
        <v>809</v>
      </c>
      <c r="G394" t="s">
        <v>810</v>
      </c>
    </row>
    <row r="395" spans="1:7" x14ac:dyDescent="0.25">
      <c r="C395" t="s">
        <v>807</v>
      </c>
      <c r="D395">
        <v>201031</v>
      </c>
      <c r="E395" t="s">
        <v>808</v>
      </c>
      <c r="F395" t="s">
        <v>809</v>
      </c>
      <c r="G395" t="s">
        <v>810</v>
      </c>
    </row>
    <row r="396" spans="1:7" x14ac:dyDescent="0.25">
      <c r="C396" t="s">
        <v>807</v>
      </c>
      <c r="D396">
        <v>201032</v>
      </c>
      <c r="E396" t="s">
        <v>808</v>
      </c>
      <c r="F396" t="s">
        <v>809</v>
      </c>
      <c r="G396" t="s">
        <v>810</v>
      </c>
    </row>
    <row r="397" spans="1:7" x14ac:dyDescent="0.25">
      <c r="C397" t="s">
        <v>807</v>
      </c>
      <c r="D397">
        <v>201033</v>
      </c>
      <c r="E397" t="s">
        <v>808</v>
      </c>
      <c r="F397" t="s">
        <v>809</v>
      </c>
      <c r="G397" t="s">
        <v>810</v>
      </c>
    </row>
    <row r="398" spans="1:7" x14ac:dyDescent="0.25">
      <c r="C398" t="s">
        <v>807</v>
      </c>
      <c r="D398">
        <v>201041</v>
      </c>
      <c r="E398" t="s">
        <v>808</v>
      </c>
      <c r="F398" t="s">
        <v>809</v>
      </c>
      <c r="G398" t="s">
        <v>810</v>
      </c>
    </row>
    <row r="399" spans="1:7" x14ac:dyDescent="0.25">
      <c r="C399" t="s">
        <v>807</v>
      </c>
      <c r="D399">
        <v>201042</v>
      </c>
      <c r="E399" t="s">
        <v>808</v>
      </c>
      <c r="F399" t="s">
        <v>809</v>
      </c>
      <c r="G399" t="s">
        <v>810</v>
      </c>
    </row>
    <row r="400" spans="1:7" x14ac:dyDescent="0.25">
      <c r="C400" t="s">
        <v>807</v>
      </c>
      <c r="D400">
        <v>201043</v>
      </c>
      <c r="E400" t="s">
        <v>808</v>
      </c>
      <c r="F400" t="s">
        <v>809</v>
      </c>
      <c r="G400" t="s">
        <v>810</v>
      </c>
    </row>
    <row r="402" spans="2:7" x14ac:dyDescent="0.25">
      <c r="B402" t="s">
        <v>811</v>
      </c>
    </row>
    <row r="403" spans="2:7" x14ac:dyDescent="0.25">
      <c r="C403" t="s">
        <v>458</v>
      </c>
      <c r="D403" t="s">
        <v>744</v>
      </c>
      <c r="E403" t="s">
        <v>745</v>
      </c>
      <c r="F403" t="s">
        <v>746</v>
      </c>
      <c r="G403" t="s">
        <v>630</v>
      </c>
    </row>
    <row r="404" spans="2:7" x14ac:dyDescent="0.25">
      <c r="C404" t="s">
        <v>807</v>
      </c>
      <c r="D404">
        <v>206011</v>
      </c>
      <c r="E404">
        <v>9.6860558953448857E-3</v>
      </c>
      <c r="F404">
        <v>9.6860558953448857E-3</v>
      </c>
      <c r="G404" t="s">
        <v>810</v>
      </c>
    </row>
    <row r="405" spans="2:7" x14ac:dyDescent="0.25">
      <c r="C405" t="s">
        <v>807</v>
      </c>
      <c r="D405">
        <v>206012</v>
      </c>
      <c r="E405">
        <v>9.6860558953448857E-3</v>
      </c>
      <c r="F405">
        <v>9.6860558953448857E-3</v>
      </c>
      <c r="G405" t="s">
        <v>810</v>
      </c>
    </row>
    <row r="406" spans="2:7" x14ac:dyDescent="0.25">
      <c r="C406" t="s">
        <v>807</v>
      </c>
      <c r="D406">
        <v>206013</v>
      </c>
      <c r="E406">
        <v>9.6860558953448857E-3</v>
      </c>
      <c r="F406">
        <v>9.6860558953448857E-3</v>
      </c>
      <c r="G406" t="s">
        <v>810</v>
      </c>
    </row>
    <row r="407" spans="2:7" x14ac:dyDescent="0.25">
      <c r="C407" t="s">
        <v>807</v>
      </c>
      <c r="D407">
        <v>206014</v>
      </c>
      <c r="E407">
        <v>9.6860558953448857E-3</v>
      </c>
      <c r="F407">
        <v>9.6860558953448857E-3</v>
      </c>
      <c r="G407" t="s">
        <v>810</v>
      </c>
    </row>
    <row r="408" spans="2:7" x14ac:dyDescent="0.25">
      <c r="C408" t="s">
        <v>807</v>
      </c>
      <c r="D408">
        <v>206021</v>
      </c>
      <c r="E408">
        <v>1.901087325857968E-2</v>
      </c>
      <c r="F408">
        <v>1.901087325857968E-2</v>
      </c>
      <c r="G408" t="s">
        <v>810</v>
      </c>
    </row>
    <row r="409" spans="2:7" x14ac:dyDescent="0.25">
      <c r="C409" t="s">
        <v>807</v>
      </c>
      <c r="D409">
        <v>206022</v>
      </c>
      <c r="E409">
        <v>1.901087325857968E-2</v>
      </c>
      <c r="F409">
        <v>1.901087325857968E-2</v>
      </c>
      <c r="G409" t="s">
        <v>810</v>
      </c>
    </row>
    <row r="410" spans="2:7" x14ac:dyDescent="0.25">
      <c r="C410" t="s">
        <v>807</v>
      </c>
      <c r="D410">
        <v>206023</v>
      </c>
      <c r="E410">
        <v>1.901087325857968E-2</v>
      </c>
      <c r="F410">
        <v>1.901087325857968E-2</v>
      </c>
      <c r="G410" t="s">
        <v>810</v>
      </c>
    </row>
    <row r="411" spans="2:7" x14ac:dyDescent="0.25">
      <c r="C411" t="s">
        <v>807</v>
      </c>
      <c r="D411">
        <v>206024</v>
      </c>
      <c r="E411">
        <v>1.901087325857968E-2</v>
      </c>
      <c r="F411">
        <v>1.901087325857968E-2</v>
      </c>
      <c r="G411" t="s">
        <v>810</v>
      </c>
    </row>
    <row r="412" spans="2:7" x14ac:dyDescent="0.25">
      <c r="C412" t="s">
        <v>807</v>
      </c>
      <c r="D412">
        <v>206031</v>
      </c>
      <c r="E412">
        <v>1.901087325857968E-2</v>
      </c>
      <c r="F412">
        <v>1.901087325857968E-2</v>
      </c>
      <c r="G412" t="s">
        <v>810</v>
      </c>
    </row>
    <row r="413" spans="2:7" x14ac:dyDescent="0.25">
      <c r="C413" t="s">
        <v>807</v>
      </c>
      <c r="D413">
        <v>206032</v>
      </c>
      <c r="E413">
        <v>1.901087325857968E-2</v>
      </c>
      <c r="F413">
        <v>1.901087325857968E-2</v>
      </c>
      <c r="G413" t="s">
        <v>810</v>
      </c>
    </row>
    <row r="414" spans="2:7" x14ac:dyDescent="0.25">
      <c r="C414" t="s">
        <v>807</v>
      </c>
      <c r="D414">
        <v>206033</v>
      </c>
      <c r="E414">
        <v>1.901087325857968E-2</v>
      </c>
      <c r="F414">
        <v>1.901087325857968E-2</v>
      </c>
      <c r="G414" t="s">
        <v>810</v>
      </c>
    </row>
    <row r="415" spans="2:7" x14ac:dyDescent="0.25">
      <c r="C415" t="s">
        <v>807</v>
      </c>
      <c r="D415">
        <v>206034</v>
      </c>
      <c r="E415">
        <v>1.901087325857968E-2</v>
      </c>
      <c r="F415">
        <v>1.901087325857968E-2</v>
      </c>
      <c r="G415" t="s">
        <v>810</v>
      </c>
    </row>
    <row r="416" spans="2:7" x14ac:dyDescent="0.25">
      <c r="C416" t="s">
        <v>807</v>
      </c>
      <c r="D416">
        <v>206041</v>
      </c>
      <c r="E416">
        <v>9.6860558953448857E-3</v>
      </c>
      <c r="F416">
        <v>9.6860558953448857E-3</v>
      </c>
      <c r="G416" t="s">
        <v>810</v>
      </c>
    </row>
    <row r="417" spans="3:7" x14ac:dyDescent="0.25">
      <c r="C417" t="s">
        <v>807</v>
      </c>
      <c r="D417">
        <v>206042</v>
      </c>
      <c r="E417">
        <v>9.6860558953448857E-3</v>
      </c>
      <c r="F417">
        <v>9.6860558953448857E-3</v>
      </c>
      <c r="G417" t="s">
        <v>810</v>
      </c>
    </row>
    <row r="418" spans="3:7" x14ac:dyDescent="0.25">
      <c r="C418" t="s">
        <v>807</v>
      </c>
      <c r="D418">
        <v>206043</v>
      </c>
      <c r="E418">
        <v>9.6860558953448857E-3</v>
      </c>
      <c r="F418">
        <v>9.6860558953448857E-3</v>
      </c>
      <c r="G418" t="s">
        <v>810</v>
      </c>
    </row>
    <row r="419" spans="3:7" x14ac:dyDescent="0.25">
      <c r="C419" t="s">
        <v>807</v>
      </c>
      <c r="D419">
        <v>206044</v>
      </c>
      <c r="E419">
        <v>9.6860558953448857E-3</v>
      </c>
      <c r="F419">
        <v>9.6860558953448857E-3</v>
      </c>
      <c r="G419" t="s">
        <v>810</v>
      </c>
    </row>
    <row r="421" spans="3:7" x14ac:dyDescent="0.25">
      <c r="C421" t="s">
        <v>807</v>
      </c>
      <c r="D421">
        <v>205011</v>
      </c>
      <c r="E421">
        <v>9.6860558953448857E-3</v>
      </c>
      <c r="F421">
        <v>9.6860558953448857E-3</v>
      </c>
      <c r="G421" t="s">
        <v>810</v>
      </c>
    </row>
    <row r="422" spans="3:7" x14ac:dyDescent="0.25">
      <c r="C422" t="s">
        <v>807</v>
      </c>
      <c r="D422">
        <v>205012</v>
      </c>
      <c r="E422">
        <v>9.6860558953448857E-3</v>
      </c>
      <c r="F422">
        <v>9.6860558953448857E-3</v>
      </c>
      <c r="G422" t="s">
        <v>810</v>
      </c>
    </row>
    <row r="423" spans="3:7" x14ac:dyDescent="0.25">
      <c r="C423" t="s">
        <v>807</v>
      </c>
      <c r="D423">
        <v>205013</v>
      </c>
      <c r="E423">
        <v>9.6860558953448857E-3</v>
      </c>
      <c r="F423">
        <v>9.6860558953448857E-3</v>
      </c>
      <c r="G423" t="s">
        <v>810</v>
      </c>
    </row>
    <row r="424" spans="3:7" x14ac:dyDescent="0.25">
      <c r="C424" t="s">
        <v>807</v>
      </c>
      <c r="D424">
        <v>205014</v>
      </c>
      <c r="E424">
        <v>9.6860558953448857E-3</v>
      </c>
      <c r="F424">
        <v>9.6860558953448857E-3</v>
      </c>
      <c r="G424" t="s">
        <v>810</v>
      </c>
    </row>
    <row r="425" spans="3:7" x14ac:dyDescent="0.25">
      <c r="C425" t="s">
        <v>807</v>
      </c>
      <c r="D425">
        <v>205021</v>
      </c>
      <c r="E425">
        <v>1.901087325857968E-2</v>
      </c>
      <c r="F425">
        <v>1.901087325857968E-2</v>
      </c>
      <c r="G425" t="s">
        <v>810</v>
      </c>
    </row>
    <row r="426" spans="3:7" x14ac:dyDescent="0.25">
      <c r="C426" t="s">
        <v>807</v>
      </c>
      <c r="D426">
        <v>205022</v>
      </c>
      <c r="E426">
        <v>1.901087325857968E-2</v>
      </c>
      <c r="F426">
        <v>1.901087325857968E-2</v>
      </c>
      <c r="G426" t="s">
        <v>810</v>
      </c>
    </row>
    <row r="427" spans="3:7" x14ac:dyDescent="0.25">
      <c r="C427" t="s">
        <v>807</v>
      </c>
      <c r="D427">
        <v>205023</v>
      </c>
      <c r="E427">
        <v>1.901087325857968E-2</v>
      </c>
      <c r="F427">
        <v>1.901087325857968E-2</v>
      </c>
      <c r="G427" t="s">
        <v>810</v>
      </c>
    </row>
    <row r="428" spans="3:7" x14ac:dyDescent="0.25">
      <c r="C428" t="s">
        <v>807</v>
      </c>
      <c r="D428">
        <v>205024</v>
      </c>
      <c r="E428">
        <v>1.901087325857968E-2</v>
      </c>
      <c r="F428">
        <v>1.901087325857968E-2</v>
      </c>
      <c r="G428" t="s">
        <v>810</v>
      </c>
    </row>
    <row r="429" spans="3:7" x14ac:dyDescent="0.25">
      <c r="C429" t="s">
        <v>807</v>
      </c>
      <c r="D429">
        <v>205031</v>
      </c>
      <c r="E429">
        <v>1.901087325857968E-2</v>
      </c>
      <c r="F429">
        <v>1.901087325857968E-2</v>
      </c>
      <c r="G429" t="s">
        <v>810</v>
      </c>
    </row>
    <row r="430" spans="3:7" x14ac:dyDescent="0.25">
      <c r="C430" t="s">
        <v>807</v>
      </c>
      <c r="D430">
        <v>205032</v>
      </c>
      <c r="E430">
        <v>1.901087325857968E-2</v>
      </c>
      <c r="F430">
        <v>1.901087325857968E-2</v>
      </c>
      <c r="G430" t="s">
        <v>810</v>
      </c>
    </row>
    <row r="431" spans="3:7" x14ac:dyDescent="0.25">
      <c r="C431" t="s">
        <v>807</v>
      </c>
      <c r="D431">
        <v>205033</v>
      </c>
      <c r="E431">
        <v>1.901087325857968E-2</v>
      </c>
      <c r="F431">
        <v>1.901087325857968E-2</v>
      </c>
      <c r="G431" t="s">
        <v>810</v>
      </c>
    </row>
    <row r="432" spans="3:7" x14ac:dyDescent="0.25">
      <c r="C432" t="s">
        <v>807</v>
      </c>
      <c r="D432">
        <v>205034</v>
      </c>
      <c r="E432">
        <v>1.901087325857968E-2</v>
      </c>
      <c r="F432">
        <v>1.901087325857968E-2</v>
      </c>
      <c r="G432" t="s">
        <v>810</v>
      </c>
    </row>
    <row r="433" spans="3:7" x14ac:dyDescent="0.25">
      <c r="C433" t="s">
        <v>807</v>
      </c>
      <c r="D433">
        <v>205041</v>
      </c>
      <c r="E433">
        <v>9.6860558953448857E-3</v>
      </c>
      <c r="F433">
        <v>9.6860558953448857E-3</v>
      </c>
      <c r="G433" t="s">
        <v>810</v>
      </c>
    </row>
    <row r="434" spans="3:7" x14ac:dyDescent="0.25">
      <c r="C434" t="s">
        <v>807</v>
      </c>
      <c r="D434">
        <v>205042</v>
      </c>
      <c r="E434">
        <v>9.6860558953448857E-3</v>
      </c>
      <c r="F434">
        <v>9.6860558953448857E-3</v>
      </c>
      <c r="G434" t="s">
        <v>810</v>
      </c>
    </row>
    <row r="435" spans="3:7" x14ac:dyDescent="0.25">
      <c r="C435" t="s">
        <v>807</v>
      </c>
      <c r="D435">
        <v>205043</v>
      </c>
      <c r="E435">
        <v>9.6860558953448857E-3</v>
      </c>
      <c r="F435">
        <v>9.6860558953448857E-3</v>
      </c>
      <c r="G435" t="s">
        <v>810</v>
      </c>
    </row>
    <row r="436" spans="3:7" x14ac:dyDescent="0.25">
      <c r="C436" t="s">
        <v>807</v>
      </c>
      <c r="D436">
        <v>205044</v>
      </c>
      <c r="E436">
        <v>9.6860558953448857E-3</v>
      </c>
      <c r="F436">
        <v>9.6860558953448857E-3</v>
      </c>
      <c r="G436" t="s">
        <v>810</v>
      </c>
    </row>
    <row r="438" spans="3:7" x14ac:dyDescent="0.25">
      <c r="C438" t="s">
        <v>807</v>
      </c>
      <c r="D438">
        <v>204011</v>
      </c>
      <c r="E438">
        <v>9.6860558953448857E-3</v>
      </c>
      <c r="F438">
        <v>9.6860558953448857E-3</v>
      </c>
      <c r="G438" t="s">
        <v>810</v>
      </c>
    </row>
    <row r="439" spans="3:7" x14ac:dyDescent="0.25">
      <c r="C439" t="s">
        <v>807</v>
      </c>
      <c r="D439">
        <v>204012</v>
      </c>
      <c r="E439">
        <v>9.6860558953448857E-3</v>
      </c>
      <c r="F439">
        <v>9.6860558953448857E-3</v>
      </c>
      <c r="G439" t="s">
        <v>810</v>
      </c>
    </row>
    <row r="440" spans="3:7" x14ac:dyDescent="0.25">
      <c r="C440" t="s">
        <v>807</v>
      </c>
      <c r="D440">
        <v>204013</v>
      </c>
      <c r="E440">
        <v>9.6860558953448857E-3</v>
      </c>
      <c r="F440">
        <v>9.6860558953448857E-3</v>
      </c>
      <c r="G440" t="s">
        <v>810</v>
      </c>
    </row>
    <row r="441" spans="3:7" x14ac:dyDescent="0.25">
      <c r="C441" t="s">
        <v>807</v>
      </c>
      <c r="D441">
        <v>204014</v>
      </c>
      <c r="E441">
        <v>9.6860558953448857E-3</v>
      </c>
      <c r="F441">
        <v>9.6860558953448857E-3</v>
      </c>
      <c r="G441" t="s">
        <v>810</v>
      </c>
    </row>
    <row r="442" spans="3:7" x14ac:dyDescent="0.25">
      <c r="C442" t="s">
        <v>807</v>
      </c>
      <c r="D442">
        <v>204021</v>
      </c>
      <c r="E442">
        <v>1.901087325857968E-2</v>
      </c>
      <c r="F442">
        <v>1.901087325857968E-2</v>
      </c>
      <c r="G442" t="s">
        <v>810</v>
      </c>
    </row>
    <row r="443" spans="3:7" x14ac:dyDescent="0.25">
      <c r="C443" t="s">
        <v>807</v>
      </c>
      <c r="D443">
        <v>204022</v>
      </c>
      <c r="E443">
        <v>1.901087325857968E-2</v>
      </c>
      <c r="F443">
        <v>1.901087325857968E-2</v>
      </c>
      <c r="G443" t="s">
        <v>810</v>
      </c>
    </row>
    <row r="444" spans="3:7" x14ac:dyDescent="0.25">
      <c r="C444" t="s">
        <v>807</v>
      </c>
      <c r="D444">
        <v>204023</v>
      </c>
      <c r="E444">
        <v>1.901087325857968E-2</v>
      </c>
      <c r="F444">
        <v>1.901087325857968E-2</v>
      </c>
      <c r="G444" t="s">
        <v>810</v>
      </c>
    </row>
    <row r="445" spans="3:7" x14ac:dyDescent="0.25">
      <c r="C445" t="s">
        <v>807</v>
      </c>
      <c r="D445">
        <v>204024</v>
      </c>
      <c r="E445">
        <v>1.901087325857968E-2</v>
      </c>
      <c r="F445">
        <v>1.901087325857968E-2</v>
      </c>
      <c r="G445" t="s">
        <v>810</v>
      </c>
    </row>
    <row r="446" spans="3:7" x14ac:dyDescent="0.25">
      <c r="C446" t="s">
        <v>807</v>
      </c>
      <c r="D446">
        <v>204031</v>
      </c>
      <c r="E446">
        <v>1.901087325857968E-2</v>
      </c>
      <c r="F446">
        <v>1.901087325857968E-2</v>
      </c>
      <c r="G446" t="s">
        <v>810</v>
      </c>
    </row>
    <row r="447" spans="3:7" x14ac:dyDescent="0.25">
      <c r="C447" t="s">
        <v>807</v>
      </c>
      <c r="D447">
        <v>204032</v>
      </c>
      <c r="E447">
        <v>1.901087325857968E-2</v>
      </c>
      <c r="F447">
        <v>1.901087325857968E-2</v>
      </c>
      <c r="G447" t="s">
        <v>810</v>
      </c>
    </row>
    <row r="448" spans="3:7" x14ac:dyDescent="0.25">
      <c r="C448" t="s">
        <v>807</v>
      </c>
      <c r="D448">
        <v>204033</v>
      </c>
      <c r="E448">
        <v>1.901087325857968E-2</v>
      </c>
      <c r="F448">
        <v>1.901087325857968E-2</v>
      </c>
      <c r="G448" t="s">
        <v>810</v>
      </c>
    </row>
    <row r="449" spans="3:7" x14ac:dyDescent="0.25">
      <c r="C449" t="s">
        <v>807</v>
      </c>
      <c r="D449">
        <v>204034</v>
      </c>
      <c r="E449">
        <v>1.901087325857968E-2</v>
      </c>
      <c r="F449">
        <v>1.901087325857968E-2</v>
      </c>
      <c r="G449" t="s">
        <v>810</v>
      </c>
    </row>
    <row r="450" spans="3:7" x14ac:dyDescent="0.25">
      <c r="C450" t="s">
        <v>807</v>
      </c>
      <c r="D450">
        <v>204041</v>
      </c>
      <c r="E450">
        <v>9.6860558953448857E-3</v>
      </c>
      <c r="F450">
        <v>9.6860558953448857E-3</v>
      </c>
      <c r="G450" t="s">
        <v>810</v>
      </c>
    </row>
    <row r="451" spans="3:7" x14ac:dyDescent="0.25">
      <c r="C451" t="s">
        <v>807</v>
      </c>
      <c r="D451">
        <v>204042</v>
      </c>
      <c r="E451">
        <v>9.6860558953448857E-3</v>
      </c>
      <c r="F451">
        <v>9.6860558953448857E-3</v>
      </c>
      <c r="G451" t="s">
        <v>810</v>
      </c>
    </row>
    <row r="452" spans="3:7" x14ac:dyDescent="0.25">
      <c r="C452" t="s">
        <v>807</v>
      </c>
      <c r="D452">
        <v>204043</v>
      </c>
      <c r="E452">
        <v>9.6860558953448857E-3</v>
      </c>
      <c r="F452">
        <v>9.6860558953448857E-3</v>
      </c>
      <c r="G452" t="s">
        <v>810</v>
      </c>
    </row>
    <row r="453" spans="3:7" x14ac:dyDescent="0.25">
      <c r="C453" t="s">
        <v>807</v>
      </c>
      <c r="D453">
        <v>204044</v>
      </c>
      <c r="E453">
        <v>9.6860558953448857E-3</v>
      </c>
      <c r="F453">
        <v>9.6860558953448857E-3</v>
      </c>
      <c r="G453" t="s">
        <v>810</v>
      </c>
    </row>
    <row r="455" spans="3:7" x14ac:dyDescent="0.25">
      <c r="C455" t="s">
        <v>807</v>
      </c>
      <c r="D455">
        <v>203011</v>
      </c>
      <c r="E455">
        <v>9.6860558953448857E-3</v>
      </c>
      <c r="F455">
        <v>9.6860558953448857E-3</v>
      </c>
      <c r="G455" t="s">
        <v>810</v>
      </c>
    </row>
    <row r="456" spans="3:7" x14ac:dyDescent="0.25">
      <c r="C456" t="s">
        <v>807</v>
      </c>
      <c r="D456">
        <v>203012</v>
      </c>
      <c r="E456">
        <v>9.6860558953448857E-3</v>
      </c>
      <c r="F456">
        <v>9.6860558953448857E-3</v>
      </c>
      <c r="G456" t="s">
        <v>810</v>
      </c>
    </row>
    <row r="457" spans="3:7" x14ac:dyDescent="0.25">
      <c r="C457" t="s">
        <v>807</v>
      </c>
      <c r="D457">
        <v>203013</v>
      </c>
      <c r="E457">
        <v>9.6860558953448857E-3</v>
      </c>
      <c r="F457">
        <v>9.6860558953448857E-3</v>
      </c>
      <c r="G457" t="s">
        <v>810</v>
      </c>
    </row>
    <row r="458" spans="3:7" x14ac:dyDescent="0.25">
      <c r="C458" t="s">
        <v>807</v>
      </c>
      <c r="D458">
        <v>203014</v>
      </c>
      <c r="E458">
        <v>9.6860558953448857E-3</v>
      </c>
      <c r="F458">
        <v>9.6860558953448857E-3</v>
      </c>
      <c r="G458" t="s">
        <v>810</v>
      </c>
    </row>
    <row r="459" spans="3:7" x14ac:dyDescent="0.25">
      <c r="C459" t="s">
        <v>807</v>
      </c>
      <c r="D459">
        <v>203021</v>
      </c>
      <c r="E459">
        <v>1.901087325857968E-2</v>
      </c>
      <c r="F459">
        <v>1.901087325857968E-2</v>
      </c>
      <c r="G459" t="s">
        <v>810</v>
      </c>
    </row>
    <row r="460" spans="3:7" x14ac:dyDescent="0.25">
      <c r="C460" t="s">
        <v>807</v>
      </c>
      <c r="D460">
        <v>203022</v>
      </c>
      <c r="E460">
        <v>1.901087325857968E-2</v>
      </c>
      <c r="F460">
        <v>1.901087325857968E-2</v>
      </c>
      <c r="G460" t="s">
        <v>810</v>
      </c>
    </row>
    <row r="461" spans="3:7" x14ac:dyDescent="0.25">
      <c r="C461" t="s">
        <v>807</v>
      </c>
      <c r="D461">
        <v>203023</v>
      </c>
      <c r="E461">
        <v>1.901087325857968E-2</v>
      </c>
      <c r="F461">
        <v>1.901087325857968E-2</v>
      </c>
      <c r="G461" t="s">
        <v>810</v>
      </c>
    </row>
    <row r="462" spans="3:7" x14ac:dyDescent="0.25">
      <c r="C462" t="s">
        <v>807</v>
      </c>
      <c r="D462">
        <v>203024</v>
      </c>
      <c r="E462">
        <v>1.901087325857968E-2</v>
      </c>
      <c r="F462">
        <v>1.901087325857968E-2</v>
      </c>
      <c r="G462" t="s">
        <v>810</v>
      </c>
    </row>
    <row r="463" spans="3:7" x14ac:dyDescent="0.25">
      <c r="C463" t="s">
        <v>807</v>
      </c>
      <c r="D463">
        <v>203031</v>
      </c>
      <c r="E463">
        <v>1.901087325857968E-2</v>
      </c>
      <c r="F463">
        <v>1.901087325857968E-2</v>
      </c>
      <c r="G463" t="s">
        <v>810</v>
      </c>
    </row>
    <row r="464" spans="3:7" x14ac:dyDescent="0.25">
      <c r="C464" t="s">
        <v>807</v>
      </c>
      <c r="D464">
        <v>203032</v>
      </c>
      <c r="E464">
        <v>1.901087325857968E-2</v>
      </c>
      <c r="F464">
        <v>1.901087325857968E-2</v>
      </c>
      <c r="G464" t="s">
        <v>810</v>
      </c>
    </row>
    <row r="465" spans="3:7" x14ac:dyDescent="0.25">
      <c r="C465" t="s">
        <v>807</v>
      </c>
      <c r="D465">
        <v>203033</v>
      </c>
      <c r="E465">
        <v>1.901087325857968E-2</v>
      </c>
      <c r="F465">
        <v>1.901087325857968E-2</v>
      </c>
      <c r="G465" t="s">
        <v>810</v>
      </c>
    </row>
    <row r="466" spans="3:7" x14ac:dyDescent="0.25">
      <c r="C466" t="s">
        <v>807</v>
      </c>
      <c r="D466">
        <v>203034</v>
      </c>
      <c r="E466">
        <v>1.901087325857968E-2</v>
      </c>
      <c r="F466">
        <v>1.901087325857968E-2</v>
      </c>
      <c r="G466" t="s">
        <v>810</v>
      </c>
    </row>
    <row r="467" spans="3:7" x14ac:dyDescent="0.25">
      <c r="C467" t="s">
        <v>807</v>
      </c>
      <c r="D467">
        <v>203041</v>
      </c>
      <c r="E467">
        <v>9.6860558953448857E-3</v>
      </c>
      <c r="F467">
        <v>9.6860558953448857E-3</v>
      </c>
      <c r="G467" t="s">
        <v>810</v>
      </c>
    </row>
    <row r="468" spans="3:7" x14ac:dyDescent="0.25">
      <c r="C468" t="s">
        <v>807</v>
      </c>
      <c r="D468">
        <v>203042</v>
      </c>
      <c r="E468">
        <v>9.6860558953448857E-3</v>
      </c>
      <c r="F468">
        <v>9.6860558953448857E-3</v>
      </c>
      <c r="G468" t="s">
        <v>810</v>
      </c>
    </row>
    <row r="469" spans="3:7" x14ac:dyDescent="0.25">
      <c r="C469" t="s">
        <v>807</v>
      </c>
      <c r="D469">
        <v>203043</v>
      </c>
      <c r="E469">
        <v>9.6860558953448857E-3</v>
      </c>
      <c r="F469">
        <v>9.6860558953448857E-3</v>
      </c>
      <c r="G469" t="s">
        <v>810</v>
      </c>
    </row>
    <row r="470" spans="3:7" x14ac:dyDescent="0.25">
      <c r="C470" t="s">
        <v>807</v>
      </c>
      <c r="D470">
        <v>203044</v>
      </c>
      <c r="E470">
        <v>9.6860558953448857E-3</v>
      </c>
      <c r="F470">
        <v>9.6860558953448857E-3</v>
      </c>
      <c r="G470" t="s">
        <v>810</v>
      </c>
    </row>
    <row r="472" spans="3:7" x14ac:dyDescent="0.25">
      <c r="C472" t="s">
        <v>807</v>
      </c>
      <c r="D472">
        <v>202011</v>
      </c>
      <c r="E472">
        <v>9.7892669045191987E-3</v>
      </c>
      <c r="F472">
        <v>9.7892669045191987E-3</v>
      </c>
      <c r="G472" t="s">
        <v>810</v>
      </c>
    </row>
    <row r="473" spans="3:7" x14ac:dyDescent="0.25">
      <c r="C473" t="s">
        <v>807</v>
      </c>
      <c r="D473">
        <v>202012</v>
      </c>
      <c r="E473">
        <v>9.7892669045191987E-3</v>
      </c>
      <c r="F473">
        <v>9.7892669045191987E-3</v>
      </c>
      <c r="G473" t="s">
        <v>810</v>
      </c>
    </row>
    <row r="474" spans="3:7" x14ac:dyDescent="0.25">
      <c r="C474" t="s">
        <v>807</v>
      </c>
      <c r="D474">
        <v>202013</v>
      </c>
      <c r="E474">
        <v>9.7892669045191987E-3</v>
      </c>
      <c r="F474">
        <v>9.7892669045191987E-3</v>
      </c>
      <c r="G474" t="s">
        <v>810</v>
      </c>
    </row>
    <row r="475" spans="3:7" x14ac:dyDescent="0.25">
      <c r="C475" t="s">
        <v>807</v>
      </c>
      <c r="D475">
        <v>202014</v>
      </c>
      <c r="E475">
        <v>9.7892669045191987E-3</v>
      </c>
      <c r="F475">
        <v>9.7892669045191987E-3</v>
      </c>
      <c r="G475" t="s">
        <v>810</v>
      </c>
    </row>
    <row r="476" spans="3:7" x14ac:dyDescent="0.25">
      <c r="C476" t="s">
        <v>807</v>
      </c>
      <c r="D476">
        <v>202021</v>
      </c>
      <c r="E476">
        <v>1.9148487937478764E-2</v>
      </c>
      <c r="F476">
        <v>1.9148487937478764E-2</v>
      </c>
      <c r="G476" t="s">
        <v>810</v>
      </c>
    </row>
    <row r="477" spans="3:7" x14ac:dyDescent="0.25">
      <c r="C477" t="s">
        <v>807</v>
      </c>
      <c r="D477">
        <v>202022</v>
      </c>
      <c r="E477">
        <v>1.9148487937478764E-2</v>
      </c>
      <c r="F477">
        <v>1.9148487937478764E-2</v>
      </c>
      <c r="G477" t="s">
        <v>810</v>
      </c>
    </row>
    <row r="478" spans="3:7" x14ac:dyDescent="0.25">
      <c r="C478" t="s">
        <v>807</v>
      </c>
      <c r="D478">
        <v>202023</v>
      </c>
      <c r="E478">
        <v>1.9148487937478764E-2</v>
      </c>
      <c r="F478">
        <v>1.9148487937478764E-2</v>
      </c>
      <c r="G478" t="s">
        <v>810</v>
      </c>
    </row>
    <row r="479" spans="3:7" x14ac:dyDescent="0.25">
      <c r="C479" t="s">
        <v>807</v>
      </c>
      <c r="D479">
        <v>202024</v>
      </c>
      <c r="E479">
        <v>1.9148487937478764E-2</v>
      </c>
      <c r="F479">
        <v>1.9148487937478764E-2</v>
      </c>
      <c r="G479" t="s">
        <v>810</v>
      </c>
    </row>
    <row r="480" spans="3:7" x14ac:dyDescent="0.25">
      <c r="C480" t="s">
        <v>807</v>
      </c>
      <c r="D480">
        <v>202031</v>
      </c>
      <c r="E480">
        <v>1.9148487937478764E-2</v>
      </c>
      <c r="F480">
        <v>1.9148487937478764E-2</v>
      </c>
      <c r="G480" t="s">
        <v>810</v>
      </c>
    </row>
    <row r="481" spans="1:7" x14ac:dyDescent="0.25">
      <c r="C481" t="s">
        <v>807</v>
      </c>
      <c r="D481">
        <v>202032</v>
      </c>
      <c r="E481">
        <v>1.9148487937478764E-2</v>
      </c>
      <c r="F481">
        <v>1.9148487937478764E-2</v>
      </c>
      <c r="G481" t="s">
        <v>810</v>
      </c>
    </row>
    <row r="482" spans="1:7" x14ac:dyDescent="0.25">
      <c r="C482" t="s">
        <v>807</v>
      </c>
      <c r="D482">
        <v>202033</v>
      </c>
      <c r="E482">
        <v>1.9148487937478764E-2</v>
      </c>
      <c r="F482">
        <v>1.9148487937478764E-2</v>
      </c>
      <c r="G482" t="s">
        <v>810</v>
      </c>
    </row>
    <row r="483" spans="1:7" x14ac:dyDescent="0.25">
      <c r="C483" t="s">
        <v>807</v>
      </c>
      <c r="D483">
        <v>202034</v>
      </c>
      <c r="E483">
        <v>1.9148487937478764E-2</v>
      </c>
      <c r="F483">
        <v>1.9148487937478764E-2</v>
      </c>
      <c r="G483" t="s">
        <v>810</v>
      </c>
    </row>
    <row r="484" spans="1:7" x14ac:dyDescent="0.25">
      <c r="C484" t="s">
        <v>807</v>
      </c>
      <c r="D484">
        <v>202041</v>
      </c>
      <c r="E484">
        <v>9.7892669045191987E-3</v>
      </c>
      <c r="F484">
        <v>9.7892669045191987E-3</v>
      </c>
      <c r="G484" t="s">
        <v>810</v>
      </c>
    </row>
    <row r="485" spans="1:7" x14ac:dyDescent="0.25">
      <c r="C485" t="s">
        <v>807</v>
      </c>
      <c r="D485">
        <v>202042</v>
      </c>
      <c r="E485">
        <v>9.7892669045191987E-3</v>
      </c>
      <c r="F485">
        <v>9.7892669045191987E-3</v>
      </c>
      <c r="G485" t="s">
        <v>810</v>
      </c>
    </row>
    <row r="486" spans="1:7" x14ac:dyDescent="0.25">
      <c r="C486" t="s">
        <v>807</v>
      </c>
      <c r="D486">
        <v>202043</v>
      </c>
      <c r="E486">
        <v>9.7892669045191987E-3</v>
      </c>
      <c r="F486">
        <v>9.7892669045191987E-3</v>
      </c>
      <c r="G486" t="s">
        <v>810</v>
      </c>
    </row>
    <row r="487" spans="1:7" x14ac:dyDescent="0.25">
      <c r="C487" t="s">
        <v>807</v>
      </c>
      <c r="D487">
        <v>202044</v>
      </c>
      <c r="E487">
        <v>9.7892669045191987E-3</v>
      </c>
      <c r="F487">
        <v>9.7892669045191987E-3</v>
      </c>
      <c r="G487" t="s">
        <v>810</v>
      </c>
    </row>
    <row r="488" spans="1:7" x14ac:dyDescent="0.25">
      <c r="B488" t="s">
        <v>717</v>
      </c>
    </row>
    <row r="489" spans="1:7" x14ac:dyDescent="0.25">
      <c r="B489" t="s">
        <v>1077</v>
      </c>
    </row>
    <row r="490" spans="1:7" x14ac:dyDescent="0.25">
      <c r="B490" t="s">
        <v>717</v>
      </c>
    </row>
    <row r="492" spans="1:7" x14ac:dyDescent="0.25">
      <c r="A492" t="s">
        <v>812</v>
      </c>
    </row>
    <row r="494" spans="1:7" x14ac:dyDescent="0.25">
      <c r="B494" t="s">
        <v>813</v>
      </c>
    </row>
    <row r="495" spans="1:7" x14ac:dyDescent="0.25">
      <c r="B495" t="s">
        <v>814</v>
      </c>
    </row>
    <row r="496" spans="1:7" x14ac:dyDescent="0.25">
      <c r="B496" t="s">
        <v>815</v>
      </c>
    </row>
    <row r="497" spans="2:3" x14ac:dyDescent="0.25">
      <c r="B497" t="s">
        <v>816</v>
      </c>
    </row>
    <row r="498" spans="2:3" x14ac:dyDescent="0.25">
      <c r="B498" t="s">
        <v>817</v>
      </c>
    </row>
    <row r="499" spans="2:3" x14ac:dyDescent="0.25">
      <c r="B499" t="s">
        <v>818</v>
      </c>
    </row>
    <row r="500" spans="2:3" x14ac:dyDescent="0.25">
      <c r="B500" t="s">
        <v>819</v>
      </c>
    </row>
    <row r="501" spans="2:3" x14ac:dyDescent="0.25">
      <c r="B501" t="s">
        <v>820</v>
      </c>
    </row>
    <row r="502" spans="2:3" x14ac:dyDescent="0.25">
      <c r="B502" t="s">
        <v>821</v>
      </c>
    </row>
    <row r="503" spans="2:3" x14ac:dyDescent="0.25">
      <c r="B503" t="s">
        <v>822</v>
      </c>
    </row>
    <row r="504" spans="2:3" x14ac:dyDescent="0.25">
      <c r="B504" t="s">
        <v>823</v>
      </c>
    </row>
    <row r="505" spans="2:3" x14ac:dyDescent="0.25">
      <c r="B505" t="s">
        <v>824</v>
      </c>
    </row>
    <row r="506" spans="2:3" x14ac:dyDescent="0.25">
      <c r="B506" t="s">
        <v>825</v>
      </c>
    </row>
    <row r="507" spans="2:3" x14ac:dyDescent="0.25">
      <c r="B507" t="s">
        <v>826</v>
      </c>
    </row>
    <row r="508" spans="2:3" x14ac:dyDescent="0.25">
      <c r="B508" t="s">
        <v>827</v>
      </c>
    </row>
    <row r="509" spans="2:3" x14ac:dyDescent="0.25">
      <c r="B509" t="s">
        <v>828</v>
      </c>
    </row>
    <row r="510" spans="2:3" x14ac:dyDescent="0.25">
      <c r="C510" t="s">
        <v>829</v>
      </c>
    </row>
    <row r="511" spans="2:3" x14ac:dyDescent="0.25">
      <c r="C511" t="s">
        <v>830</v>
      </c>
    </row>
    <row r="512" spans="2:3" x14ac:dyDescent="0.25">
      <c r="C512" t="s">
        <v>831</v>
      </c>
    </row>
    <row r="513" spans="1:30" x14ac:dyDescent="0.25">
      <c r="C513" t="s">
        <v>832</v>
      </c>
    </row>
    <row r="514" spans="1:30" x14ac:dyDescent="0.25">
      <c r="C514" t="s">
        <v>833</v>
      </c>
    </row>
    <row r="515" spans="1:30" x14ac:dyDescent="0.25">
      <c r="C515" t="s">
        <v>834</v>
      </c>
    </row>
    <row r="516" spans="1:30" x14ac:dyDescent="0.25">
      <c r="C516" t="s">
        <v>835</v>
      </c>
    </row>
    <row r="517" spans="1:30" x14ac:dyDescent="0.25">
      <c r="C517" t="s">
        <v>836</v>
      </c>
    </row>
    <row r="518" spans="1:30" x14ac:dyDescent="0.25">
      <c r="B518" t="s">
        <v>717</v>
      </c>
    </row>
    <row r="520" spans="1:30" x14ac:dyDescent="0.25">
      <c r="A520" t="s">
        <v>837</v>
      </c>
    </row>
    <row r="521" spans="1:30" x14ac:dyDescent="0.25">
      <c r="B521" t="s">
        <v>838</v>
      </c>
    </row>
    <row r="522" spans="1:30" x14ac:dyDescent="0.25">
      <c r="C522" t="s">
        <v>839</v>
      </c>
    </row>
    <row r="523" spans="1:30" x14ac:dyDescent="0.25">
      <c r="C523" t="s">
        <v>840</v>
      </c>
    </row>
    <row r="525" spans="1:30" x14ac:dyDescent="0.25">
      <c r="B525" t="s">
        <v>841</v>
      </c>
    </row>
    <row r="526" spans="1:30" x14ac:dyDescent="0.25">
      <c r="C526" t="s">
        <v>842</v>
      </c>
      <c r="E526">
        <v>30501</v>
      </c>
      <c r="F526">
        <v>30502</v>
      </c>
      <c r="G526">
        <v>30503</v>
      </c>
      <c r="H526">
        <v>30504</v>
      </c>
      <c r="I526">
        <v>5051</v>
      </c>
      <c r="J526">
        <v>30401</v>
      </c>
      <c r="K526">
        <v>30402</v>
      </c>
      <c r="L526">
        <v>30403</v>
      </c>
      <c r="M526">
        <v>30404</v>
      </c>
      <c r="N526">
        <v>5041</v>
      </c>
      <c r="O526">
        <v>30301</v>
      </c>
      <c r="P526">
        <v>30302</v>
      </c>
      <c r="Q526">
        <v>30303</v>
      </c>
      <c r="R526">
        <v>30304</v>
      </c>
      <c r="S526">
        <v>5031</v>
      </c>
      <c r="T526">
        <v>30201</v>
      </c>
      <c r="U526">
        <v>30202</v>
      </c>
      <c r="V526">
        <v>30203</v>
      </c>
      <c r="W526">
        <v>30204</v>
      </c>
      <c r="X526">
        <v>5021</v>
      </c>
      <c r="Y526">
        <v>30101</v>
      </c>
      <c r="Z526">
        <v>30102</v>
      </c>
      <c r="AA526">
        <v>30103</v>
      </c>
      <c r="AB526">
        <v>30104</v>
      </c>
      <c r="AC526">
        <v>5011</v>
      </c>
      <c r="AD526" t="s">
        <v>804</v>
      </c>
    </row>
    <row r="528" spans="1:30" x14ac:dyDescent="0.25">
      <c r="B528" t="s">
        <v>843</v>
      </c>
    </row>
    <row r="529" spans="2:28" x14ac:dyDescent="0.25">
      <c r="C529" t="s">
        <v>844</v>
      </c>
      <c r="E529">
        <v>40601</v>
      </c>
      <c r="F529">
        <v>40602</v>
      </c>
      <c r="G529">
        <v>40603</v>
      </c>
      <c r="H529">
        <v>40604</v>
      </c>
      <c r="I529">
        <v>40501</v>
      </c>
      <c r="J529">
        <v>40502</v>
      </c>
      <c r="K529">
        <v>40503</v>
      </c>
      <c r="L529">
        <v>40504</v>
      </c>
      <c r="M529">
        <v>40401</v>
      </c>
      <c r="N529">
        <v>40402</v>
      </c>
      <c r="O529">
        <v>40403</v>
      </c>
      <c r="P529">
        <v>40404</v>
      </c>
      <c r="Q529">
        <v>40301</v>
      </c>
      <c r="R529">
        <v>40302</v>
      </c>
      <c r="S529">
        <v>40303</v>
      </c>
      <c r="T529">
        <v>40304</v>
      </c>
      <c r="U529">
        <v>40201</v>
      </c>
      <c r="V529">
        <v>40202</v>
      </c>
      <c r="W529">
        <v>40203</v>
      </c>
      <c r="X529">
        <v>40204</v>
      </c>
      <c r="Y529" t="s">
        <v>804</v>
      </c>
    </row>
    <row r="531" spans="2:28" x14ac:dyDescent="0.25">
      <c r="B531" t="s">
        <v>845</v>
      </c>
    </row>
    <row r="532" spans="2:28" x14ac:dyDescent="0.25">
      <c r="C532" t="s">
        <v>846</v>
      </c>
      <c r="E532">
        <v>206011</v>
      </c>
      <c r="F532">
        <v>206013</v>
      </c>
      <c r="G532">
        <v>306</v>
      </c>
      <c r="H532">
        <v>205011</v>
      </c>
      <c r="I532">
        <v>205013</v>
      </c>
      <c r="J532">
        <v>305</v>
      </c>
      <c r="K532">
        <v>204011</v>
      </c>
      <c r="L532">
        <v>204013</v>
      </c>
      <c r="M532">
        <v>304</v>
      </c>
      <c r="N532">
        <v>203011</v>
      </c>
      <c r="O532">
        <v>203013</v>
      </c>
      <c r="P532">
        <v>303</v>
      </c>
      <c r="Q532">
        <v>202011</v>
      </c>
      <c r="R532">
        <v>202013</v>
      </c>
      <c r="S532">
        <v>302</v>
      </c>
      <c r="T532">
        <v>201012</v>
      </c>
      <c r="U532">
        <v>201013</v>
      </c>
      <c r="V532">
        <v>201022</v>
      </c>
      <c r="W532">
        <v>201023</v>
      </c>
      <c r="X532">
        <v>201032</v>
      </c>
      <c r="Y532">
        <v>201033</v>
      </c>
      <c r="Z532">
        <v>201042</v>
      </c>
      <c r="AA532">
        <v>201043</v>
      </c>
      <c r="AB532" t="s">
        <v>804</v>
      </c>
    </row>
    <row r="534" spans="2:28" x14ac:dyDescent="0.25">
      <c r="B534" t="s">
        <v>847</v>
      </c>
    </row>
    <row r="535" spans="2:28" x14ac:dyDescent="0.25">
      <c r="C535" t="s">
        <v>848</v>
      </c>
      <c r="E535">
        <v>6011</v>
      </c>
      <c r="F535">
        <v>6012</v>
      </c>
      <c r="G535">
        <v>6021</v>
      </c>
      <c r="H535">
        <v>6022</v>
      </c>
      <c r="I535">
        <v>6031</v>
      </c>
      <c r="J535">
        <v>6032</v>
      </c>
      <c r="K535">
        <v>6041</v>
      </c>
      <c r="L535">
        <v>6042</v>
      </c>
      <c r="M535" t="s">
        <v>804</v>
      </c>
    </row>
    <row r="537" spans="2:28" x14ac:dyDescent="0.25">
      <c r="B537" t="s">
        <v>849</v>
      </c>
    </row>
    <row r="538" spans="2:28" x14ac:dyDescent="0.25">
      <c r="C538" t="s">
        <v>850</v>
      </c>
      <c r="E538">
        <v>30101</v>
      </c>
      <c r="F538">
        <v>30102</v>
      </c>
      <c r="G538">
        <v>30103</v>
      </c>
      <c r="H538">
        <v>30104</v>
      </c>
      <c r="I538">
        <v>5011</v>
      </c>
      <c r="J538" t="s">
        <v>804</v>
      </c>
    </row>
    <row r="540" spans="2:28" x14ac:dyDescent="0.25">
      <c r="B540" t="s">
        <v>851</v>
      </c>
    </row>
    <row r="541" spans="2:28" x14ac:dyDescent="0.25">
      <c r="C541" t="s">
        <v>852</v>
      </c>
      <c r="D541" t="s">
        <v>853</v>
      </c>
      <c r="E541">
        <v>30101</v>
      </c>
      <c r="F541">
        <v>30102</v>
      </c>
      <c r="G541">
        <v>30103</v>
      </c>
      <c r="H541">
        <v>30104</v>
      </c>
      <c r="I541">
        <v>5011</v>
      </c>
      <c r="J541" t="s">
        <v>804</v>
      </c>
    </row>
    <row r="542" spans="2:28" x14ac:dyDescent="0.25">
      <c r="D542" t="s">
        <v>853</v>
      </c>
      <c r="E542">
        <v>30201</v>
      </c>
      <c r="F542">
        <v>30202</v>
      </c>
      <c r="G542">
        <v>30203</v>
      </c>
      <c r="H542">
        <v>30204</v>
      </c>
      <c r="I542">
        <v>5021</v>
      </c>
      <c r="J542" t="s">
        <v>804</v>
      </c>
    </row>
    <row r="543" spans="2:28" x14ac:dyDescent="0.25">
      <c r="D543" t="s">
        <v>853</v>
      </c>
      <c r="E543">
        <v>30301</v>
      </c>
      <c r="F543">
        <v>30302</v>
      </c>
      <c r="G543">
        <v>30303</v>
      </c>
      <c r="H543">
        <v>30304</v>
      </c>
      <c r="I543">
        <v>5031</v>
      </c>
      <c r="J543" t="s">
        <v>804</v>
      </c>
    </row>
    <row r="544" spans="2:28" x14ac:dyDescent="0.25">
      <c r="D544" t="s">
        <v>853</v>
      </c>
      <c r="E544">
        <v>30401</v>
      </c>
      <c r="F544">
        <v>30402</v>
      </c>
      <c r="G544">
        <v>30403</v>
      </c>
      <c r="H544">
        <v>30404</v>
      </c>
      <c r="I544">
        <v>5041</v>
      </c>
      <c r="J544" t="s">
        <v>804</v>
      </c>
    </row>
    <row r="545" spans="2:11" x14ac:dyDescent="0.25">
      <c r="D545" t="s">
        <v>853</v>
      </c>
      <c r="E545">
        <v>30501</v>
      </c>
      <c r="F545">
        <v>30502</v>
      </c>
      <c r="G545">
        <v>30503</v>
      </c>
      <c r="H545">
        <v>30504</v>
      </c>
      <c r="I545">
        <v>5051</v>
      </c>
      <c r="J545" t="s">
        <v>804</v>
      </c>
      <c r="K545" t="s">
        <v>804</v>
      </c>
    </row>
    <row r="547" spans="2:11" x14ac:dyDescent="0.25">
      <c r="B547" t="s">
        <v>854</v>
      </c>
    </row>
    <row r="548" spans="2:11" x14ac:dyDescent="0.25">
      <c r="C548" t="s">
        <v>855</v>
      </c>
      <c r="D548">
        <v>0</v>
      </c>
      <c r="E548">
        <v>4500</v>
      </c>
      <c r="F548">
        <v>8400</v>
      </c>
      <c r="G548">
        <v>12300</v>
      </c>
      <c r="H548">
        <v>16200</v>
      </c>
      <c r="I548">
        <v>20100</v>
      </c>
      <c r="J548" t="s">
        <v>804</v>
      </c>
    </row>
    <row r="550" spans="2:11" x14ac:dyDescent="0.25">
      <c r="B550" t="s">
        <v>856</v>
      </c>
    </row>
    <row r="551" spans="2:11" x14ac:dyDescent="0.25">
      <c r="C551" t="s">
        <v>857</v>
      </c>
      <c r="D551">
        <v>-1</v>
      </c>
      <c r="E551">
        <v>202013</v>
      </c>
      <c r="F551">
        <v>203013</v>
      </c>
      <c r="G551">
        <v>204013</v>
      </c>
      <c r="H551">
        <v>205013</v>
      </c>
      <c r="I551">
        <v>206013</v>
      </c>
      <c r="J551" t="s">
        <v>804</v>
      </c>
    </row>
    <row r="554" spans="2:11" x14ac:dyDescent="0.25">
      <c r="B554" t="s">
        <v>858</v>
      </c>
    </row>
    <row r="555" spans="2:11" x14ac:dyDescent="0.25">
      <c r="B555" t="s">
        <v>858</v>
      </c>
    </row>
    <row r="556" spans="2:11" x14ac:dyDescent="0.25">
      <c r="B556" t="s">
        <v>859</v>
      </c>
    </row>
    <row r="557" spans="2:11" x14ac:dyDescent="0.25">
      <c r="B557" t="s">
        <v>858</v>
      </c>
    </row>
    <row r="558" spans="2:11" x14ac:dyDescent="0.25">
      <c r="B558" t="s">
        <v>858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5.CreateModelFileForType1">
                <anchor moveWithCells="1" sizeWithCells="1">
                  <from>
                    <xdr:col>3</xdr:col>
                    <xdr:colOff>171450</xdr:colOff>
                    <xdr:row>1</xdr:row>
                    <xdr:rowOff>76200</xdr:rowOff>
                  </from>
                  <to>
                    <xdr:col>5</xdr:col>
                    <xdr:colOff>276225</xdr:colOff>
                    <xdr:row>2</xdr:row>
                    <xdr:rowOff>152400</xdr:rowOff>
                  </to>
                </anchor>
              </controlPr>
            </control>
          </mc:Choice>
        </mc:AlternateContent>
        <mc:AlternateContent xmlns:mc="http://schemas.openxmlformats.org/markup-compatibility/2006">
          <mc:Choice Requires="x14">
            <control shapeId="12290" r:id="rId5" name="Button 2">
              <controlPr defaultSize="0" print="0" autoFill="0" autoPict="0" macro="[0]!Sheet5.ClearThisSheet">
                <anchor moveWithCells="1" sizeWithCells="1">
                  <from>
                    <xdr:col>6</xdr:col>
                    <xdr:colOff>1238250</xdr:colOff>
                    <xdr:row>1</xdr:row>
                    <xdr:rowOff>76200</xdr:rowOff>
                  </from>
                  <to>
                    <xdr:col>7</xdr:col>
                    <xdr:colOff>904875</xdr:colOff>
                    <xdr:row>2</xdr:row>
                    <xdr:rowOff>152400</xdr:rowOff>
                  </to>
                </anchor>
              </controlPr>
            </control>
          </mc:Choice>
        </mc:AlternateContent>
        <mc:AlternateContent xmlns:mc="http://schemas.openxmlformats.org/markup-compatibility/2006">
          <mc:Choice Requires="x14">
            <control shapeId="12292" r:id="rId6" name="Button 4">
              <controlPr defaultSize="0" print="0" autoFill="0" autoPict="0" macro="[0]!Sheet5.copyTheCode">
                <anchor moveWithCells="1" sizeWithCells="1">
                  <from>
                    <xdr:col>7</xdr:col>
                    <xdr:colOff>1171575</xdr:colOff>
                    <xdr:row>1</xdr:row>
                    <xdr:rowOff>76200</xdr:rowOff>
                  </from>
                  <to>
                    <xdr:col>8</xdr:col>
                    <xdr:colOff>1085850</xdr:colOff>
                    <xdr:row>2</xdr:row>
                    <xdr:rowOff>152400</xdr:rowOff>
                  </to>
                </anchor>
              </controlPr>
            </control>
          </mc:Choice>
        </mc:AlternateContent>
        <mc:AlternateContent xmlns:mc="http://schemas.openxmlformats.org/markup-compatibility/2006">
          <mc:Choice Requires="x14">
            <control shapeId="12294" r:id="rId7" name="Button 6">
              <controlPr defaultSize="0" print="0" autoFill="0" autoPict="0" macro="[0]!Sheet5.CreateModelFileForType2">
                <anchor moveWithCells="1" sizeWithCells="1">
                  <from>
                    <xdr:col>5</xdr:col>
                    <xdr:colOff>542925</xdr:colOff>
                    <xdr:row>1</xdr:row>
                    <xdr:rowOff>76200</xdr:rowOff>
                  </from>
                  <to>
                    <xdr:col>6</xdr:col>
                    <xdr:colOff>962025</xdr:colOff>
                    <xdr:row>2</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I212"/>
  <sheetViews>
    <sheetView topLeftCell="A127" workbookViewId="0">
      <selection activeCell="C2" sqref="C2"/>
    </sheetView>
  </sheetViews>
  <sheetFormatPr defaultRowHeight="15" x14ac:dyDescent="0.25"/>
  <cols>
    <col min="1" max="1" width="92.28515625" customWidth="1"/>
  </cols>
  <sheetData>
    <row r="1" spans="1:8" x14ac:dyDescent="0.25">
      <c r="A1" t="str">
        <f ca="1">CONCATENATE("% Pasted from """,MID(CELL("filename"),SEARCH("[",CELL("filename"))+1,SEARCH("]",CELL("filename"))-SEARCH("[",CELL("filename"))-1),""" on ", TEXT(TODAY()," mmm-dd-yyyy"), " by PSB")</f>
        <v>% Pasted from "35053v05_20260313General Excel Sheet 2016.xlsm" on  Jun-29-2026 by PSB</v>
      </c>
    </row>
    <row r="2" spans="1:8" x14ac:dyDescent="0.25">
      <c r="A2" t="s">
        <v>860</v>
      </c>
    </row>
    <row r="3" spans="1:8" x14ac:dyDescent="0.25">
      <c r="A3" t="str">
        <f>"%%%%%% Design ID  " &amp;GeneralInput!C6&amp; " - Start %%%%%%%%%%%%%%%%%%%%%%%%%%%%%%%%%%%%%%%%%%%%%%%%%%%%%%%%"</f>
        <v>%%%%%% Design ID  35053 - Start %%%%%%%%%%%%%%%%%%%%%%%%%%%%%%%%%%%%%%%%%%%%%%%%%%%%%%%%</v>
      </c>
    </row>
    <row r="4" spans="1:8" x14ac:dyDescent="0.25">
      <c r="A4" t="s">
        <v>860</v>
      </c>
    </row>
    <row r="6" spans="1:8" x14ac:dyDescent="0.25">
      <c r="A6" t="s">
        <v>453</v>
      </c>
    </row>
    <row r="7" spans="1:8" x14ac:dyDescent="0.25">
      <c r="A7" t="s">
        <v>861</v>
      </c>
      <c r="H7" s="372"/>
    </row>
    <row r="8" spans="1:8" x14ac:dyDescent="0.25">
      <c r="A8" t="str">
        <f>CONCATENATE("      bldgID = ", GeneralInput!C6, ";")</f>
        <v xml:space="preserve">      bldgID = 35053;</v>
      </c>
      <c r="H8" s="371"/>
    </row>
    <row r="9" spans="1:8" x14ac:dyDescent="0.25">
      <c r="A9" t="str">
        <f>"      buildingInfo{bldgID}.bayWidth = "&amp;RxnCheck!O8&amp;" * ones(1, " &amp; GeneralInput!C8 &amp; "); % (Size of this vector = numBays)"</f>
        <v xml:space="preserve">      buildingInfo{bldgID}.bayWidth = 8200 * ones(1, 3); % (Size of this vector = numBays)</v>
      </c>
    </row>
    <row r="10" spans="1:8" x14ac:dyDescent="0.25">
      <c r="A10" t="s">
        <v>862</v>
      </c>
    </row>
    <row r="11" spans="1:8" x14ac:dyDescent="0.25">
      <c r="A11" t="str">
        <f>"      buildingInfo{bldgID}.storyHeight_upperStories = 3900 * ones(1, "&amp; (GeneralInput!C7-1) &amp;"); % (Size of this vector = numStories - 1)"</f>
        <v xml:space="preserve">      buildingInfo{bldgID}.storyHeight_upperStories = 3900 * ones(1, 4); % (Size of this vector = numStories - 1)</v>
      </c>
    </row>
    <row r="12" spans="1:8" x14ac:dyDescent="0.25">
      <c r="A12" t="str">
        <f>"      buildingInfo{bldgID}.jointWidth = 600 * ones(1, " &amp;(GeneralInput!C8 + 1) &amp; "); % Just for plotting. (Size of this vector = numBays + 1). Let's keep it same on each floor (for display only)"</f>
        <v xml:space="preserve">      buildingInfo{bldgID}.jointWidth = 600 * ones(1, 4); % Just for plotting. (Size of this vector = numBays + 1). Let's keep it same on each floor (for display only)</v>
      </c>
    </row>
    <row r="13" spans="1:8" x14ac:dyDescent="0.25">
      <c r="A13" t="str">
        <f>"      buildingInfo{bldgID}.jointHeight = 600 * ones(1, " &amp;(GeneralInput!C8 + 1) &amp; "); % Just for plotting. (Size of this vector = numBays + 1)"</f>
        <v xml:space="preserve">      buildingInfo{bldgID}.jointHeight = 600 * ones(1, 4); % Just for plotting. (Size of this vector = numBays + 1)</v>
      </c>
    </row>
    <row r="15" spans="1:8" x14ac:dyDescent="0.25">
      <c r="A15" t="str">
        <f>"      buildingInfo{bldgID}.numBays = " &amp;(GeneralInput!C8) &amp; ";"</f>
        <v xml:space="preserve">      buildingInfo{bldgID}.numBays = 3;</v>
      </c>
    </row>
    <row r="16" spans="1:8" x14ac:dyDescent="0.25">
      <c r="A16" t="str">
        <f>"      buildingInfo{bldgID}.numStories = " &amp;GeneralInput!C7&amp; ";"</f>
        <v xml:space="preserve">      buildingInfo{bldgID}.numStories = 5;</v>
      </c>
    </row>
    <row r="17" spans="1:9" x14ac:dyDescent="0.25">
      <c r="A17" t="s">
        <v>863</v>
      </c>
    </row>
    <row r="18" spans="1:9" x14ac:dyDescent="0.25">
      <c r="A18" t="s">
        <v>864</v>
      </c>
    </row>
    <row r="20" spans="1:9" x14ac:dyDescent="0.25">
      <c r="A20" t="s">
        <v>865</v>
      </c>
    </row>
    <row r="21" spans="1:9" x14ac:dyDescent="0.25">
      <c r="A21" t="str">
        <f>"plasticRotCapOfMaterialNum(" &amp; H21 &amp; ") = " &amp; I21 &amp; ";"</f>
        <v>plasticRotCapOfMaterialNum(305011) = 0.0451269097988673;</v>
      </c>
      <c r="H21">
        <f>ModelFile!D44</f>
        <v>305011</v>
      </c>
      <c r="I21">
        <f>ModelFile!I44</f>
        <v>4.512690979886734E-2</v>
      </c>
    </row>
    <row r="22" spans="1:9" x14ac:dyDescent="0.25">
      <c r="A22" t="str">
        <f>"plasticRotCapOfMaterialNum(" &amp; H22 &amp; ") = " &amp; I22 &amp; ";"</f>
        <v>plasticRotCapOfMaterialNum(305021) = 0.0394780747435913;</v>
      </c>
      <c r="H22">
        <f>ModelFile!D45</f>
        <v>305021</v>
      </c>
      <c r="I22">
        <f>ModelFile!I45</f>
        <v>3.9478074743591315E-2</v>
      </c>
    </row>
    <row r="23" spans="1:9" x14ac:dyDescent="0.25">
      <c r="A23" t="str">
        <f>"plasticRotCapOfMaterialNum(" &amp; H23 &amp; ") = " &amp; I23 &amp; ";"</f>
        <v>plasticRotCapOfMaterialNum(305031) = 0.0394780747435913;</v>
      </c>
      <c r="H23">
        <f>ModelFile!D46</f>
        <v>305031</v>
      </c>
      <c r="I23">
        <f>ModelFile!I46</f>
        <v>3.9478074743591315E-2</v>
      </c>
    </row>
    <row r="24" spans="1:9" x14ac:dyDescent="0.25">
      <c r="A24" t="str">
        <f>"plasticRotCapOfMaterialNum(" &amp; H24 &amp; ") = " &amp; I24 &amp; ";"</f>
        <v>plasticRotCapOfMaterialNum(305041) = 0.0451269097988673;</v>
      </c>
      <c r="H24">
        <f>ModelFile!D47</f>
        <v>305041</v>
      </c>
      <c r="I24">
        <f>ModelFile!I47</f>
        <v>4.512690979886734E-2</v>
      </c>
    </row>
    <row r="26" spans="1:9" x14ac:dyDescent="0.25">
      <c r="A26" t="str">
        <f t="shared" ref="A26:A44" si="0">"plasticRotCapOfMaterialNum(" &amp; H26 &amp; ") = " &amp; I26 &amp; ";"</f>
        <v>plasticRotCapOfMaterialNum(304011) = 0.043323288175902;</v>
      </c>
      <c r="H26">
        <f>ModelFile!D49</f>
        <v>304011</v>
      </c>
      <c r="I26">
        <f>ModelFile!I49</f>
        <v>4.3323288175902003E-2</v>
      </c>
    </row>
    <row r="27" spans="1:9" x14ac:dyDescent="0.25">
      <c r="A27" t="str">
        <f t="shared" si="0"/>
        <v>plasticRotCapOfMaterialNum(304021) = 0.0373018631886231;</v>
      </c>
      <c r="H27">
        <f>ModelFile!D50</f>
        <v>304021</v>
      </c>
      <c r="I27">
        <f>ModelFile!I50</f>
        <v>3.7301863188623115E-2</v>
      </c>
    </row>
    <row r="28" spans="1:9" x14ac:dyDescent="0.25">
      <c r="A28" t="str">
        <f t="shared" si="0"/>
        <v>plasticRotCapOfMaterialNum(304031) = 0.0373018631886231;</v>
      </c>
      <c r="H28">
        <f>ModelFile!D51</f>
        <v>304031</v>
      </c>
      <c r="I28">
        <f>ModelFile!I51</f>
        <v>3.7301863188623115E-2</v>
      </c>
    </row>
    <row r="29" spans="1:9" x14ac:dyDescent="0.25">
      <c r="A29" t="str">
        <f t="shared" si="0"/>
        <v>plasticRotCapOfMaterialNum(304041) = 0.043323288175902;</v>
      </c>
      <c r="H29">
        <f>ModelFile!D52</f>
        <v>304041</v>
      </c>
      <c r="I29">
        <f>ModelFile!I52</f>
        <v>4.3323288175902003E-2</v>
      </c>
    </row>
    <row r="31" spans="1:9" x14ac:dyDescent="0.25">
      <c r="A31" t="str">
        <f>"plasticRotCapOfMaterialNum(" &amp; H31 &amp; ") = " &amp; I31 &amp; ";"</f>
        <v>plasticRotCapOfMaterialNum(303011) = 0.0493809741914824;</v>
      </c>
      <c r="H31">
        <f>ModelFile!D54</f>
        <v>303011</v>
      </c>
      <c r="I31">
        <f>ModelFile!I54</f>
        <v>4.9380974191482449E-2</v>
      </c>
    </row>
    <row r="32" spans="1:9" x14ac:dyDescent="0.25">
      <c r="A32" t="str">
        <f t="shared" si="0"/>
        <v>plasticRotCapOfMaterialNum(303021) = 0.035325821688847;</v>
      </c>
      <c r="H32">
        <f>ModelFile!D55</f>
        <v>303021</v>
      </c>
      <c r="I32">
        <f>ModelFile!I55</f>
        <v>3.532582168884698E-2</v>
      </c>
    </row>
    <row r="33" spans="1:9" x14ac:dyDescent="0.25">
      <c r="A33" t="str">
        <f t="shared" si="0"/>
        <v>plasticRotCapOfMaterialNum(303031) = 0.035325821688847;</v>
      </c>
      <c r="H33">
        <f>ModelFile!D56</f>
        <v>303031</v>
      </c>
      <c r="I33">
        <f>ModelFile!I56</f>
        <v>3.532582168884698E-2</v>
      </c>
    </row>
    <row r="34" spans="1:9" x14ac:dyDescent="0.25">
      <c r="A34" t="str">
        <f t="shared" si="0"/>
        <v>plasticRotCapOfMaterialNum(303041) = 0.0493809741914824;</v>
      </c>
      <c r="H34">
        <f>ModelFile!D57</f>
        <v>303041</v>
      </c>
      <c r="I34">
        <f>ModelFile!I57</f>
        <v>4.9380974191482449E-2</v>
      </c>
    </row>
    <row r="36" spans="1:9" x14ac:dyDescent="0.25">
      <c r="A36" t="str">
        <f>"plasticRotCapOfMaterialNum(" &amp; H36 &amp; ") = " &amp; I36 &amp; ";"</f>
        <v>plasticRotCapOfMaterialNum(302011) = 0.0547215020744237;</v>
      </c>
      <c r="H36">
        <f>ModelFile!D59</f>
        <v>302011</v>
      </c>
      <c r="I36">
        <f>ModelFile!I59</f>
        <v>5.4721502074423743E-2</v>
      </c>
    </row>
    <row r="37" spans="1:9" x14ac:dyDescent="0.25">
      <c r="A37" t="str">
        <f t="shared" si="0"/>
        <v>plasticRotCapOfMaterialNum(302021) = 0.0386385690758692;</v>
      </c>
      <c r="H37">
        <f>ModelFile!D60</f>
        <v>302021</v>
      </c>
      <c r="I37">
        <f>ModelFile!I60</f>
        <v>3.8638569075869211E-2</v>
      </c>
    </row>
    <row r="38" spans="1:9" x14ac:dyDescent="0.25">
      <c r="A38" t="str">
        <f t="shared" si="0"/>
        <v>plasticRotCapOfMaterialNum(302031) = 0.0386385690758692;</v>
      </c>
      <c r="H38">
        <f>ModelFile!D61</f>
        <v>302031</v>
      </c>
      <c r="I38">
        <f>ModelFile!I61</f>
        <v>3.8638569075869211E-2</v>
      </c>
    </row>
    <row r="39" spans="1:9" x14ac:dyDescent="0.25">
      <c r="A39" t="str">
        <f t="shared" si="0"/>
        <v>plasticRotCapOfMaterialNum(302041) = 0.0547215020744237;</v>
      </c>
      <c r="H39">
        <f>ModelFile!D62</f>
        <v>302041</v>
      </c>
      <c r="I39">
        <f>ModelFile!I62</f>
        <v>5.4721502074423743E-2</v>
      </c>
    </row>
    <row r="41" spans="1:9" x14ac:dyDescent="0.25">
      <c r="A41" t="str">
        <f>"plasticRotCapOfMaterialNum(" &amp; H41 &amp; ") = " &amp; I41 &amp; ";"</f>
        <v>plasticRotCapOfMaterialNum(301011) = 0.0533669537281454;</v>
      </c>
      <c r="H41">
        <f>ModelFile!D64</f>
        <v>301011</v>
      </c>
      <c r="I41">
        <f>ModelFile!I64</f>
        <v>5.3366953728145358E-2</v>
      </c>
    </row>
    <row r="42" spans="1:9" x14ac:dyDescent="0.25">
      <c r="A42" t="str">
        <f t="shared" si="0"/>
        <v>plasticRotCapOfMaterialNum(301021) = 0.0476317689120701;</v>
      </c>
      <c r="H42">
        <f>ModelFile!D65</f>
        <v>301021</v>
      </c>
      <c r="I42">
        <f>ModelFile!I65</f>
        <v>4.763176891207014E-2</v>
      </c>
    </row>
    <row r="43" spans="1:9" x14ac:dyDescent="0.25">
      <c r="A43" t="str">
        <f t="shared" si="0"/>
        <v>plasticRotCapOfMaterialNum(301031) = 0.0476317689120701;</v>
      </c>
      <c r="H43">
        <f>ModelFile!D66</f>
        <v>301031</v>
      </c>
      <c r="I43">
        <f>ModelFile!I66</f>
        <v>4.763176891207014E-2</v>
      </c>
    </row>
    <row r="44" spans="1:9" x14ac:dyDescent="0.25">
      <c r="A44" t="str">
        <f t="shared" si="0"/>
        <v>plasticRotCapOfMaterialNum(301041) = 0.0533669537281454;</v>
      </c>
      <c r="H44">
        <f>ModelFile!D67</f>
        <v>301041</v>
      </c>
      <c r="I44">
        <f>ModelFile!I67</f>
        <v>5.3366953728145358E-2</v>
      </c>
    </row>
    <row r="46" spans="1:9" x14ac:dyDescent="0.25">
      <c r="A46" t="s">
        <v>866</v>
      </c>
    </row>
    <row r="47" spans="1:9" x14ac:dyDescent="0.25">
      <c r="A47" t="str">
        <f t="shared" ref="A47:A52" si="1">"plasticRotCapOfMaterialNum(" &amp; H47 &amp; ") = " &amp; I47 &amp; ";"</f>
        <v>plasticRotCapOfMaterialNum(206011) = 0.056021820804829;</v>
      </c>
      <c r="H47">
        <f>ModelFile!D73</f>
        <v>206011</v>
      </c>
      <c r="I47">
        <f>ModelFile!I73</f>
        <v>5.6021820804829023E-2</v>
      </c>
    </row>
    <row r="48" spans="1:9" x14ac:dyDescent="0.25">
      <c r="A48" t="str">
        <f t="shared" si="1"/>
        <v>plasticRotCapOfMaterialNum(206012) = 0.0553137018757996;</v>
      </c>
      <c r="H48">
        <f>ModelFile!D74</f>
        <v>206012</v>
      </c>
      <c r="I48">
        <f>ModelFile!I74</f>
        <v>5.531370187579962E-2</v>
      </c>
    </row>
    <row r="49" spans="1:9" x14ac:dyDescent="0.25">
      <c r="A49" t="str">
        <f t="shared" si="1"/>
        <v>plasticRotCapOfMaterialNum(206021) = 0.0485315369800155;</v>
      </c>
      <c r="H49">
        <f>ModelFile!D75</f>
        <v>206021</v>
      </c>
      <c r="I49">
        <f>ModelFile!I75</f>
        <v>4.853153698001552E-2</v>
      </c>
    </row>
    <row r="50" spans="1:9" x14ac:dyDescent="0.25">
      <c r="A50" t="str">
        <f t="shared" si="1"/>
        <v>plasticRotCapOfMaterialNum(206022) = 0.0454664554067423;</v>
      </c>
      <c r="H50">
        <f>ModelFile!D76</f>
        <v>206022</v>
      </c>
      <c r="I50">
        <f>ModelFile!I76</f>
        <v>4.5466455406742254E-2</v>
      </c>
    </row>
    <row r="51" spans="1:9" x14ac:dyDescent="0.25">
      <c r="A51" t="str">
        <f t="shared" si="1"/>
        <v>plasticRotCapOfMaterialNum(206031) = 0.056021820804829;</v>
      </c>
      <c r="H51">
        <f>ModelFile!D77</f>
        <v>206031</v>
      </c>
      <c r="I51">
        <f>ModelFile!I77</f>
        <v>5.6021820804829023E-2</v>
      </c>
    </row>
    <row r="52" spans="1:9" x14ac:dyDescent="0.25">
      <c r="A52" t="str">
        <f t="shared" si="1"/>
        <v>plasticRotCapOfMaterialNum(206032) = 0.0553137018757996;</v>
      </c>
      <c r="H52">
        <f>ModelFile!D78</f>
        <v>206032</v>
      </c>
      <c r="I52">
        <f>ModelFile!I78</f>
        <v>5.531370187579962E-2</v>
      </c>
    </row>
    <row r="54" spans="1:9" x14ac:dyDescent="0.25">
      <c r="A54" t="str">
        <f t="shared" ref="A54:A59" si="2">"plasticRotCapOfMaterialNum(" &amp; H54 &amp; ") = " &amp; I54 &amp; ";"</f>
        <v>plasticRotCapOfMaterialNum(205011) = 0.060612665012517;</v>
      </c>
      <c r="H54">
        <f>ModelFile!D80</f>
        <v>205011</v>
      </c>
      <c r="I54">
        <f>ModelFile!I80</f>
        <v>6.0612665012517004E-2</v>
      </c>
    </row>
    <row r="55" spans="1:9" x14ac:dyDescent="0.25">
      <c r="A55" t="str">
        <f t="shared" si="2"/>
        <v>plasticRotCapOfMaterialNum(205012) = 0.0525900081662378;</v>
      </c>
      <c r="H55">
        <f>ModelFile!D81</f>
        <v>205012</v>
      </c>
      <c r="I55">
        <f>ModelFile!I81</f>
        <v>5.2590008166237781E-2</v>
      </c>
    </row>
    <row r="56" spans="1:9" x14ac:dyDescent="0.25">
      <c r="A56" t="str">
        <f t="shared" si="2"/>
        <v>plasticRotCapOfMaterialNum(205021) = 0.0610622790006515;</v>
      </c>
      <c r="H56">
        <f>ModelFile!D82</f>
        <v>205021</v>
      </c>
      <c r="I56">
        <f>ModelFile!I82</f>
        <v>6.1062279000651525E-2</v>
      </c>
    </row>
    <row r="57" spans="1:9" x14ac:dyDescent="0.25">
      <c r="A57" t="str">
        <f t="shared" si="2"/>
        <v>plasticRotCapOfMaterialNum(205022) = 0.0525887579854873;</v>
      </c>
      <c r="H57">
        <f>ModelFile!D83</f>
        <v>205022</v>
      </c>
      <c r="I57">
        <f>ModelFile!I83</f>
        <v>5.2588757985487337E-2</v>
      </c>
    </row>
    <row r="58" spans="1:9" x14ac:dyDescent="0.25">
      <c r="A58" t="str">
        <f t="shared" si="2"/>
        <v>plasticRotCapOfMaterialNum(205031) = 0.060612665012517;</v>
      </c>
      <c r="H58">
        <f>ModelFile!D84</f>
        <v>205031</v>
      </c>
      <c r="I58">
        <f>ModelFile!I84</f>
        <v>6.0612665012517004E-2</v>
      </c>
    </row>
    <row r="59" spans="1:9" x14ac:dyDescent="0.25">
      <c r="A59" t="str">
        <f t="shared" si="2"/>
        <v>plasticRotCapOfMaterialNum(205032) = 0.0525900081662378;</v>
      </c>
      <c r="H59">
        <f>ModelFile!D85</f>
        <v>205032</v>
      </c>
      <c r="I59">
        <f>ModelFile!I85</f>
        <v>5.2590008166237781E-2</v>
      </c>
    </row>
    <row r="61" spans="1:9" x14ac:dyDescent="0.25">
      <c r="A61" t="str">
        <f t="shared" ref="A61:A66" si="3">"plasticRotCapOfMaterialNum(" &amp; H61 &amp; ") = " &amp; I61 &amp; ";"</f>
        <v>plasticRotCapOfMaterialNum(204011) = 0.0619334690671715;</v>
      </c>
      <c r="H61">
        <f>ModelFile!D87</f>
        <v>204011</v>
      </c>
      <c r="I61">
        <f>ModelFile!I87</f>
        <v>6.1933469067171523E-2</v>
      </c>
    </row>
    <row r="62" spans="1:9" x14ac:dyDescent="0.25">
      <c r="A62" t="str">
        <f t="shared" si="3"/>
        <v>plasticRotCapOfMaterialNum(204012) = 0.0548015339507576;</v>
      </c>
      <c r="H62">
        <f>ModelFile!D88</f>
        <v>204012</v>
      </c>
      <c r="I62">
        <f>ModelFile!I88</f>
        <v>5.4801533950757597E-2</v>
      </c>
    </row>
    <row r="63" spans="1:9" x14ac:dyDescent="0.25">
      <c r="A63" t="str">
        <f t="shared" si="3"/>
        <v>plasticRotCapOfMaterialNum(204021) = 0.0630890685840979;</v>
      </c>
      <c r="H63">
        <f>ModelFile!D89</f>
        <v>204021</v>
      </c>
      <c r="I63">
        <f>ModelFile!I89</f>
        <v>6.3089068584097907E-2</v>
      </c>
    </row>
    <row r="64" spans="1:9" x14ac:dyDescent="0.25">
      <c r="A64" t="str">
        <f t="shared" si="3"/>
        <v>plasticRotCapOfMaterialNum(204022) = 0.0527498511253758;</v>
      </c>
      <c r="H64">
        <f>ModelFile!D90</f>
        <v>204022</v>
      </c>
      <c r="I64">
        <f>ModelFile!I90</f>
        <v>5.2749851125375849E-2</v>
      </c>
    </row>
    <row r="65" spans="1:9" x14ac:dyDescent="0.25">
      <c r="A65" t="str">
        <f t="shared" si="3"/>
        <v>plasticRotCapOfMaterialNum(204031) = 0.0619334690671715;</v>
      </c>
      <c r="H65">
        <f>ModelFile!D91</f>
        <v>204031</v>
      </c>
      <c r="I65">
        <f>ModelFile!I91</f>
        <v>6.1933469067171523E-2</v>
      </c>
    </row>
    <row r="66" spans="1:9" x14ac:dyDescent="0.25">
      <c r="A66" t="str">
        <f t="shared" si="3"/>
        <v>plasticRotCapOfMaterialNum(204032) = 0.0548015339507576;</v>
      </c>
      <c r="H66">
        <f>ModelFile!D92</f>
        <v>204032</v>
      </c>
      <c r="I66">
        <f>ModelFile!I92</f>
        <v>5.4801533950757597E-2</v>
      </c>
    </row>
    <row r="68" spans="1:9" x14ac:dyDescent="0.25">
      <c r="A68" t="str">
        <f t="shared" ref="A68:A73" si="4">"plasticRotCapOfMaterialNum(" &amp; H68 &amp; ") = " &amp; I68 &amp; ";"</f>
        <v>plasticRotCapOfMaterialNum(203011) = 0.0627808475975528;</v>
      </c>
      <c r="H68">
        <f>ModelFile!D94</f>
        <v>203011</v>
      </c>
      <c r="I68">
        <f>ModelFile!I94</f>
        <v>6.2780847597552772E-2</v>
      </c>
    </row>
    <row r="69" spans="1:9" x14ac:dyDescent="0.25">
      <c r="A69" t="str">
        <f t="shared" si="4"/>
        <v>plasticRotCapOfMaterialNum(203012) = 0.0549409821639936;</v>
      </c>
      <c r="H69">
        <f>ModelFile!D95</f>
        <v>203012</v>
      </c>
      <c r="I69">
        <f>ModelFile!I95</f>
        <v>5.494098216399363E-2</v>
      </c>
    </row>
    <row r="70" spans="1:9" x14ac:dyDescent="0.25">
      <c r="A70" t="str">
        <f t="shared" si="4"/>
        <v>plasticRotCapOfMaterialNum(203021) = 0.0627808475975528;</v>
      </c>
      <c r="H70">
        <f>ModelFile!D96</f>
        <v>203021</v>
      </c>
      <c r="I70">
        <f>ModelFile!I96</f>
        <v>6.2780847597552772E-2</v>
      </c>
    </row>
    <row r="71" spans="1:9" x14ac:dyDescent="0.25">
      <c r="A71" t="str">
        <f t="shared" si="4"/>
        <v>plasticRotCapOfMaterialNum(203022) = 0.0549409821639936;</v>
      </c>
      <c r="H71">
        <f>ModelFile!D97</f>
        <v>203022</v>
      </c>
      <c r="I71">
        <f>ModelFile!I97</f>
        <v>5.494098216399363E-2</v>
      </c>
    </row>
    <row r="72" spans="1:9" x14ac:dyDescent="0.25">
      <c r="A72" t="str">
        <f t="shared" si="4"/>
        <v>plasticRotCapOfMaterialNum(203031) = 0.0627808475975528;</v>
      </c>
      <c r="H72">
        <f>ModelFile!D98</f>
        <v>203031</v>
      </c>
      <c r="I72">
        <f>ModelFile!I98</f>
        <v>6.2780847597552772E-2</v>
      </c>
    </row>
    <row r="73" spans="1:9" x14ac:dyDescent="0.25">
      <c r="A73" t="str">
        <f t="shared" si="4"/>
        <v>plasticRotCapOfMaterialNum(203032) = 0.0549409821639936;</v>
      </c>
      <c r="H73">
        <f>ModelFile!D99</f>
        <v>203032</v>
      </c>
      <c r="I73">
        <f>ModelFile!I99</f>
        <v>5.494098216399363E-2</v>
      </c>
    </row>
    <row r="75" spans="1:9" x14ac:dyDescent="0.25">
      <c r="A75" t="str">
        <f t="shared" ref="A75:A80" si="5">"plasticRotCapOfMaterialNum(" &amp; H75 &amp; ") = " &amp; I75 &amp; ";"</f>
        <v>plasticRotCapOfMaterialNum(202011) = 0.0627808475975528;</v>
      </c>
      <c r="H75">
        <f>ModelFile!D101</f>
        <v>202011</v>
      </c>
      <c r="I75">
        <f>ModelFile!I101</f>
        <v>6.2780847597552772E-2</v>
      </c>
    </row>
    <row r="76" spans="1:9" x14ac:dyDescent="0.25">
      <c r="A76" t="str">
        <f t="shared" si="5"/>
        <v>plasticRotCapOfMaterialNum(202012) = 0.0549409821639936;</v>
      </c>
      <c r="H76">
        <f>ModelFile!D102</f>
        <v>202012</v>
      </c>
      <c r="I76">
        <f>ModelFile!I102</f>
        <v>5.494098216399363E-2</v>
      </c>
    </row>
    <row r="77" spans="1:9" x14ac:dyDescent="0.25">
      <c r="A77" t="str">
        <f t="shared" si="5"/>
        <v>plasticRotCapOfMaterialNum(202021) = 0.0619334690671715;</v>
      </c>
      <c r="H77">
        <f>ModelFile!D103</f>
        <v>202021</v>
      </c>
      <c r="I77">
        <f>ModelFile!I103</f>
        <v>6.1933469067171523E-2</v>
      </c>
    </row>
    <row r="78" spans="1:9" x14ac:dyDescent="0.25">
      <c r="A78" t="str">
        <f t="shared" si="5"/>
        <v>plasticRotCapOfMaterialNum(202022) = 0.0548015339507576;</v>
      </c>
      <c r="H78">
        <f>ModelFile!D104</f>
        <v>202022</v>
      </c>
      <c r="I78">
        <f>ModelFile!I104</f>
        <v>5.4801533950757597E-2</v>
      </c>
    </row>
    <row r="79" spans="1:9" x14ac:dyDescent="0.25">
      <c r="A79" t="str">
        <f t="shared" si="5"/>
        <v>plasticRotCapOfMaterialNum(202031) = 0.0627808475975528;</v>
      </c>
      <c r="H79">
        <f>ModelFile!D105</f>
        <v>202031</v>
      </c>
      <c r="I79">
        <f>ModelFile!I105</f>
        <v>6.2780847597552772E-2</v>
      </c>
    </row>
    <row r="80" spans="1:9" x14ac:dyDescent="0.25">
      <c r="A80" t="str">
        <f t="shared" si="5"/>
        <v>plasticRotCapOfMaterialNum(202032) = 0.0549409821639936;</v>
      </c>
      <c r="H80">
        <f>ModelFile!D106</f>
        <v>202032</v>
      </c>
      <c r="I80">
        <f>ModelFile!I106</f>
        <v>5.494098216399363E-2</v>
      </c>
    </row>
    <row r="82" spans="1:1" x14ac:dyDescent="0.25">
      <c r="A82" t="s">
        <v>867</v>
      </c>
    </row>
    <row r="83" spans="1:1" x14ac:dyDescent="0.25">
      <c r="A83" t="s">
        <v>868</v>
      </c>
    </row>
    <row r="84" spans="1:1" x14ac:dyDescent="0.25">
      <c r="A84" t="s">
        <v>869</v>
      </c>
    </row>
    <row r="85" spans="1:1" x14ac:dyDescent="0.25">
      <c r="A85" t="s">
        <v>453</v>
      </c>
    </row>
    <row r="86" spans="1:1" x14ac:dyDescent="0.25">
      <c r="A86" t="s">
        <v>870</v>
      </c>
    </row>
    <row r="87" spans="1:1" x14ac:dyDescent="0.25">
      <c r="A87" t="s">
        <v>871</v>
      </c>
    </row>
    <row r="88" spans="1:1" x14ac:dyDescent="0.25">
      <c r="A88" t="s">
        <v>872</v>
      </c>
    </row>
    <row r="89" spans="1:1" x14ac:dyDescent="0.25">
      <c r="A89" t="s">
        <v>873</v>
      </c>
    </row>
    <row r="90" spans="1:1" x14ac:dyDescent="0.25">
      <c r="A90" t="s">
        <v>874</v>
      </c>
    </row>
    <row r="91" spans="1:1" x14ac:dyDescent="0.25">
      <c r="A91" t="s">
        <v>453</v>
      </c>
    </row>
    <row r="92" spans="1:1" x14ac:dyDescent="0.25">
      <c r="A92" t="s">
        <v>875</v>
      </c>
    </row>
    <row r="93" spans="1:1" x14ac:dyDescent="0.25">
      <c r="A93" t="s">
        <v>876</v>
      </c>
    </row>
    <row r="94" spans="1:1" x14ac:dyDescent="0.25">
      <c r="A94" t="s">
        <v>877</v>
      </c>
    </row>
    <row r="95" spans="1:1" x14ac:dyDescent="0.25">
      <c r="A95" t="s">
        <v>878</v>
      </c>
    </row>
    <row r="96" spans="1:1" x14ac:dyDescent="0.25">
      <c r="A96" t="s">
        <v>879</v>
      </c>
    </row>
    <row r="97" spans="1:1" x14ac:dyDescent="0.25">
      <c r="A97" t="s">
        <v>880</v>
      </c>
    </row>
    <row r="98" spans="1:1" x14ac:dyDescent="0.25">
      <c r="A98" t="s">
        <v>881</v>
      </c>
    </row>
    <row r="99" spans="1:1" x14ac:dyDescent="0.25">
      <c r="A99" t="s">
        <v>882</v>
      </c>
    </row>
    <row r="100" spans="1:1" x14ac:dyDescent="0.25">
      <c r="A100" t="s">
        <v>883</v>
      </c>
    </row>
    <row r="101" spans="1:1" x14ac:dyDescent="0.25">
      <c r="A101" t="s">
        <v>884</v>
      </c>
    </row>
    <row r="102" spans="1:1" x14ac:dyDescent="0.25">
      <c r="A102" t="s">
        <v>885</v>
      </c>
    </row>
    <row r="103" spans="1:1" x14ac:dyDescent="0.25">
      <c r="A103" t="s">
        <v>886</v>
      </c>
    </row>
    <row r="104" spans="1:1" x14ac:dyDescent="0.25">
      <c r="A104" t="s">
        <v>887</v>
      </c>
    </row>
    <row r="105" spans="1:1" x14ac:dyDescent="0.25">
      <c r="A105" t="s">
        <v>888</v>
      </c>
    </row>
    <row r="106" spans="1:1" x14ac:dyDescent="0.25">
      <c r="A106" t="s">
        <v>889</v>
      </c>
    </row>
    <row r="107" spans="1:1" x14ac:dyDescent="0.25">
      <c r="A107" t="s">
        <v>890</v>
      </c>
    </row>
    <row r="108" spans="1:1" x14ac:dyDescent="0.25">
      <c r="A108" t="s">
        <v>891</v>
      </c>
    </row>
    <row r="109" spans="1:1" x14ac:dyDescent="0.25">
      <c r="A109" t="s">
        <v>892</v>
      </c>
    </row>
    <row r="110" spans="1:1" x14ac:dyDescent="0.25">
      <c r="A110" t="s">
        <v>893</v>
      </c>
    </row>
    <row r="111" spans="1:1" x14ac:dyDescent="0.25">
      <c r="A111" t="s">
        <v>894</v>
      </c>
    </row>
    <row r="112" spans="1:1" x14ac:dyDescent="0.25">
      <c r="A112" t="s">
        <v>895</v>
      </c>
    </row>
    <row r="114" spans="1:1" x14ac:dyDescent="0.25">
      <c r="A114" t="s">
        <v>896</v>
      </c>
    </row>
    <row r="115" spans="1:1" x14ac:dyDescent="0.25">
      <c r="A115" t="s">
        <v>897</v>
      </c>
    </row>
    <row r="116" spans="1:1" x14ac:dyDescent="0.25">
      <c r="A116" t="s">
        <v>898</v>
      </c>
    </row>
    <row r="117" spans="1:1" x14ac:dyDescent="0.25">
      <c r="A117" t="s">
        <v>899</v>
      </c>
    </row>
    <row r="118" spans="1:1" x14ac:dyDescent="0.25">
      <c r="A118" t="s">
        <v>900</v>
      </c>
    </row>
    <row r="119" spans="1:1" x14ac:dyDescent="0.25">
      <c r="A119" t="s">
        <v>901</v>
      </c>
    </row>
    <row r="120" spans="1:1" x14ac:dyDescent="0.25">
      <c r="A120" t="s">
        <v>902</v>
      </c>
    </row>
    <row r="121" spans="1:1" x14ac:dyDescent="0.25">
      <c r="A121" t="s">
        <v>903</v>
      </c>
    </row>
    <row r="122" spans="1:1" x14ac:dyDescent="0.25">
      <c r="A122" t="s">
        <v>904</v>
      </c>
    </row>
    <row r="123" spans="1:1" x14ac:dyDescent="0.25">
      <c r="A123" t="s">
        <v>905</v>
      </c>
    </row>
    <row r="124" spans="1:1" x14ac:dyDescent="0.25">
      <c r="A124" t="s">
        <v>906</v>
      </c>
    </row>
    <row r="125" spans="1:1" x14ac:dyDescent="0.25">
      <c r="A125" t="s">
        <v>907</v>
      </c>
    </row>
    <row r="126" spans="1:1" x14ac:dyDescent="0.25">
      <c r="A126" t="s">
        <v>908</v>
      </c>
    </row>
    <row r="127" spans="1:1" x14ac:dyDescent="0.25">
      <c r="A127" t="s">
        <v>909</v>
      </c>
    </row>
    <row r="128" spans="1:1" x14ac:dyDescent="0.25">
      <c r="A128" t="s">
        <v>910</v>
      </c>
    </row>
    <row r="129" spans="1:1" x14ac:dyDescent="0.25">
      <c r="A129" t="s">
        <v>911</v>
      </c>
    </row>
    <row r="130" spans="1:1" x14ac:dyDescent="0.25">
      <c r="A130" t="s">
        <v>912</v>
      </c>
    </row>
    <row r="131" spans="1:1" x14ac:dyDescent="0.25">
      <c r="A131" t="s">
        <v>913</v>
      </c>
    </row>
    <row r="132" spans="1:1" x14ac:dyDescent="0.25">
      <c r="A132" t="s">
        <v>914</v>
      </c>
    </row>
    <row r="133" spans="1:1" x14ac:dyDescent="0.25">
      <c r="A133" t="s">
        <v>915</v>
      </c>
    </row>
    <row r="135" spans="1:1" x14ac:dyDescent="0.25">
      <c r="A135" t="s">
        <v>916</v>
      </c>
    </row>
    <row r="136" spans="1:1" x14ac:dyDescent="0.25">
      <c r="A136" t="s">
        <v>917</v>
      </c>
    </row>
    <row r="137" spans="1:1" x14ac:dyDescent="0.25">
      <c r="A137" t="s">
        <v>918</v>
      </c>
    </row>
    <row r="138" spans="1:1" x14ac:dyDescent="0.25">
      <c r="A138" t="s">
        <v>919</v>
      </c>
    </row>
    <row r="139" spans="1:1" x14ac:dyDescent="0.25">
      <c r="A139" t="s">
        <v>920</v>
      </c>
    </row>
    <row r="140" spans="1:1" x14ac:dyDescent="0.25">
      <c r="A140" t="s">
        <v>921</v>
      </c>
    </row>
    <row r="141" spans="1:1" x14ac:dyDescent="0.25">
      <c r="A141" t="s">
        <v>922</v>
      </c>
    </row>
    <row r="142" spans="1:1" x14ac:dyDescent="0.25">
      <c r="A142" t="s">
        <v>923</v>
      </c>
    </row>
    <row r="143" spans="1:1" x14ac:dyDescent="0.25">
      <c r="A143" t="s">
        <v>924</v>
      </c>
    </row>
    <row r="144" spans="1:1" x14ac:dyDescent="0.25">
      <c r="A144" t="s">
        <v>925</v>
      </c>
    </row>
    <row r="145" spans="1:1" x14ac:dyDescent="0.25">
      <c r="A145" t="s">
        <v>926</v>
      </c>
    </row>
    <row r="146" spans="1:1" x14ac:dyDescent="0.25">
      <c r="A146" t="s">
        <v>927</v>
      </c>
    </row>
    <row r="147" spans="1:1" x14ac:dyDescent="0.25">
      <c r="A147" t="s">
        <v>928</v>
      </c>
    </row>
    <row r="148" spans="1:1" x14ac:dyDescent="0.25">
      <c r="A148" t="s">
        <v>929</v>
      </c>
    </row>
    <row r="149" spans="1:1" x14ac:dyDescent="0.25">
      <c r="A149" t="s">
        <v>930</v>
      </c>
    </row>
    <row r="150" spans="1:1" x14ac:dyDescent="0.25">
      <c r="A150" t="s">
        <v>931</v>
      </c>
    </row>
    <row r="151" spans="1:1" x14ac:dyDescent="0.25">
      <c r="A151" t="s">
        <v>932</v>
      </c>
    </row>
    <row r="152" spans="1:1" x14ac:dyDescent="0.25">
      <c r="A152" t="s">
        <v>933</v>
      </c>
    </row>
    <row r="153" spans="1:1" x14ac:dyDescent="0.25">
      <c r="A153" t="s">
        <v>934</v>
      </c>
    </row>
    <row r="154" spans="1:1" x14ac:dyDescent="0.25">
      <c r="A154" t="s">
        <v>935</v>
      </c>
    </row>
    <row r="155" spans="1:1" x14ac:dyDescent="0.25">
      <c r="A155" t="s">
        <v>453</v>
      </c>
    </row>
    <row r="156" spans="1:1" x14ac:dyDescent="0.25">
      <c r="A156" t="s">
        <v>936</v>
      </c>
    </row>
    <row r="157" spans="1:1" x14ac:dyDescent="0.25">
      <c r="A157" t="s">
        <v>937</v>
      </c>
    </row>
    <row r="158" spans="1:1" x14ac:dyDescent="0.25">
      <c r="A158" t="s">
        <v>938</v>
      </c>
    </row>
    <row r="159" spans="1:1" x14ac:dyDescent="0.25">
      <c r="A159" t="s">
        <v>939</v>
      </c>
    </row>
    <row r="160" spans="1:1" x14ac:dyDescent="0.25">
      <c r="A160" t="s">
        <v>940</v>
      </c>
    </row>
    <row r="161" spans="1:1" x14ac:dyDescent="0.25">
      <c r="A161" t="s">
        <v>941</v>
      </c>
    </row>
    <row r="162" spans="1:1" x14ac:dyDescent="0.25">
      <c r="A162" t="s">
        <v>942</v>
      </c>
    </row>
    <row r="163" spans="1:1" x14ac:dyDescent="0.25">
      <c r="A163" t="s">
        <v>943</v>
      </c>
    </row>
    <row r="164" spans="1:1" x14ac:dyDescent="0.25">
      <c r="A164" t="s">
        <v>944</v>
      </c>
    </row>
    <row r="165" spans="1:1" x14ac:dyDescent="0.25">
      <c r="A165" t="s">
        <v>945</v>
      </c>
    </row>
    <row r="166" spans="1:1" x14ac:dyDescent="0.25">
      <c r="A166" t="s">
        <v>946</v>
      </c>
    </row>
    <row r="167" spans="1:1" x14ac:dyDescent="0.25">
      <c r="A167" t="s">
        <v>947</v>
      </c>
    </row>
    <row r="168" spans="1:1" x14ac:dyDescent="0.25">
      <c r="A168" t="s">
        <v>948</v>
      </c>
    </row>
    <row r="169" spans="1:1" x14ac:dyDescent="0.25">
      <c r="A169" t="s">
        <v>949</v>
      </c>
    </row>
    <row r="170" spans="1:1" x14ac:dyDescent="0.25">
      <c r="A170" t="s">
        <v>950</v>
      </c>
    </row>
    <row r="171" spans="1:1" x14ac:dyDescent="0.25">
      <c r="A171" t="s">
        <v>951</v>
      </c>
    </row>
    <row r="172" spans="1:1" x14ac:dyDescent="0.25">
      <c r="A172" t="s">
        <v>952</v>
      </c>
    </row>
    <row r="173" spans="1:1" x14ac:dyDescent="0.25">
      <c r="A173" t="s">
        <v>953</v>
      </c>
    </row>
    <row r="174" spans="1:1" x14ac:dyDescent="0.25">
      <c r="A174" t="s">
        <v>954</v>
      </c>
    </row>
    <row r="175" spans="1:1" x14ac:dyDescent="0.25">
      <c r="A175" t="s">
        <v>955</v>
      </c>
    </row>
    <row r="176" spans="1:1" x14ac:dyDescent="0.25">
      <c r="A176" t="s">
        <v>453</v>
      </c>
    </row>
    <row r="177" spans="1:1" x14ac:dyDescent="0.25">
      <c r="A177" t="s">
        <v>956</v>
      </c>
    </row>
    <row r="178" spans="1:1" x14ac:dyDescent="0.25">
      <c r="A178" t="s">
        <v>957</v>
      </c>
    </row>
    <row r="179" spans="1:1" x14ac:dyDescent="0.25">
      <c r="A179" t="s">
        <v>958</v>
      </c>
    </row>
    <row r="180" spans="1:1" x14ac:dyDescent="0.25">
      <c r="A180" t="s">
        <v>959</v>
      </c>
    </row>
    <row r="181" spans="1:1" x14ac:dyDescent="0.25">
      <c r="A181" t="s">
        <v>960</v>
      </c>
    </row>
    <row r="182" spans="1:1" x14ac:dyDescent="0.25">
      <c r="A182" t="s">
        <v>961</v>
      </c>
    </row>
    <row r="183" spans="1:1" x14ac:dyDescent="0.25">
      <c r="A183" t="s">
        <v>962</v>
      </c>
    </row>
    <row r="184" spans="1:1" x14ac:dyDescent="0.25">
      <c r="A184" t="s">
        <v>963</v>
      </c>
    </row>
    <row r="185" spans="1:1" x14ac:dyDescent="0.25">
      <c r="A185" t="s">
        <v>964</v>
      </c>
    </row>
    <row r="186" spans="1:1" x14ac:dyDescent="0.25">
      <c r="A186" t="s">
        <v>965</v>
      </c>
    </row>
    <row r="187" spans="1:1" x14ac:dyDescent="0.25">
      <c r="A187" t="s">
        <v>966</v>
      </c>
    </row>
    <row r="188" spans="1:1" x14ac:dyDescent="0.25">
      <c r="A188" t="s">
        <v>967</v>
      </c>
    </row>
    <row r="189" spans="1:1" x14ac:dyDescent="0.25">
      <c r="A189" t="s">
        <v>968</v>
      </c>
    </row>
    <row r="190" spans="1:1" x14ac:dyDescent="0.25">
      <c r="A190" t="s">
        <v>969</v>
      </c>
    </row>
    <row r="191" spans="1:1" x14ac:dyDescent="0.25">
      <c r="A191" t="s">
        <v>970</v>
      </c>
    </row>
    <row r="192" spans="1:1" x14ac:dyDescent="0.25">
      <c r="A192" t="s">
        <v>971</v>
      </c>
    </row>
    <row r="193" spans="1:1" x14ac:dyDescent="0.25">
      <c r="A193" t="s">
        <v>972</v>
      </c>
    </row>
    <row r="194" spans="1:1" x14ac:dyDescent="0.25">
      <c r="A194" t="s">
        <v>973</v>
      </c>
    </row>
    <row r="195" spans="1:1" x14ac:dyDescent="0.25">
      <c r="A195" t="s">
        <v>974</v>
      </c>
    </row>
    <row r="196" spans="1:1" x14ac:dyDescent="0.25">
      <c r="A196" t="s">
        <v>975</v>
      </c>
    </row>
    <row r="197" spans="1:1" x14ac:dyDescent="0.25">
      <c r="A197" t="s">
        <v>453</v>
      </c>
    </row>
    <row r="198" spans="1:1" x14ac:dyDescent="0.25">
      <c r="A198" t="s">
        <v>976</v>
      </c>
    </row>
    <row r="199" spans="1:1" x14ac:dyDescent="0.25">
      <c r="A199" t="str">
        <f>"         for colLineNum = 1:" &amp;(GeneralInput!C8 + 1)</f>
        <v xml:space="preserve">         for colLineNum = 1:4</v>
      </c>
    </row>
    <row r="200" spans="1:1" x14ac:dyDescent="0.25">
      <c r="A200" t="str">
        <f>"             for floorNum = 2:"&amp;(GeneralInput!C7+1)</f>
        <v xml:space="preserve">             for floorNum = 2:6</v>
      </c>
    </row>
    <row r="201" spans="1:1" x14ac:dyDescent="0.25">
      <c r="A201" t="s">
        <v>977</v>
      </c>
    </row>
    <row r="202" spans="1:1" x14ac:dyDescent="0.25">
      <c r="A202" t="s">
        <v>978</v>
      </c>
    </row>
    <row r="203" spans="1:1" x14ac:dyDescent="0.25">
      <c r="A203" t="s">
        <v>979</v>
      </c>
    </row>
    <row r="204" spans="1:1" x14ac:dyDescent="0.25">
      <c r="A204" t="s">
        <v>453</v>
      </c>
    </row>
    <row r="205" spans="1:1" x14ac:dyDescent="0.25">
      <c r="A205" t="s">
        <v>980</v>
      </c>
    </row>
    <row r="206" spans="1:1" x14ac:dyDescent="0.25">
      <c r="A206" t="str">
        <f>"         for colLineNum = 1:" &amp;(GeneralInput!$C$8 + 1)</f>
        <v xml:space="preserve">         for colLineNum = 1:4</v>
      </c>
    </row>
    <row r="207" spans="1:1" x14ac:dyDescent="0.25">
      <c r="A207" t="s">
        <v>981</v>
      </c>
    </row>
    <row r="208" spans="1:1" x14ac:dyDescent="0.25">
      <c r="A208" t="s">
        <v>979</v>
      </c>
    </row>
    <row r="209" spans="1:1" x14ac:dyDescent="0.25">
      <c r="A209" t="s">
        <v>453</v>
      </c>
    </row>
    <row r="210" spans="1:1" x14ac:dyDescent="0.25">
      <c r="A210" t="s">
        <v>860</v>
      </c>
    </row>
    <row r="211" spans="1:1" x14ac:dyDescent="0.25">
      <c r="A211" t="str">
        <f>"%%%%%% Design ID  " &amp;GeneralInput!C6&amp; " - End %%%%%%%%%%%%%%%%%%%%%%%%%%%%%%%%%%%%%%%%%%%%%%%%%%%%%%%%"</f>
        <v>%%%%%% Design ID  35053 - End %%%%%%%%%%%%%%%%%%%%%%%%%%%%%%%%%%%%%%%%%%%%%%%%%%%%%%%%</v>
      </c>
    </row>
    <row r="212" spans="1:1" x14ac:dyDescent="0.25">
      <c r="A212" t="s">
        <v>860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sheetPr>
  <dimension ref="A2:BM152"/>
  <sheetViews>
    <sheetView topLeftCell="A73" workbookViewId="0">
      <pane xSplit="4" topLeftCell="E1" activePane="topRight" state="frozen"/>
      <selection activeCell="C2" sqref="C2"/>
      <selection pane="topRight" activeCell="C2" sqref="C2"/>
    </sheetView>
  </sheetViews>
  <sheetFormatPr defaultRowHeight="15" x14ac:dyDescent="0.25"/>
  <cols>
    <col min="1" max="1" width="18.140625" bestFit="1" customWidth="1"/>
    <col min="10" max="10" width="8.85546875" bestFit="1" customWidth="1"/>
    <col min="11" max="11" width="10.5703125" customWidth="1"/>
    <col min="12" max="12" width="12.140625" customWidth="1"/>
    <col min="13" max="13" width="18.140625" customWidth="1"/>
    <col min="14" max="14" width="15.42578125" customWidth="1"/>
    <col min="15" max="15" width="13.85546875" bestFit="1" customWidth="1"/>
    <col min="16" max="16" width="11.7109375" customWidth="1"/>
    <col min="17" max="17" width="11.28515625" customWidth="1"/>
    <col min="18" max="20" width="12.7109375" customWidth="1"/>
    <col min="21" max="21" width="12.28515625" bestFit="1" customWidth="1"/>
    <col min="22" max="22" width="13.140625" bestFit="1" customWidth="1"/>
    <col min="23" max="23" width="13.42578125" bestFit="1" customWidth="1"/>
    <col min="24" max="24" width="10.7109375" bestFit="1" customWidth="1"/>
    <col min="25" max="27" width="12.140625" bestFit="1" customWidth="1"/>
    <col min="29" max="29" width="12.140625" bestFit="1" customWidth="1"/>
    <col min="30" max="30" width="13.42578125" bestFit="1" customWidth="1"/>
    <col min="32" max="32" width="12.28515625" bestFit="1" customWidth="1"/>
    <col min="34" max="34" width="9.5703125" bestFit="1" customWidth="1"/>
    <col min="36" max="36" width="9.7109375" bestFit="1" customWidth="1"/>
    <col min="46" max="46" width="15" bestFit="1" customWidth="1"/>
    <col min="47" max="48" width="13.5703125" customWidth="1"/>
    <col min="49" max="49" width="12.140625" customWidth="1"/>
    <col min="50" max="50" width="11.7109375" bestFit="1" customWidth="1"/>
    <col min="51" max="51" width="11" customWidth="1"/>
    <col min="52" max="52" width="11.140625" customWidth="1"/>
    <col min="53" max="53" width="12" bestFit="1" customWidth="1"/>
    <col min="54" max="54" width="10" customWidth="1"/>
    <col min="55" max="55" width="9.85546875" customWidth="1"/>
    <col min="57" max="58" width="9.85546875" customWidth="1"/>
    <col min="59" max="59" width="10.5703125" bestFit="1" customWidth="1"/>
    <col min="65" max="65" width="12.28515625" bestFit="1" customWidth="1"/>
  </cols>
  <sheetData>
    <row r="2" spans="1:60" ht="15.75" x14ac:dyDescent="0.25">
      <c r="A2" s="22" t="s">
        <v>476</v>
      </c>
      <c r="B2" s="1">
        <f>GeneralInput!C6</f>
        <v>35053</v>
      </c>
      <c r="D2" s="20" t="s">
        <v>982</v>
      </c>
      <c r="E2" t="s">
        <v>983</v>
      </c>
    </row>
    <row r="3" spans="1:60" x14ac:dyDescent="0.25">
      <c r="A3" t="s">
        <v>984</v>
      </c>
      <c r="B3" s="1">
        <f>GeneralInput!C7</f>
        <v>5</v>
      </c>
    </row>
    <row r="4" spans="1:60" x14ac:dyDescent="0.25">
      <c r="A4" s="38" t="str">
        <f>GeneralInput!B15</f>
        <v>Col conc grade, fck</v>
      </c>
      <c r="B4" s="27">
        <f>GeneralInput!C15</f>
        <v>50</v>
      </c>
      <c r="C4" t="s">
        <v>241</v>
      </c>
    </row>
    <row r="5" spans="1:60" x14ac:dyDescent="0.25">
      <c r="A5" s="38" t="s">
        <v>536</v>
      </c>
      <c r="B5" s="27">
        <f>GeneralInput!C23</f>
        <v>500</v>
      </c>
      <c r="C5" t="s">
        <v>241</v>
      </c>
    </row>
    <row r="6" spans="1:60" x14ac:dyDescent="0.25">
      <c r="A6" s="27" t="s">
        <v>985</v>
      </c>
      <c r="B6" s="27">
        <f>GeneralInput!C24</f>
        <v>600</v>
      </c>
      <c r="C6" t="s">
        <v>241</v>
      </c>
    </row>
    <row r="7" spans="1:60" x14ac:dyDescent="0.25">
      <c r="A7" s="27" t="s">
        <v>551</v>
      </c>
      <c r="B7" s="30">
        <f>GeneralInput!C27</f>
        <v>200000</v>
      </c>
      <c r="C7" t="s">
        <v>241</v>
      </c>
    </row>
    <row r="8" spans="1:60" x14ac:dyDescent="0.25">
      <c r="A8" s="27" t="s">
        <v>986</v>
      </c>
      <c r="B8" s="39">
        <f>GeneralInput!C21</f>
        <v>3.5000000000000001E-3</v>
      </c>
      <c r="C8" s="38" t="s">
        <v>987</v>
      </c>
    </row>
    <row r="9" spans="1:60" ht="16.5" thickBot="1" x14ac:dyDescent="0.3">
      <c r="A9" s="27" t="s">
        <v>988</v>
      </c>
      <c r="B9" s="14">
        <v>1</v>
      </c>
      <c r="C9" s="56" t="s">
        <v>989</v>
      </c>
    </row>
    <row r="10" spans="1:60" ht="15.75" thickBot="1" x14ac:dyDescent="0.3">
      <c r="A10" s="27" t="s">
        <v>990</v>
      </c>
      <c r="B10" s="27">
        <f>1.128*25.4</f>
        <v>28.651199999999996</v>
      </c>
      <c r="C10" t="s">
        <v>86</v>
      </c>
      <c r="J10">
        <f>PropManualCals!K23</f>
        <v>2.0999999999999996</v>
      </c>
      <c r="V10" s="59" t="s">
        <v>991</v>
      </c>
      <c r="W10" s="5" t="s">
        <v>992</v>
      </c>
      <c r="X10" s="5" t="s">
        <v>993</v>
      </c>
      <c r="Y10" s="12" t="s">
        <v>994</v>
      </c>
      <c r="Z10" s="58" t="s">
        <v>995</v>
      </c>
      <c r="AA10" s="8"/>
      <c r="AB10" s="7"/>
      <c r="AC10" s="8"/>
      <c r="AD10" s="58" t="s">
        <v>992</v>
      </c>
      <c r="AE10" s="8"/>
      <c r="AF10" s="7"/>
      <c r="AG10" s="8"/>
    </row>
    <row r="11" spans="1:60" ht="15.75" thickBot="1" x14ac:dyDescent="0.3">
      <c r="A11" s="24" t="s">
        <v>333</v>
      </c>
      <c r="B11" s="24" t="s">
        <v>996</v>
      </c>
      <c r="T11" s="40"/>
      <c r="U11" s="39">
        <f>W11*1.25</f>
        <v>7.8927840452031911E-2</v>
      </c>
      <c r="V11" s="39">
        <f>AA11*1.25+X11</f>
        <v>7.7803529309365654E-2</v>
      </c>
      <c r="W11" s="39">
        <f>X11+AA11</f>
        <v>6.3142272361625534E-2</v>
      </c>
      <c r="X11" s="39">
        <f>$BM$20</f>
        <v>4.4972445706650457E-3</v>
      </c>
      <c r="Y11" s="23">
        <f>(T20/$B$10)*SQRT($B$6/100)</f>
        <v>8.6861338396566605</v>
      </c>
      <c r="Z11" s="15" t="s">
        <v>997</v>
      </c>
      <c r="AA11" s="57">
        <f>0.12*(1+0.55*$B$9)*(0.16^J20)*((0.02+40*S20)^0.43)*(0.54^(0.01*1*H20))*(0.66^(0.1*Y11))*(2.27^(10*Q20/E20/F20))</f>
        <v>5.8645027790960494E-2</v>
      </c>
      <c r="AB11" s="15" t="s">
        <v>998</v>
      </c>
      <c r="AC11" s="57">
        <f>0.13*(1+0.55*$B$9)*(0.13^J20)*((0.02+40*S20)^0.65)*(0.57^(0.01*1*H20))</f>
        <v>6.4738523632764514E-2</v>
      </c>
      <c r="AD11" s="15" t="s">
        <v>997</v>
      </c>
      <c r="AE11" s="57">
        <f>0.12*(1+0.4*$B$9)*(0.2^J20)*((0.02+40*S20)^0.52)*(0.56^(0.01*1*H20))*(2.37^(10*Q20/E20/F20))</f>
        <v>6.9529237073719524E-2</v>
      </c>
      <c r="AF11" s="15" t="s">
        <v>998</v>
      </c>
      <c r="AG11" s="57">
        <f>0.14*(1+0.4*$B$9)*(0.19^J20)*((0.02+40*S20)^0.54)*(0.62^(0.01*1*H20))</f>
        <v>7.5926178611512324E-2</v>
      </c>
      <c r="AR11">
        <f>SQRT(($B$7/I20)^2 * (IF(IF(((R20*$B$6 - R20*$B$6 + G20*1000)/(0.85*H20*E20*IF(H20&lt;27.6,0.85,IF(H20&gt;55.17,0.65,(1.05-0.05*(H20/6.9)))))) &lt; P20, 1, 0) = 1, (R20 + R20 + (Q20 - 2*R20)) / (E20 * O20) + ((G20 * 1000) / ($B$6 * E20 * O20)), (R20 + R20 + (Q20 - 2*R20)) / (E20 * O20) - ((G20 * 1000) / (1.8 * ($B$7/I20) * H20 * E20 * O20))))^2 + 2 * ($B$7/I20) * IF(IF(((R20*$B$6 - R20*$B$6 + G20*1000)/(0.85*H20*E20*IF(H20&lt;27.6,0.85,IF(H20&gt;55.17,0.65,(1.05-0.05*(H20/6.9)))))) &lt; P20, 1, 0) = 1, (R20 + R20 * ((F20 - O20) / O20) + 0.5 * (Q20 - 2 * R20) * (1 + ((F20 - O20) / O20))) / (E20 * O20) + ((G20 * 1000) / ($B$6 * E20 * O20)), (R20 + R20 * ((F20 - O20) / O20) + 0.5 * (Q20 - 2 * R20) * (1 + ((F20 - O20) / O20))) / (E20 * O20))) - ($B$7/I20) * IF(IF(((R20*$B$6 - R20*$B$6 + G20*1000)/(0.85*H20*E20*IF(H20&lt;27.6,0.85,IF(H20&gt;55.17,0.65,(1.05-0.05*(H20/6.9)))))) &lt; P20, 1, 0) = 1, (R20 + R20 + (Q20 - 2*R20)) / (E20 * O20) + ((G20 * 1000) / ($B$6 * E20 * O20)), (R20 + R20 + (Q20 - 2*R20)) / (E20 * O20) - ((G20 * 1000) / (1.8 * ($B$7/I20) * H20 * E20 * O20)))</f>
        <v>0.23315113457533526</v>
      </c>
    </row>
    <row r="12" spans="1:60" ht="15.75" thickBot="1" x14ac:dyDescent="0.3">
      <c r="A12" s="25">
        <v>1</v>
      </c>
      <c r="B12" s="26">
        <f>15*12*25.4/1000</f>
        <v>4.5720000000000001</v>
      </c>
      <c r="F12">
        <v>1</v>
      </c>
      <c r="G12">
        <v>10</v>
      </c>
      <c r="I12">
        <v>2.5</v>
      </c>
      <c r="J12">
        <f>[2]!INTERPLINEAR(I12,F12:F14,G12:G14)</f>
        <v>11.5</v>
      </c>
      <c r="T12" s="40"/>
      <c r="U12" s="39">
        <f>W12*1.25</f>
        <v>7.7098571209911634E-2</v>
      </c>
      <c r="V12" s="39">
        <f>AA12*1.25+X12</f>
        <v>7.5974260067245364E-2</v>
      </c>
      <c r="W12" s="39">
        <f>X12+AA12</f>
        <v>6.167885696792931E-2</v>
      </c>
      <c r="X12" s="39">
        <f>$BM$20</f>
        <v>4.4972445706650457E-3</v>
      </c>
      <c r="Y12" s="23">
        <f>(T21/$B$10)*SQRT($B$6/100)</f>
        <v>8.6861338396566605</v>
      </c>
      <c r="Z12" s="15" t="s">
        <v>997</v>
      </c>
      <c r="AA12" s="57">
        <f>0.12*(1+0.55*$B$9)*(0.16^J21)*((0.02+40*S21)^0.43)*(0.54^(0.01*1*H21))*(0.66^(0.1*Y12))*(2.27^(10*Q21/E21/F21))</f>
        <v>5.7181612397264263E-2</v>
      </c>
      <c r="AB12" s="15" t="s">
        <v>998</v>
      </c>
      <c r="AC12" s="57">
        <f>0.13*(1+0.55*$B$9)*(0.13^J21)*((0.02+40*S21)^0.65)*(0.57^(0.01*1*H21))</f>
        <v>6.2942574126413464E-2</v>
      </c>
      <c r="AD12" s="15" t="s">
        <v>997</v>
      </c>
      <c r="AE12" s="57">
        <f>0.12*(1+0.4*$B$9)*(0.2^J21)*((0.02+40*S21)^0.52)*(0.56^(0.01*1*H21))*(2.37^(10*Q21/E21/F21))</f>
        <v>6.8003146348554949E-2</v>
      </c>
      <c r="AF12" s="15" t="s">
        <v>998</v>
      </c>
      <c r="AG12" s="57">
        <f>0.14*(1+0.4*$B$9)*(0.19^J21)*((0.02+40*S21)^0.54)*(0.62^(0.01*1*H21))</f>
        <v>7.4207175997580699E-2</v>
      </c>
    </row>
    <row r="13" spans="1:60" ht="15.75" thickBot="1" x14ac:dyDescent="0.3">
      <c r="A13" s="25" t="s">
        <v>999</v>
      </c>
      <c r="B13" s="26">
        <f>12*13*25.4/1000</f>
        <v>3.9623999999999997</v>
      </c>
      <c r="F13">
        <v>2</v>
      </c>
      <c r="G13">
        <v>11</v>
      </c>
      <c r="O13" t="s">
        <v>1000</v>
      </c>
      <c r="P13" s="39">
        <f>B6/B7</f>
        <v>3.0000000000000001E-3</v>
      </c>
      <c r="T13" s="40"/>
      <c r="U13" s="39">
        <f>W13*1.25</f>
        <v>7.6941190763413936E-2</v>
      </c>
      <c r="V13" s="39">
        <f>AA13*1.25+X13</f>
        <v>7.5816879620747665E-2</v>
      </c>
      <c r="W13" s="39">
        <f>X13+AA13</f>
        <v>6.1552952610731147E-2</v>
      </c>
      <c r="X13" s="39">
        <f>$BM$20</f>
        <v>4.4972445706650457E-3</v>
      </c>
      <c r="Y13" s="23">
        <f>(T22/$B$10)*SQRT($B$6/100)</f>
        <v>8.6861338396566605</v>
      </c>
      <c r="Z13" s="15" t="s">
        <v>997</v>
      </c>
      <c r="AA13" s="57">
        <f>0.12*(1+0.55*$B$9)*(0.16^J22)*((0.02+40*S22)^0.43)*(0.54^(0.01*1*H22))*(0.66^(0.1*Y13))*(2.27^(10*Q22/E22/F22))</f>
        <v>5.70557080400661E-2</v>
      </c>
      <c r="AB13" s="15" t="s">
        <v>998</v>
      </c>
      <c r="AC13" s="57">
        <f>0.13*(1+0.55*$B$9)*(0.13^J22)*((0.02+40*S22)^0.65)*(0.57^(0.01*1*H22))</f>
        <v>6.1204099501153492E-2</v>
      </c>
      <c r="AD13" s="15" t="s">
        <v>997</v>
      </c>
      <c r="AE13" s="57">
        <f>0.12*(1+0.4*$B$9)*(0.2^J22)*((0.02+40*S22)^0.52)*(0.56^(0.01*1*H22))*(2.37^(10*Q22/E22/F22))</f>
        <v>6.8143798920731052E-2</v>
      </c>
      <c r="AF13" s="15" t="s">
        <v>998</v>
      </c>
      <c r="AG13" s="57">
        <f>0.14*(1+0.4*$B$9)*(0.19^J22)*((0.02+40*S22)^0.54)*(0.62^(0.01*1*H22))</f>
        <v>7.2534474611256852E-2</v>
      </c>
    </row>
    <row r="14" spans="1:60" ht="15.75" thickBot="1" x14ac:dyDescent="0.3">
      <c r="A14" s="25"/>
      <c r="B14" s="25"/>
      <c r="F14">
        <v>3</v>
      </c>
      <c r="G14">
        <v>12</v>
      </c>
      <c r="J14" s="33"/>
      <c r="K14" t="s">
        <v>1001</v>
      </c>
      <c r="T14" s="40"/>
      <c r="U14" s="39">
        <f>W14*1.25</f>
        <v>7.519665088709461E-2</v>
      </c>
      <c r="V14" s="39">
        <f>AA14*1.25+X14</f>
        <v>7.4072339744428339E-2</v>
      </c>
      <c r="W14" s="39">
        <f>X14+AA14</f>
        <v>6.0157320709675687E-2</v>
      </c>
      <c r="X14" s="39">
        <f>$BM$20</f>
        <v>4.4972445706650457E-3</v>
      </c>
      <c r="Y14" s="23">
        <f>(T23/$B$10)*SQRT($B$6/100)</f>
        <v>8.6861338396566605</v>
      </c>
      <c r="Z14" s="15" t="s">
        <v>997</v>
      </c>
      <c r="AA14" s="57">
        <f>0.12*(1+0.55*$B$9)*(0.16^J23)*((0.02+40*S23)^0.43)*(0.54^(0.01*1*H23))*(0.66^(0.1*Y14))*(2.27^(10*Q23/E23/F23))</f>
        <v>5.5660076139010639E-2</v>
      </c>
      <c r="AB14" s="15" t="s">
        <v>998</v>
      </c>
      <c r="AC14" s="57">
        <f>0.13*(1+0.55*$B$9)*(0.13^J23)*((0.02+40*S23)^0.65)*(0.57^(0.01*1*H23))</f>
        <v>5.9539692495625351E-2</v>
      </c>
      <c r="AD14" s="15" t="s">
        <v>997</v>
      </c>
      <c r="AE14" s="57">
        <f>0.12*(1+0.4*$B$9)*(0.2^J23)*((0.02+40*S23)^0.52)*(0.56^(0.01*1*H23))*(2.37^(10*Q23/E23/F23))</f>
        <v>6.6677706537586021E-2</v>
      </c>
      <c r="AF14" s="15" t="s">
        <v>998</v>
      </c>
      <c r="AG14" s="57">
        <f>0.14*(1+0.4*$B$9)*(0.19^J23)*((0.02+40*S23)^0.54)*(0.62^(0.01*1*H23))</f>
        <v>7.0924738744394089E-2</v>
      </c>
      <c r="AY14" s="63">
        <f>MIN($B$6 / ($B$7 * (1 - AY20) * O20), 1.8 * H20 / (I20 * AY20 * O20))</f>
        <v>5.620853106692971E-6</v>
      </c>
    </row>
    <row r="15" spans="1:60" ht="15.75" thickBot="1" x14ac:dyDescent="0.3">
      <c r="A15" s="28"/>
      <c r="B15" s="28"/>
      <c r="W15" s="61">
        <f>W11-W14</f>
        <v>2.9849516519498479E-3</v>
      </c>
      <c r="AE15" s="61">
        <f>AE11-AE14</f>
        <v>2.8515305361335036E-3</v>
      </c>
      <c r="AG15" s="60">
        <f>AG11-AG14</f>
        <v>5.0014398671182347E-3</v>
      </c>
    </row>
    <row r="16" spans="1:60" x14ac:dyDescent="0.25">
      <c r="BF16" t="s">
        <v>1002</v>
      </c>
      <c r="BG16">
        <f>K20*F20</f>
        <v>1600.1999999999998</v>
      </c>
      <c r="BH16" t="s">
        <v>86</v>
      </c>
    </row>
    <row r="17" spans="1:65" ht="16.5" thickBot="1" x14ac:dyDescent="0.3">
      <c r="A17" s="35" t="s">
        <v>1003</v>
      </c>
      <c r="B17" s="35">
        <v>1</v>
      </c>
      <c r="G17" s="32" t="s">
        <v>1004</v>
      </c>
      <c r="M17" s="41" t="e">
        <f ca="1">EIstf40Simplfied(J20,I20,E20,F20)</f>
        <v>#NAME?</v>
      </c>
      <c r="AD17" s="12" t="s">
        <v>1005</v>
      </c>
      <c r="BF17" t="s">
        <v>990</v>
      </c>
      <c r="BG17">
        <v>25.4</v>
      </c>
      <c r="BH17" t="s">
        <v>86</v>
      </c>
    </row>
    <row r="18" spans="1:65" ht="136.5" thickTop="1" thickBot="1" x14ac:dyDescent="0.35">
      <c r="A18" s="12" t="s">
        <v>333</v>
      </c>
      <c r="B18" s="12" t="s">
        <v>201</v>
      </c>
      <c r="C18" s="34" t="s">
        <v>1006</v>
      </c>
      <c r="D18" s="34" t="s">
        <v>1007</v>
      </c>
      <c r="E18" s="12" t="s">
        <v>1008</v>
      </c>
      <c r="F18" s="12" t="s">
        <v>1009</v>
      </c>
      <c r="G18" s="1" t="s">
        <v>1010</v>
      </c>
      <c r="H18" s="1" t="s">
        <v>1011</v>
      </c>
      <c r="I18" s="1" t="s">
        <v>1012</v>
      </c>
      <c r="J18" s="48" t="s">
        <v>643</v>
      </c>
      <c r="K18" s="1" t="s">
        <v>1013</v>
      </c>
      <c r="L18" s="65" t="s">
        <v>982</v>
      </c>
      <c r="M18" s="12" t="s">
        <v>1014</v>
      </c>
      <c r="N18" s="1" t="s">
        <v>1014</v>
      </c>
      <c r="O18" s="64" t="s">
        <v>1015</v>
      </c>
      <c r="P18" s="64" t="s">
        <v>1016</v>
      </c>
      <c r="Q18" s="64" t="s">
        <v>1017</v>
      </c>
      <c r="R18" s="64" t="s">
        <v>1018</v>
      </c>
      <c r="S18" s="64" t="s">
        <v>1019</v>
      </c>
      <c r="T18" s="64" t="s">
        <v>1020</v>
      </c>
      <c r="U18" s="64" t="s">
        <v>1021</v>
      </c>
      <c r="V18" s="12" t="s">
        <v>1022</v>
      </c>
      <c r="W18" s="12" t="s">
        <v>1023</v>
      </c>
      <c r="X18" s="12" t="s">
        <v>723</v>
      </c>
      <c r="Y18" s="64" t="s">
        <v>1024</v>
      </c>
      <c r="Z18" s="1" t="s">
        <v>993</v>
      </c>
      <c r="AA18" s="64" t="s">
        <v>1025</v>
      </c>
      <c r="AB18" s="64" t="s">
        <v>995</v>
      </c>
      <c r="AC18" s="53" t="s">
        <v>724</v>
      </c>
      <c r="AD18" s="53" t="s">
        <v>725</v>
      </c>
      <c r="AE18" s="12" t="s">
        <v>726</v>
      </c>
      <c r="AF18" s="12" t="s">
        <v>727</v>
      </c>
      <c r="AG18" s="1" t="s">
        <v>1026</v>
      </c>
      <c r="AH18" s="1" t="s">
        <v>1027</v>
      </c>
      <c r="AI18" s="12"/>
      <c r="AK18" s="12"/>
      <c r="AN18" s="42" t="s">
        <v>1028</v>
      </c>
      <c r="AO18" s="42" t="s">
        <v>1029</v>
      </c>
      <c r="AP18" s="43" t="s">
        <v>1030</v>
      </c>
      <c r="AR18" s="42" t="s">
        <v>1031</v>
      </c>
      <c r="AS18" s="42" t="s">
        <v>1032</v>
      </c>
      <c r="AT18" s="42" t="s">
        <v>1033</v>
      </c>
      <c r="AU18" s="46" t="s">
        <v>1034</v>
      </c>
      <c r="AV18" s="42" t="s">
        <v>1035</v>
      </c>
      <c r="AW18" s="42" t="s">
        <v>1036</v>
      </c>
      <c r="AX18" s="46" t="s">
        <v>1037</v>
      </c>
      <c r="AY18" s="43" t="s">
        <v>1021</v>
      </c>
      <c r="AZ18" s="44"/>
      <c r="BA18" s="45" t="s">
        <v>1038</v>
      </c>
      <c r="BB18" s="42" t="s">
        <v>1039</v>
      </c>
      <c r="BC18" s="43" t="s">
        <v>1040</v>
      </c>
      <c r="BD18" s="44"/>
      <c r="BE18" s="45" t="s">
        <v>1041</v>
      </c>
      <c r="BF18" s="45" t="s">
        <v>1042</v>
      </c>
      <c r="BG18" s="47" t="s">
        <v>1043</v>
      </c>
      <c r="BL18" s="62" t="s">
        <v>1044</v>
      </c>
      <c r="BM18" t="s">
        <v>1045</v>
      </c>
    </row>
    <row r="19" spans="1:65" ht="15.75" thickTop="1" x14ac:dyDescent="0.25">
      <c r="A19" s="12"/>
      <c r="B19" s="12" t="s">
        <v>1046</v>
      </c>
      <c r="E19" s="12" t="s">
        <v>282</v>
      </c>
      <c r="F19" s="12" t="s">
        <v>282</v>
      </c>
      <c r="G19" s="1" t="s">
        <v>73</v>
      </c>
      <c r="H19" s="1" t="s">
        <v>283</v>
      </c>
      <c r="I19" s="1" t="s">
        <v>283</v>
      </c>
      <c r="J19" s="5"/>
      <c r="K19" s="5"/>
      <c r="L19" s="5"/>
      <c r="M19" s="12" t="s">
        <v>1047</v>
      </c>
      <c r="N19" s="66" t="s">
        <v>1048</v>
      </c>
      <c r="O19" s="1" t="s">
        <v>282</v>
      </c>
      <c r="P19" s="1" t="s">
        <v>282</v>
      </c>
      <c r="Q19" s="1" t="s">
        <v>1049</v>
      </c>
      <c r="R19" s="1" t="s">
        <v>1049</v>
      </c>
      <c r="S19" s="1" t="s">
        <v>1049</v>
      </c>
      <c r="T19" s="1" t="s">
        <v>282</v>
      </c>
      <c r="V19" s="12" t="s">
        <v>250</v>
      </c>
      <c r="W19" s="12" t="s">
        <v>250</v>
      </c>
      <c r="X19" s="12"/>
      <c r="Y19" s="1" t="s">
        <v>1050</v>
      </c>
      <c r="Z19" s="12"/>
      <c r="AB19" s="12"/>
      <c r="AC19" s="12"/>
      <c r="AD19" s="12"/>
      <c r="AE19" s="12"/>
      <c r="AF19" s="12"/>
      <c r="AG19" s="1" t="s">
        <v>73</v>
      </c>
      <c r="AH19" s="1" t="s">
        <v>73</v>
      </c>
      <c r="AI19" s="12"/>
      <c r="AJ19" s="12" t="s">
        <v>1051</v>
      </c>
      <c r="AK19" s="12" t="s">
        <v>1052</v>
      </c>
      <c r="BI19" s="48" t="s">
        <v>638</v>
      </c>
      <c r="BJ19" s="48" t="s">
        <v>1053</v>
      </c>
    </row>
    <row r="20" spans="1:65" x14ac:dyDescent="0.25">
      <c r="A20" s="1">
        <f>B3</f>
        <v>5</v>
      </c>
      <c r="B20" s="23">
        <f t="shared" ref="B20:B51" si="0">IF(A20="","",IFERROR(VLOOKUP(A20,$A$12:$B$15,2,FALSE),VLOOKUP("rest",$A$12:$B$15,2,TRUE)))</f>
        <v>3.9623999999999997</v>
      </c>
      <c r="C20" s="1">
        <f>30000+A20*100+B$17</f>
        <v>30501</v>
      </c>
      <c r="D20" s="1">
        <f>+C20*10+1</f>
        <v>305011</v>
      </c>
      <c r="E20" s="14">
        <v>762</v>
      </c>
      <c r="F20" s="14">
        <v>762</v>
      </c>
      <c r="G20" s="29">
        <f>86.2*4.4482216</f>
        <v>383.43670192000002</v>
      </c>
      <c r="H20" s="27">
        <f t="shared" ref="H20:H51" si="1">IF(A20="","",$B$4)</f>
        <v>50</v>
      </c>
      <c r="I20" s="30">
        <f t="shared" ref="I20:I51" si="2">IF(A20="","",4733*SQRT(H20))</f>
        <v>33467.363953559296</v>
      </c>
      <c r="J20" s="23">
        <f t="shared" ref="J20:J51" si="3">IF(A20="","",G20*1000/(H20*E20*F20))</f>
        <v>1.3207290591825628E-2</v>
      </c>
      <c r="K20" s="1">
        <f>IF(A20="","",(B20*1000-E20)/2/F20)</f>
        <v>2.0999999999999996</v>
      </c>
      <c r="L20" s="23">
        <f t="shared" ref="L20:L41" si="4">IF(A20="","",MIN(0.8,MAX(0.35,-0.02+0.98*J20+0.09*K20)))</f>
        <v>0.35</v>
      </c>
      <c r="M20" s="27">
        <f t="shared" ref="M20:M41" si="5">IF(A20="","",L20*I20*F20*E20^3/12/1000)</f>
        <v>329100233398.58789</v>
      </c>
      <c r="N20" s="36">
        <f>M20*1000/4.44822/25.4/25.4/1000</f>
        <v>114676518.24338166</v>
      </c>
      <c r="O20" s="30">
        <f>IF(A20="","",F20-40-12-28/2)</f>
        <v>696</v>
      </c>
      <c r="P20" s="30">
        <f>$B$8*O20/($P$13+$B$8)</f>
        <v>374.76923076923072</v>
      </c>
      <c r="Q20" s="29">
        <f>(12*0.79+0*1)*25.4^2</f>
        <v>6116.1167999999998</v>
      </c>
      <c r="R20" s="29">
        <f>4*0.79*25.4^2</f>
        <v>2038.7056</v>
      </c>
      <c r="S20" s="55">
        <v>6.4999999999999997E-3</v>
      </c>
      <c r="T20" s="54">
        <f>4*25.4</f>
        <v>101.6</v>
      </c>
      <c r="U20" s="50">
        <f>(SQRT(($B$7/I20)^2 * (IF(IF(((R20*$B$6 - R20*$B$6 + G20*1000)/(0.85*H20*E20*IF(H20&lt;27.6,0.85,IF(H20&gt;55.17,0.65,(1.05-0.05*(H20/6.9)))))) &lt; P20, 1, 0) = 1, (R20 + R20 + (Q20 - 2*R20)) / (E20 * O20) + ((G20 * 1000) / ($B$6 * E20 * O20)), (R20 + R20 + (Q20 - 2*R20)) / (E20 * O20) - ((G20 * 1000) / (1.8 * ($B$7/I20) * H20 * E20 * O20))))^2 + 2 * ($B$7/I20) * IF(IF(((R20*$B$6 - R20*$B$6 + G20*1000)/(0.85*H20*E20*IF(H20&lt;27.6,0.85,IF(H20&gt;55.17,0.65,(1.05-0.05*(H20/6.9)))))) &lt; P20, 1, 0) = 1, (R20 + R20 * ((F20 - O20) / O20) + 0.5 * (Q20 - 2 * R20) * (1 + ((F20 - O20) / O20))) / (E20 * O20) + ((G20 * 1000) / ($B$6 * E20 * O20)), (R20 + R20 * ((F20 - O20) / O20) + 0.5 * (Q20 - 2 * R20) * (1 + ((F20 - O20) / O20))) / (E20 * O20))) - ($B$7/I20) * IF(IF(((R20*$B$6 - R20*$B$6 + G20*1000)/(0.85*H20*E20*IF(H20&lt;27.6,0.85,IF(H20&gt;55.17,0.65,(1.05-0.05*(H20/6.9)))))) &lt; P20, 1, 0) = 1, (R20 + R20 + (Q20 - 2*R20)) / (E20 * O20) + ((G20 * 1000) / ($B$6 * E20 * O20)), (R20 + R20 + (Q20 - 2*R20)) / (E20 * O20) - ((G20 * 1000) / (1.8 * ($B$7/I20) * H20 * E20 * O20))))</f>
        <v>0.23315113457533526</v>
      </c>
      <c r="V20" s="27">
        <f>MIN($B$6 / ($B$7 * (1 - U20) * O20), 1.8 * H20 / (I20 * U20 * O20)) * E20 * O20^3 * (I20*U20^2 / 2 * (0.5 * (1 + (F20 - O20) / O20) - U20/3) + $B$7/2 * ((1 - U20) * R20 + (U20 - ((F20 - O20) / O20)) * R20 + (1 - ((F20 - O20) / O20)) * (Q20 - 2*R20)/6) * (1-((F20 - O20) / O20)) / (E20 * O20)) / 1000000</f>
        <v>1147.598369141924</v>
      </c>
      <c r="W20" s="27">
        <f>-V20</f>
        <v>-1147.598369141924</v>
      </c>
      <c r="X20" s="52">
        <f>1.25*(0.89^J20)*(0.91^(0.01*H20))</f>
        <v>1.1905901583819758</v>
      </c>
      <c r="Y20" s="52">
        <f>MIN($B$6 / ($B$7 * (1 - U20) * O20), 1.8 * H20 / (I20 * U20 * O20))</f>
        <v>5.620853106692971E-6</v>
      </c>
      <c r="Z20" s="52">
        <f>Y20*(K20*F20)/3</f>
        <v>2.9981630471100306E-3</v>
      </c>
      <c r="AA20" s="23">
        <f>(T20/$B$10)*SQRT($B$6/100)</f>
        <v>8.6861338396566605</v>
      </c>
      <c r="AB20" s="52">
        <f>0.12*(1+0.55*$B$9)*(0.16^J20)*((0.02+40*S20)^0.43)*(0.54^(0.01*1*H20))*(0.66^(0.1*AA20))*(2.27^(10*Q20/E20/F20))</f>
        <v>5.8645027790960494E-2</v>
      </c>
      <c r="AC20" s="51">
        <f>AB20+Z20</f>
        <v>6.1643190838070523E-2</v>
      </c>
      <c r="AD20" s="51">
        <f>-AC20</f>
        <v>-6.1643190838070523E-2</v>
      </c>
      <c r="AE20" s="50">
        <f>MIN( 0.1, (0.76*(0.031^J20)*((0.02+40*S20)^1.02)))</f>
        <v>0.1</v>
      </c>
      <c r="AF20" s="27">
        <f>170.7*(0.27^J20)*0.1^(T20/O20)</f>
        <v>119.87989823713116</v>
      </c>
      <c r="AG20" s="27">
        <f>V20*1000/(K20*F20)</f>
        <v>717.15933579672799</v>
      </c>
      <c r="AH20" s="27">
        <f>((SQRT(H20)/6*E20*O20) + 2 * (0.2*25.4^2)*$B$6*O20/T20)/1000</f>
        <v>1685.7298260264133</v>
      </c>
      <c r="AI20" s="27">
        <f>127.2*0.19^J20*0.24^(T20/O20)*0.595^(AG20/AH20)*4.25^(S20*$B$6/H20)</f>
        <v>90.692980222146005</v>
      </c>
      <c r="AJ20" s="101">
        <f>132*25.4</f>
        <v>3352.7999999999997</v>
      </c>
      <c r="AK20" s="102">
        <f>V20*1000/(6*M20/AJ20)</f>
        <v>1.948579501309034E-3</v>
      </c>
      <c r="AL20" s="103">
        <f>AK20+AB20</f>
        <v>6.0593607292269529E-2</v>
      </c>
      <c r="AM20" s="27">
        <f>AC20/AK20</f>
        <v>31.634937551513456</v>
      </c>
      <c r="AN20" s="23">
        <f>IF(H20&lt;27.6,0.85,IF(H20&gt;55.17,0.65,(1.05-0.05*(H20/6.9))))</f>
        <v>0.68768115942028984</v>
      </c>
      <c r="AO20" s="50">
        <f>((R20*$B$6 - R20*$B$6 + G20*1000)/(0.85*H20*E20*AN20))</f>
        <v>17.217205101022945</v>
      </c>
      <c r="AP20" s="1">
        <f>IF(AO20&lt;P20,1,0)</f>
        <v>1</v>
      </c>
      <c r="AR20">
        <f>$B$7/I20</f>
        <v>5.9759711065839634</v>
      </c>
      <c r="AS20" s="40">
        <f>(R20 + R20 + (Q20 - 2*R20)) / (E20 * O20) - ((G20 * 1000) / (1.8 * AR20 * H20 * E20 * O20))</f>
        <v>1.0187938780249399E-2</v>
      </c>
      <c r="AT20" s="40">
        <f>(R20 + R20 + (Q20 - 2*R20)) / (E20 * O20) + ((G20 * 1000) / ($B$6 * E20 * O20))</f>
        <v>1.2737159414627769E-2</v>
      </c>
      <c r="AU20">
        <f>IF($AP20 = 1, AT20, AS20)</f>
        <v>1.2737159414627769E-2</v>
      </c>
      <c r="AV20" s="39">
        <f>(R20 + R20 * ((F20 - O20) / O20) + 0.5 * (Q20 - 2 * R20) * (1 + ((F20 - O20) / O20))) / (E20 * O20)</f>
        <v>6.3128765358699962E-3</v>
      </c>
      <c r="AW20" s="39">
        <f>(R20 + R20 * ((F20 - O20) / O20) + 0.5 * (Q20 - 2 * R20) * (1 + ((F20 - O20) / O20))) / (E20 * O20) + ((G20 * 1000) / ($B$6 * E20 * O20))</f>
        <v>7.5178520424517888E-3</v>
      </c>
      <c r="AX20">
        <f>IF($AP20 = 1, AW20, AV20)</f>
        <v>7.5178520424517888E-3</v>
      </c>
      <c r="AY20" s="23">
        <f xml:space="preserve"> SQRT(AR20^2 * AU20^2 + 2 * AR20 * AX20) - AR20 * AU20</f>
        <v>0.23315113457533526</v>
      </c>
      <c r="BA20" s="49">
        <f>$B$6 / ($B$7 * (1 - AY20) * O20)</f>
        <v>5.620853106692971E-6</v>
      </c>
      <c r="BB20" s="49">
        <f>1.8 * H20 / (I20 * AY20 * O20)</f>
        <v>1.6571973494351009E-5</v>
      </c>
      <c r="BC20" s="49">
        <f>MIN(BA20:BB20)</f>
        <v>5.620853106692971E-6</v>
      </c>
      <c r="BE20" s="27">
        <f>I20*AY20^2 / 2 * (0.5 * (1 + (F20 - O20) / O20) - AY20/3)</f>
        <v>427.25202608586244</v>
      </c>
      <c r="BF20" s="27">
        <f>$B$7/2 * ((1 - AY20) * R20 + (AY20 - ((F20 - O20) / O20)) * R20 + (1 - ((F20 - O20) / O20)) * (Q20 - 2*R20)/6) * (1-((F20 - O20) / O20)) / (E20 * O20)</f>
        <v>367.45123740894115</v>
      </c>
      <c r="BG20" s="23">
        <f>BC20 * E20 * O20^3 * (BE20 + BF20) / 1000000</f>
        <v>1147.598369141924</v>
      </c>
      <c r="BI20">
        <f>(Q20 - 2 * R20) / E20 / O20</f>
        <v>3.8440613026819921E-3</v>
      </c>
      <c r="BJ20">
        <f xml:space="preserve"> R20 / E20 / O20</f>
        <v>3.8440613026819925E-3</v>
      </c>
      <c r="BL20">
        <f>BC20*$BG$16/2/3+0.0025+$B$9*0.25*($B$6/$B$7)*BG17*B6/(O20-(F20-O20))/SQRT(H20)</f>
        <v>6.5648689867176301E-3</v>
      </c>
      <c r="BM20" s="63">
        <f>BC20*BG16/2</f>
        <v>4.4972445706650457E-3</v>
      </c>
    </row>
    <row r="21" spans="1:65" x14ac:dyDescent="0.25">
      <c r="A21" s="1">
        <f>IFERROR(IF(A20-1&gt;0,A20-1,""),"")</f>
        <v>4</v>
      </c>
      <c r="B21" s="23">
        <f t="shared" si="0"/>
        <v>3.9623999999999997</v>
      </c>
      <c r="C21" s="1">
        <f>30000+A21*100+B$17</f>
        <v>30401</v>
      </c>
      <c r="D21" s="1">
        <f>+C21*10+1</f>
        <v>304011</v>
      </c>
      <c r="E21" s="1">
        <f t="shared" ref="E21:E52" si="6">IF($A21="","",E20)</f>
        <v>762</v>
      </c>
      <c r="F21" s="1">
        <f t="shared" ref="F21:F52" si="7">IF($A21="","",F20)</f>
        <v>762</v>
      </c>
      <c r="G21" s="29">
        <f>176.2*4.4482216</f>
        <v>783.77664591999996</v>
      </c>
      <c r="H21" s="27">
        <f t="shared" si="1"/>
        <v>50</v>
      </c>
      <c r="I21" s="30">
        <f t="shared" si="2"/>
        <v>33467.363953559296</v>
      </c>
      <c r="J21" s="23">
        <f t="shared" si="3"/>
        <v>2.6996805130854704E-2</v>
      </c>
      <c r="K21" s="1">
        <f t="shared" ref="K21:K51" si="8">IF(A21="","",(B21*1000-E21)/2/E21)</f>
        <v>2.0999999999999996</v>
      </c>
      <c r="L21" s="1">
        <f t="shared" si="4"/>
        <v>0.35</v>
      </c>
      <c r="M21" s="27">
        <f t="shared" si="5"/>
        <v>329100233398.58789</v>
      </c>
      <c r="N21" s="36">
        <f>M21*1000/4.44822/25.4/25.4/1000</f>
        <v>114676518.24338166</v>
      </c>
      <c r="O21" s="30">
        <f>IF(A21="","",F21-40-12-28/2)</f>
        <v>696</v>
      </c>
      <c r="P21" s="30">
        <f>$B$8*O21/($P$13+$B$8)</f>
        <v>374.76923076923072</v>
      </c>
      <c r="Q21" s="29">
        <f>(12*0.79+0*1)*25.4^2</f>
        <v>6116.1167999999998</v>
      </c>
      <c r="R21" s="29">
        <f>4*0.79*25.4^2</f>
        <v>2038.7056</v>
      </c>
      <c r="S21" s="55">
        <v>6.4999999999999997E-3</v>
      </c>
      <c r="T21" s="54">
        <f>4*25.4</f>
        <v>101.6</v>
      </c>
      <c r="U21" s="23">
        <f>(SQRT(($B$7/I21)^2 * (IF(IF(((R21*$B$6 - R21*$B$6 + G21*1000)/(0.85*H21*E21*IF(H21&lt;27.6,0.85,IF(H21&gt;55.17,0.65,(1.05-0.05*(H21/6.9)))))) &lt; P21, 1, 0) = 1, (R21 + R21 + (Q21 - 2*R21)) / (E21 * O21) + ((G21 * 1000) / ($B$6 * E21 * O21)), (R21 + R21 + (Q21 - 2*R21)) / (E21 * O21) - ((G21 * 1000) / (1.8 * ($B$7/I21) * H21 * E21 * O21))))^2 + 2 * ($B$7/I21) * IF(IF(((R21*$B$6 - R21*$B$6 + G21*1000)/(0.85*H21*E21*IF(H21&lt;27.6,0.85,IF(H21&gt;55.17,0.65,(1.05-0.05*(H21/6.9)))))) &lt; P21, 1, 0) = 1, (R21 + R21 * ((F21 - O21) / O21) + 0.5 * (Q21 - 2 * R21) * (1 + ((F21 - O21) / O21))) / (E21 * O21) + ((G21 * 1000) / ($B$6 * E21 * O21)), (R21 + R21 * ((F21 - O21) / O21) + 0.5 * (Q21 - 2 * R21) * (1 + ((F21 - O21) / O21))) / (E21 * O21))) - ($B$7/I21) * IF(IF(((R21*$B$6 - R21*$B$6 + G21*1000)/(0.85*H21*E21*IF(H21&lt;27.6,0.85,IF(H21&gt;55.17,0.65,(1.05-0.05*(H21/6.9)))))) &lt; P21, 1, 0) = 1, (R21 + R21 + (Q21 - 2*R21)) / (E21 * O21) + ((G21 * 1000) / ($B$6 * E21 * O21)), (R21 + R21 + (Q21 - 2*R21)) / (E21 * O21) - ((G21 * 1000) / (1.8 * ($B$7/I21) * H21 * E21 * O21))))</f>
        <v>0.25085611709775557</v>
      </c>
      <c r="V21" s="27">
        <f>MIN($B$6 / ($B$7 * (1 - U21) * O21), 1.8 * H21 / (I21 * U21 * O21)) * E21 * O21^3 * (I21*U21^2 / 2 * (0.5 * (1 + (F21 - O21) / O21) - U21/3) + $B$7/2 * ((1 - U21) * R21 + (U21 - ((F21 - O21) / O21)) * R21 + (1 - ((F21 - O21) / O21)) * (Q21 - 2*R21)/6) * (1-((F21 - O21) / O21)) / (E21 * O21)) / 1000000</f>
        <v>1265.0941221729686</v>
      </c>
      <c r="W21" s="27">
        <f>-V21</f>
        <v>-1265.0941221729686</v>
      </c>
      <c r="X21" s="52">
        <f>1.25*(0.89^J21)*(0.91^(0.01*H21))</f>
        <v>1.1886784821637426</v>
      </c>
      <c r="Y21" s="52">
        <f>MIN($B$6 / ($B$7 * (1 - U21) * O21), 1.8 * H21 / (I21 * U21 * O21))</f>
        <v>5.7536942181087832E-6</v>
      </c>
      <c r="Z21" s="52">
        <f>Y21*(K21*F21)/3</f>
        <v>3.0690204959392246E-3</v>
      </c>
      <c r="AA21" s="23">
        <f>(T21/$B$10)*SQRT($B$6/100)</f>
        <v>8.6861338396566605</v>
      </c>
      <c r="AB21" s="52">
        <f>0.12*(1+0.55*$B$9)*(0.16^J21)*((0.02+40*S21)^0.43)*(0.54^(0.01*1*H21))*(0.66^(0.1*AA21))*(2.27^(10*Q21/E21/F21))</f>
        <v>5.7181612397264263E-2</v>
      </c>
      <c r="AC21" s="51">
        <f>AB21+Z21</f>
        <v>6.0250632893203489E-2</v>
      </c>
      <c r="AD21" s="51">
        <f>-AC21</f>
        <v>-6.0250632893203489E-2</v>
      </c>
      <c r="AE21" s="50">
        <f>MIN( 0.1, (0.76*(0.031^J21)*((0.02+40*S21)^1.02)))</f>
        <v>0.1</v>
      </c>
      <c r="AF21" s="27">
        <f>170.7*(0.27^J21)*0.1^(T21/O21)</f>
        <v>117.73488067282224</v>
      </c>
      <c r="AG21" s="27">
        <f>V21*1000/(K21*F21)</f>
        <v>790.58500323270141</v>
      </c>
      <c r="AH21" s="27">
        <f>((SQRT(H21)/6*E21*O21) + 2 * (0.2*25.4^2)*$B$6*O21/T21)/1000</f>
        <v>1685.7298260264133</v>
      </c>
      <c r="AI21" s="27">
        <f>127.2*0.19^J21*0.24^(T21/O21)*0.595^(AG21/AH21)*4.25^(S21*$B$6/H21)</f>
        <v>86.657593909367648</v>
      </c>
      <c r="AJ21" s="101">
        <f>132*25.4</f>
        <v>3352.7999999999997</v>
      </c>
      <c r="AK21" s="102">
        <f>V21*1000/(6*M21/AJ21)</f>
        <v>2.1480829356144973E-3</v>
      </c>
      <c r="AL21" s="103">
        <f>AK21+AB21</f>
        <v>5.9329695332878761E-2</v>
      </c>
      <c r="AM21" s="27">
        <f>AC21/AK21</f>
        <v>28.048559901607209</v>
      </c>
      <c r="AN21" s="23">
        <f>IF(H21&lt;27.6,0.85,IF(H21&gt;55.17,0.65,(1.05-0.05*(H21/6.9))))</f>
        <v>0.68768115942028984</v>
      </c>
      <c r="AO21" s="30">
        <f>((R21*$B$6 - R21*$B$6 + G21*1000)/(0.85*H21*E21*AN21))</f>
        <v>35.19340532250861</v>
      </c>
      <c r="AP21" s="1">
        <f>IF(AO21&lt;P21,1,0)</f>
        <v>1</v>
      </c>
      <c r="AR21">
        <f>$B$7/I21</f>
        <v>5.9759711065839634</v>
      </c>
      <c r="AS21" s="40">
        <f>(R21 + R21 + (Q21 - 2*R21)) / (E21 * O21) - ((G21 * 1000) / (1.8 * AR21 * H21 * E21 * O21))</f>
        <v>8.7844345864942722E-3</v>
      </c>
      <c r="AT21" s="40">
        <f>(R21 + R21 + (Q21 - 2*R21)) / (E21 * O21) + ((G21 * 1000) / ($B$6 * E21 * O21))</f>
        <v>1.3995254491105278E-2</v>
      </c>
      <c r="AU21">
        <f>IF($AP21 = 1, AT21, AS21)</f>
        <v>1.3995254491105278E-2</v>
      </c>
      <c r="AV21" s="39">
        <f>(R21 + R21 * ((F21 - O21) / O21) + 0.5 * (Q21 - 2 * R21) * (1 + ((F21 - O21) / O21))) / (E21 * O21)</f>
        <v>6.3128765358699962E-3</v>
      </c>
      <c r="AW21" s="39">
        <f>(R21 + R21 * ((F21 - O21) / O21) + 0.5 * (Q21 - 2 * R21) * (1 + ((F21 - O21) / O21))) / (E21 * O21) + ((G21 * 1000) / ($B$6 * E21 * O21))</f>
        <v>8.7759471189292979E-3</v>
      </c>
      <c r="AX21">
        <f>IF($AP21 = 1, AW21, AV21)</f>
        <v>8.7759471189292979E-3</v>
      </c>
      <c r="AY21" s="23">
        <f xml:space="preserve"> SQRT(AR21^2 * AU21^2 + 2 * AR21 * AX21) - AR21 * AU21</f>
        <v>0.25085611709775557</v>
      </c>
      <c r="BA21" s="49">
        <f>$B$6 / ($B$7 * (1 - AY21) * O21)</f>
        <v>5.7536942181087832E-6</v>
      </c>
      <c r="BB21" s="49">
        <f>1.8 * H21 / (I21 * AY21 * O21)</f>
        <v>1.5402352819065023E-5</v>
      </c>
      <c r="BC21" s="49">
        <f>MIN(BA21:BB21)</f>
        <v>5.7536942181087832E-6</v>
      </c>
      <c r="BE21" s="27">
        <f>I21*AY21^2 / 2 * (0.5 * (1 + (F21 - O21) / O21) - AY21/3)</f>
        <v>488.39031893977665</v>
      </c>
      <c r="BF21" s="27">
        <f>$B$7/2 * ((1 - AY21) * R21 + (AY21 - ((F21 - O21) / O21)) * R21 + (1 - ((F21 - O21) / O21)) * (Q21 - 2*R21)/6) * (1-((F21 - O21) / O21)) / (E21 * O21)</f>
        <v>367.45123740894115</v>
      </c>
      <c r="BG21" s="23">
        <f>BC21 * E21 * O21^3 * (BE21 + BF21) / 1000000</f>
        <v>1265.0941221729686</v>
      </c>
      <c r="BI21">
        <f>(Q21 - 2 * R21) / E21 / O21</f>
        <v>3.8440613026819921E-3</v>
      </c>
      <c r="BJ21">
        <f xml:space="preserve"> R21 / E21 / O21</f>
        <v>3.8440613026819925E-3</v>
      </c>
      <c r="BL21" s="63">
        <f>BC20*$BG$16/2/3</f>
        <v>1.4990815235550153E-3</v>
      </c>
    </row>
    <row r="22" spans="1:65" x14ac:dyDescent="0.25">
      <c r="A22" s="1">
        <f t="shared" ref="A22:A79" si="9">IFERROR(IF(A21-1&gt;0,A21-1,""),"")</f>
        <v>3</v>
      </c>
      <c r="B22" s="23">
        <f t="shared" si="0"/>
        <v>3.9623999999999997</v>
      </c>
      <c r="C22" s="1">
        <f>30000+A22*100+B$17</f>
        <v>30301</v>
      </c>
      <c r="D22" s="1">
        <f>+C22*10+1</f>
        <v>303011</v>
      </c>
      <c r="E22" s="1">
        <f t="shared" si="6"/>
        <v>762</v>
      </c>
      <c r="F22" s="1">
        <f t="shared" si="7"/>
        <v>762</v>
      </c>
      <c r="G22" s="29">
        <f>265.8*4.4482216</f>
        <v>1182.33730128</v>
      </c>
      <c r="H22" s="27">
        <f t="shared" si="1"/>
        <v>50</v>
      </c>
      <c r="I22" s="30">
        <f t="shared" si="2"/>
        <v>33467.363953559296</v>
      </c>
      <c r="J22" s="23">
        <f t="shared" si="3"/>
        <v>4.0725032938599214E-2</v>
      </c>
      <c r="K22" s="1">
        <f t="shared" si="8"/>
        <v>2.0999999999999996</v>
      </c>
      <c r="L22" s="1">
        <f t="shared" si="4"/>
        <v>0.35</v>
      </c>
      <c r="M22" s="27">
        <f t="shared" si="5"/>
        <v>329100233398.58789</v>
      </c>
      <c r="N22" s="36">
        <f>M22*1000/4.44822/25.4/25.4/1000</f>
        <v>114676518.24338166</v>
      </c>
      <c r="O22" s="30">
        <f>IF(A22="","",F22-40-12-28/2)</f>
        <v>696</v>
      </c>
      <c r="P22" s="30">
        <f>$B$8*O22/($P$13+$B$8)</f>
        <v>374.76923076923072</v>
      </c>
      <c r="Q22" s="29">
        <f>(0*0.79+12*1)*25.4^2</f>
        <v>7741.92</v>
      </c>
      <c r="R22" s="29">
        <f>4*1*25.4^2</f>
        <v>2580.64</v>
      </c>
      <c r="S22" s="55">
        <v>6.4999999999999997E-3</v>
      </c>
      <c r="T22" s="54">
        <f>4*25.4</f>
        <v>101.6</v>
      </c>
      <c r="U22" s="23">
        <f>(SQRT(($B$7/I22)^2 * (IF(IF(((R22*$B$6 - R22*$B$6 + G22*1000)/(0.85*H22*E22*IF(H22&lt;27.6,0.85,IF(H22&gt;55.17,0.65,(1.05-0.05*(H22/6.9)))))) &lt; P22, 1, 0) = 1, (R22 + R22 + (Q22 - 2*R22)) / (E22 * O22) + ((G22 * 1000) / ($B$6 * E22 * O22)), (R22 + R22 + (Q22 - 2*R22)) / (E22 * O22) - ((G22 * 1000) / (1.8 * ($B$7/I22) * H22 * E22 * O22))))^2 + 2 * ($B$7/I22) * IF(IF(((R22*$B$6 - R22*$B$6 + G22*1000)/(0.85*H22*E22*IF(H22&lt;27.6,0.85,IF(H22&gt;55.17,0.65,(1.05-0.05*(H22/6.9)))))) &lt; P22, 1, 0) = 1, (R22 + R22 * ((F22 - O22) / O22) + 0.5 * (Q22 - 2 * R22) * (1 + ((F22 - O22) / O22))) / (E22 * O22) + ((G22 * 1000) / ($B$6 * E22 * O22)), (R22 + R22 * ((F22 - O22) / O22) + 0.5 * (Q22 - 2 * R22) * (1 + ((F22 - O22) / O22))) / (E22 * O22))) - ($B$7/I22) * IF(IF(((R22*$B$6 - R22*$B$6 + G22*1000)/(0.85*H22*E22*IF(H22&lt;27.6,0.85,IF(H22&gt;55.17,0.65,(1.05-0.05*(H22/6.9)))))) &lt; P22, 1, 0) = 1, (R22 + R22 + (Q22 - 2*R22)) / (E22 * O22) + ((G22 * 1000) / ($B$6 * E22 * O22)), (R22 + R22 + (Q22 - 2*R22)) / (E22 * O22) - ((G22 * 1000) / (1.8 * ($B$7/I22) * H22 * E22 * O22))))</f>
        <v>0.2802950759299494</v>
      </c>
      <c r="V22" s="27">
        <f>MIN($B$6 / ($B$7 * (1 - U22) * O22), 1.8 * H22 / (I22 * U22 * O22)) * E22 * O22^3 * (I22*U22^2 / 2 * (0.5 * (1 + (F22 - O22) / O22) - U22/3) + $B$7/2 * ((1 - U22) * R22 + (U22 - ((F22 - O22) / O22)) * R22 + (1 - ((F22 - O22) / O22)) * (Q22 - 2*R22)/6) * (1-((F22 - O22) / O22)) / (E22 * O22)) / 1000000</f>
        <v>1634.0056455694037</v>
      </c>
      <c r="W22" s="27">
        <f>-V22</f>
        <v>-1634.0056455694037</v>
      </c>
      <c r="X22" s="52">
        <f>1.25*(0.89^J22)*(0.91^(0.01*H22))</f>
        <v>1.1867783513497119</v>
      </c>
      <c r="Y22" s="52">
        <f>MIN($B$6 / ($B$7 * (1 - U22) * O22), 1.8 * H22 / (I22 * U22 * O22))</f>
        <v>5.9890445145358907E-6</v>
      </c>
      <c r="Z22" s="52">
        <f>Y22*(K22*F22)/3</f>
        <v>3.1945563440534436E-3</v>
      </c>
      <c r="AA22" s="23">
        <f>(T22/$B$10)*SQRT($B$6/100)</f>
        <v>8.6861338396566605</v>
      </c>
      <c r="AB22" s="52">
        <f>0.12*(1+0.55*$B$9)*(0.16^J22)*((0.02+40*S22)^0.43)*(0.54^(0.01*1*H22))*(0.66^(0.1*AA22))*(2.27^(10*Q22/E22/F22))</f>
        <v>5.70557080400661E-2</v>
      </c>
      <c r="AC22" s="51">
        <f>AB22+Z22</f>
        <v>6.0250264384119546E-2</v>
      </c>
      <c r="AD22" s="51">
        <f>-AC22</f>
        <v>-6.0250264384119546E-2</v>
      </c>
      <c r="AE22" s="50">
        <f>MIN( 0.1, (0.76*(0.031^J22)*((0.02+40*S22)^1.02)))</f>
        <v>0.1</v>
      </c>
      <c r="AF22" s="27">
        <f>170.7*(0.27^J22)*0.1^(T22/O22)</f>
        <v>115.63752295780732</v>
      </c>
      <c r="AG22" s="27">
        <f>V22*1000/(K22*F22)</f>
        <v>1021.1258877449093</v>
      </c>
      <c r="AH22" s="27">
        <f>((SQRT(H22)/6*E22*O22) + 2 * (0.2*25.4^2)*$B$6*O22/T22)/1000</f>
        <v>1685.7298260264133</v>
      </c>
      <c r="AI22" s="27">
        <f>127.2*0.19^J22*0.24^(T22/O22)*0.595^(AG22/AH22)*4.25^(S22*$B$6/H22)</f>
        <v>78.898376811118823</v>
      </c>
      <c r="AJ22" s="101">
        <f>132*25.4</f>
        <v>3352.7999999999997</v>
      </c>
      <c r="AK22" s="102">
        <f>V22*1000/(6*M22/AJ22)</f>
        <v>2.7744810306418355E-3</v>
      </c>
      <c r="AL22" s="103">
        <f>AK22+AB22</f>
        <v>5.9830189070707938E-2</v>
      </c>
      <c r="AM22" s="27">
        <f>AC22/AK22</f>
        <v>21.715868199748165</v>
      </c>
      <c r="AN22" s="23">
        <f>IF(H22&lt;27.6,0.85,IF(H22&gt;55.17,0.65,(1.05-0.05*(H22/6.9))))</f>
        <v>0.68768115942028984</v>
      </c>
      <c r="AO22" s="30">
        <f>((R22*$B$6 - R22*$B$6 + G22*1000)/(0.85*H22*E22*AN22))</f>
        <v>53.089711320787686</v>
      </c>
      <c r="AP22" s="1">
        <f>IF(AO22&lt;P22,1,0)</f>
        <v>1</v>
      </c>
      <c r="AR22">
        <f>$B$7/I22</f>
        <v>5.9759711065839634</v>
      </c>
      <c r="AS22" s="40">
        <f>(R22 + R22 + (Q22 - 2*R22)) / (E22 * O22) - ((G22 * 1000) / (1.8 * AR22 * H22 * E22 * O22))</f>
        <v>1.0452685430535145E-2</v>
      </c>
      <c r="AT22" s="40">
        <f>(R22 + R22 + (Q22 - 2*R22)) / (E22 * O22) + ((G22 * 1000) / ($B$6 * E22 * O22))</f>
        <v>1.8313275275288865E-2</v>
      </c>
      <c r="AU22">
        <f>IF($AP22 = 1, AT22, AS22)</f>
        <v>1.8313275275288865E-2</v>
      </c>
      <c r="AV22" s="39">
        <f>(R22 + R22 * ((F22 - O22) / O22) + 0.5 * (Q22 - 2 * R22) * (1 + ((F22 - O22) / O22))) / (E22 * O22)</f>
        <v>7.9909829567974631E-3</v>
      </c>
      <c r="AW22" s="39">
        <f>(R22 + R22 * ((F22 - O22) / O22) + 0.5 * (Q22 - 2 * R22) * (1 + ((F22 - O22) / O22))) / (E22 * O22) + ((G22 * 1000) / ($B$6 * E22 * O22))</f>
        <v>1.1706557082661041E-2</v>
      </c>
      <c r="AX22">
        <f>IF($AP22 = 1, AW22, AV22)</f>
        <v>1.1706557082661041E-2</v>
      </c>
      <c r="AY22" s="23">
        <f xml:space="preserve"> SQRT(AR22^2 * AU22^2 + 2 * AR22 * AX22) - AR22 * AU22</f>
        <v>0.2802950759299494</v>
      </c>
      <c r="BA22" s="49">
        <f>$B$6 / ($B$7 * (1 - AY22) * O22)</f>
        <v>5.9890445145358907E-6</v>
      </c>
      <c r="BB22" s="49">
        <f>1.8 * H22 / (I22 * AY22 * O22)</f>
        <v>1.3784667495642862E-5</v>
      </c>
      <c r="BC22" s="49">
        <f>MIN(BA22:BB22)</f>
        <v>5.9890445145358907E-6</v>
      </c>
      <c r="BE22" s="27">
        <f>I22*AY22^2 / 2 * (0.5 * (1 + (F22 - O22) / O22) - AY22/3)</f>
        <v>596.84447543518331</v>
      </c>
      <c r="BF22" s="27">
        <f>$B$7/2 * ((1 - AY22) * R22 + (AY22 - ((F22 - O22) / O22)) * R22 + (1 - ((F22 - O22) / O22)) * (Q22 - 2*R22)/6) * (1-((F22 - O22) / O22)) / (E22 * O22)</f>
        <v>465.12814861891286</v>
      </c>
      <c r="BG22" s="23">
        <f>BC22 * E22 * O22^3 * (BE22 + BF22) / 1000000</f>
        <v>1634.0056455694037</v>
      </c>
      <c r="BI22">
        <f>(Q22 - 2 * R22) / E22 / O22</f>
        <v>4.8659003831417634E-3</v>
      </c>
      <c r="BJ22">
        <f xml:space="preserve"> R22 / E22 / O22</f>
        <v>4.8659003831417625E-3</v>
      </c>
    </row>
    <row r="23" spans="1:65" x14ac:dyDescent="0.25">
      <c r="A23" s="1">
        <f t="shared" si="9"/>
        <v>2</v>
      </c>
      <c r="B23" s="23">
        <f t="shared" si="0"/>
        <v>3.9623999999999997</v>
      </c>
      <c r="C23" s="1">
        <f>30000+A23*100+B$17</f>
        <v>30201</v>
      </c>
      <c r="D23" s="1">
        <f>+C23*10+1</f>
        <v>302011</v>
      </c>
      <c r="E23" s="1">
        <f t="shared" si="6"/>
        <v>762</v>
      </c>
      <c r="F23" s="1">
        <f t="shared" si="7"/>
        <v>762</v>
      </c>
      <c r="G23" s="29">
        <f>354*4.4482216</f>
        <v>1574.6704463999999</v>
      </c>
      <c r="H23" s="27">
        <f t="shared" si="1"/>
        <v>50</v>
      </c>
      <c r="I23" s="30">
        <f t="shared" si="2"/>
        <v>33467.363953559296</v>
      </c>
      <c r="J23" s="23">
        <f t="shared" si="3"/>
        <v>5.4238757186847709E-2</v>
      </c>
      <c r="K23" s="1">
        <f t="shared" si="8"/>
        <v>2.0999999999999996</v>
      </c>
      <c r="L23" s="1">
        <f t="shared" si="4"/>
        <v>0.35</v>
      </c>
      <c r="M23" s="27">
        <f t="shared" si="5"/>
        <v>329100233398.58789</v>
      </c>
      <c r="N23" s="36">
        <f>M23*1000/4.44822/25.4/25.4/1000</f>
        <v>114676518.24338166</v>
      </c>
      <c r="O23" s="30">
        <f>IF(A23="","",F23-40-12-28/2)</f>
        <v>696</v>
      </c>
      <c r="P23" s="30">
        <f>$B$8*O23/($P$13+$B$8)</f>
        <v>374.76923076923072</v>
      </c>
      <c r="Q23" s="29">
        <f>(0*0.79+12*1)*25.4^2</f>
        <v>7741.92</v>
      </c>
      <c r="R23" s="29">
        <f>4*1*25.4^2</f>
        <v>2580.64</v>
      </c>
      <c r="S23" s="55">
        <v>6.4999999999999997E-3</v>
      </c>
      <c r="T23" s="54">
        <f>4*25.4</f>
        <v>101.6</v>
      </c>
      <c r="U23" s="23">
        <f>(SQRT(($B$7/I23)^2 * (IF(IF(((R23*$B$6 - R23*$B$6 + G23*1000)/(0.85*H23*E23*IF(H23&lt;27.6,0.85,IF(H23&gt;55.17,0.65,(1.05-0.05*(H23/6.9)))))) &lt; P23, 1, 0) = 1, (R23 + R23 + (Q23 - 2*R23)) / (E23 * O23) + ((G23 * 1000) / ($B$6 * E23 * O23)), (R23 + R23 + (Q23 - 2*R23)) / (E23 * O23) - ((G23 * 1000) / (1.8 * ($B$7/I23) * H23 * E23 * O23))))^2 + 2 * ($B$7/I23) * IF(IF(((R23*$B$6 - R23*$B$6 + G23*1000)/(0.85*H23*E23*IF(H23&lt;27.6,0.85,IF(H23&gt;55.17,0.65,(1.05-0.05*(H23/6.9)))))) &lt; P23, 1, 0) = 1, (R23 + R23 * ((F23 - O23) / O23) + 0.5 * (Q23 - 2 * R23) * (1 + ((F23 - O23) / O23))) / (E23 * O23) + ((G23 * 1000) / ($B$6 * E23 * O23)), (R23 + R23 * ((F23 - O23) / O23) + 0.5 * (Q23 - 2 * R23) * (1 + ((F23 - O23) / O23))) / (E23 * O23))) - ($B$7/I23) * IF(IF(((R23*$B$6 - R23*$B$6 + G23*1000)/(0.85*H23*E23*IF(H23&lt;27.6,0.85,IF(H23&gt;55.17,0.65,(1.05-0.05*(H23/6.9)))))) &lt; P23, 1, 0) = 1, (R23 + R23 + (Q23 - 2*R23)) / (E23 * O23) + ((G23 * 1000) / ($B$6 * E23 * O23)), (R23 + R23 + (Q23 - 2*R23)) / (E23 * O23) - ((G23 * 1000) / (1.8 * ($B$7/I23) * H23 * E23 * O23))))</f>
        <v>0.29343143858178256</v>
      </c>
      <c r="V23" s="27">
        <f>MIN($B$6 / ($B$7 * (1 - U23) * O23), 1.8 * H23 / (I23 * U23 * O23)) * E23 * O23^3 * (I23*U23^2 / 2 * (0.5 * (1 + (F23 - O23) / O23) - U23/3) + $B$7/2 * ((1 - U23) * R23 + (U23 - ((F23 - O23) / O23)) * R23 + (1 - ((F23 - O23) / O23)) * (Q23 - 2*R23)/6) * (1-((F23 - O23) / O23)) / (E23 * O23)) / 1000000</f>
        <v>1744.2296122987548</v>
      </c>
      <c r="W23" s="27">
        <f>-V23</f>
        <v>-1744.2296122987548</v>
      </c>
      <c r="X23" s="52">
        <f>1.25*(0.89^J23)*(0.91^(0.01*H23))</f>
        <v>1.1849108766902543</v>
      </c>
      <c r="Y23" s="52">
        <f>MIN($B$6 / ($B$7 * (1 - U23) * O23), 1.8 * H23 / (I23 * U23 * O23))</f>
        <v>6.1003914735953235E-6</v>
      </c>
      <c r="Z23" s="52">
        <f>Y23*(K23*F23)/3</f>
        <v>3.2539488120157454E-3</v>
      </c>
      <c r="AA23" s="23">
        <f>(T23/$B$10)*SQRT($B$6/100)</f>
        <v>8.6861338396566605</v>
      </c>
      <c r="AB23" s="52">
        <f>0.12*(1+0.55*$B$9)*(0.16^J23)*((0.02+40*S23)^0.43)*(0.54^(0.01*1*H23))*(0.66^(0.1*AA23))*(2.27^(10*Q23/E23/F23))</f>
        <v>5.5660076139010639E-2</v>
      </c>
      <c r="AC23" s="51">
        <f>AB23+Z23</f>
        <v>5.8914024951026385E-2</v>
      </c>
      <c r="AD23" s="51">
        <f>-AC23</f>
        <v>-5.8914024951026385E-2</v>
      </c>
      <c r="AE23" s="50">
        <f>MIN( 0.1, (0.76*(0.031^J23)*((0.02+40*S23)^1.02)))</f>
        <v>0.1</v>
      </c>
      <c r="AF23" s="27">
        <f>170.7*(0.27^J23)*0.1^(T23/O23)</f>
        <v>113.60943156660748</v>
      </c>
      <c r="AG23" s="27">
        <f>V23*1000/(K23*F23)</f>
        <v>1090.0072567796244</v>
      </c>
      <c r="AH23" s="27">
        <f>((SQRT(H23)/6*E23*O23) + 2 * (0.2*25.4^2)*$B$6*O23/T23)/1000</f>
        <v>1685.7298260264133</v>
      </c>
      <c r="AI23" s="27">
        <f>127.2*0.19^J23*0.24^(T23/O23)*0.595^(AG23/AH23)*4.25^(S23*$B$6/H23)</f>
        <v>75.527964286737983</v>
      </c>
      <c r="AJ23" s="101">
        <f>132*25.4</f>
        <v>3352.7999999999997</v>
      </c>
      <c r="AK23" s="102">
        <f>V23*1000/(6*M23/AJ23)</f>
        <v>2.9616372412962447E-3</v>
      </c>
      <c r="AL23" s="103">
        <f>AK23+AB23</f>
        <v>5.8621713380306882E-2</v>
      </c>
      <c r="AM23" s="27">
        <f>AC23/AK23</f>
        <v>19.892383891431951</v>
      </c>
      <c r="AN23" s="23">
        <f>IF(H23&lt;27.6,0.85,IF(H23&gt;55.17,0.65,(1.05-0.05*(H23/6.9))))</f>
        <v>0.68768115942028984</v>
      </c>
      <c r="AO23" s="30">
        <f>((R23*$B$6 - R23*$B$6 + G23*1000)/(0.85*H23*E23*AN23))</f>
        <v>70.706387537843639</v>
      </c>
      <c r="AP23" s="1">
        <f>IF(AO23&lt;P23,1,0)</f>
        <v>1</v>
      </c>
      <c r="AR23">
        <f>$B$7/I23</f>
        <v>5.9759711065839634</v>
      </c>
      <c r="AS23" s="40">
        <f>(R23 + R23 + (Q23 - 2*R23)) / (E23 * O23) - ((G23 * 1000) / (1.8 * AR23 * H23 * E23 * O23))</f>
        <v>9.0772513206551202E-3</v>
      </c>
      <c r="AT23" s="40">
        <f>(R23 + R23 + (Q23 - 2*R23)) / (E23 * O23) + ((G23 * 1000) / ($B$6 * E23 * O23))</f>
        <v>1.9546208450236822E-2</v>
      </c>
      <c r="AU23">
        <f>IF($AP23 = 1, AT23, AS23)</f>
        <v>1.9546208450236822E-2</v>
      </c>
      <c r="AV23" s="39">
        <f>(R23 + R23 * ((F23 - O23) / O23) + 0.5 * (Q23 - 2 * R23) * (1 + ((F23 - O23) / O23))) / (E23 * O23)</f>
        <v>7.9909829567974631E-3</v>
      </c>
      <c r="AW23" s="39">
        <f>(R23 + R23 * ((F23 - O23) / O23) + 0.5 * (Q23 - 2 * R23) * (1 + ((F23 - O23) / O23))) / (E23 * O23) + ((G23 * 1000) / ($B$6 * E23 * O23))</f>
        <v>1.2939490257609E-2</v>
      </c>
      <c r="AX23">
        <f>IF($AP23 = 1, AW23, AV23)</f>
        <v>1.2939490257609E-2</v>
      </c>
      <c r="AY23" s="23">
        <f xml:space="preserve"> SQRT(AR23^2 * AU23^2 + 2 * AR23 * AX23) - AR23 * AU23</f>
        <v>0.29343143858178256</v>
      </c>
      <c r="BA23" s="49">
        <f>$B$6 / ($B$7 * (1 - AY23) * O23)</f>
        <v>6.1003914735953235E-6</v>
      </c>
      <c r="BB23" s="49">
        <f>1.8 * H23 / (I23 * AY23 * O23)</f>
        <v>1.3167554373296798E-5</v>
      </c>
      <c r="BC23" s="49">
        <f>MIN(BA23:BB23)</f>
        <v>6.1003914735953235E-6</v>
      </c>
      <c r="BE23" s="27">
        <f>I23*AY23^2 / 2 * (0.5 * (1 + (F23 - O23) / O23) - AY23/3)</f>
        <v>647.79009014846406</v>
      </c>
      <c r="BF23" s="27">
        <f>$B$7/2 * ((1 - AY23) * R23 + (AY23 - ((F23 - O23) / O23)) * R23 + (1 - ((F23 - O23) / O23)) * (Q23 - 2*R23)/6) * (1-((F23 - O23) / O23)) / (E23 * O23)</f>
        <v>465.12814861891286</v>
      </c>
      <c r="BG23" s="23">
        <f>BC23 * E23 * O23^3 * (BE23 + BF23) / 1000000</f>
        <v>1744.2296122987548</v>
      </c>
      <c r="BI23">
        <f>(Q23 - 2 * R23) / E23 / O23</f>
        <v>4.8659003831417634E-3</v>
      </c>
      <c r="BJ23">
        <f xml:space="preserve"> R23 / E23 / O23</f>
        <v>4.8659003831417625E-3</v>
      </c>
    </row>
    <row r="24" spans="1:65" x14ac:dyDescent="0.25">
      <c r="A24" s="1">
        <f>IFERROR(IF(A23-1&gt;0,A23-1,""),"")</f>
        <v>1</v>
      </c>
      <c r="B24" s="23">
        <f t="shared" si="0"/>
        <v>4.5720000000000001</v>
      </c>
      <c r="E24" s="1">
        <f t="shared" si="6"/>
        <v>762</v>
      </c>
      <c r="F24" s="1">
        <f t="shared" si="7"/>
        <v>762</v>
      </c>
      <c r="H24" s="27">
        <f t="shared" si="1"/>
        <v>50</v>
      </c>
      <c r="I24" s="30">
        <f t="shared" si="2"/>
        <v>33467.363953559296</v>
      </c>
      <c r="J24" s="23">
        <f t="shared" si="3"/>
        <v>0</v>
      </c>
      <c r="K24" s="1">
        <f t="shared" si="8"/>
        <v>2.5</v>
      </c>
      <c r="L24" s="1">
        <f t="shared" si="4"/>
        <v>0.35</v>
      </c>
      <c r="M24" s="27"/>
      <c r="N24" s="31"/>
      <c r="O24" s="30">
        <f>IF(A24="","",F24-40-12-28/2)</f>
        <v>696</v>
      </c>
      <c r="P24" s="108"/>
      <c r="Q24" s="108"/>
      <c r="AF24" s="27"/>
      <c r="AG24" s="27"/>
      <c r="AH24" s="27"/>
      <c r="AL24" s="41"/>
      <c r="AM24" s="41"/>
    </row>
    <row r="25" spans="1:65" x14ac:dyDescent="0.25">
      <c r="A25" s="1" t="str">
        <f t="shared" si="9"/>
        <v/>
      </c>
      <c r="B25" s="23" t="str">
        <f t="shared" si="0"/>
        <v/>
      </c>
      <c r="E25" s="1" t="str">
        <f t="shared" si="6"/>
        <v/>
      </c>
      <c r="F25" s="1" t="str">
        <f t="shared" si="7"/>
        <v/>
      </c>
      <c r="H25" s="27" t="str">
        <f t="shared" si="1"/>
        <v/>
      </c>
      <c r="I25" s="30" t="str">
        <f t="shared" si="2"/>
        <v/>
      </c>
      <c r="J25" s="23" t="str">
        <f t="shared" si="3"/>
        <v/>
      </c>
      <c r="K25" s="1" t="str">
        <f t="shared" si="8"/>
        <v/>
      </c>
      <c r="L25" s="1"/>
      <c r="M25" s="107" t="e">
        <f ca="1">EIstf40Full(J20,K20,I20,E20,F20)</f>
        <v>#NAME?</v>
      </c>
      <c r="V25" s="107" t="e">
        <f ca="1">yieldMomentFardis(E20,F20,O20,B8,G20,H20,B6,B7,I20,R20/E20/O20,R20/E20/O20,(Q20-2*R20)/E20/O20)/1000</f>
        <v>#NAME?</v>
      </c>
      <c r="X25" s="105" t="e">
        <f ca="1">cappingToYield(J20,H20)</f>
        <v>#NAME?</v>
      </c>
      <c r="AC25" s="116" t="e">
        <f ca="1">rotationCap(B9,J20,S20,H20,B6,AA20,Q20/E20/F20,Q20/E20/F20,V20,M20,AJ20)</f>
        <v>#NAME?</v>
      </c>
      <c r="AE25" s="104" t="e">
        <f ca="1">rotationPC(J20,S20)</f>
        <v>#NAME?</v>
      </c>
      <c r="AF25" s="27" t="e">
        <f ca="1">deteriorationConstant(J20,T20,O20)</f>
        <v>#NAME?</v>
      </c>
      <c r="AM25" s="41">
        <f>AE20/Z20</f>
        <v>33.353756426419615</v>
      </c>
    </row>
    <row r="26" spans="1:65" x14ac:dyDescent="0.25">
      <c r="A26" s="1" t="str">
        <f t="shared" si="9"/>
        <v/>
      </c>
      <c r="B26" s="23" t="str">
        <f>IF(A26="","",IFERROR(VLOOKUP(A26,$A$12:$B$15,2,FALSE),VLOOKUP("rest",$A$12:$B$15,2,TRUE)))</f>
        <v/>
      </c>
      <c r="E26" s="1" t="str">
        <f>IF($A26="","",E25)</f>
        <v/>
      </c>
      <c r="F26" s="1" t="str">
        <f t="shared" si="7"/>
        <v/>
      </c>
      <c r="H26" s="27" t="str">
        <f t="shared" si="1"/>
        <v/>
      </c>
      <c r="I26" s="30" t="str">
        <f t="shared" si="2"/>
        <v/>
      </c>
      <c r="J26" s="23" t="str">
        <f t="shared" si="3"/>
        <v/>
      </c>
      <c r="K26" s="1" t="str">
        <f t="shared" si="8"/>
        <v/>
      </c>
      <c r="L26" s="1" t="str">
        <f t="shared" si="4"/>
        <v/>
      </c>
      <c r="M26" s="27" t="str">
        <f t="shared" si="5"/>
        <v/>
      </c>
      <c r="O26" s="30" t="str">
        <f>IF(A26="","",F26-40-12-28/2)</f>
        <v/>
      </c>
      <c r="W26" t="s">
        <v>1054</v>
      </c>
      <c r="X26" t="s">
        <v>1055</v>
      </c>
      <c r="Y26" t="s">
        <v>1056</v>
      </c>
      <c r="Z26" t="s">
        <v>1023</v>
      </c>
      <c r="AA26" t="s">
        <v>1057</v>
      </c>
      <c r="AB26" t="s">
        <v>1058</v>
      </c>
      <c r="AK26" s="41"/>
      <c r="AM26" s="41">
        <f>AE21/Z21</f>
        <v>32.583685945504449</v>
      </c>
      <c r="AT26" s="99"/>
      <c r="AU26" s="99"/>
      <c r="AX26" s="100"/>
      <c r="AY26" s="106"/>
    </row>
    <row r="27" spans="1:65" x14ac:dyDescent="0.25">
      <c r="A27" s="1" t="str">
        <f t="shared" si="9"/>
        <v/>
      </c>
      <c r="B27" s="23" t="str">
        <f t="shared" si="0"/>
        <v/>
      </c>
      <c r="E27" s="1" t="str">
        <f t="shared" si="6"/>
        <v/>
      </c>
      <c r="F27" s="1" t="str">
        <f t="shared" si="7"/>
        <v/>
      </c>
      <c r="H27" s="27" t="str">
        <f>IF(A27="","",$B$4)</f>
        <v/>
      </c>
      <c r="I27" s="30" t="str">
        <f>IF(A27="","",4733*SQRT(H27))</f>
        <v/>
      </c>
      <c r="J27" s="23" t="str">
        <f>IF(A27="","",G27*1000/(H27*E27*F27))</f>
        <v/>
      </c>
      <c r="K27" s="1" t="str">
        <f>IF(A27="","",(B27*1000-E27)/2/E27)</f>
        <v/>
      </c>
      <c r="L27" s="1" t="str">
        <f>IF(A27="","",MIN(0.8,MAX(0.35,-0.02+0.98*J27+0.09*K27)))</f>
        <v/>
      </c>
      <c r="M27" s="27">
        <v>135425090.73300001</v>
      </c>
      <c r="N27" s="36">
        <f>M27*1000/4.44822/25.4/25.4/1000</f>
        <v>47189.507365816207</v>
      </c>
      <c r="O27" s="30" t="str">
        <f t="shared" ref="O27:O42" si="10">IF(A27="","",F27-40-12-28/2)</f>
        <v/>
      </c>
      <c r="W27" t="s">
        <v>690</v>
      </c>
      <c r="X27" t="s">
        <v>1059</v>
      </c>
      <c r="Y27" t="s">
        <v>690</v>
      </c>
      <c r="Z27" t="s">
        <v>690</v>
      </c>
      <c r="AG27" s="19">
        <v>4.5343085206726301E-2</v>
      </c>
      <c r="AJ27" s="41"/>
      <c r="AM27" s="41">
        <f>AE22/Z22</f>
        <v>31.303251290635881</v>
      </c>
    </row>
    <row r="28" spans="1:65" x14ac:dyDescent="0.25">
      <c r="A28" s="1" t="str">
        <f t="shared" si="9"/>
        <v/>
      </c>
      <c r="B28" s="23" t="str">
        <f t="shared" si="0"/>
        <v/>
      </c>
      <c r="E28" s="1" t="str">
        <f t="shared" si="6"/>
        <v/>
      </c>
      <c r="F28" s="1" t="str">
        <f t="shared" si="7"/>
        <v/>
      </c>
      <c r="H28" s="27" t="str">
        <f>IF(A28="","",$B$4)</f>
        <v/>
      </c>
      <c r="I28" s="30" t="str">
        <f>IF(A28="","",4733*SQRT(H28))</f>
        <v/>
      </c>
      <c r="J28" s="23" t="str">
        <f>IF(A28="","",G28*1000/(H28*E28*F28))</f>
        <v/>
      </c>
      <c r="K28" s="1" t="str">
        <f>IF(A28="","",(B28*1000-E28)/2/E28)</f>
        <v/>
      </c>
      <c r="L28" s="1" t="str">
        <f>IF(A28="","",MIN(0.8,MAX(0.35,-0.02+0.98*J28+0.09*K28)))</f>
        <v/>
      </c>
      <c r="M28" s="27">
        <f>N28/1000*4.44822*25.4*25.4*1000</f>
        <v>388644769225.25879</v>
      </c>
      <c r="N28" s="27">
        <v>135425090.73300001</v>
      </c>
      <c r="O28" s="30" t="str">
        <f t="shared" si="10"/>
        <v/>
      </c>
      <c r="V28" s="41"/>
      <c r="W28" s="27" t="e">
        <f ca="1">yieldMomentFardis(24*25.4,762,700,0.003,0,34.475*1.25,462.3,207000,I20,AA28,AB28,0)*8.851/1000</f>
        <v>#NAME?</v>
      </c>
      <c r="X28" s="125">
        <v>135425090.73284799</v>
      </c>
      <c r="Y28" s="125">
        <v>6105.7168478261801</v>
      </c>
      <c r="Z28" s="125">
        <v>-11023.7497301611</v>
      </c>
      <c r="AA28" s="125">
        <v>5.4000000000000003E-3</v>
      </c>
      <c r="AB28" s="125">
        <v>1.0999999999999999E-2</v>
      </c>
      <c r="AC28" s="40" t="e">
        <f ca="1">rotationCap(1,0,0.0025,43.09,462.3,((125/25.4)*SQRT(462.3/100)),AA28,AB28,(Y28/8.851),X28/1000*4.44822*25.4*25.4*1000,330*25.4)</f>
        <v>#NAME?</v>
      </c>
      <c r="AD28" t="e">
        <f ca="1">AC28/AC29</f>
        <v>#NAME?</v>
      </c>
      <c r="AG28" s="19">
        <v>6.3581611479737496E-2</v>
      </c>
      <c r="AH28">
        <f>AG28/AG27</f>
        <v>1.4022339060048268</v>
      </c>
      <c r="AJ28" s="41"/>
      <c r="AM28" s="41">
        <f>AE23/Z23</f>
        <v>30.731890935325541</v>
      </c>
    </row>
    <row r="29" spans="1:65" x14ac:dyDescent="0.25">
      <c r="A29" s="1" t="str">
        <f t="shared" si="9"/>
        <v/>
      </c>
      <c r="B29" s="23" t="str">
        <f t="shared" si="0"/>
        <v/>
      </c>
      <c r="E29" s="1" t="str">
        <f t="shared" si="6"/>
        <v/>
      </c>
      <c r="F29" s="1" t="str">
        <f t="shared" si="7"/>
        <v/>
      </c>
      <c r="H29" s="27" t="str">
        <f t="shared" si="1"/>
        <v/>
      </c>
      <c r="I29" s="30" t="str">
        <f t="shared" si="2"/>
        <v/>
      </c>
      <c r="J29" s="23" t="str">
        <f t="shared" si="3"/>
        <v/>
      </c>
      <c r="O29" s="30" t="str">
        <f t="shared" si="10"/>
        <v/>
      </c>
      <c r="R29" s="1" t="s">
        <v>1060</v>
      </c>
      <c r="S29" s="1">
        <f>V20*1000/M20</f>
        <v>3.4870785635451575E-6</v>
      </c>
      <c r="T29" s="38" t="s">
        <v>1061</v>
      </c>
      <c r="W29" s="27" t="e">
        <f ca="1">yieldMomentFardis(24*25.4,762,675,0.003,0,34.475*1.25,462.3,207000,I21,AA29,AB29,0)*8.851/1000</f>
        <v>#NAME?</v>
      </c>
      <c r="X29" s="125">
        <f>X28</f>
        <v>135425090.73284799</v>
      </c>
      <c r="Y29" s="125">
        <f>-Z28</f>
        <v>11023.7497301611</v>
      </c>
      <c r="Z29" s="125">
        <f>-Y28</f>
        <v>-6105.7168478261801</v>
      </c>
      <c r="AA29" s="125">
        <v>1.0999999999999999E-2</v>
      </c>
      <c r="AB29" s="125">
        <v>5.4000000000000003E-3</v>
      </c>
      <c r="AC29" s="40" t="e">
        <f ca="1">rotationCap(1,0,0.0025,43.09,462.3,((125/25.4)*SQRT(462.3/100)),AA29,AB29,(Y29/8.851),X29/1000*4.44822*25.4*25.4*1000,330*25.4)</f>
        <v>#NAME?</v>
      </c>
      <c r="AF29" t="e">
        <f ca="1">ShearPanelRotStiffness(360,360,610,45,34.475*0.8,0.0002)</f>
        <v>#NAME?</v>
      </c>
      <c r="AH29" s="41"/>
    </row>
    <row r="30" spans="1:65" x14ac:dyDescent="0.25">
      <c r="A30" s="1" t="str">
        <f t="shared" si="9"/>
        <v/>
      </c>
      <c r="B30" s="23" t="str">
        <f t="shared" si="0"/>
        <v/>
      </c>
      <c r="E30" s="1" t="str">
        <f t="shared" si="6"/>
        <v/>
      </c>
      <c r="F30" s="1" t="str">
        <f t="shared" si="7"/>
        <v/>
      </c>
      <c r="H30" s="27" t="str">
        <f t="shared" si="1"/>
        <v/>
      </c>
      <c r="I30" s="30" t="str">
        <f t="shared" si="2"/>
        <v/>
      </c>
      <c r="J30" s="23" t="str">
        <f t="shared" si="3"/>
        <v/>
      </c>
      <c r="K30" s="1" t="str">
        <f t="shared" si="8"/>
        <v/>
      </c>
      <c r="L30" s="1" t="str">
        <f t="shared" si="4"/>
        <v/>
      </c>
      <c r="M30" s="27" t="str">
        <f t="shared" si="5"/>
        <v/>
      </c>
      <c r="O30" s="30" t="str">
        <f t="shared" si="10"/>
        <v/>
      </c>
      <c r="AH30" s="41"/>
    </row>
    <row r="31" spans="1:65" ht="35.25" thickBot="1" x14ac:dyDescent="0.3">
      <c r="A31" s="1" t="str">
        <f t="shared" si="9"/>
        <v/>
      </c>
      <c r="B31" s="23" t="str">
        <f t="shared" si="0"/>
        <v/>
      </c>
      <c r="E31" s="1" t="str">
        <f t="shared" si="6"/>
        <v/>
      </c>
      <c r="F31" s="1" t="str">
        <f t="shared" si="7"/>
        <v/>
      </c>
      <c r="H31" s="27" t="str">
        <f t="shared" si="1"/>
        <v/>
      </c>
      <c r="I31" s="30" t="str">
        <f t="shared" si="2"/>
        <v/>
      </c>
      <c r="J31" s="23" t="str">
        <f t="shared" si="3"/>
        <v/>
      </c>
      <c r="K31" s="1" t="str">
        <f t="shared" si="8"/>
        <v/>
      </c>
      <c r="L31" s="1" t="str">
        <f t="shared" si="4"/>
        <v/>
      </c>
      <c r="M31" s="27" t="str">
        <f t="shared" si="5"/>
        <v/>
      </c>
      <c r="O31" s="30" t="str">
        <f t="shared" si="10"/>
        <v/>
      </c>
      <c r="W31" s="71">
        <v>360</v>
      </c>
      <c r="X31" s="71">
        <v>250</v>
      </c>
      <c r="Y31" s="78">
        <f>PI()/4*(X32*Y32^2+AA32*AB32^2)/W31/X31</f>
        <v>6.9813170079773184E-3</v>
      </c>
      <c r="Z31" s="78">
        <f>PI()/4*(X33*Y33^2+AA33*AB33^2)/W31/X31</f>
        <v>4.4680428851054839E-3</v>
      </c>
      <c r="AA31" s="78">
        <v>3.2000000000000002E-3</v>
      </c>
      <c r="AB31" s="71">
        <v>125</v>
      </c>
      <c r="AC31" s="71">
        <v>3050</v>
      </c>
      <c r="AH31" s="41"/>
    </row>
    <row r="32" spans="1:65" ht="15.75" thickTop="1" x14ac:dyDescent="0.25">
      <c r="A32" s="1" t="str">
        <f t="shared" si="9"/>
        <v/>
      </c>
      <c r="B32" s="23" t="str">
        <f t="shared" si="0"/>
        <v/>
      </c>
      <c r="E32" s="1" t="str">
        <f t="shared" si="6"/>
        <v/>
      </c>
      <c r="F32" s="1" t="str">
        <f t="shared" si="7"/>
        <v/>
      </c>
      <c r="H32" s="27" t="str">
        <f t="shared" si="1"/>
        <v/>
      </c>
      <c r="I32" s="30" t="str">
        <f t="shared" si="2"/>
        <v/>
      </c>
      <c r="J32" s="23" t="str">
        <f t="shared" si="3"/>
        <v/>
      </c>
      <c r="K32" s="1" t="str">
        <f t="shared" si="8"/>
        <v/>
      </c>
      <c r="L32" s="1" t="str">
        <f t="shared" si="4"/>
        <v/>
      </c>
      <c r="M32" s="38" t="str">
        <f>LOWER("DUCTILE DETAILING OF REINFORCED CONCRETE STRUCTURES SUBJECTED TO SEISMIC FORCES -CODE OF PRACTICE")</f>
        <v>ductile detailing of reinforced concrete structures subjected to seismic forces -code of practice</v>
      </c>
      <c r="O32" s="71"/>
      <c r="P32" s="71"/>
      <c r="Q32" s="78"/>
      <c r="R32" s="78"/>
      <c r="S32" s="78"/>
      <c r="T32" s="71"/>
      <c r="U32" s="71"/>
      <c r="W32" s="83" t="s">
        <v>373</v>
      </c>
      <c r="X32" s="74">
        <v>2</v>
      </c>
      <c r="Y32" s="75">
        <v>20</v>
      </c>
      <c r="Z32" s="77" t="str">
        <f>IF(ISBLANK(AA32),"","+")</f>
        <v/>
      </c>
      <c r="AA32" s="74"/>
      <c r="AB32" s="84"/>
      <c r="AC32" s="70"/>
      <c r="AF32" s="41"/>
    </row>
    <row r="33" spans="1:42" x14ac:dyDescent="0.25">
      <c r="A33" s="1" t="str">
        <f t="shared" si="9"/>
        <v/>
      </c>
      <c r="B33" s="23" t="str">
        <f t="shared" si="0"/>
        <v/>
      </c>
      <c r="E33" s="1" t="str">
        <f t="shared" si="6"/>
        <v/>
      </c>
      <c r="F33" s="1" t="str">
        <f t="shared" si="7"/>
        <v/>
      </c>
      <c r="H33" s="27" t="str">
        <f t="shared" si="1"/>
        <v/>
      </c>
      <c r="I33" s="30" t="str">
        <f t="shared" si="2"/>
        <v/>
      </c>
      <c r="J33" s="23" t="str">
        <f t="shared" si="3"/>
        <v/>
      </c>
      <c r="K33" s="1" t="str">
        <f t="shared" si="8"/>
        <v/>
      </c>
      <c r="L33" s="1" t="str">
        <f t="shared" si="4"/>
        <v/>
      </c>
      <c r="M33" s="27" t="str">
        <f t="shared" si="5"/>
        <v/>
      </c>
      <c r="O33" s="12"/>
      <c r="Q33" s="76"/>
      <c r="R33" s="1"/>
      <c r="T33" s="76"/>
      <c r="U33" s="69"/>
      <c r="W33" s="85" t="s">
        <v>375</v>
      </c>
      <c r="X33">
        <v>2</v>
      </c>
      <c r="Y33" s="76">
        <v>16</v>
      </c>
      <c r="Z33" s="1" t="str">
        <f>IF(ISBLANK(AA33),"","+")</f>
        <v/>
      </c>
      <c r="AB33" s="86"/>
      <c r="AC33" s="69"/>
      <c r="AF33" s="41"/>
    </row>
    <row r="34" spans="1:42" x14ac:dyDescent="0.25">
      <c r="A34" s="1" t="str">
        <f t="shared" si="9"/>
        <v/>
      </c>
      <c r="B34" s="23" t="str">
        <f t="shared" si="0"/>
        <v/>
      </c>
      <c r="E34" s="1" t="str">
        <f t="shared" si="6"/>
        <v/>
      </c>
      <c r="F34" s="1" t="str">
        <f t="shared" si="7"/>
        <v/>
      </c>
      <c r="H34" s="27" t="str">
        <f t="shared" si="1"/>
        <v/>
      </c>
      <c r="I34" s="30" t="str">
        <f t="shared" si="2"/>
        <v/>
      </c>
      <c r="J34" s="23" t="str">
        <f t="shared" si="3"/>
        <v/>
      </c>
      <c r="K34" s="1" t="str">
        <f t="shared" si="8"/>
        <v/>
      </c>
      <c r="L34" s="1" t="str">
        <f t="shared" si="4"/>
        <v/>
      </c>
      <c r="M34" s="27" t="str">
        <f t="shared" si="5"/>
        <v/>
      </c>
      <c r="O34" s="12"/>
      <c r="Q34" s="76"/>
      <c r="R34" s="1"/>
      <c r="T34" s="76"/>
      <c r="U34" s="69"/>
      <c r="W34" s="87" t="s">
        <v>377</v>
      </c>
      <c r="X34" s="88"/>
      <c r="Y34" s="89">
        <v>2</v>
      </c>
      <c r="Z34" s="90">
        <v>8</v>
      </c>
      <c r="AA34" s="88"/>
      <c r="AB34" s="91"/>
      <c r="AC34" s="69"/>
      <c r="AF34" s="41"/>
    </row>
    <row r="35" spans="1:42" x14ac:dyDescent="0.25">
      <c r="A35" s="1" t="str">
        <f t="shared" si="9"/>
        <v/>
      </c>
      <c r="B35" s="23" t="str">
        <f t="shared" si="0"/>
        <v/>
      </c>
      <c r="E35" s="1" t="str">
        <f t="shared" si="6"/>
        <v/>
      </c>
      <c r="F35" s="1" t="str">
        <f t="shared" si="7"/>
        <v/>
      </c>
      <c r="H35" s="27" t="str">
        <f t="shared" si="1"/>
        <v/>
      </c>
      <c r="I35" s="30" t="str">
        <f t="shared" si="2"/>
        <v/>
      </c>
      <c r="J35" s="23" t="str">
        <f t="shared" si="3"/>
        <v/>
      </c>
      <c r="K35" s="1" t="str">
        <f t="shared" si="8"/>
        <v/>
      </c>
      <c r="L35" s="1" t="str">
        <f t="shared" si="4"/>
        <v/>
      </c>
      <c r="M35" s="27" t="str">
        <f t="shared" si="5"/>
        <v/>
      </c>
      <c r="O35" s="114"/>
      <c r="Q35" s="115"/>
      <c r="R35" s="76"/>
      <c r="U35" s="69"/>
      <c r="AF35" s="41"/>
    </row>
    <row r="36" spans="1:42" x14ac:dyDescent="0.25">
      <c r="A36" s="1" t="str">
        <f t="shared" si="9"/>
        <v/>
      </c>
      <c r="B36" s="23" t="str">
        <f t="shared" si="0"/>
        <v/>
      </c>
      <c r="E36" s="1" t="str">
        <f t="shared" si="6"/>
        <v/>
      </c>
      <c r="F36" s="1" t="str">
        <f t="shared" si="7"/>
        <v/>
      </c>
      <c r="H36" s="27" t="str">
        <f t="shared" si="1"/>
        <v/>
      </c>
      <c r="I36" s="30" t="str">
        <f t="shared" si="2"/>
        <v/>
      </c>
      <c r="J36" s="23" t="str">
        <f t="shared" si="3"/>
        <v/>
      </c>
      <c r="K36" s="1" t="str">
        <f t="shared" si="8"/>
        <v/>
      </c>
      <c r="L36" s="1" t="str">
        <f t="shared" si="4"/>
        <v/>
      </c>
      <c r="M36" s="27" t="str">
        <f t="shared" si="5"/>
        <v/>
      </c>
      <c r="O36" s="30" t="str">
        <f t="shared" si="10"/>
        <v/>
      </c>
      <c r="AF36" s="41"/>
    </row>
    <row r="37" spans="1:42" x14ac:dyDescent="0.25">
      <c r="A37" s="1" t="str">
        <f t="shared" si="9"/>
        <v/>
      </c>
      <c r="B37" s="23" t="str">
        <f t="shared" si="0"/>
        <v/>
      </c>
      <c r="E37" s="1" t="str">
        <f t="shared" si="6"/>
        <v/>
      </c>
      <c r="F37" s="1" t="str">
        <f t="shared" si="7"/>
        <v/>
      </c>
      <c r="H37" s="27" t="str">
        <f t="shared" si="1"/>
        <v/>
      </c>
      <c r="I37" s="30" t="str">
        <f t="shared" si="2"/>
        <v/>
      </c>
      <c r="J37" s="23" t="str">
        <f t="shared" si="3"/>
        <v/>
      </c>
      <c r="K37" s="1" t="str">
        <f t="shared" si="8"/>
        <v/>
      </c>
      <c r="L37" s="1" t="str">
        <f t="shared" si="4"/>
        <v/>
      </c>
      <c r="M37" s="27" t="str">
        <f t="shared" si="5"/>
        <v/>
      </c>
      <c r="O37" s="30" t="str">
        <f t="shared" si="10"/>
        <v/>
      </c>
      <c r="AF37" s="41"/>
    </row>
    <row r="38" spans="1:42" x14ac:dyDescent="0.25">
      <c r="A38" s="1" t="str">
        <f t="shared" si="9"/>
        <v/>
      </c>
      <c r="B38" s="23" t="str">
        <f t="shared" si="0"/>
        <v/>
      </c>
      <c r="E38" s="1" t="str">
        <f t="shared" si="6"/>
        <v/>
      </c>
      <c r="F38" s="1" t="str">
        <f t="shared" si="7"/>
        <v/>
      </c>
      <c r="H38" s="27" t="str">
        <f t="shared" si="1"/>
        <v/>
      </c>
      <c r="I38" s="30" t="str">
        <f t="shared" si="2"/>
        <v/>
      </c>
      <c r="J38" s="23" t="str">
        <f t="shared" si="3"/>
        <v/>
      </c>
      <c r="K38" s="1" t="str">
        <f t="shared" si="8"/>
        <v/>
      </c>
      <c r="L38" s="1" t="str">
        <f t="shared" si="4"/>
        <v/>
      </c>
      <c r="M38" s="27" t="str">
        <f t="shared" si="5"/>
        <v/>
      </c>
      <c r="O38" s="30" t="str">
        <f t="shared" si="10"/>
        <v/>
      </c>
      <c r="AF38" s="41"/>
    </row>
    <row r="39" spans="1:42" x14ac:dyDescent="0.25">
      <c r="A39" s="1" t="str">
        <f t="shared" si="9"/>
        <v/>
      </c>
      <c r="B39" s="23" t="str">
        <f t="shared" si="0"/>
        <v/>
      </c>
      <c r="E39" s="1" t="str">
        <f t="shared" si="6"/>
        <v/>
      </c>
      <c r="F39" s="1" t="str">
        <f t="shared" si="7"/>
        <v/>
      </c>
      <c r="H39" s="27" t="str">
        <f t="shared" si="1"/>
        <v/>
      </c>
      <c r="I39" s="30" t="str">
        <f t="shared" si="2"/>
        <v/>
      </c>
      <c r="J39" s="23" t="str">
        <f t="shared" si="3"/>
        <v/>
      </c>
      <c r="K39" s="1" t="str">
        <f t="shared" si="8"/>
        <v/>
      </c>
      <c r="L39" s="1" t="str">
        <f t="shared" si="4"/>
        <v/>
      </c>
      <c r="M39" s="27" t="str">
        <f t="shared" si="5"/>
        <v/>
      </c>
      <c r="O39" s="30" t="str">
        <f t="shared" si="10"/>
        <v/>
      </c>
      <c r="AF39" s="41"/>
    </row>
    <row r="40" spans="1:42" x14ac:dyDescent="0.25">
      <c r="A40" s="1" t="str">
        <f t="shared" si="9"/>
        <v/>
      </c>
      <c r="B40" s="23" t="str">
        <f t="shared" si="0"/>
        <v/>
      </c>
      <c r="E40" s="1" t="str">
        <f t="shared" si="6"/>
        <v/>
      </c>
      <c r="F40" s="1" t="str">
        <f t="shared" si="7"/>
        <v/>
      </c>
      <c r="H40" s="27" t="str">
        <f t="shared" si="1"/>
        <v/>
      </c>
      <c r="I40" s="30" t="str">
        <f t="shared" si="2"/>
        <v/>
      </c>
      <c r="J40" s="23" t="str">
        <f t="shared" si="3"/>
        <v/>
      </c>
      <c r="K40" s="1" t="str">
        <f t="shared" si="8"/>
        <v/>
      </c>
      <c r="L40" s="1" t="str">
        <f t="shared" si="4"/>
        <v/>
      </c>
      <c r="M40" s="27" t="str">
        <f t="shared" si="5"/>
        <v/>
      </c>
      <c r="O40" s="30" t="str">
        <f t="shared" si="10"/>
        <v/>
      </c>
      <c r="AF40" s="41"/>
    </row>
    <row r="41" spans="1:42" x14ac:dyDescent="0.25">
      <c r="A41" s="1" t="str">
        <f t="shared" si="9"/>
        <v/>
      </c>
      <c r="B41" s="23" t="str">
        <f t="shared" si="0"/>
        <v/>
      </c>
      <c r="E41" s="1" t="str">
        <f t="shared" si="6"/>
        <v/>
      </c>
      <c r="F41" s="1" t="str">
        <f t="shared" si="7"/>
        <v/>
      </c>
      <c r="H41" s="27" t="str">
        <f t="shared" si="1"/>
        <v/>
      </c>
      <c r="I41" s="30" t="str">
        <f t="shared" si="2"/>
        <v/>
      </c>
      <c r="J41" s="23" t="str">
        <f t="shared" si="3"/>
        <v/>
      </c>
      <c r="K41" s="1" t="str">
        <f t="shared" si="8"/>
        <v/>
      </c>
      <c r="L41" s="1" t="str">
        <f t="shared" si="4"/>
        <v/>
      </c>
      <c r="M41" s="27" t="str">
        <f t="shared" si="5"/>
        <v/>
      </c>
      <c r="O41" s="30" t="str">
        <f t="shared" si="10"/>
        <v/>
      </c>
      <c r="AF41" s="41"/>
    </row>
    <row r="42" spans="1:42" x14ac:dyDescent="0.25">
      <c r="A42" s="1" t="str">
        <f t="shared" si="9"/>
        <v/>
      </c>
      <c r="B42" s="23" t="str">
        <f t="shared" si="0"/>
        <v/>
      </c>
      <c r="E42" s="1" t="str">
        <f t="shared" si="6"/>
        <v/>
      </c>
      <c r="F42" s="1" t="str">
        <f t="shared" si="7"/>
        <v/>
      </c>
      <c r="H42" s="27" t="str">
        <f t="shared" si="1"/>
        <v/>
      </c>
      <c r="I42" s="30" t="str">
        <f t="shared" si="2"/>
        <v/>
      </c>
      <c r="J42" s="23" t="str">
        <f t="shared" si="3"/>
        <v/>
      </c>
      <c r="K42" s="1" t="str">
        <f t="shared" si="8"/>
        <v/>
      </c>
      <c r="L42" t="s">
        <v>1062</v>
      </c>
      <c r="M42" s="27" t="str">
        <f>IF(A42="","",#REF!*I42*F42*E42^3/12/1000)</f>
        <v/>
      </c>
      <c r="O42" s="30" t="str">
        <f t="shared" si="10"/>
        <v/>
      </c>
      <c r="AF42" s="41"/>
    </row>
    <row r="43" spans="1:42" ht="43.5" thickBot="1" x14ac:dyDescent="0.35">
      <c r="A43" s="1" t="str">
        <f t="shared" si="9"/>
        <v/>
      </c>
      <c r="B43" s="23" t="str">
        <f t="shared" si="0"/>
        <v/>
      </c>
      <c r="E43" s="1" t="str">
        <f t="shared" si="6"/>
        <v/>
      </c>
      <c r="F43" s="1" t="str">
        <f t="shared" si="7"/>
        <v/>
      </c>
      <c r="H43" s="27" t="str">
        <f t="shared" si="1"/>
        <v/>
      </c>
      <c r="I43" s="30" t="str">
        <f t="shared" si="2"/>
        <v/>
      </c>
      <c r="J43" s="23" t="str">
        <f t="shared" si="3"/>
        <v/>
      </c>
      <c r="K43" s="1" t="str">
        <f t="shared" si="8"/>
        <v/>
      </c>
      <c r="L43" s="22"/>
      <c r="M43" s="71">
        <v>350</v>
      </c>
      <c r="N43" s="71">
        <v>750</v>
      </c>
      <c r="O43" s="78">
        <f>PI()/4*(N44*O44^2+Q44*R44^2)/M43/N43</f>
        <v>7.1418872991607964E-3</v>
      </c>
      <c r="P43" s="78">
        <f>PI()/4*(N45*O45^2+Q45*R45^2)/M43/N43</f>
        <v>7.3303828583761842E-3</v>
      </c>
      <c r="Q43" s="78">
        <f>O46*PI()*P46^2/4/R43/M43</f>
        <v>4.5957012532513546E-3</v>
      </c>
      <c r="R43" s="71">
        <v>125</v>
      </c>
      <c r="S43" s="71">
        <v>8200</v>
      </c>
      <c r="T43" s="81" t="s">
        <v>370</v>
      </c>
      <c r="U43" s="22"/>
      <c r="V43" s="71">
        <v>350</v>
      </c>
      <c r="W43" s="71">
        <v>750</v>
      </c>
      <c r="X43" s="78">
        <f>PI()/4*(W44*X44^2+Z44*AA44^2)/V43/W43</f>
        <v>7.3303828583761842E-3</v>
      </c>
      <c r="Y43" s="78">
        <f>PI()/4*(W45*X45^2+Z45*AA45^2)/V43/W43</f>
        <v>5.9839860068377016E-3</v>
      </c>
      <c r="Z43" s="78">
        <f>X46*PI()*Y46^2/4/AA43/V43</f>
        <v>3.9618114252166856E-3</v>
      </c>
      <c r="AA43" s="71">
        <v>145</v>
      </c>
      <c r="AB43" s="71">
        <v>8200</v>
      </c>
      <c r="AC43" s="81" t="s">
        <v>371</v>
      </c>
      <c r="AD43" s="22"/>
      <c r="AE43" s="71">
        <v>350</v>
      </c>
      <c r="AF43" s="71">
        <v>750</v>
      </c>
      <c r="AG43" s="78">
        <f>PI()/4*(AF44*AG44^2+AI44*AJ44^2)/AE43/AF43</f>
        <v>7.1418872991607964E-3</v>
      </c>
      <c r="AH43" s="78">
        <f>PI()/4*(AF45*AG45^2+AI45*AJ45^2)/AE43/AF43</f>
        <v>7.3303828583761842E-3</v>
      </c>
      <c r="AI43" s="78">
        <f>AG46*PI()*AH46^2/4/AJ43/AE43</f>
        <v>4.5957012532513546E-3</v>
      </c>
      <c r="AJ43" s="71">
        <v>125</v>
      </c>
      <c r="AK43" s="71">
        <v>8200</v>
      </c>
      <c r="AL43" s="81" t="s">
        <v>372</v>
      </c>
      <c r="AM43" s="82" t="s">
        <v>1063</v>
      </c>
    </row>
    <row r="44" spans="1:42" ht="15.75" thickTop="1" x14ac:dyDescent="0.25">
      <c r="A44" s="1" t="str">
        <f t="shared" si="9"/>
        <v/>
      </c>
      <c r="B44" s="23" t="str">
        <f t="shared" si="0"/>
        <v/>
      </c>
      <c r="E44" s="1" t="str">
        <f t="shared" si="6"/>
        <v/>
      </c>
      <c r="F44" s="1" t="str">
        <f t="shared" si="7"/>
        <v/>
      </c>
      <c r="H44" s="27" t="str">
        <f t="shared" si="1"/>
        <v/>
      </c>
      <c r="I44" s="30" t="str">
        <f t="shared" si="2"/>
        <v/>
      </c>
      <c r="J44" s="23" t="str">
        <f t="shared" si="3"/>
        <v/>
      </c>
      <c r="K44" s="1" t="str">
        <f t="shared" si="8"/>
        <v/>
      </c>
      <c r="L44" s="72"/>
      <c r="M44" s="83" t="s">
        <v>373</v>
      </c>
      <c r="N44" s="74">
        <v>3</v>
      </c>
      <c r="O44" s="75">
        <v>25</v>
      </c>
      <c r="P44" s="77" t="str">
        <f>IF(ISBLANK(Q44),"","+")</f>
        <v>+</v>
      </c>
      <c r="Q44" s="74">
        <v>2</v>
      </c>
      <c r="R44" s="84">
        <v>16</v>
      </c>
      <c r="S44" s="70"/>
      <c r="T44" s="68"/>
      <c r="U44" s="72"/>
      <c r="V44" s="83" t="s">
        <v>373</v>
      </c>
      <c r="W44" s="74">
        <v>2</v>
      </c>
      <c r="X44" s="75">
        <v>25</v>
      </c>
      <c r="Y44" s="77" t="str">
        <f>IF(ISBLANK(Z44),"","+")</f>
        <v>+</v>
      </c>
      <c r="Z44" s="74">
        <v>3</v>
      </c>
      <c r="AA44" s="84">
        <v>20</v>
      </c>
      <c r="AB44" s="70"/>
      <c r="AC44" s="68"/>
      <c r="AD44" s="72"/>
      <c r="AE44" s="83" t="s">
        <v>373</v>
      </c>
      <c r="AF44" s="74">
        <v>3</v>
      </c>
      <c r="AG44" s="75">
        <v>25</v>
      </c>
      <c r="AH44" s="77" t="str">
        <f>IF(ISBLANK(AI44),"","+")</f>
        <v>+</v>
      </c>
      <c r="AI44" s="74">
        <v>2</v>
      </c>
      <c r="AJ44" s="84">
        <v>16</v>
      </c>
      <c r="AK44" s="70"/>
      <c r="AL44" s="68"/>
      <c r="AM44" s="73"/>
    </row>
    <row r="45" spans="1:42" x14ac:dyDescent="0.25">
      <c r="A45" s="1" t="str">
        <f t="shared" si="9"/>
        <v/>
      </c>
      <c r="B45" s="23" t="str">
        <f t="shared" si="0"/>
        <v/>
      </c>
      <c r="E45" s="1" t="str">
        <f t="shared" si="6"/>
        <v/>
      </c>
      <c r="F45" s="1" t="str">
        <f t="shared" si="7"/>
        <v/>
      </c>
      <c r="H45" s="27" t="str">
        <f t="shared" si="1"/>
        <v/>
      </c>
      <c r="I45" s="30" t="str">
        <f t="shared" si="2"/>
        <v/>
      </c>
      <c r="J45" s="23" t="str">
        <f t="shared" si="3"/>
        <v/>
      </c>
      <c r="K45" s="1" t="str">
        <f t="shared" si="8"/>
        <v/>
      </c>
      <c r="L45" s="73">
        <v>400</v>
      </c>
      <c r="M45" s="85" t="s">
        <v>375</v>
      </c>
      <c r="N45">
        <v>3</v>
      </c>
      <c r="O45" s="76">
        <v>20</v>
      </c>
      <c r="P45" s="1" t="str">
        <f>IF(ISBLANK(Q45),"","+")</f>
        <v>+</v>
      </c>
      <c r="Q45">
        <v>2</v>
      </c>
      <c r="R45" s="86">
        <v>25</v>
      </c>
      <c r="S45" s="69"/>
      <c r="T45" s="348"/>
      <c r="U45" s="73">
        <v>600</v>
      </c>
      <c r="V45" s="85" t="s">
        <v>375</v>
      </c>
      <c r="W45">
        <v>5</v>
      </c>
      <c r="X45" s="76">
        <v>20</v>
      </c>
      <c r="Y45" s="1" t="str">
        <f>IF(ISBLANK(Z45),"","+")</f>
        <v/>
      </c>
      <c r="AA45" s="86"/>
      <c r="AB45" s="69"/>
      <c r="AC45" s="348"/>
      <c r="AD45" s="73">
        <v>600</v>
      </c>
      <c r="AE45" s="85" t="s">
        <v>375</v>
      </c>
      <c r="AF45">
        <v>3</v>
      </c>
      <c r="AG45" s="76">
        <v>20</v>
      </c>
      <c r="AH45" s="1" t="str">
        <f>IF(ISBLANK(AI45),"","+")</f>
        <v>+</v>
      </c>
      <c r="AI45">
        <v>2</v>
      </c>
      <c r="AJ45" s="86">
        <v>25</v>
      </c>
      <c r="AK45" s="69"/>
      <c r="AL45" s="348"/>
      <c r="AM45" s="73">
        <v>400</v>
      </c>
    </row>
    <row r="46" spans="1:42" x14ac:dyDescent="0.25">
      <c r="A46" s="1" t="str">
        <f t="shared" si="9"/>
        <v/>
      </c>
      <c r="B46" s="23" t="str">
        <f t="shared" si="0"/>
        <v/>
      </c>
      <c r="E46" s="1" t="str">
        <f t="shared" si="6"/>
        <v/>
      </c>
      <c r="F46" s="1" t="str">
        <f t="shared" si="7"/>
        <v/>
      </c>
      <c r="H46" s="27" t="str">
        <f t="shared" si="1"/>
        <v/>
      </c>
      <c r="I46" s="30" t="str">
        <f t="shared" si="2"/>
        <v/>
      </c>
      <c r="J46" s="23" t="str">
        <f t="shared" si="3"/>
        <v/>
      </c>
      <c r="K46" s="1" t="str">
        <f t="shared" si="8"/>
        <v/>
      </c>
      <c r="L46" s="73">
        <v>600</v>
      </c>
      <c r="M46" s="87" t="s">
        <v>377</v>
      </c>
      <c r="N46" s="88"/>
      <c r="O46" s="89">
        <v>4</v>
      </c>
      <c r="P46" s="90">
        <v>8</v>
      </c>
      <c r="Q46" s="88"/>
      <c r="R46" s="91"/>
      <c r="S46" s="69"/>
      <c r="T46" s="348"/>
      <c r="U46" s="73">
        <v>600</v>
      </c>
      <c r="V46" s="87" t="s">
        <v>377</v>
      </c>
      <c r="W46" s="88"/>
      <c r="X46" s="89">
        <v>4</v>
      </c>
      <c r="Y46" s="90">
        <v>8</v>
      </c>
      <c r="Z46" s="88"/>
      <c r="AA46" s="91"/>
      <c r="AB46" s="69"/>
      <c r="AC46" s="348"/>
      <c r="AD46" s="73">
        <v>600</v>
      </c>
      <c r="AE46" s="87" t="s">
        <v>377</v>
      </c>
      <c r="AF46" s="88"/>
      <c r="AG46" s="89">
        <v>4</v>
      </c>
      <c r="AH46" s="90">
        <v>8</v>
      </c>
      <c r="AI46" s="88"/>
      <c r="AJ46" s="91"/>
      <c r="AK46" s="69"/>
      <c r="AL46" s="348"/>
      <c r="AM46" s="73">
        <v>600</v>
      </c>
    </row>
    <row r="47" spans="1:42" x14ac:dyDescent="0.25">
      <c r="A47" s="1" t="str">
        <f t="shared" si="9"/>
        <v/>
      </c>
      <c r="B47" s="23" t="str">
        <f t="shared" si="0"/>
        <v/>
      </c>
      <c r="E47" s="1" t="str">
        <f t="shared" si="6"/>
        <v/>
      </c>
      <c r="F47" s="1" t="str">
        <f t="shared" si="7"/>
        <v/>
      </c>
      <c r="H47" s="27" t="str">
        <f t="shared" si="1"/>
        <v/>
      </c>
      <c r="I47" s="30" t="str">
        <f t="shared" si="2"/>
        <v/>
      </c>
      <c r="J47" s="23" t="str">
        <f t="shared" si="3"/>
        <v/>
      </c>
      <c r="K47" s="1" t="str">
        <f t="shared" si="8"/>
        <v/>
      </c>
      <c r="L47" s="97">
        <f>PI()/4*(M48*N48^2+M49*N49^2)/L45/L46</f>
        <v>9.0058989402907394E-3</v>
      </c>
      <c r="M47" s="69"/>
      <c r="S47" s="69"/>
      <c r="T47" s="348"/>
      <c r="U47" s="97">
        <f>PI()/4*(V48*W48^2+V49*W49^2)/U45/U46</f>
        <v>8.5172067497323277E-3</v>
      </c>
      <c r="V47" s="69"/>
      <c r="AB47" s="69"/>
      <c r="AC47" s="348"/>
      <c r="AD47" s="97">
        <f>PI()/4*(AE48*AF48^2+AE49*AF49^2)/AD45/AD46</f>
        <v>8.5172067497323277E-3</v>
      </c>
      <c r="AE47" s="69"/>
      <c r="AK47" s="69"/>
      <c r="AL47" s="348"/>
      <c r="AM47" s="97">
        <f>PI()/4*(AN48*AO48^2+AN49*AO49^2)/AM45/AM46</f>
        <v>9.0058989402907394E-3</v>
      </c>
      <c r="AN47" s="69"/>
    </row>
    <row r="48" spans="1:42" x14ac:dyDescent="0.25">
      <c r="A48" s="1" t="str">
        <f t="shared" si="9"/>
        <v/>
      </c>
      <c r="B48" s="23" t="str">
        <f t="shared" si="0"/>
        <v/>
      </c>
      <c r="E48" s="1" t="str">
        <f t="shared" si="6"/>
        <v/>
      </c>
      <c r="F48" s="1" t="str">
        <f t="shared" si="7"/>
        <v/>
      </c>
      <c r="H48" s="27" t="str">
        <f t="shared" si="1"/>
        <v/>
      </c>
      <c r="I48" s="30" t="str">
        <f t="shared" si="2"/>
        <v/>
      </c>
      <c r="J48" s="23" t="str">
        <f t="shared" si="3"/>
        <v/>
      </c>
      <c r="K48" s="1" t="str">
        <f t="shared" si="8"/>
        <v/>
      </c>
      <c r="L48" s="109">
        <f>PI()/4*(2*N48^2+2*N49^2)/L45/L46</f>
        <v>2.6179938779914941E-3</v>
      </c>
      <c r="M48" s="93">
        <v>4</v>
      </c>
      <c r="N48" s="94">
        <v>16</v>
      </c>
      <c r="O48" s="95" t="str">
        <f>IF(ISBLANK(M49),"","+")</f>
        <v>+</v>
      </c>
      <c r="P48" s="69"/>
      <c r="Q48" s="69"/>
      <c r="R48" s="69"/>
      <c r="S48" s="69"/>
      <c r="T48" s="348"/>
      <c r="U48" s="109">
        <f>PI()/4*(2*W48^2+2*W49^2)/U45/U46</f>
        <v>1.7453292519943298E-3</v>
      </c>
      <c r="V48" s="93">
        <v>4</v>
      </c>
      <c r="W48" s="94">
        <v>16</v>
      </c>
      <c r="X48" s="95" t="str">
        <f>IF(ISBLANK(V49),"","+")</f>
        <v>+</v>
      </c>
      <c r="Y48" s="69"/>
      <c r="Z48" s="69"/>
      <c r="AA48" s="69"/>
      <c r="AB48" s="69"/>
      <c r="AC48" s="348"/>
      <c r="AD48" s="109">
        <f>PI()/4*(2*AF48^2+2*AF49^2)/AD45/AD46</f>
        <v>1.7453292519943298E-3</v>
      </c>
      <c r="AE48" s="93">
        <v>4</v>
      </c>
      <c r="AF48" s="94">
        <v>16</v>
      </c>
      <c r="AG48" s="95" t="str">
        <f>IF(ISBLANK(AE49),"","+")</f>
        <v>+</v>
      </c>
      <c r="AH48" s="69"/>
      <c r="AI48" s="69"/>
      <c r="AJ48" s="69"/>
      <c r="AK48" s="69"/>
      <c r="AL48" s="348"/>
      <c r="AM48" s="109">
        <f>PI()/4*(2*AO48^2+2*AO49^2)/AM45/AM46</f>
        <v>2.6179938779914941E-3</v>
      </c>
      <c r="AN48" s="93">
        <v>4</v>
      </c>
      <c r="AO48" s="94">
        <v>16</v>
      </c>
      <c r="AP48" s="95" t="str">
        <f>IF(ISBLANK(AN49),"","+")</f>
        <v>+</v>
      </c>
    </row>
    <row r="49" spans="1:42" x14ac:dyDescent="0.25">
      <c r="A49" s="1" t="str">
        <f t="shared" si="9"/>
        <v/>
      </c>
      <c r="B49" s="23" t="str">
        <f t="shared" si="0"/>
        <v/>
      </c>
      <c r="E49" s="1" t="str">
        <f t="shared" si="6"/>
        <v/>
      </c>
      <c r="F49" s="1" t="str">
        <f t="shared" si="7"/>
        <v/>
      </c>
      <c r="H49" s="27" t="str">
        <f t="shared" si="1"/>
        <v/>
      </c>
      <c r="I49" s="30" t="str">
        <f t="shared" si="2"/>
        <v/>
      </c>
      <c r="J49" s="23" t="str">
        <f t="shared" si="3"/>
        <v/>
      </c>
      <c r="K49" s="1" t="str">
        <f t="shared" si="8"/>
        <v/>
      </c>
      <c r="L49" s="347">
        <f>M51*PI()*M50^2/4/L50/L45</f>
        <v>7.8539816339744835E-3</v>
      </c>
      <c r="M49" s="88">
        <v>12</v>
      </c>
      <c r="N49" s="90">
        <v>12</v>
      </c>
      <c r="O49" s="96"/>
      <c r="P49" s="69"/>
      <c r="Q49" s="69"/>
      <c r="R49" s="69"/>
      <c r="S49" s="69"/>
      <c r="T49" s="348"/>
      <c r="U49" s="347">
        <f>V51*PI()*V50^2/4/U50/U45</f>
        <v>4.1887902047863905E-3</v>
      </c>
      <c r="V49" s="88">
        <v>20</v>
      </c>
      <c r="W49" s="90">
        <v>12</v>
      </c>
      <c r="X49" s="96"/>
      <c r="Y49" s="69"/>
      <c r="Z49" s="69"/>
      <c r="AA49" s="69"/>
      <c r="AB49" s="69"/>
      <c r="AC49" s="348"/>
      <c r="AD49" s="347">
        <f>AE51*PI()*AE50^2/4/AD50/AD45</f>
        <v>4.1887902047863905E-3</v>
      </c>
      <c r="AE49" s="88">
        <v>20</v>
      </c>
      <c r="AF49" s="90">
        <v>12</v>
      </c>
      <c r="AG49" s="96"/>
      <c r="AH49" s="69"/>
      <c r="AI49" s="69"/>
      <c r="AJ49" s="69"/>
      <c r="AK49" s="69"/>
      <c r="AL49" s="348"/>
      <c r="AM49" s="347">
        <f>AN51*PI()*AN50^2/4/AM50/AM45</f>
        <v>0</v>
      </c>
      <c r="AN49" s="88">
        <v>12</v>
      </c>
      <c r="AO49" s="90">
        <v>12</v>
      </c>
      <c r="AP49" s="96"/>
    </row>
    <row r="50" spans="1:42" x14ac:dyDescent="0.25">
      <c r="A50" s="1" t="str">
        <f t="shared" si="9"/>
        <v/>
      </c>
      <c r="B50" s="23" t="str">
        <f t="shared" si="0"/>
        <v/>
      </c>
      <c r="E50" s="1" t="str">
        <f t="shared" si="6"/>
        <v/>
      </c>
      <c r="F50" s="1" t="str">
        <f t="shared" si="7"/>
        <v/>
      </c>
      <c r="H50" s="27" t="str">
        <f t="shared" si="1"/>
        <v/>
      </c>
      <c r="I50" s="30" t="str">
        <f t="shared" si="2"/>
        <v/>
      </c>
      <c r="J50" s="23" t="str">
        <f t="shared" si="3"/>
        <v/>
      </c>
      <c r="K50" s="1" t="str">
        <f t="shared" si="8"/>
        <v/>
      </c>
      <c r="L50" s="110">
        <v>100</v>
      </c>
      <c r="M50" s="94">
        <v>10</v>
      </c>
      <c r="N50" s="69"/>
      <c r="O50" s="69"/>
      <c r="P50" s="69"/>
      <c r="Q50" s="69"/>
      <c r="R50" s="69"/>
      <c r="S50" s="69"/>
      <c r="T50" s="348"/>
      <c r="U50" s="110">
        <v>125</v>
      </c>
      <c r="V50" s="94">
        <v>10</v>
      </c>
      <c r="W50" s="69"/>
      <c r="X50" s="69"/>
      <c r="Y50" s="69"/>
      <c r="Z50" s="69"/>
      <c r="AA50" s="69"/>
      <c r="AB50" s="69"/>
      <c r="AC50" s="348"/>
      <c r="AD50" s="110">
        <v>125</v>
      </c>
      <c r="AE50" s="94">
        <v>10</v>
      </c>
      <c r="AF50" s="69"/>
      <c r="AG50" s="69"/>
      <c r="AH50" s="69"/>
      <c r="AI50" s="69"/>
      <c r="AJ50" s="69"/>
      <c r="AK50" s="69"/>
      <c r="AL50" s="348"/>
      <c r="AM50" s="110">
        <v>100</v>
      </c>
      <c r="AN50" s="94">
        <v>10</v>
      </c>
      <c r="AO50" s="69"/>
      <c r="AP50" s="69"/>
    </row>
    <row r="51" spans="1:42" x14ac:dyDescent="0.25">
      <c r="A51" s="1" t="str">
        <f t="shared" si="9"/>
        <v/>
      </c>
      <c r="B51" s="23" t="str">
        <f t="shared" si="0"/>
        <v/>
      </c>
      <c r="E51" s="1" t="str">
        <f t="shared" si="6"/>
        <v/>
      </c>
      <c r="F51" s="1" t="str">
        <f t="shared" si="7"/>
        <v/>
      </c>
      <c r="H51" s="27" t="str">
        <f t="shared" si="1"/>
        <v/>
      </c>
      <c r="I51" s="30" t="str">
        <f t="shared" si="2"/>
        <v/>
      </c>
      <c r="J51" s="23" t="str">
        <f t="shared" si="3"/>
        <v/>
      </c>
      <c r="K51" s="1" t="str">
        <f t="shared" si="8"/>
        <v/>
      </c>
      <c r="L51" s="92">
        <v>3900</v>
      </c>
      <c r="M51">
        <v>4</v>
      </c>
      <c r="T51" s="348"/>
      <c r="U51" s="92">
        <v>3900</v>
      </c>
      <c r="V51">
        <v>4</v>
      </c>
      <c r="AC51" s="348"/>
      <c r="AD51" s="92">
        <v>3900</v>
      </c>
      <c r="AE51">
        <v>4</v>
      </c>
      <c r="AL51" s="348"/>
      <c r="AM51" s="92">
        <v>3900</v>
      </c>
    </row>
    <row r="52" spans="1:42" ht="35.25" thickBot="1" x14ac:dyDescent="0.35">
      <c r="A52" s="1" t="str">
        <f t="shared" si="9"/>
        <v/>
      </c>
      <c r="B52" s="23" t="str">
        <f t="shared" ref="B52:B79" si="11">IF(A52="","",IFERROR(VLOOKUP(A52,$A$12:$B$15,2,FALSE),VLOOKUP("rest",$A$12:$B$15,2,TRUE)))</f>
        <v/>
      </c>
      <c r="E52" s="1" t="str">
        <f t="shared" si="6"/>
        <v/>
      </c>
      <c r="F52" s="1" t="str">
        <f t="shared" si="7"/>
        <v/>
      </c>
      <c r="H52" s="27" t="str">
        <f t="shared" ref="H52:H79" si="12">IF(A52="","",$B$4)</f>
        <v/>
      </c>
      <c r="I52" s="30" t="str">
        <f t="shared" ref="I52:I79" si="13">IF(A52="","",4733*SQRT(H52))</f>
        <v/>
      </c>
      <c r="J52" s="23" t="str">
        <f t="shared" ref="J52:J79" si="14">IF(A52="","",G52*1000/(H52*E52*F52))</f>
        <v/>
      </c>
      <c r="K52" s="1" t="str">
        <f t="shared" ref="K52:K79" si="15">IF(A52="","",(B52*1000-E52)/2/E52)</f>
        <v/>
      </c>
      <c r="L52" s="111"/>
      <c r="M52" s="71">
        <v>350</v>
      </c>
      <c r="N52" s="71">
        <v>750</v>
      </c>
      <c r="O52" s="78">
        <f>PI()/4*(N53*O53^2+Q53*R53^2)/M52/N52</f>
        <v>7.1418872991607964E-3</v>
      </c>
      <c r="P52" s="78">
        <f>PI()/4*(N54*O54^2+Q54*R54^2)/M52/N52</f>
        <v>5.9839860068377016E-3</v>
      </c>
      <c r="Q52" s="78">
        <f>O55*PI()*P55^2/4/R52/M52</f>
        <v>4.5957012532513546E-3</v>
      </c>
      <c r="R52" s="71">
        <v>125</v>
      </c>
      <c r="S52" s="71">
        <v>8200</v>
      </c>
      <c r="T52" s="381"/>
      <c r="U52" s="111"/>
      <c r="V52" s="71">
        <v>350</v>
      </c>
      <c r="W52" s="71">
        <v>750</v>
      </c>
      <c r="X52" s="78">
        <f>PI()/4*(W53*X53^2+Z53*AA53^2)/V52/W52</f>
        <v>7.3303828583761842E-3</v>
      </c>
      <c r="Y52" s="78">
        <f>PI()/4*(W54*X54^2+Z54*AA54^2)/V52/W52</f>
        <v>5.5531390143453872E-3</v>
      </c>
      <c r="Z52" s="78">
        <f>X55*PI()*Y55^2/4/AA52/V52</f>
        <v>3.9618114252166856E-3</v>
      </c>
      <c r="AA52" s="71">
        <v>145</v>
      </c>
      <c r="AB52" s="71">
        <v>8200</v>
      </c>
      <c r="AC52" s="381"/>
      <c r="AD52" s="111"/>
      <c r="AE52" s="71">
        <v>350</v>
      </c>
      <c r="AF52" s="71">
        <v>750</v>
      </c>
      <c r="AG52" s="78">
        <f>PI()/4*(AF53*AG53^2+AI53*AJ53^2)/AE52/AF52</f>
        <v>7.1418872991607964E-3</v>
      </c>
      <c r="AH52" s="78">
        <f>PI()/4*(AF54*AG54^2+AI54*AJ54^2)/AE52/AF52</f>
        <v>5.9839860068377016E-3</v>
      </c>
      <c r="AI52" s="78">
        <f>AG55*PI()*AH55^2/4/AJ52/AE52</f>
        <v>4.5957012532513546E-3</v>
      </c>
      <c r="AJ52" s="71">
        <v>125</v>
      </c>
      <c r="AK52" s="71">
        <v>8200</v>
      </c>
      <c r="AL52" s="381"/>
      <c r="AM52" s="113" t="s">
        <v>1064</v>
      </c>
    </row>
    <row r="53" spans="1:42" ht="15.75" thickTop="1" x14ac:dyDescent="0.25">
      <c r="A53" s="1" t="str">
        <f t="shared" si="9"/>
        <v/>
      </c>
      <c r="B53" s="23" t="str">
        <f t="shared" si="11"/>
        <v/>
      </c>
      <c r="E53" s="1" t="str">
        <f t="shared" ref="E53:E79" si="16">IF($A53="","",E52)</f>
        <v/>
      </c>
      <c r="F53" s="1" t="str">
        <f t="shared" ref="F53:F79" si="17">IF($A53="","",F52)</f>
        <v/>
      </c>
      <c r="H53" s="27" t="str">
        <f t="shared" si="12"/>
        <v/>
      </c>
      <c r="I53" s="30" t="str">
        <f t="shared" si="13"/>
        <v/>
      </c>
      <c r="J53" s="23" t="str">
        <f t="shared" si="14"/>
        <v/>
      </c>
      <c r="K53" s="1" t="str">
        <f t="shared" si="15"/>
        <v/>
      </c>
      <c r="L53" s="72"/>
      <c r="M53" s="83" t="s">
        <v>373</v>
      </c>
      <c r="N53" s="74">
        <v>3</v>
      </c>
      <c r="O53" s="75">
        <v>25</v>
      </c>
      <c r="P53" s="77" t="str">
        <f>IF(ISBLANK(Q53),"","+")</f>
        <v>+</v>
      </c>
      <c r="Q53" s="74">
        <v>2</v>
      </c>
      <c r="R53" s="84">
        <v>16</v>
      </c>
      <c r="S53" s="70"/>
      <c r="T53" s="68"/>
      <c r="U53" s="72"/>
      <c r="V53" s="83" t="s">
        <v>373</v>
      </c>
      <c r="W53" s="74">
        <v>2</v>
      </c>
      <c r="X53" s="75">
        <v>25</v>
      </c>
      <c r="Y53" s="77" t="str">
        <f>IF(ISBLANK(Z53),"","+")</f>
        <v>+</v>
      </c>
      <c r="Z53" s="74">
        <v>3</v>
      </c>
      <c r="AA53" s="84">
        <v>20</v>
      </c>
      <c r="AB53" s="70"/>
      <c r="AC53" s="68"/>
      <c r="AD53" s="72"/>
      <c r="AE53" s="83" t="s">
        <v>373</v>
      </c>
      <c r="AF53" s="74">
        <v>3</v>
      </c>
      <c r="AG53" s="75">
        <v>25</v>
      </c>
      <c r="AH53" s="77" t="str">
        <f>IF(ISBLANK(AI53),"","+")</f>
        <v>+</v>
      </c>
      <c r="AI53" s="74">
        <v>2</v>
      </c>
      <c r="AJ53" s="84">
        <v>16</v>
      </c>
      <c r="AK53" s="70"/>
      <c r="AL53" s="68"/>
      <c r="AM53" s="73"/>
    </row>
    <row r="54" spans="1:42" x14ac:dyDescent="0.25">
      <c r="A54" s="1" t="str">
        <f t="shared" si="9"/>
        <v/>
      </c>
      <c r="B54" s="23" t="str">
        <f t="shared" si="11"/>
        <v/>
      </c>
      <c r="E54" s="1" t="str">
        <f t="shared" si="16"/>
        <v/>
      </c>
      <c r="F54" s="1" t="str">
        <f t="shared" si="17"/>
        <v/>
      </c>
      <c r="H54" s="27" t="str">
        <f t="shared" si="12"/>
        <v/>
      </c>
      <c r="I54" s="30" t="str">
        <f t="shared" si="13"/>
        <v/>
      </c>
      <c r="J54" s="23" t="str">
        <f t="shared" si="14"/>
        <v/>
      </c>
      <c r="K54" s="1" t="str">
        <f t="shared" si="15"/>
        <v/>
      </c>
      <c r="L54" s="73">
        <v>400</v>
      </c>
      <c r="M54" s="85" t="s">
        <v>375</v>
      </c>
      <c r="N54">
        <v>5</v>
      </c>
      <c r="O54" s="76">
        <v>20</v>
      </c>
      <c r="P54" s="1" t="str">
        <f>IF(ISBLANK(Q54),"","+")</f>
        <v/>
      </c>
      <c r="R54" s="86"/>
      <c r="S54" s="69"/>
      <c r="T54" s="348"/>
      <c r="U54" s="73">
        <v>600</v>
      </c>
      <c r="V54" s="85" t="s">
        <v>375</v>
      </c>
      <c r="W54">
        <v>4</v>
      </c>
      <c r="X54" s="76">
        <v>20</v>
      </c>
      <c r="Y54" s="1" t="str">
        <f>IF(ISBLANK(Z54),"","+")</f>
        <v>+</v>
      </c>
      <c r="Z54">
        <v>1</v>
      </c>
      <c r="AA54" s="86">
        <v>16</v>
      </c>
      <c r="AB54" s="69"/>
      <c r="AC54" s="348"/>
      <c r="AD54" s="73">
        <v>600</v>
      </c>
      <c r="AE54" s="85" t="s">
        <v>375</v>
      </c>
      <c r="AF54">
        <v>5</v>
      </c>
      <c r="AG54" s="76">
        <v>20</v>
      </c>
      <c r="AH54" s="1" t="str">
        <f>IF(ISBLANK(AI54),"","+")</f>
        <v/>
      </c>
      <c r="AJ54" s="86"/>
      <c r="AK54" s="69"/>
      <c r="AL54" s="348"/>
      <c r="AM54" s="73">
        <v>400</v>
      </c>
    </row>
    <row r="55" spans="1:42" x14ac:dyDescent="0.25">
      <c r="A55" s="1" t="str">
        <f t="shared" si="9"/>
        <v/>
      </c>
      <c r="B55" s="23" t="str">
        <f t="shared" si="11"/>
        <v/>
      </c>
      <c r="E55" s="1" t="str">
        <f t="shared" si="16"/>
        <v/>
      </c>
      <c r="F55" s="1" t="str">
        <f t="shared" si="17"/>
        <v/>
      </c>
      <c r="H55" s="27" t="str">
        <f t="shared" si="12"/>
        <v/>
      </c>
      <c r="I55" s="30" t="str">
        <f t="shared" si="13"/>
        <v/>
      </c>
      <c r="J55" s="23" t="str">
        <f t="shared" si="14"/>
        <v/>
      </c>
      <c r="K55" s="1" t="str">
        <f t="shared" si="15"/>
        <v/>
      </c>
      <c r="L55" s="73">
        <v>600</v>
      </c>
      <c r="M55" s="87" t="s">
        <v>377</v>
      </c>
      <c r="N55" s="88"/>
      <c r="O55" s="89">
        <v>4</v>
      </c>
      <c r="P55" s="90">
        <v>8</v>
      </c>
      <c r="Q55" s="88"/>
      <c r="R55" s="91"/>
      <c r="S55" s="69"/>
      <c r="T55" s="348"/>
      <c r="U55" s="73">
        <v>600</v>
      </c>
      <c r="V55" s="87" t="s">
        <v>377</v>
      </c>
      <c r="W55" s="88"/>
      <c r="X55" s="89">
        <v>4</v>
      </c>
      <c r="Y55" s="90">
        <v>8</v>
      </c>
      <c r="Z55" s="88"/>
      <c r="AA55" s="91"/>
      <c r="AB55" s="69"/>
      <c r="AC55" s="348"/>
      <c r="AD55" s="73">
        <v>600</v>
      </c>
      <c r="AE55" s="87" t="s">
        <v>377</v>
      </c>
      <c r="AF55" s="88"/>
      <c r="AG55" s="89">
        <v>4</v>
      </c>
      <c r="AH55" s="90">
        <v>8</v>
      </c>
      <c r="AI55" s="88"/>
      <c r="AJ55" s="91"/>
      <c r="AK55" s="69"/>
      <c r="AL55" s="348"/>
      <c r="AM55" s="73">
        <v>600</v>
      </c>
    </row>
    <row r="56" spans="1:42" x14ac:dyDescent="0.25">
      <c r="A56" s="1" t="str">
        <f t="shared" si="9"/>
        <v/>
      </c>
      <c r="B56" s="23" t="str">
        <f t="shared" si="11"/>
        <v/>
      </c>
      <c r="E56" s="1" t="str">
        <f t="shared" si="16"/>
        <v/>
      </c>
      <c r="F56" s="1" t="str">
        <f t="shared" si="17"/>
        <v/>
      </c>
      <c r="H56" s="27" t="str">
        <f t="shared" si="12"/>
        <v/>
      </c>
      <c r="I56" s="30" t="str">
        <f t="shared" si="13"/>
        <v/>
      </c>
      <c r="J56" s="23" t="str">
        <f t="shared" si="14"/>
        <v/>
      </c>
      <c r="K56" s="1" t="str">
        <f t="shared" si="15"/>
        <v/>
      </c>
      <c r="L56" s="97">
        <f>PI()/4*(M57*N57^2+M58*N58^2)/L54/L55</f>
        <v>9.0058989402907394E-3</v>
      </c>
      <c r="M56" s="69"/>
      <c r="S56" s="69"/>
      <c r="T56" s="348"/>
      <c r="U56" s="97">
        <f>PI()/4*(V57*W57^2+V58*W58^2)/U54/U55</f>
        <v>8.5172067497323277E-3</v>
      </c>
      <c r="V56" s="69"/>
      <c r="AB56" s="69"/>
      <c r="AC56" s="348"/>
      <c r="AD56" s="97">
        <f>PI()/4*(AE57*AF57^2+AE58*AF58^2)/AD54/AD55</f>
        <v>8.5172067497323277E-3</v>
      </c>
      <c r="AE56" s="69"/>
      <c r="AK56" s="69"/>
      <c r="AL56" s="348"/>
      <c r="AM56" s="97">
        <f>PI()/4*(AN57*AO57^2+AN58*AO58^2)/AM54/AM55</f>
        <v>9.0058989402907394E-3</v>
      </c>
      <c r="AN56" s="69"/>
    </row>
    <row r="57" spans="1:42" x14ac:dyDescent="0.25">
      <c r="A57" s="1" t="str">
        <f t="shared" si="9"/>
        <v/>
      </c>
      <c r="B57" s="23" t="str">
        <f t="shared" si="11"/>
        <v/>
      </c>
      <c r="E57" s="1" t="str">
        <f t="shared" si="16"/>
        <v/>
      </c>
      <c r="F57" s="1" t="str">
        <f t="shared" si="17"/>
        <v/>
      </c>
      <c r="H57" s="27" t="str">
        <f t="shared" si="12"/>
        <v/>
      </c>
      <c r="I57" s="30" t="str">
        <f t="shared" si="13"/>
        <v/>
      </c>
      <c r="J57" s="23" t="str">
        <f t="shared" si="14"/>
        <v/>
      </c>
      <c r="K57" s="1" t="str">
        <f t="shared" si="15"/>
        <v/>
      </c>
      <c r="L57" s="109">
        <f>PI()/4*(2*N57^2+2*N58^2)/L54/L55</f>
        <v>2.6179938779914941E-3</v>
      </c>
      <c r="M57" s="93">
        <v>4</v>
      </c>
      <c r="N57" s="94">
        <v>16</v>
      </c>
      <c r="O57" s="95" t="str">
        <f>IF(ISBLANK(M58),"","+")</f>
        <v>+</v>
      </c>
      <c r="P57" s="69"/>
      <c r="Q57" s="69"/>
      <c r="R57" s="69"/>
      <c r="S57" s="69"/>
      <c r="T57" s="348"/>
      <c r="U57" s="109">
        <f>PI()/4*(2*W57^2+2*W58^2)/U54/U55</f>
        <v>1.7453292519943298E-3</v>
      </c>
      <c r="V57" s="93">
        <v>4</v>
      </c>
      <c r="W57" s="94">
        <v>16</v>
      </c>
      <c r="X57" s="95" t="str">
        <f>IF(ISBLANK(V58),"","+")</f>
        <v>+</v>
      </c>
      <c r="Y57" s="69"/>
      <c r="Z57" s="69"/>
      <c r="AA57" s="69"/>
      <c r="AB57" s="69"/>
      <c r="AC57" s="348"/>
      <c r="AD57" s="109">
        <f>PI()/4*(2*AF57^2+2*AF58^2)/AD54/AD55</f>
        <v>1.7453292519943298E-3</v>
      </c>
      <c r="AE57" s="93">
        <v>4</v>
      </c>
      <c r="AF57" s="94">
        <v>16</v>
      </c>
      <c r="AG57" s="95" t="str">
        <f>IF(ISBLANK(AE58),"","+")</f>
        <v>+</v>
      </c>
      <c r="AH57" s="69"/>
      <c r="AI57" s="69"/>
      <c r="AJ57" s="69"/>
      <c r="AK57" s="69"/>
      <c r="AL57" s="348"/>
      <c r="AM57" s="109">
        <f>PI()/4*(2*AO57^2+2*AO58^2)/AM54/AM55</f>
        <v>2.6179938779914941E-3</v>
      </c>
      <c r="AN57" s="93">
        <v>4</v>
      </c>
      <c r="AO57" s="94">
        <v>16</v>
      </c>
      <c r="AP57" s="95" t="str">
        <f>IF(ISBLANK(AN58),"","+")</f>
        <v>+</v>
      </c>
    </row>
    <row r="58" spans="1:42" x14ac:dyDescent="0.25">
      <c r="A58" s="1" t="str">
        <f t="shared" si="9"/>
        <v/>
      </c>
      <c r="B58" s="23" t="str">
        <f t="shared" si="11"/>
        <v/>
      </c>
      <c r="E58" s="1" t="str">
        <f t="shared" si="16"/>
        <v/>
      </c>
      <c r="F58" s="1" t="str">
        <f t="shared" si="17"/>
        <v/>
      </c>
      <c r="H58" s="27" t="str">
        <f t="shared" si="12"/>
        <v/>
      </c>
      <c r="I58" s="30" t="str">
        <f t="shared" si="13"/>
        <v/>
      </c>
      <c r="J58" s="23" t="str">
        <f t="shared" si="14"/>
        <v/>
      </c>
      <c r="K58" s="1" t="str">
        <f t="shared" si="15"/>
        <v/>
      </c>
      <c r="L58" s="347">
        <f>M60*PI()*M59^2/4/L59/L54</f>
        <v>7.8539816339744835E-3</v>
      </c>
      <c r="M58" s="88">
        <v>12</v>
      </c>
      <c r="N58" s="90">
        <v>12</v>
      </c>
      <c r="O58" s="96"/>
      <c r="P58" s="69"/>
      <c r="Q58" s="69"/>
      <c r="R58" s="69"/>
      <c r="S58" s="69"/>
      <c r="T58" s="348"/>
      <c r="U58" s="347">
        <f>V60*PI()*V59^2/4/U59/U54</f>
        <v>4.1887902047863905E-3</v>
      </c>
      <c r="V58" s="88">
        <v>20</v>
      </c>
      <c r="W58" s="90">
        <v>12</v>
      </c>
      <c r="X58" s="96"/>
      <c r="Y58" s="69"/>
      <c r="Z58" s="69"/>
      <c r="AA58" s="69"/>
      <c r="AB58" s="69"/>
      <c r="AC58" s="348"/>
      <c r="AD58" s="347">
        <f>AE60*PI()*AE59^2/4/AD59/AD54</f>
        <v>4.1887902047863905E-3</v>
      </c>
      <c r="AE58" s="88">
        <v>20</v>
      </c>
      <c r="AF58" s="90">
        <v>12</v>
      </c>
      <c r="AG58" s="96"/>
      <c r="AH58" s="69"/>
      <c r="AI58" s="69"/>
      <c r="AJ58" s="69"/>
      <c r="AK58" s="69"/>
      <c r="AL58" s="348"/>
      <c r="AM58" s="347">
        <f>AN60*PI()*AN59^2/4/AM59/AM54</f>
        <v>0</v>
      </c>
      <c r="AN58" s="88">
        <v>12</v>
      </c>
      <c r="AO58" s="90">
        <v>12</v>
      </c>
      <c r="AP58" s="96"/>
    </row>
    <row r="59" spans="1:42" x14ac:dyDescent="0.25">
      <c r="A59" s="1" t="str">
        <f t="shared" si="9"/>
        <v/>
      </c>
      <c r="B59" s="23" t="str">
        <f t="shared" si="11"/>
        <v/>
      </c>
      <c r="E59" s="1" t="str">
        <f t="shared" si="16"/>
        <v/>
      </c>
      <c r="F59" s="1" t="str">
        <f t="shared" si="17"/>
        <v/>
      </c>
      <c r="H59" s="27" t="str">
        <f t="shared" si="12"/>
        <v/>
      </c>
      <c r="I59" s="30" t="str">
        <f t="shared" si="13"/>
        <v/>
      </c>
      <c r="J59" s="23" t="str">
        <f t="shared" si="14"/>
        <v/>
      </c>
      <c r="K59" s="1" t="str">
        <f t="shared" si="15"/>
        <v/>
      </c>
      <c r="L59" s="110">
        <v>100</v>
      </c>
      <c r="M59" s="94">
        <v>10</v>
      </c>
      <c r="N59" s="69"/>
      <c r="O59" s="69"/>
      <c r="P59" s="69"/>
      <c r="Q59" s="69"/>
      <c r="R59" s="69"/>
      <c r="S59" s="69"/>
      <c r="T59" s="348"/>
      <c r="U59" s="110">
        <v>125</v>
      </c>
      <c r="V59" s="94">
        <v>10</v>
      </c>
      <c r="W59" s="69"/>
      <c r="X59" s="69"/>
      <c r="Y59" s="69"/>
      <c r="Z59" s="69"/>
      <c r="AA59" s="69"/>
      <c r="AB59" s="69"/>
      <c r="AC59" s="348"/>
      <c r="AD59" s="110">
        <v>125</v>
      </c>
      <c r="AE59" s="94">
        <v>10</v>
      </c>
      <c r="AF59" s="69"/>
      <c r="AG59" s="69"/>
      <c r="AH59" s="69"/>
      <c r="AI59" s="69"/>
      <c r="AJ59" s="69"/>
      <c r="AK59" s="69"/>
      <c r="AL59" s="348"/>
      <c r="AM59" s="110">
        <v>100</v>
      </c>
      <c r="AN59" s="94">
        <v>10</v>
      </c>
      <c r="AO59" s="69"/>
      <c r="AP59" s="69"/>
    </row>
    <row r="60" spans="1:42" x14ac:dyDescent="0.25">
      <c r="A60" s="1" t="str">
        <f t="shared" si="9"/>
        <v/>
      </c>
      <c r="B60" s="23" t="str">
        <f t="shared" si="11"/>
        <v/>
      </c>
      <c r="E60" s="1" t="str">
        <f t="shared" si="16"/>
        <v/>
      </c>
      <c r="F60" s="1" t="str">
        <f t="shared" si="17"/>
        <v/>
      </c>
      <c r="H60" s="27" t="str">
        <f t="shared" si="12"/>
        <v/>
      </c>
      <c r="I60" s="30" t="str">
        <f t="shared" si="13"/>
        <v/>
      </c>
      <c r="J60" s="23" t="str">
        <f t="shared" si="14"/>
        <v/>
      </c>
      <c r="K60" s="1" t="str">
        <f t="shared" si="15"/>
        <v/>
      </c>
      <c r="L60" s="92">
        <v>3900</v>
      </c>
      <c r="M60">
        <v>4</v>
      </c>
      <c r="T60" s="348"/>
      <c r="U60" s="92">
        <v>3900</v>
      </c>
      <c r="V60">
        <v>4</v>
      </c>
      <c r="AC60" s="348"/>
      <c r="AD60" s="92">
        <v>3900</v>
      </c>
      <c r="AE60">
        <v>4</v>
      </c>
      <c r="AL60" s="348"/>
      <c r="AM60" s="92">
        <v>3900</v>
      </c>
    </row>
    <row r="61" spans="1:42" ht="35.25" thickBot="1" x14ac:dyDescent="0.35">
      <c r="A61" s="1" t="str">
        <f t="shared" si="9"/>
        <v/>
      </c>
      <c r="B61" s="23" t="str">
        <f t="shared" si="11"/>
        <v/>
      </c>
      <c r="E61" s="1" t="str">
        <f t="shared" si="16"/>
        <v/>
      </c>
      <c r="F61" s="1" t="str">
        <f t="shared" si="17"/>
        <v/>
      </c>
      <c r="H61" s="27" t="str">
        <f t="shared" si="12"/>
        <v/>
      </c>
      <c r="I61" s="30" t="str">
        <f t="shared" si="13"/>
        <v/>
      </c>
      <c r="J61" s="23" t="str">
        <f t="shared" si="14"/>
        <v/>
      </c>
      <c r="K61" s="1" t="str">
        <f t="shared" si="15"/>
        <v/>
      </c>
      <c r="L61" s="111"/>
      <c r="M61" s="71">
        <v>350</v>
      </c>
      <c r="N61" s="71">
        <v>750</v>
      </c>
      <c r="O61" s="78">
        <f>PI()/4*(N62*O62^2+Q62*R62^2)/M61/N61</f>
        <v>8.0035812841454251E-3</v>
      </c>
      <c r="P61" s="78">
        <f>PI()/4*(N63*O63^2+Q63*R63^2)/M61/N61</f>
        <v>5.9839860068377016E-3</v>
      </c>
      <c r="Q61" s="78">
        <f>O64*PI()*P64^2/4/R61/M61</f>
        <v>3.9618114252166856E-3</v>
      </c>
      <c r="R61" s="71">
        <v>145</v>
      </c>
      <c r="S61" s="71">
        <v>8200</v>
      </c>
      <c r="T61" s="381"/>
      <c r="U61" s="111"/>
      <c r="V61" s="71">
        <v>350</v>
      </c>
      <c r="W61" s="71">
        <v>750</v>
      </c>
      <c r="X61" s="78">
        <f>PI()/4*(W62*X62^2+Z62*AA62^2)/V61/W61</f>
        <v>8.0035812841454251E-3</v>
      </c>
      <c r="Y61" s="78">
        <f>PI()/4*(W63*X63^2+Z63*AA63^2)/V61/W61</f>
        <v>5.5531390143453872E-3</v>
      </c>
      <c r="Z61" s="78">
        <f>X64*PI()*Y64^2/4/AA61/V61</f>
        <v>4.5957012532513546E-3</v>
      </c>
      <c r="AA61" s="71">
        <v>125</v>
      </c>
      <c r="AB61" s="71">
        <v>8200</v>
      </c>
      <c r="AC61" s="381"/>
      <c r="AD61" s="111"/>
      <c r="AE61" s="71">
        <v>350</v>
      </c>
      <c r="AF61" s="71">
        <v>750</v>
      </c>
      <c r="AG61" s="78">
        <f>PI()/4*(AF62*AG62^2+AI62*AJ62^2)/AE61/AF61</f>
        <v>8.0035812841454251E-3</v>
      </c>
      <c r="AH61" s="78">
        <f>PI()/4*(AF63*AG63^2+AI63*AJ63^2)/AE61/AF61</f>
        <v>5.9839860068377016E-3</v>
      </c>
      <c r="AI61" s="78">
        <f>AG64*PI()*AH64^2/4/AJ61/AE61</f>
        <v>3.9618114252166856E-3</v>
      </c>
      <c r="AJ61" s="71">
        <v>145</v>
      </c>
      <c r="AK61" s="71">
        <v>8200</v>
      </c>
      <c r="AL61" s="381"/>
      <c r="AM61" s="113" t="s">
        <v>1065</v>
      </c>
    </row>
    <row r="62" spans="1:42" ht="15.75" thickTop="1" x14ac:dyDescent="0.25">
      <c r="A62" s="1" t="str">
        <f t="shared" si="9"/>
        <v/>
      </c>
      <c r="B62" s="23" t="str">
        <f t="shared" si="11"/>
        <v/>
      </c>
      <c r="E62" s="1" t="str">
        <f t="shared" si="16"/>
        <v/>
      </c>
      <c r="F62" s="1" t="str">
        <f t="shared" si="17"/>
        <v/>
      </c>
      <c r="H62" s="27" t="str">
        <f t="shared" si="12"/>
        <v/>
      </c>
      <c r="I62" s="30" t="str">
        <f t="shared" si="13"/>
        <v/>
      </c>
      <c r="J62" s="23" t="str">
        <f t="shared" si="14"/>
        <v/>
      </c>
      <c r="K62" s="1" t="str">
        <f t="shared" si="15"/>
        <v/>
      </c>
      <c r="L62" s="72"/>
      <c r="M62" s="83" t="s">
        <v>373</v>
      </c>
      <c r="N62" s="74">
        <v>3</v>
      </c>
      <c r="O62" s="75">
        <v>25</v>
      </c>
      <c r="P62" s="77" t="str">
        <f>IF(ISBLANK(Q62),"","+")</f>
        <v>+</v>
      </c>
      <c r="Q62" s="74">
        <v>2</v>
      </c>
      <c r="R62" s="84">
        <v>20</v>
      </c>
      <c r="S62" s="70"/>
      <c r="T62" s="68"/>
      <c r="U62" s="72"/>
      <c r="V62" s="83" t="s">
        <v>373</v>
      </c>
      <c r="W62" s="74">
        <v>3</v>
      </c>
      <c r="X62" s="75">
        <v>25</v>
      </c>
      <c r="Y62" s="77" t="str">
        <f>IF(ISBLANK(Z62),"","+")</f>
        <v>+</v>
      </c>
      <c r="Z62" s="74">
        <v>2</v>
      </c>
      <c r="AA62" s="84">
        <v>20</v>
      </c>
      <c r="AB62" s="70"/>
      <c r="AC62" s="68"/>
      <c r="AD62" s="72"/>
      <c r="AE62" s="83" t="s">
        <v>373</v>
      </c>
      <c r="AF62" s="74">
        <v>3</v>
      </c>
      <c r="AG62" s="75">
        <v>25</v>
      </c>
      <c r="AH62" s="77" t="str">
        <f>IF(ISBLANK(AI62),"","+")</f>
        <v>+</v>
      </c>
      <c r="AI62" s="74">
        <v>2</v>
      </c>
      <c r="AJ62" s="84">
        <v>20</v>
      </c>
      <c r="AK62" s="70"/>
      <c r="AL62" s="68"/>
      <c r="AM62" s="73"/>
    </row>
    <row r="63" spans="1:42" x14ac:dyDescent="0.25">
      <c r="A63" s="1" t="str">
        <f t="shared" si="9"/>
        <v/>
      </c>
      <c r="B63" s="23" t="str">
        <f t="shared" si="11"/>
        <v/>
      </c>
      <c r="E63" s="1" t="str">
        <f t="shared" si="16"/>
        <v/>
      </c>
      <c r="F63" s="1" t="str">
        <f t="shared" si="17"/>
        <v/>
      </c>
      <c r="H63" s="27" t="str">
        <f t="shared" si="12"/>
        <v/>
      </c>
      <c r="I63" s="30" t="str">
        <f t="shared" si="13"/>
        <v/>
      </c>
      <c r="J63" s="23" t="str">
        <f t="shared" si="14"/>
        <v/>
      </c>
      <c r="K63" s="1" t="str">
        <f t="shared" si="15"/>
        <v/>
      </c>
      <c r="L63" s="73">
        <v>400</v>
      </c>
      <c r="M63" s="85" t="s">
        <v>375</v>
      </c>
      <c r="N63">
        <v>5</v>
      </c>
      <c r="O63" s="76">
        <v>20</v>
      </c>
      <c r="P63" s="1" t="str">
        <f>IF(ISBLANK(Q63),"","+")</f>
        <v/>
      </c>
      <c r="R63" s="86"/>
      <c r="S63" s="69"/>
      <c r="T63" s="348"/>
      <c r="U63" s="73">
        <v>600</v>
      </c>
      <c r="V63" s="85" t="s">
        <v>375</v>
      </c>
      <c r="W63">
        <v>4</v>
      </c>
      <c r="X63" s="76">
        <v>20</v>
      </c>
      <c r="Y63" s="1" t="str">
        <f>IF(ISBLANK(Z63),"","+")</f>
        <v>+</v>
      </c>
      <c r="Z63">
        <v>1</v>
      </c>
      <c r="AA63" s="86">
        <v>16</v>
      </c>
      <c r="AB63" s="69"/>
      <c r="AC63" s="348"/>
      <c r="AD63" s="73">
        <v>600</v>
      </c>
      <c r="AE63" s="85" t="s">
        <v>375</v>
      </c>
      <c r="AF63">
        <v>5</v>
      </c>
      <c r="AG63" s="76">
        <v>20</v>
      </c>
      <c r="AH63" s="1" t="str">
        <f>IF(ISBLANK(AI63),"","+")</f>
        <v/>
      </c>
      <c r="AJ63" s="86"/>
      <c r="AK63" s="69"/>
      <c r="AL63" s="348"/>
      <c r="AM63" s="73">
        <v>400</v>
      </c>
    </row>
    <row r="64" spans="1:42" x14ac:dyDescent="0.25">
      <c r="A64" s="1" t="str">
        <f t="shared" si="9"/>
        <v/>
      </c>
      <c r="B64" s="23" t="str">
        <f t="shared" si="11"/>
        <v/>
      </c>
      <c r="E64" s="1" t="str">
        <f t="shared" si="16"/>
        <v/>
      </c>
      <c r="F64" s="1" t="str">
        <f t="shared" si="17"/>
        <v/>
      </c>
      <c r="H64" s="27" t="str">
        <f t="shared" si="12"/>
        <v/>
      </c>
      <c r="I64" s="30" t="str">
        <f t="shared" si="13"/>
        <v/>
      </c>
      <c r="J64" s="23" t="str">
        <f t="shared" si="14"/>
        <v/>
      </c>
      <c r="K64" s="1" t="str">
        <f t="shared" si="15"/>
        <v/>
      </c>
      <c r="L64" s="73">
        <v>600</v>
      </c>
      <c r="M64" s="87" t="s">
        <v>377</v>
      </c>
      <c r="N64" s="88"/>
      <c r="O64" s="89">
        <v>4</v>
      </c>
      <c r="P64" s="90">
        <v>8</v>
      </c>
      <c r="Q64" s="88"/>
      <c r="R64" s="91"/>
      <c r="S64" s="69"/>
      <c r="T64" s="348"/>
      <c r="U64" s="73">
        <v>600</v>
      </c>
      <c r="V64" s="87" t="s">
        <v>377</v>
      </c>
      <c r="W64" s="88"/>
      <c r="X64" s="89">
        <v>4</v>
      </c>
      <c r="Y64" s="90">
        <v>8</v>
      </c>
      <c r="Z64" s="88"/>
      <c r="AA64" s="91"/>
      <c r="AB64" s="69"/>
      <c r="AC64" s="348"/>
      <c r="AD64" s="73">
        <v>600</v>
      </c>
      <c r="AE64" s="87" t="s">
        <v>377</v>
      </c>
      <c r="AF64" s="88"/>
      <c r="AG64" s="89">
        <v>4</v>
      </c>
      <c r="AH64" s="90">
        <v>8</v>
      </c>
      <c r="AI64" s="88"/>
      <c r="AJ64" s="91"/>
      <c r="AK64" s="69"/>
      <c r="AL64" s="348"/>
      <c r="AM64" s="73">
        <v>600</v>
      </c>
    </row>
    <row r="65" spans="1:42" x14ac:dyDescent="0.25">
      <c r="A65" s="1" t="str">
        <f t="shared" si="9"/>
        <v/>
      </c>
      <c r="B65" s="23" t="str">
        <f t="shared" si="11"/>
        <v/>
      </c>
      <c r="E65" s="1" t="str">
        <f t="shared" si="16"/>
        <v/>
      </c>
      <c r="F65" s="1" t="str">
        <f t="shared" si="17"/>
        <v/>
      </c>
      <c r="H65" s="27" t="str">
        <f t="shared" si="12"/>
        <v/>
      </c>
      <c r="I65" s="30" t="str">
        <f t="shared" si="13"/>
        <v/>
      </c>
      <c r="J65" s="23" t="str">
        <f t="shared" si="14"/>
        <v/>
      </c>
      <c r="K65" s="1" t="str">
        <f t="shared" si="15"/>
        <v/>
      </c>
      <c r="L65" s="97">
        <f>PI()/4*(M66*N66^2+M67*N67^2)/L63/L64</f>
        <v>9.0058989402907394E-3</v>
      </c>
      <c r="M65" s="69"/>
      <c r="S65" s="69"/>
      <c r="T65" s="348"/>
      <c r="U65" s="97">
        <f>PI()/4*(V66*W66^2+V67*W67^2)/U63/U64</f>
        <v>8.5172067497323277E-3</v>
      </c>
      <c r="V65" s="69"/>
      <c r="AB65" s="69"/>
      <c r="AC65" s="348"/>
      <c r="AD65" s="97">
        <f>PI()/4*(AE66*AF66^2+AE67*AF67^2)/AD63/AD64</f>
        <v>8.5172067497323277E-3</v>
      </c>
      <c r="AE65" s="69"/>
      <c r="AK65" s="69"/>
      <c r="AL65" s="348"/>
      <c r="AM65" s="97">
        <f>PI()/4*(AN66*AO66^2+AN67*AO67^2)/AM63/AM64</f>
        <v>9.0058989402907394E-3</v>
      </c>
      <c r="AN65" s="69"/>
    </row>
    <row r="66" spans="1:42" x14ac:dyDescent="0.25">
      <c r="A66" s="1" t="str">
        <f t="shared" si="9"/>
        <v/>
      </c>
      <c r="B66" s="23" t="str">
        <f t="shared" si="11"/>
        <v/>
      </c>
      <c r="E66" s="1" t="str">
        <f t="shared" si="16"/>
        <v/>
      </c>
      <c r="F66" s="1" t="str">
        <f t="shared" si="17"/>
        <v/>
      </c>
      <c r="H66" s="27" t="str">
        <f t="shared" si="12"/>
        <v/>
      </c>
      <c r="I66" s="30" t="str">
        <f t="shared" si="13"/>
        <v/>
      </c>
      <c r="J66" s="23" t="str">
        <f t="shared" si="14"/>
        <v/>
      </c>
      <c r="K66" s="1" t="str">
        <f t="shared" si="15"/>
        <v/>
      </c>
      <c r="L66" s="109">
        <f>PI()/4*(2*N66^2+2*N67^2)/L63/L64</f>
        <v>2.6179938779914941E-3</v>
      </c>
      <c r="M66" s="93">
        <v>4</v>
      </c>
      <c r="N66" s="94">
        <v>16</v>
      </c>
      <c r="O66" s="95" t="str">
        <f>IF(ISBLANK(M67),"","+")</f>
        <v>+</v>
      </c>
      <c r="P66" s="69"/>
      <c r="Q66" s="69"/>
      <c r="R66" s="69"/>
      <c r="S66" s="69"/>
      <c r="T66" s="348"/>
      <c r="U66" s="109">
        <f>PI()/4*(2*W66^2+2*W67^2)/U63/U64</f>
        <v>1.7453292519943298E-3</v>
      </c>
      <c r="V66" s="93">
        <v>4</v>
      </c>
      <c r="W66" s="94">
        <v>16</v>
      </c>
      <c r="X66" s="95" t="str">
        <f>IF(ISBLANK(V67),"","+")</f>
        <v>+</v>
      </c>
      <c r="Y66" s="69"/>
      <c r="Z66" s="69"/>
      <c r="AA66" s="69"/>
      <c r="AB66" s="69"/>
      <c r="AC66" s="348"/>
      <c r="AD66" s="109">
        <f>PI()/4*(2*AF66^2+2*AF67^2)/AD63/AD64</f>
        <v>1.7453292519943298E-3</v>
      </c>
      <c r="AE66" s="93">
        <v>4</v>
      </c>
      <c r="AF66" s="94">
        <v>16</v>
      </c>
      <c r="AG66" s="95" t="str">
        <f>IF(ISBLANK(AE67),"","+")</f>
        <v>+</v>
      </c>
      <c r="AH66" s="69"/>
      <c r="AI66" s="69"/>
      <c r="AJ66" s="69"/>
      <c r="AK66" s="69"/>
      <c r="AL66" s="348"/>
      <c r="AM66" s="109">
        <f>PI()/4*(2*AO66^2+2*AO67^2)/AM63/AM64</f>
        <v>2.6179938779914941E-3</v>
      </c>
      <c r="AN66" s="93">
        <v>4</v>
      </c>
      <c r="AO66" s="94">
        <v>16</v>
      </c>
      <c r="AP66" s="95" t="str">
        <f>IF(ISBLANK(AN67),"","+")</f>
        <v>+</v>
      </c>
    </row>
    <row r="67" spans="1:42" x14ac:dyDescent="0.25">
      <c r="A67" s="1" t="str">
        <f t="shared" si="9"/>
        <v/>
      </c>
      <c r="B67" s="23" t="str">
        <f t="shared" si="11"/>
        <v/>
      </c>
      <c r="E67" s="1" t="str">
        <f t="shared" si="16"/>
        <v/>
      </c>
      <c r="F67" s="1" t="str">
        <f t="shared" si="17"/>
        <v/>
      </c>
      <c r="H67" s="27" t="str">
        <f t="shared" si="12"/>
        <v/>
      </c>
      <c r="I67" s="30" t="str">
        <f t="shared" si="13"/>
        <v/>
      </c>
      <c r="J67" s="23" t="str">
        <f t="shared" si="14"/>
        <v/>
      </c>
      <c r="K67" s="1" t="str">
        <f t="shared" si="15"/>
        <v/>
      </c>
      <c r="L67" s="347">
        <f>M69*PI()*M68^2/4/L68/L63</f>
        <v>7.8539816339744835E-3</v>
      </c>
      <c r="M67" s="88">
        <v>12</v>
      </c>
      <c r="N67" s="90">
        <v>12</v>
      </c>
      <c r="O67" s="96"/>
      <c r="P67" s="69"/>
      <c r="Q67" s="69"/>
      <c r="R67" s="69"/>
      <c r="S67" s="69"/>
      <c r="T67" s="348"/>
      <c r="U67" s="347">
        <f>V69*PI()*V68^2/4/U68/U63</f>
        <v>4.1887902047863905E-3</v>
      </c>
      <c r="V67" s="88">
        <v>20</v>
      </c>
      <c r="W67" s="90">
        <v>12</v>
      </c>
      <c r="X67" s="96"/>
      <c r="Y67" s="69"/>
      <c r="Z67" s="69"/>
      <c r="AA67" s="69"/>
      <c r="AB67" s="69"/>
      <c r="AC67" s="348"/>
      <c r="AD67" s="347">
        <f>AE69*PI()*AE68^2/4/AD68/AD63</f>
        <v>4.1887902047863905E-3</v>
      </c>
      <c r="AE67" s="88">
        <v>20</v>
      </c>
      <c r="AF67" s="90">
        <v>12</v>
      </c>
      <c r="AG67" s="96"/>
      <c r="AH67" s="69"/>
      <c r="AI67" s="69"/>
      <c r="AJ67" s="69"/>
      <c r="AK67" s="69"/>
      <c r="AL67" s="348"/>
      <c r="AM67" s="347">
        <f>AN69*PI()*AN68^2/4/AM68/AM63</f>
        <v>0</v>
      </c>
      <c r="AN67" s="88">
        <v>12</v>
      </c>
      <c r="AO67" s="90">
        <v>12</v>
      </c>
      <c r="AP67" s="96"/>
    </row>
    <row r="68" spans="1:42" x14ac:dyDescent="0.25">
      <c r="A68" s="1" t="str">
        <f t="shared" si="9"/>
        <v/>
      </c>
      <c r="B68" s="23" t="str">
        <f t="shared" si="11"/>
        <v/>
      </c>
      <c r="E68" s="1" t="str">
        <f t="shared" si="16"/>
        <v/>
      </c>
      <c r="F68" s="1" t="str">
        <f t="shared" si="17"/>
        <v/>
      </c>
      <c r="H68" s="27" t="str">
        <f t="shared" si="12"/>
        <v/>
      </c>
      <c r="I68" s="30" t="str">
        <f t="shared" si="13"/>
        <v/>
      </c>
      <c r="J68" s="23" t="str">
        <f t="shared" si="14"/>
        <v/>
      </c>
      <c r="K68" s="1" t="str">
        <f t="shared" si="15"/>
        <v/>
      </c>
      <c r="L68" s="110">
        <v>100</v>
      </c>
      <c r="M68" s="94">
        <v>10</v>
      </c>
      <c r="N68" s="69"/>
      <c r="O68" s="69"/>
      <c r="P68" s="69"/>
      <c r="Q68" s="69"/>
      <c r="R68" s="69"/>
      <c r="S68" s="69"/>
      <c r="T68" s="348"/>
      <c r="U68" s="110">
        <v>125</v>
      </c>
      <c r="V68" s="94">
        <v>10</v>
      </c>
      <c r="W68" s="69"/>
      <c r="X68" s="69"/>
      <c r="Y68" s="69"/>
      <c r="Z68" s="69"/>
      <c r="AA68" s="69"/>
      <c r="AB68" s="69"/>
      <c r="AC68" s="348"/>
      <c r="AD68" s="110">
        <v>125</v>
      </c>
      <c r="AE68" s="94">
        <v>10</v>
      </c>
      <c r="AF68" s="69"/>
      <c r="AG68" s="69"/>
      <c r="AH68" s="69"/>
      <c r="AI68" s="69"/>
      <c r="AJ68" s="69"/>
      <c r="AK68" s="69"/>
      <c r="AL68" s="348"/>
      <c r="AM68" s="110">
        <v>100</v>
      </c>
      <c r="AN68" s="94">
        <v>10</v>
      </c>
      <c r="AO68" s="69"/>
      <c r="AP68" s="69"/>
    </row>
    <row r="69" spans="1:42" x14ac:dyDescent="0.25">
      <c r="A69" s="1" t="str">
        <f t="shared" si="9"/>
        <v/>
      </c>
      <c r="B69" s="23" t="str">
        <f t="shared" si="11"/>
        <v/>
      </c>
      <c r="E69" s="1" t="str">
        <f t="shared" si="16"/>
        <v/>
      </c>
      <c r="F69" s="1" t="str">
        <f t="shared" si="17"/>
        <v/>
      </c>
      <c r="H69" s="27" t="str">
        <f t="shared" si="12"/>
        <v/>
      </c>
      <c r="I69" s="30" t="str">
        <f t="shared" si="13"/>
        <v/>
      </c>
      <c r="J69" s="23" t="str">
        <f t="shared" si="14"/>
        <v/>
      </c>
      <c r="K69" s="1" t="str">
        <f t="shared" si="15"/>
        <v/>
      </c>
      <c r="L69" s="92">
        <v>3900</v>
      </c>
      <c r="M69">
        <v>4</v>
      </c>
      <c r="T69" s="348"/>
      <c r="U69" s="92">
        <v>3900</v>
      </c>
      <c r="V69">
        <v>4</v>
      </c>
      <c r="AC69" s="348"/>
      <c r="AD69" s="92">
        <v>3900</v>
      </c>
      <c r="AE69">
        <v>4</v>
      </c>
      <c r="AL69" s="348"/>
      <c r="AM69" s="92">
        <v>3900</v>
      </c>
    </row>
    <row r="70" spans="1:42" ht="35.25" thickBot="1" x14ac:dyDescent="0.35">
      <c r="A70" s="1" t="str">
        <f t="shared" si="9"/>
        <v/>
      </c>
      <c r="B70" s="23" t="str">
        <f t="shared" si="11"/>
        <v/>
      </c>
      <c r="E70" s="1" t="str">
        <f t="shared" si="16"/>
        <v/>
      </c>
      <c r="F70" s="1" t="str">
        <f t="shared" si="17"/>
        <v/>
      </c>
      <c r="H70" s="27" t="str">
        <f t="shared" si="12"/>
        <v/>
      </c>
      <c r="I70" s="30" t="str">
        <f t="shared" si="13"/>
        <v/>
      </c>
      <c r="J70" s="23" t="str">
        <f t="shared" si="14"/>
        <v/>
      </c>
      <c r="K70" s="1" t="str">
        <f t="shared" si="15"/>
        <v/>
      </c>
      <c r="L70" s="111"/>
      <c r="M70" s="71">
        <v>350</v>
      </c>
      <c r="N70" s="71">
        <v>750</v>
      </c>
      <c r="O70" s="78">
        <f>PI()/4*(N71*O71^2+Q71*R71^2)/M70/N70</f>
        <v>9.7179932751044265E-3</v>
      </c>
      <c r="P70" s="78">
        <f>PI()/4*(N72*O72^2+Q72*R72^2)/M70/N70</f>
        <v>5.9839860068377016E-3</v>
      </c>
      <c r="Q70" s="78">
        <f>O73*PI()*P73^2/4/R70/M70</f>
        <v>3.9618114252166856E-3</v>
      </c>
      <c r="R70" s="71">
        <v>145</v>
      </c>
      <c r="S70" s="71">
        <v>8200</v>
      </c>
      <c r="T70" s="381"/>
      <c r="U70" s="111"/>
      <c r="V70" s="71">
        <v>350</v>
      </c>
      <c r="W70" s="71">
        <v>750</v>
      </c>
      <c r="X70" s="78">
        <f>PI()/4*(W71*X71^2+Z71*AA71^2)/V70/W70</f>
        <v>8.0035812841454251E-3</v>
      </c>
      <c r="Y70" s="78">
        <f>PI()/4*(W72*X72^2+Z72*AA72^2)/V70/W70</f>
        <v>5.5531390143453872E-3</v>
      </c>
      <c r="Z70" s="78">
        <f>X73*PI()*Y73^2/4/AA70/V70</f>
        <v>3.9618114252166856E-3</v>
      </c>
      <c r="AA70" s="71">
        <v>145</v>
      </c>
      <c r="AB70" s="71">
        <v>8200</v>
      </c>
      <c r="AC70" s="381"/>
      <c r="AD70" s="111"/>
      <c r="AE70" s="71">
        <v>350</v>
      </c>
      <c r="AF70" s="71">
        <v>750</v>
      </c>
      <c r="AG70" s="78">
        <f>PI()/4*(AF71*AG71^2+AI71*AJ71^2)/AE70/AF70</f>
        <v>9.7179932751044265E-3</v>
      </c>
      <c r="AH70" s="78">
        <f>PI()/4*(AF72*AG72^2+AI72*AJ72^2)/AE70/AF70</f>
        <v>5.9839860068377016E-3</v>
      </c>
      <c r="AI70" s="78">
        <f>AG73*PI()*AH73^2/4/AJ70/AE70</f>
        <v>3.9618114252166856E-3</v>
      </c>
      <c r="AJ70" s="71">
        <v>145</v>
      </c>
      <c r="AK70" s="71">
        <v>8200</v>
      </c>
      <c r="AL70" s="381"/>
      <c r="AM70" s="113" t="s">
        <v>1066</v>
      </c>
    </row>
    <row r="71" spans="1:42" ht="15.75" thickTop="1" x14ac:dyDescent="0.25">
      <c r="A71" s="1" t="str">
        <f t="shared" si="9"/>
        <v/>
      </c>
      <c r="B71" s="23" t="str">
        <f t="shared" si="11"/>
        <v/>
      </c>
      <c r="E71" s="1" t="str">
        <f t="shared" si="16"/>
        <v/>
      </c>
      <c r="F71" s="1" t="str">
        <f t="shared" si="17"/>
        <v/>
      </c>
      <c r="H71" s="27" t="str">
        <f t="shared" si="12"/>
        <v/>
      </c>
      <c r="I71" s="30" t="str">
        <f t="shared" si="13"/>
        <v/>
      </c>
      <c r="J71" s="23" t="str">
        <f t="shared" si="14"/>
        <v/>
      </c>
      <c r="K71" s="1" t="str">
        <f t="shared" si="15"/>
        <v/>
      </c>
      <c r="L71" s="72"/>
      <c r="M71" s="83" t="s">
        <v>373</v>
      </c>
      <c r="N71" s="74">
        <v>2</v>
      </c>
      <c r="O71" s="75">
        <v>32</v>
      </c>
      <c r="P71" s="77" t="str">
        <f>IF(ISBLANK(Q71),"","+")</f>
        <v>+</v>
      </c>
      <c r="Q71" s="74">
        <v>3</v>
      </c>
      <c r="R71" s="84">
        <v>20</v>
      </c>
      <c r="S71" s="70"/>
      <c r="T71" s="68"/>
      <c r="U71" s="72"/>
      <c r="V71" s="83" t="s">
        <v>373</v>
      </c>
      <c r="W71" s="74">
        <v>3</v>
      </c>
      <c r="X71" s="75">
        <v>25</v>
      </c>
      <c r="Y71" s="77" t="str">
        <f>IF(ISBLANK(Z71),"","+")</f>
        <v>+</v>
      </c>
      <c r="Z71" s="74">
        <v>2</v>
      </c>
      <c r="AA71" s="84">
        <v>20</v>
      </c>
      <c r="AB71" s="70"/>
      <c r="AC71" s="68"/>
      <c r="AD71" s="72"/>
      <c r="AE71" s="83" t="s">
        <v>373</v>
      </c>
      <c r="AF71" s="74">
        <v>2</v>
      </c>
      <c r="AG71" s="75">
        <v>32</v>
      </c>
      <c r="AH71" s="77" t="str">
        <f>IF(ISBLANK(AI71),"","+")</f>
        <v>+</v>
      </c>
      <c r="AI71" s="74">
        <v>3</v>
      </c>
      <c r="AJ71" s="84">
        <v>20</v>
      </c>
      <c r="AK71" s="70"/>
      <c r="AL71" s="68"/>
      <c r="AM71" s="73"/>
    </row>
    <row r="72" spans="1:42" x14ac:dyDescent="0.25">
      <c r="A72" s="1" t="str">
        <f t="shared" si="9"/>
        <v/>
      </c>
      <c r="B72" s="23" t="str">
        <f t="shared" si="11"/>
        <v/>
      </c>
      <c r="E72" s="1" t="str">
        <f t="shared" si="16"/>
        <v/>
      </c>
      <c r="F72" s="1" t="str">
        <f t="shared" si="17"/>
        <v/>
      </c>
      <c r="H72" s="27" t="str">
        <f t="shared" si="12"/>
        <v/>
      </c>
      <c r="I72" s="30" t="str">
        <f t="shared" si="13"/>
        <v/>
      </c>
      <c r="J72" s="23" t="str">
        <f t="shared" si="14"/>
        <v/>
      </c>
      <c r="K72" s="1" t="str">
        <f t="shared" si="15"/>
        <v/>
      </c>
      <c r="L72" s="73">
        <v>400</v>
      </c>
      <c r="M72" s="85" t="s">
        <v>375</v>
      </c>
      <c r="N72">
        <v>5</v>
      </c>
      <c r="O72" s="76">
        <v>20</v>
      </c>
      <c r="P72" s="1" t="str">
        <f>IF(ISBLANK(Q72),"","+")</f>
        <v/>
      </c>
      <c r="R72" s="86"/>
      <c r="S72" s="69"/>
      <c r="T72" s="348"/>
      <c r="U72" s="73">
        <v>600</v>
      </c>
      <c r="V72" s="85" t="s">
        <v>375</v>
      </c>
      <c r="W72">
        <v>4</v>
      </c>
      <c r="X72" s="76">
        <v>20</v>
      </c>
      <c r="Y72" s="1" t="str">
        <f>IF(ISBLANK(Z72),"","+")</f>
        <v>+</v>
      </c>
      <c r="Z72">
        <v>1</v>
      </c>
      <c r="AA72" s="86">
        <v>16</v>
      </c>
      <c r="AB72" s="69"/>
      <c r="AC72" s="348"/>
      <c r="AD72" s="73">
        <v>600</v>
      </c>
      <c r="AE72" s="85" t="s">
        <v>375</v>
      </c>
      <c r="AF72">
        <v>5</v>
      </c>
      <c r="AG72" s="76">
        <v>20</v>
      </c>
      <c r="AH72" s="1" t="str">
        <f>IF(ISBLANK(AI72),"","+")</f>
        <v/>
      </c>
      <c r="AJ72" s="86"/>
      <c r="AK72" s="69"/>
      <c r="AL72" s="348"/>
      <c r="AM72" s="73">
        <v>400</v>
      </c>
    </row>
    <row r="73" spans="1:42" x14ac:dyDescent="0.25">
      <c r="A73" s="1" t="str">
        <f t="shared" si="9"/>
        <v/>
      </c>
      <c r="B73" s="23" t="str">
        <f t="shared" si="11"/>
        <v/>
      </c>
      <c r="E73" s="1" t="str">
        <f t="shared" si="16"/>
        <v/>
      </c>
      <c r="F73" s="1" t="str">
        <f t="shared" si="17"/>
        <v/>
      </c>
      <c r="H73" s="27" t="str">
        <f t="shared" si="12"/>
        <v/>
      </c>
      <c r="I73" s="30" t="str">
        <f t="shared" si="13"/>
        <v/>
      </c>
      <c r="J73" s="23" t="str">
        <f t="shared" si="14"/>
        <v/>
      </c>
      <c r="K73" s="1" t="str">
        <f t="shared" si="15"/>
        <v/>
      </c>
      <c r="L73" s="73">
        <v>600</v>
      </c>
      <c r="M73" s="87" t="s">
        <v>377</v>
      </c>
      <c r="N73" s="88"/>
      <c r="O73" s="89">
        <v>4</v>
      </c>
      <c r="P73" s="90">
        <v>8</v>
      </c>
      <c r="Q73" s="88"/>
      <c r="R73" s="91"/>
      <c r="S73" s="69"/>
      <c r="T73" s="348"/>
      <c r="U73" s="73">
        <v>600</v>
      </c>
      <c r="V73" s="87" t="s">
        <v>377</v>
      </c>
      <c r="W73" s="88"/>
      <c r="X73" s="89">
        <v>4</v>
      </c>
      <c r="Y73" s="90">
        <v>8</v>
      </c>
      <c r="Z73" s="88"/>
      <c r="AA73" s="91"/>
      <c r="AB73" s="69"/>
      <c r="AC73" s="348"/>
      <c r="AD73" s="73">
        <v>600</v>
      </c>
      <c r="AE73" s="87" t="s">
        <v>377</v>
      </c>
      <c r="AF73" s="88"/>
      <c r="AG73" s="89">
        <v>4</v>
      </c>
      <c r="AH73" s="90">
        <v>8</v>
      </c>
      <c r="AI73" s="88"/>
      <c r="AJ73" s="91"/>
      <c r="AK73" s="69"/>
      <c r="AL73" s="348"/>
      <c r="AM73" s="73">
        <v>600</v>
      </c>
    </row>
    <row r="74" spans="1:42" x14ac:dyDescent="0.25">
      <c r="A74" s="1" t="str">
        <f t="shared" si="9"/>
        <v/>
      </c>
      <c r="B74" s="23" t="str">
        <f t="shared" si="11"/>
        <v/>
      </c>
      <c r="E74" s="1" t="str">
        <f t="shared" si="16"/>
        <v/>
      </c>
      <c r="F74" s="1" t="str">
        <f t="shared" si="17"/>
        <v/>
      </c>
      <c r="H74" s="27" t="str">
        <f t="shared" si="12"/>
        <v/>
      </c>
      <c r="I74" s="30" t="str">
        <f t="shared" si="13"/>
        <v/>
      </c>
      <c r="J74" s="23" t="str">
        <f t="shared" si="14"/>
        <v/>
      </c>
      <c r="K74" s="1" t="str">
        <f t="shared" si="15"/>
        <v/>
      </c>
      <c r="L74" s="97">
        <f>PI()/4*(M75*N75^2+M76*N76^2)/L72/L73</f>
        <v>9.0058989402907394E-3</v>
      </c>
      <c r="M74" s="69"/>
      <c r="S74" s="69"/>
      <c r="T74" s="348"/>
      <c r="U74" s="97">
        <f>PI()/4*(V75*W75^2+V76*W76^2)/U72/U73</f>
        <v>8.5172067497323277E-3</v>
      </c>
      <c r="V74" s="69"/>
      <c r="AB74" s="69"/>
      <c r="AC74" s="348"/>
      <c r="AD74" s="97">
        <f>PI()/4*(AE75*AF75^2+AE76*AF76^2)/AD72/AD73</f>
        <v>8.5172067497323277E-3</v>
      </c>
      <c r="AE74" s="69"/>
      <c r="AK74" s="69"/>
      <c r="AL74" s="348"/>
      <c r="AM74" s="97">
        <f>PI()/4*(AN75*AO75^2+AN76*AO76^2)/AM72/AM73</f>
        <v>9.0058989402907394E-3</v>
      </c>
      <c r="AN74" s="69"/>
    </row>
    <row r="75" spans="1:42" x14ac:dyDescent="0.25">
      <c r="A75" s="1" t="str">
        <f t="shared" si="9"/>
        <v/>
      </c>
      <c r="B75" s="23" t="str">
        <f t="shared" si="11"/>
        <v/>
      </c>
      <c r="E75" s="1" t="str">
        <f t="shared" si="16"/>
        <v/>
      </c>
      <c r="F75" s="1" t="str">
        <f t="shared" si="17"/>
        <v/>
      </c>
      <c r="H75" s="27" t="str">
        <f t="shared" si="12"/>
        <v/>
      </c>
      <c r="I75" s="30" t="str">
        <f t="shared" si="13"/>
        <v/>
      </c>
      <c r="J75" s="23" t="str">
        <f t="shared" si="14"/>
        <v/>
      </c>
      <c r="K75" s="1" t="str">
        <f t="shared" si="15"/>
        <v/>
      </c>
      <c r="L75" s="109">
        <f>PI()/4*(2*N75^2+2*N76^2)/L72/L73</f>
        <v>2.6179938779914941E-3</v>
      </c>
      <c r="M75" s="93">
        <v>4</v>
      </c>
      <c r="N75" s="94">
        <v>16</v>
      </c>
      <c r="O75" s="95" t="str">
        <f>IF(ISBLANK(M76),"","+")</f>
        <v>+</v>
      </c>
      <c r="P75" s="69"/>
      <c r="Q75" s="69"/>
      <c r="R75" s="69"/>
      <c r="S75" s="69"/>
      <c r="T75" s="348"/>
      <c r="U75" s="109">
        <f>PI()/4*(2*W75^2+2*W76^2)/U72/U73</f>
        <v>1.7453292519943298E-3</v>
      </c>
      <c r="V75" s="93">
        <v>4</v>
      </c>
      <c r="W75" s="94">
        <v>16</v>
      </c>
      <c r="X75" s="95" t="str">
        <f>IF(ISBLANK(V76),"","+")</f>
        <v>+</v>
      </c>
      <c r="Y75" s="69"/>
      <c r="Z75" s="69"/>
      <c r="AA75" s="69"/>
      <c r="AB75" s="69"/>
      <c r="AC75" s="348"/>
      <c r="AD75" s="109">
        <f>PI()/4*(2*AF75^2+2*AF76^2)/AD72/AD73</f>
        <v>1.7453292519943298E-3</v>
      </c>
      <c r="AE75" s="93">
        <v>4</v>
      </c>
      <c r="AF75" s="94">
        <v>16</v>
      </c>
      <c r="AG75" s="95" t="str">
        <f>IF(ISBLANK(AE76),"","+")</f>
        <v>+</v>
      </c>
      <c r="AH75" s="69"/>
      <c r="AI75" s="69"/>
      <c r="AJ75" s="69"/>
      <c r="AK75" s="69"/>
      <c r="AL75" s="348"/>
      <c r="AM75" s="109">
        <f>PI()/4*(2*AO75^2+2*AO76^2)/AM72/AM73</f>
        <v>2.6179938779914941E-3</v>
      </c>
      <c r="AN75" s="93">
        <v>4</v>
      </c>
      <c r="AO75" s="94">
        <v>16</v>
      </c>
      <c r="AP75" s="95" t="str">
        <f>IF(ISBLANK(AN76),"","+")</f>
        <v>+</v>
      </c>
    </row>
    <row r="76" spans="1:42" x14ac:dyDescent="0.25">
      <c r="A76" s="1" t="str">
        <f t="shared" si="9"/>
        <v/>
      </c>
      <c r="B76" s="23" t="str">
        <f t="shared" si="11"/>
        <v/>
      </c>
      <c r="E76" s="1" t="str">
        <f t="shared" si="16"/>
        <v/>
      </c>
      <c r="F76" s="1" t="str">
        <f t="shared" si="17"/>
        <v/>
      </c>
      <c r="H76" s="27" t="str">
        <f t="shared" si="12"/>
        <v/>
      </c>
      <c r="I76" s="30" t="str">
        <f t="shared" si="13"/>
        <v/>
      </c>
      <c r="J76" s="23" t="str">
        <f t="shared" si="14"/>
        <v/>
      </c>
      <c r="K76" s="1" t="str">
        <f t="shared" si="15"/>
        <v/>
      </c>
      <c r="L76" s="347">
        <f>M78*PI()*M77^2/4/L77/L72</f>
        <v>7.8539816339744835E-3</v>
      </c>
      <c r="M76" s="88">
        <v>12</v>
      </c>
      <c r="N76" s="90">
        <v>12</v>
      </c>
      <c r="O76" s="96"/>
      <c r="P76" s="69"/>
      <c r="Q76" s="69"/>
      <c r="R76" s="69"/>
      <c r="S76" s="69"/>
      <c r="T76" s="348"/>
      <c r="U76" s="347">
        <f>V78*PI()*V77^2/4/U77/U72</f>
        <v>4.1887902047863905E-3</v>
      </c>
      <c r="V76" s="88">
        <v>20</v>
      </c>
      <c r="W76" s="90">
        <v>12</v>
      </c>
      <c r="X76" s="96"/>
      <c r="Y76" s="69"/>
      <c r="Z76" s="69"/>
      <c r="AA76" s="69"/>
      <c r="AB76" s="69"/>
      <c r="AC76" s="348"/>
      <c r="AD76" s="347">
        <f>AE78*PI()*AE77^2/4/AD77/AD72</f>
        <v>4.1887902047863905E-3</v>
      </c>
      <c r="AE76" s="88">
        <v>20</v>
      </c>
      <c r="AF76" s="90">
        <v>12</v>
      </c>
      <c r="AG76" s="96"/>
      <c r="AH76" s="69"/>
      <c r="AI76" s="69"/>
      <c r="AJ76" s="69"/>
      <c r="AK76" s="69"/>
      <c r="AL76" s="348"/>
      <c r="AM76" s="347">
        <f>AN78*PI()*AN77^2/4/AM77/AM72</f>
        <v>0</v>
      </c>
      <c r="AN76" s="88">
        <v>12</v>
      </c>
      <c r="AO76" s="90">
        <v>12</v>
      </c>
      <c r="AP76" s="96"/>
    </row>
    <row r="77" spans="1:42" x14ac:dyDescent="0.25">
      <c r="A77" s="1" t="str">
        <f t="shared" si="9"/>
        <v/>
      </c>
      <c r="B77" s="23" t="str">
        <f t="shared" si="11"/>
        <v/>
      </c>
      <c r="E77" s="1" t="str">
        <f t="shared" si="16"/>
        <v/>
      </c>
      <c r="F77" s="1" t="str">
        <f t="shared" si="17"/>
        <v/>
      </c>
      <c r="H77" s="27" t="str">
        <f t="shared" si="12"/>
        <v/>
      </c>
      <c r="I77" s="30" t="str">
        <f t="shared" si="13"/>
        <v/>
      </c>
      <c r="J77" s="23" t="str">
        <f t="shared" si="14"/>
        <v/>
      </c>
      <c r="K77" s="1" t="str">
        <f t="shared" si="15"/>
        <v/>
      </c>
      <c r="L77" s="110">
        <v>100</v>
      </c>
      <c r="M77" s="94">
        <v>10</v>
      </c>
      <c r="N77" s="69"/>
      <c r="O77" s="69"/>
      <c r="P77" s="69"/>
      <c r="Q77" s="69"/>
      <c r="R77" s="69"/>
      <c r="S77" s="69"/>
      <c r="T77" s="348"/>
      <c r="U77" s="110">
        <v>125</v>
      </c>
      <c r="V77" s="94">
        <v>10</v>
      </c>
      <c r="W77" s="69"/>
      <c r="X77" s="69"/>
      <c r="Y77" s="69"/>
      <c r="Z77" s="69"/>
      <c r="AA77" s="69"/>
      <c r="AB77" s="69"/>
      <c r="AC77" s="348"/>
      <c r="AD77" s="110">
        <v>125</v>
      </c>
      <c r="AE77" s="94">
        <v>10</v>
      </c>
      <c r="AF77" s="69"/>
      <c r="AG77" s="69"/>
      <c r="AH77" s="69"/>
      <c r="AI77" s="69"/>
      <c r="AJ77" s="69"/>
      <c r="AK77" s="69"/>
      <c r="AL77" s="348"/>
      <c r="AM77" s="110">
        <v>100</v>
      </c>
      <c r="AN77" s="94">
        <v>10</v>
      </c>
      <c r="AO77" s="69"/>
      <c r="AP77" s="69"/>
    </row>
    <row r="78" spans="1:42" x14ac:dyDescent="0.25">
      <c r="A78" s="1" t="str">
        <f t="shared" si="9"/>
        <v/>
      </c>
      <c r="B78" s="23" t="str">
        <f t="shared" si="11"/>
        <v/>
      </c>
      <c r="E78" s="1" t="str">
        <f t="shared" si="16"/>
        <v/>
      </c>
      <c r="F78" s="1" t="str">
        <f t="shared" si="17"/>
        <v/>
      </c>
      <c r="H78" s="27" t="str">
        <f t="shared" si="12"/>
        <v/>
      </c>
      <c r="I78" s="30" t="str">
        <f t="shared" si="13"/>
        <v/>
      </c>
      <c r="J78" s="23" t="str">
        <f t="shared" si="14"/>
        <v/>
      </c>
      <c r="K78" s="1" t="str">
        <f t="shared" si="15"/>
        <v/>
      </c>
      <c r="L78" s="92">
        <v>3900</v>
      </c>
      <c r="M78">
        <v>4</v>
      </c>
      <c r="T78" s="348"/>
      <c r="U78" s="92">
        <v>3900</v>
      </c>
      <c r="V78">
        <v>4</v>
      </c>
      <c r="AC78" s="348"/>
      <c r="AD78" s="92">
        <v>3900</v>
      </c>
      <c r="AE78">
        <v>4</v>
      </c>
      <c r="AL78" s="348"/>
      <c r="AM78" s="92">
        <v>3900</v>
      </c>
    </row>
    <row r="79" spans="1:42" ht="35.25" thickBot="1" x14ac:dyDescent="0.35">
      <c r="A79" s="1" t="str">
        <f t="shared" si="9"/>
        <v/>
      </c>
      <c r="B79" s="23" t="str">
        <f t="shared" si="11"/>
        <v/>
      </c>
      <c r="E79" s="1" t="str">
        <f t="shared" si="16"/>
        <v/>
      </c>
      <c r="F79" s="1" t="str">
        <f t="shared" si="17"/>
        <v/>
      </c>
      <c r="H79" s="27" t="str">
        <f t="shared" si="12"/>
        <v/>
      </c>
      <c r="I79" s="30" t="str">
        <f t="shared" si="13"/>
        <v/>
      </c>
      <c r="J79" s="23" t="str">
        <f t="shared" si="14"/>
        <v/>
      </c>
      <c r="K79" s="1" t="str">
        <f t="shared" si="15"/>
        <v/>
      </c>
      <c r="L79" s="111"/>
      <c r="M79" s="71">
        <v>350</v>
      </c>
      <c r="N79" s="71">
        <v>750</v>
      </c>
      <c r="O79" s="78">
        <f>PI()/4*(N80*O80^2+Q80*R80^2)/M79/N79</f>
        <v>1.1584996909237789E-2</v>
      </c>
      <c r="P79" s="78">
        <f>PI()/4*(N81*O81^2+Q81*R81^2)/M79/N79</f>
        <v>5.9839860068377016E-3</v>
      </c>
      <c r="Q79" s="78">
        <f>O82*PI()*P82^2/4/R79/M79</f>
        <v>3.9618114252166856E-3</v>
      </c>
      <c r="R79" s="71">
        <v>145</v>
      </c>
      <c r="S79" s="71">
        <v>8200</v>
      </c>
      <c r="T79" s="381"/>
      <c r="U79" s="111"/>
      <c r="V79" s="71">
        <v>350</v>
      </c>
      <c r="W79" s="71">
        <v>750</v>
      </c>
      <c r="X79" s="78">
        <f>PI()/4*(W80*X80^2+Z80*AA80^2)/V79/W79</f>
        <v>8.676779709914666E-3</v>
      </c>
      <c r="Y79" s="78">
        <f>PI()/4*(W81*X81^2+Z81*AA81^2)/V79/W79</f>
        <v>5.1222920218530719E-3</v>
      </c>
      <c r="Z79" s="78">
        <f>X82*PI()*Y82^2/4/AA79/V79</f>
        <v>3.9618114252166856E-3</v>
      </c>
      <c r="AA79" s="71">
        <v>145</v>
      </c>
      <c r="AB79" s="71">
        <v>8200</v>
      </c>
      <c r="AC79" s="381"/>
      <c r="AD79" s="111"/>
      <c r="AE79" s="71">
        <v>350</v>
      </c>
      <c r="AF79" s="71">
        <v>750</v>
      </c>
      <c r="AG79" s="78">
        <f>PI()/4*(AF80*AG80^2+AI80*AJ80^2)/AE79/AF79</f>
        <v>1.1584996909237789E-2</v>
      </c>
      <c r="AH79" s="78">
        <f>PI()/4*(AF81*AG81^2+AI81*AJ81^2)/AE79/AF79</f>
        <v>5.9839860068377016E-3</v>
      </c>
      <c r="AI79" s="78">
        <f>AG82*PI()*AH82^2/4/AJ79/AE79</f>
        <v>3.9618114252166856E-3</v>
      </c>
      <c r="AJ79" s="71">
        <v>145</v>
      </c>
      <c r="AK79" s="71">
        <v>8200</v>
      </c>
      <c r="AL79" s="381"/>
      <c r="AM79" s="113" t="s">
        <v>1067</v>
      </c>
    </row>
    <row r="80" spans="1:42" ht="15.75" thickTop="1" x14ac:dyDescent="0.25">
      <c r="L80" s="72"/>
      <c r="M80" s="83" t="s">
        <v>373</v>
      </c>
      <c r="N80" s="74">
        <v>3</v>
      </c>
      <c r="O80" s="75">
        <v>32</v>
      </c>
      <c r="P80" s="77" t="str">
        <f>IF(ISBLANK(Q80),"","+")</f>
        <v>+</v>
      </c>
      <c r="Q80" s="74">
        <v>2</v>
      </c>
      <c r="R80" s="84">
        <v>20</v>
      </c>
      <c r="S80" s="70"/>
      <c r="T80" s="68"/>
      <c r="U80" s="72"/>
      <c r="V80" s="83" t="s">
        <v>373</v>
      </c>
      <c r="W80" s="74">
        <v>4</v>
      </c>
      <c r="X80" s="75">
        <v>25</v>
      </c>
      <c r="Y80" s="77" t="str">
        <f>IF(ISBLANK(Z80),"","+")</f>
        <v>+</v>
      </c>
      <c r="Z80" s="74">
        <v>1</v>
      </c>
      <c r="AA80" s="84">
        <v>20</v>
      </c>
      <c r="AB80" s="70"/>
      <c r="AC80" s="68"/>
      <c r="AD80" s="72"/>
      <c r="AE80" s="83" t="s">
        <v>373</v>
      </c>
      <c r="AF80" s="74">
        <v>3</v>
      </c>
      <c r="AG80" s="75">
        <v>32</v>
      </c>
      <c r="AH80" s="77" t="str">
        <f>IF(ISBLANK(AI80),"","+")</f>
        <v>+</v>
      </c>
      <c r="AI80" s="74">
        <v>2</v>
      </c>
      <c r="AJ80" s="84">
        <v>20</v>
      </c>
      <c r="AK80" s="70"/>
      <c r="AL80" s="68"/>
      <c r="AM80" s="73"/>
    </row>
    <row r="81" spans="12:42" x14ac:dyDescent="0.25">
      <c r="L81" s="73">
        <v>400</v>
      </c>
      <c r="M81" s="85" t="s">
        <v>375</v>
      </c>
      <c r="N81">
        <v>5</v>
      </c>
      <c r="O81" s="76">
        <v>20</v>
      </c>
      <c r="P81" s="1" t="str">
        <f>IF(ISBLANK(Q81),"","+")</f>
        <v/>
      </c>
      <c r="R81" s="86"/>
      <c r="S81" s="69"/>
      <c r="T81" s="348"/>
      <c r="U81" s="73">
        <v>700</v>
      </c>
      <c r="V81" s="85" t="s">
        <v>375</v>
      </c>
      <c r="W81">
        <v>3</v>
      </c>
      <c r="X81" s="76">
        <v>20</v>
      </c>
      <c r="Y81" s="1" t="str">
        <f>IF(ISBLANK(Z81),"","+")</f>
        <v>+</v>
      </c>
      <c r="Z81">
        <v>2</v>
      </c>
      <c r="AA81" s="86">
        <v>16</v>
      </c>
      <c r="AB81" s="69"/>
      <c r="AC81" s="348"/>
      <c r="AD81" s="73">
        <v>700</v>
      </c>
      <c r="AE81" s="85" t="s">
        <v>375</v>
      </c>
      <c r="AF81">
        <v>5</v>
      </c>
      <c r="AG81" s="76">
        <v>20</v>
      </c>
      <c r="AH81" s="1" t="str">
        <f>IF(ISBLANK(AI81),"","+")</f>
        <v/>
      </c>
      <c r="AJ81" s="86"/>
      <c r="AK81" s="69"/>
      <c r="AL81" s="348"/>
      <c r="AM81" s="73">
        <v>400</v>
      </c>
    </row>
    <row r="82" spans="12:42" x14ac:dyDescent="0.25">
      <c r="L82" s="73">
        <v>700</v>
      </c>
      <c r="M82" s="87" t="s">
        <v>377</v>
      </c>
      <c r="N82" s="88"/>
      <c r="O82" s="89">
        <v>4</v>
      </c>
      <c r="P82" s="90">
        <v>8</v>
      </c>
      <c r="Q82" s="88"/>
      <c r="R82" s="91"/>
      <c r="S82" s="69"/>
      <c r="T82" s="348"/>
      <c r="U82" s="73">
        <v>700</v>
      </c>
      <c r="V82" s="87" t="s">
        <v>377</v>
      </c>
      <c r="W82" s="88"/>
      <c r="X82" s="89">
        <v>4</v>
      </c>
      <c r="Y82" s="90">
        <v>8</v>
      </c>
      <c r="Z82" s="88"/>
      <c r="AA82" s="91"/>
      <c r="AB82" s="69"/>
      <c r="AC82" s="348"/>
      <c r="AD82" s="73">
        <v>700</v>
      </c>
      <c r="AE82" s="87" t="s">
        <v>377</v>
      </c>
      <c r="AF82" s="88"/>
      <c r="AG82" s="89">
        <v>4</v>
      </c>
      <c r="AH82" s="90">
        <v>8</v>
      </c>
      <c r="AI82" s="88"/>
      <c r="AJ82" s="91"/>
      <c r="AK82" s="69"/>
      <c r="AL82" s="348"/>
      <c r="AM82" s="73">
        <v>700</v>
      </c>
    </row>
    <row r="83" spans="12:42" x14ac:dyDescent="0.25">
      <c r="L83" s="97">
        <f>PI()/4*(M84*N84^2+M85*N85^2)/L81/L82</f>
        <v>8.6169398498462894E-3</v>
      </c>
      <c r="M83" s="69"/>
      <c r="S83" s="69"/>
      <c r="T83" s="348"/>
      <c r="U83" s="97">
        <f>PI()/4*(V84*W84^2+V85*W85^2)/U81/U82</f>
        <v>8.206609380805991E-3</v>
      </c>
      <c r="V83" s="69"/>
      <c r="AB83" s="69"/>
      <c r="AC83" s="348"/>
      <c r="AD83" s="97">
        <f>PI()/4*(AE84*AF84^2+AE85*AF85^2)/AD81/AD82</f>
        <v>8.206609380805991E-3</v>
      </c>
      <c r="AE83" s="69"/>
      <c r="AK83" s="69"/>
      <c r="AL83" s="348"/>
      <c r="AM83" s="97">
        <f>PI()/4*(AN84*AO84^2+AN85*AO85^2)/AM81/AM82</f>
        <v>8.6169398498462894E-3</v>
      </c>
      <c r="AN83" s="69"/>
    </row>
    <row r="84" spans="12:42" x14ac:dyDescent="0.25">
      <c r="L84" s="109">
        <f>PI()/4*(2*N84^2+2*N85^2)/L81/L82</f>
        <v>1.4361566416410483E-3</v>
      </c>
      <c r="M84" s="93">
        <v>12</v>
      </c>
      <c r="N84" s="94">
        <v>16</v>
      </c>
      <c r="O84" s="95" t="str">
        <f>IF(ISBLANK(M85),"","+")</f>
        <v/>
      </c>
      <c r="P84" s="69"/>
      <c r="Q84" s="69"/>
      <c r="R84" s="69"/>
      <c r="S84" s="69"/>
      <c r="T84" s="348"/>
      <c r="U84" s="109">
        <f>PI()/4*(2*W84^2+2*W85^2)/U81/U82</f>
        <v>8.2066093808059895E-4</v>
      </c>
      <c r="V84" s="93">
        <v>20</v>
      </c>
      <c r="W84" s="94">
        <v>16</v>
      </c>
      <c r="X84" s="95" t="str">
        <f>IF(ISBLANK(V85),"","+")</f>
        <v/>
      </c>
      <c r="Y84" s="69"/>
      <c r="Z84" s="69"/>
      <c r="AA84" s="69"/>
      <c r="AB84" s="69"/>
      <c r="AC84" s="348"/>
      <c r="AD84" s="109">
        <f>PI()/4*(2*AF84^2+2*AF85^2)/AD81/AD82</f>
        <v>8.2066093808059895E-4</v>
      </c>
      <c r="AE84" s="93">
        <v>20</v>
      </c>
      <c r="AF84" s="94">
        <v>16</v>
      </c>
      <c r="AG84" s="95" t="str">
        <f>IF(ISBLANK(AE85),"","+")</f>
        <v/>
      </c>
      <c r="AH84" s="69"/>
      <c r="AI84" s="69"/>
      <c r="AJ84" s="69"/>
      <c r="AK84" s="69"/>
      <c r="AL84" s="348"/>
      <c r="AM84" s="109">
        <f>PI()/4*(2*AO84^2+2*AO85^2)/AM81/AM82</f>
        <v>1.4361566416410483E-3</v>
      </c>
      <c r="AN84" s="93">
        <v>12</v>
      </c>
      <c r="AO84" s="94">
        <v>16</v>
      </c>
      <c r="AP84" s="95" t="str">
        <f>IF(ISBLANK(AN85),"","+")</f>
        <v/>
      </c>
    </row>
    <row r="85" spans="12:42" x14ac:dyDescent="0.25">
      <c r="L85" s="347">
        <f>M87*PI()*M86^2/4/L86/L81</f>
        <v>1.0471975511965978E-2</v>
      </c>
      <c r="M85" s="88"/>
      <c r="N85" s="90"/>
      <c r="O85" s="96"/>
      <c r="P85" s="69"/>
      <c r="Q85" s="69"/>
      <c r="R85" s="69"/>
      <c r="S85" s="69"/>
      <c r="T85" s="348"/>
      <c r="U85" s="347">
        <f>V87*PI()*V86^2/4/U86/U81</f>
        <v>4.4879895051282755E-3</v>
      </c>
      <c r="V85" s="88"/>
      <c r="W85" s="90"/>
      <c r="X85" s="96"/>
      <c r="Y85" s="69"/>
      <c r="Z85" s="69"/>
      <c r="AA85" s="69"/>
      <c r="AB85" s="69"/>
      <c r="AC85" s="348"/>
      <c r="AD85" s="347">
        <f>AE87*PI()*AE86^2/4/AD86/AD81</f>
        <v>4.4879895051282755E-3</v>
      </c>
      <c r="AE85" s="88"/>
      <c r="AF85" s="90"/>
      <c r="AG85" s="96"/>
      <c r="AH85" s="69"/>
      <c r="AI85" s="69"/>
      <c r="AJ85" s="69"/>
      <c r="AK85" s="69"/>
      <c r="AL85" s="348"/>
      <c r="AM85" s="347">
        <f>AN87*PI()*AN86^2/4/AM86/AM81</f>
        <v>0</v>
      </c>
      <c r="AN85" s="88"/>
      <c r="AO85" s="90"/>
      <c r="AP85" s="96"/>
    </row>
    <row r="86" spans="12:42" x14ac:dyDescent="0.25">
      <c r="L86" s="110">
        <v>75</v>
      </c>
      <c r="M86" s="94">
        <v>10</v>
      </c>
      <c r="N86" s="69"/>
      <c r="O86" s="69"/>
      <c r="P86" s="69"/>
      <c r="Q86" s="69"/>
      <c r="R86" s="69"/>
      <c r="S86" s="69"/>
      <c r="T86" s="348"/>
      <c r="U86" s="110">
        <v>100</v>
      </c>
      <c r="V86" s="94">
        <v>10</v>
      </c>
      <c r="W86" s="69"/>
      <c r="X86" s="69"/>
      <c r="Y86" s="69"/>
      <c r="Z86" s="69"/>
      <c r="AA86" s="69"/>
      <c r="AB86" s="69"/>
      <c r="AC86" s="348"/>
      <c r="AD86" s="110">
        <v>100</v>
      </c>
      <c r="AE86" s="94">
        <v>10</v>
      </c>
      <c r="AF86" s="69"/>
      <c r="AG86" s="69"/>
      <c r="AH86" s="69"/>
      <c r="AI86" s="69"/>
      <c r="AJ86" s="69"/>
      <c r="AK86" s="69"/>
      <c r="AL86" s="348"/>
      <c r="AM86" s="110">
        <v>75</v>
      </c>
      <c r="AN86" s="94">
        <v>10</v>
      </c>
      <c r="AO86" s="69"/>
      <c r="AP86" s="69"/>
    </row>
    <row r="87" spans="12:42" x14ac:dyDescent="0.25">
      <c r="L87" s="92">
        <v>3900</v>
      </c>
      <c r="M87">
        <v>4</v>
      </c>
      <c r="T87" s="348"/>
      <c r="U87" s="92">
        <v>3900</v>
      </c>
      <c r="V87">
        <v>4</v>
      </c>
      <c r="AC87" s="348"/>
      <c r="AD87" s="92">
        <v>3900</v>
      </c>
      <c r="AE87">
        <v>4</v>
      </c>
      <c r="AL87" s="348"/>
      <c r="AM87" s="92">
        <v>3900</v>
      </c>
    </row>
    <row r="88" spans="12:42" ht="35.25" thickBot="1" x14ac:dyDescent="0.35">
      <c r="L88" s="111"/>
      <c r="M88" s="71">
        <v>350</v>
      </c>
      <c r="N88" s="71">
        <v>750</v>
      </c>
      <c r="O88" s="78">
        <f>PI()/4*(N89*O89^2+Q89*R89^2)/M88/N88</f>
        <v>1.1584996909237789E-2</v>
      </c>
      <c r="P88" s="78">
        <f>PI()/4*(N90*O90^2+Q90*R90^2)/M88/N88</f>
        <v>5.9839860068377016E-3</v>
      </c>
      <c r="Q88" s="78">
        <f>O91*PI()*P91^2/4/R88/M88</f>
        <v>3.9618114252166856E-3</v>
      </c>
      <c r="R88" s="71">
        <v>145</v>
      </c>
      <c r="S88" s="71">
        <v>8200</v>
      </c>
      <c r="T88" s="381"/>
      <c r="U88" s="111"/>
      <c r="V88" s="71">
        <v>350</v>
      </c>
      <c r="W88" s="71">
        <v>750</v>
      </c>
      <c r="X88" s="78">
        <f>PI()/4*(W89*X89^2+Z89*AA89^2)/V88/W88</f>
        <v>9.7179932751044265E-3</v>
      </c>
      <c r="Y88" s="78">
        <f>PI()/4*(W90*X90^2+Z90*AA90^2)/V88/W88</f>
        <v>5.1222920218530719E-3</v>
      </c>
      <c r="Z88" s="78">
        <f>X91*PI()*Y91^2/4/AA88/V88</f>
        <v>3.9618114252166856E-3</v>
      </c>
      <c r="AA88" s="71">
        <v>145</v>
      </c>
      <c r="AB88" s="71">
        <v>8200</v>
      </c>
      <c r="AC88" s="381"/>
      <c r="AD88" s="111"/>
      <c r="AE88" s="71">
        <v>350</v>
      </c>
      <c r="AF88" s="71">
        <v>750</v>
      </c>
      <c r="AG88" s="78">
        <f>PI()/4*(AF89*AG89^2+AI89*AJ89^2)/AE88/AF88</f>
        <v>1.1584996909237789E-2</v>
      </c>
      <c r="AH88" s="78">
        <f>PI()/4*(AF90*AG90^2+AI90*AJ90^2)/AE88/AF88</f>
        <v>5.9839860068377016E-3</v>
      </c>
      <c r="AI88" s="78">
        <f>AG91*PI()*AH91^2/4/AJ88/AE88</f>
        <v>3.9618114252166856E-3</v>
      </c>
      <c r="AJ88" s="71">
        <v>145</v>
      </c>
      <c r="AK88" s="71">
        <v>8200</v>
      </c>
      <c r="AL88" s="381"/>
      <c r="AM88" s="113" t="s">
        <v>1068</v>
      </c>
    </row>
    <row r="89" spans="12:42" ht="15.75" thickTop="1" x14ac:dyDescent="0.25">
      <c r="L89" s="72"/>
      <c r="M89" s="83" t="s">
        <v>373</v>
      </c>
      <c r="N89" s="74">
        <v>3</v>
      </c>
      <c r="O89" s="75">
        <v>32</v>
      </c>
      <c r="P89" s="77" t="str">
        <f>IF(ISBLANK(Q89),"","+")</f>
        <v>+</v>
      </c>
      <c r="Q89" s="74">
        <v>2</v>
      </c>
      <c r="R89" s="84">
        <v>20</v>
      </c>
      <c r="S89" s="70"/>
      <c r="T89" s="68"/>
      <c r="U89" s="72"/>
      <c r="V89" s="83" t="s">
        <v>373</v>
      </c>
      <c r="W89" s="74">
        <v>2</v>
      </c>
      <c r="X89" s="75">
        <v>32</v>
      </c>
      <c r="Y89" s="77" t="str">
        <f>IF(ISBLANK(Z89),"","+")</f>
        <v>+</v>
      </c>
      <c r="Z89" s="74">
        <v>3</v>
      </c>
      <c r="AA89" s="84">
        <v>20</v>
      </c>
      <c r="AB89" s="70"/>
      <c r="AC89" s="68"/>
      <c r="AD89" s="72"/>
      <c r="AE89" s="83" t="s">
        <v>373</v>
      </c>
      <c r="AF89" s="74">
        <v>3</v>
      </c>
      <c r="AG89" s="75">
        <v>32</v>
      </c>
      <c r="AH89" s="77" t="str">
        <f>IF(ISBLANK(AI89),"","+")</f>
        <v>+</v>
      </c>
      <c r="AI89" s="74">
        <v>2</v>
      </c>
      <c r="AJ89" s="84">
        <v>20</v>
      </c>
      <c r="AK89" s="70"/>
      <c r="AL89" s="68"/>
      <c r="AM89" s="73"/>
    </row>
    <row r="90" spans="12:42" x14ac:dyDescent="0.25">
      <c r="L90" s="73">
        <v>400</v>
      </c>
      <c r="M90" s="85" t="s">
        <v>375</v>
      </c>
      <c r="N90">
        <v>5</v>
      </c>
      <c r="O90" s="76">
        <v>20</v>
      </c>
      <c r="P90" s="1" t="str">
        <f>IF(ISBLANK(Q90),"","+")</f>
        <v/>
      </c>
      <c r="R90" s="86"/>
      <c r="S90" s="69"/>
      <c r="T90" s="348"/>
      <c r="U90" s="73">
        <v>700</v>
      </c>
      <c r="V90" s="85" t="s">
        <v>375</v>
      </c>
      <c r="W90">
        <v>3</v>
      </c>
      <c r="X90" s="76">
        <v>20</v>
      </c>
      <c r="Y90" s="1" t="str">
        <f>IF(ISBLANK(Z90),"","+")</f>
        <v>+</v>
      </c>
      <c r="Z90">
        <v>2</v>
      </c>
      <c r="AA90" s="86">
        <v>16</v>
      </c>
      <c r="AB90" s="69"/>
      <c r="AC90" s="348"/>
      <c r="AD90" s="73">
        <v>700</v>
      </c>
      <c r="AE90" s="85" t="s">
        <v>375</v>
      </c>
      <c r="AF90">
        <v>5</v>
      </c>
      <c r="AG90" s="76">
        <v>20</v>
      </c>
      <c r="AH90" s="1" t="str">
        <f>IF(ISBLANK(AI90),"","+")</f>
        <v/>
      </c>
      <c r="AJ90" s="86"/>
      <c r="AK90" s="69"/>
      <c r="AL90" s="348"/>
      <c r="AM90" s="73">
        <v>400</v>
      </c>
    </row>
    <row r="91" spans="12:42" x14ac:dyDescent="0.25">
      <c r="L91" s="73">
        <v>700</v>
      </c>
      <c r="M91" s="87" t="s">
        <v>377</v>
      </c>
      <c r="N91" s="88"/>
      <c r="O91" s="89">
        <v>4</v>
      </c>
      <c r="P91" s="90">
        <v>8</v>
      </c>
      <c r="Q91" s="88"/>
      <c r="R91" s="91"/>
      <c r="S91" s="69"/>
      <c r="T91" s="348"/>
      <c r="U91" s="73">
        <v>700</v>
      </c>
      <c r="V91" s="87" t="s">
        <v>377</v>
      </c>
      <c r="W91" s="88"/>
      <c r="X91" s="89">
        <v>4</v>
      </c>
      <c r="Y91" s="90">
        <v>8</v>
      </c>
      <c r="Z91" s="88"/>
      <c r="AA91" s="91"/>
      <c r="AB91" s="69"/>
      <c r="AC91" s="348"/>
      <c r="AD91" s="73">
        <v>700</v>
      </c>
      <c r="AE91" s="87" t="s">
        <v>377</v>
      </c>
      <c r="AF91" s="88"/>
      <c r="AG91" s="89">
        <v>4</v>
      </c>
      <c r="AH91" s="90">
        <v>8</v>
      </c>
      <c r="AI91" s="88"/>
      <c r="AJ91" s="91"/>
      <c r="AK91" s="69"/>
      <c r="AL91" s="348"/>
      <c r="AM91" s="73">
        <v>700</v>
      </c>
    </row>
    <row r="92" spans="12:42" x14ac:dyDescent="0.25">
      <c r="L92" s="97">
        <f>PI()/4*(M93*N93^2+M94*N94^2)/L90/L91</f>
        <v>8.6169398498462894E-3</v>
      </c>
      <c r="M92" s="69"/>
      <c r="S92" s="69"/>
      <c r="T92" s="348"/>
      <c r="U92" s="97">
        <f>PI()/4*(V93*W93^2+V94*W94^2)/U90/U91</f>
        <v>8.206609380805991E-3</v>
      </c>
      <c r="V92" s="69"/>
      <c r="AB92" s="69"/>
      <c r="AC92" s="348"/>
      <c r="AD92" s="97">
        <f>PI()/4*(AE93*AF93^2+AE94*AF94^2)/AD90/AD91</f>
        <v>8.206609380805991E-3</v>
      </c>
      <c r="AE92" s="69"/>
      <c r="AK92" s="69"/>
      <c r="AL92" s="348"/>
      <c r="AM92" s="97">
        <f>PI()/4*(AN93*AO93^2+AN94*AO94^2)/AM90/AM91</f>
        <v>8.6169398498462894E-3</v>
      </c>
      <c r="AN92" s="69"/>
    </row>
    <row r="93" spans="12:42" x14ac:dyDescent="0.25">
      <c r="L93" s="109">
        <f>PI()/4*(2*N93^2+2*N94^2)/L90/L91</f>
        <v>1.4361566416410483E-3</v>
      </c>
      <c r="M93" s="93">
        <v>12</v>
      </c>
      <c r="N93" s="94">
        <v>16</v>
      </c>
      <c r="O93" s="95" t="str">
        <f>IF(ISBLANK(M94),"","+")</f>
        <v/>
      </c>
      <c r="P93" s="69"/>
      <c r="Q93" s="69"/>
      <c r="R93" s="69"/>
      <c r="S93" s="69"/>
      <c r="T93" s="348"/>
      <c r="U93" s="109">
        <f>PI()/4*(2*W93^2+2*W94^2)/U90/U91</f>
        <v>8.2066093808059895E-4</v>
      </c>
      <c r="V93" s="93">
        <v>20</v>
      </c>
      <c r="W93" s="94">
        <v>16</v>
      </c>
      <c r="X93" s="95" t="str">
        <f>IF(ISBLANK(V94),"","+")</f>
        <v/>
      </c>
      <c r="Y93" s="69"/>
      <c r="Z93" s="69"/>
      <c r="AA93" s="69"/>
      <c r="AB93" s="69"/>
      <c r="AC93" s="348"/>
      <c r="AD93" s="109">
        <f>PI()/4*(2*AF93^2+2*AF94^2)/AD90/AD91</f>
        <v>8.2066093808059895E-4</v>
      </c>
      <c r="AE93" s="93">
        <v>20</v>
      </c>
      <c r="AF93" s="94">
        <v>16</v>
      </c>
      <c r="AG93" s="95" t="str">
        <f>IF(ISBLANK(AE94),"","+")</f>
        <v/>
      </c>
      <c r="AH93" s="69"/>
      <c r="AI93" s="69"/>
      <c r="AJ93" s="69"/>
      <c r="AK93" s="69"/>
      <c r="AL93" s="348"/>
      <c r="AM93" s="109">
        <f>PI()/4*(2*AO93^2+2*AO94^2)/AM90/AM91</f>
        <v>1.4361566416410483E-3</v>
      </c>
      <c r="AN93" s="93">
        <v>12</v>
      </c>
      <c r="AO93" s="94">
        <v>16</v>
      </c>
      <c r="AP93" s="95" t="str">
        <f>IF(ISBLANK(AN94),"","+")</f>
        <v/>
      </c>
    </row>
    <row r="94" spans="12:42" x14ac:dyDescent="0.25">
      <c r="L94" s="347">
        <f>M96*PI()*M95^2/4/L95/L90</f>
        <v>1.0471975511965978E-2</v>
      </c>
      <c r="M94" s="88"/>
      <c r="N94" s="90"/>
      <c r="O94" s="96"/>
      <c r="P94" s="69"/>
      <c r="Q94" s="69"/>
      <c r="R94" s="69"/>
      <c r="S94" s="69"/>
      <c r="T94" s="348"/>
      <c r="U94" s="347">
        <f>V96*PI()*V95^2/4/U95/U90</f>
        <v>4.4879895051282755E-3</v>
      </c>
      <c r="V94" s="88"/>
      <c r="W94" s="90"/>
      <c r="X94" s="96"/>
      <c r="Y94" s="69"/>
      <c r="Z94" s="69"/>
      <c r="AA94" s="69"/>
      <c r="AB94" s="69"/>
      <c r="AC94" s="348"/>
      <c r="AD94" s="347">
        <f>AE96*PI()*AE95^2/4/AD95/AD90</f>
        <v>4.4879895051282755E-3</v>
      </c>
      <c r="AE94" s="88"/>
      <c r="AF94" s="90"/>
      <c r="AG94" s="96"/>
      <c r="AH94" s="69"/>
      <c r="AI94" s="69"/>
      <c r="AJ94" s="69"/>
      <c r="AK94" s="69"/>
      <c r="AL94" s="348"/>
      <c r="AM94" s="347">
        <f>AN96*PI()*AN95^2/4/AM95/AM90</f>
        <v>0</v>
      </c>
      <c r="AN94" s="88"/>
      <c r="AO94" s="90"/>
      <c r="AP94" s="96"/>
    </row>
    <row r="95" spans="12:42" x14ac:dyDescent="0.25">
      <c r="L95" s="110">
        <v>75</v>
      </c>
      <c r="M95" s="94">
        <v>10</v>
      </c>
      <c r="N95" s="69"/>
      <c r="O95" s="69"/>
      <c r="P95" s="69"/>
      <c r="Q95" s="69"/>
      <c r="R95" s="69"/>
      <c r="S95" s="69"/>
      <c r="T95" s="348"/>
      <c r="U95" s="110">
        <v>100</v>
      </c>
      <c r="V95" s="94">
        <v>10</v>
      </c>
      <c r="W95" s="69"/>
      <c r="X95" s="69"/>
      <c r="Y95" s="69"/>
      <c r="Z95" s="69"/>
      <c r="AA95" s="69"/>
      <c r="AB95" s="69"/>
      <c r="AC95" s="348"/>
      <c r="AD95" s="110">
        <v>100</v>
      </c>
      <c r="AE95" s="94">
        <v>10</v>
      </c>
      <c r="AF95" s="69"/>
      <c r="AG95" s="69"/>
      <c r="AH95" s="69"/>
      <c r="AI95" s="69"/>
      <c r="AJ95" s="69"/>
      <c r="AK95" s="69"/>
      <c r="AL95" s="348"/>
      <c r="AM95" s="110">
        <v>75</v>
      </c>
      <c r="AN95" s="94">
        <v>10</v>
      </c>
      <c r="AO95" s="69"/>
      <c r="AP95" s="69"/>
    </row>
    <row r="96" spans="12:42" x14ac:dyDescent="0.25">
      <c r="L96" s="92">
        <v>3900</v>
      </c>
      <c r="M96">
        <v>4</v>
      </c>
      <c r="T96" s="348"/>
      <c r="U96" s="92">
        <v>3900</v>
      </c>
      <c r="V96">
        <v>4</v>
      </c>
      <c r="AC96" s="348"/>
      <c r="AD96" s="92">
        <v>3900</v>
      </c>
      <c r="AE96">
        <v>4</v>
      </c>
      <c r="AL96" s="348"/>
      <c r="AM96" s="92">
        <v>3900</v>
      </c>
    </row>
    <row r="97" spans="12:42" ht="35.25" thickBot="1" x14ac:dyDescent="0.35">
      <c r="L97" s="111"/>
      <c r="M97" s="71">
        <v>350</v>
      </c>
      <c r="N97" s="71">
        <v>750</v>
      </c>
      <c r="O97" s="78">
        <f>PI()/4*(N98*O98^2+Q98*R98^2)/M97/N97</f>
        <v>1.1737588552412151E-2</v>
      </c>
      <c r="P97" s="78">
        <f>PI()/4*(N99*O99^2+Q99*R99^2)/M97/N97</f>
        <v>5.9839860068377016E-3</v>
      </c>
      <c r="Q97" s="78">
        <f>O100*PI()*P100^2/4/R97/M97</f>
        <v>3.9618114252166856E-3</v>
      </c>
      <c r="R97" s="71">
        <v>145</v>
      </c>
      <c r="S97" s="71">
        <v>8200</v>
      </c>
      <c r="T97" s="381"/>
      <c r="U97" s="111"/>
      <c r="V97" s="71">
        <v>350</v>
      </c>
      <c r="W97" s="71">
        <v>750</v>
      </c>
      <c r="X97" s="78">
        <f>PI()/4*(W98*X98^2+Z98*AA98^2)/V97/W97</f>
        <v>9.7179932751044265E-3</v>
      </c>
      <c r="Y97" s="78">
        <f>PI()/4*(W99*X99^2+Z99*AA99^2)/V97/W97</f>
        <v>5.1222920218530719E-3</v>
      </c>
      <c r="Z97" s="78">
        <f>X100*PI()*Y100^2/4/AA97/V97</f>
        <v>3.9618114252166856E-3</v>
      </c>
      <c r="AA97" s="71">
        <v>145</v>
      </c>
      <c r="AB97" s="71">
        <v>8200</v>
      </c>
      <c r="AC97" s="381"/>
      <c r="AD97" s="111"/>
      <c r="AE97" s="71">
        <v>350</v>
      </c>
      <c r="AF97" s="71">
        <v>750</v>
      </c>
      <c r="AG97" s="78">
        <f>PI()/4*(AF98*AG98^2+AI98*AJ98^2)/AE97/AF97</f>
        <v>1.1737588552412151E-2</v>
      </c>
      <c r="AH97" s="78">
        <f>PI()/4*(AF99*AG99^2+AI99*AJ99^2)/AE97/AF97</f>
        <v>5.9839860068377016E-3</v>
      </c>
      <c r="AI97" s="78">
        <f>AG100*PI()*AH100^2/4/AJ97/AE97</f>
        <v>3.9618114252166856E-3</v>
      </c>
      <c r="AJ97" s="71">
        <v>145</v>
      </c>
      <c r="AK97" s="71">
        <v>8200</v>
      </c>
      <c r="AL97" s="381"/>
      <c r="AM97" s="113" t="s">
        <v>1069</v>
      </c>
    </row>
    <row r="98" spans="12:42" ht="15.75" thickTop="1" x14ac:dyDescent="0.25">
      <c r="L98" s="72"/>
      <c r="M98" s="83" t="s">
        <v>373</v>
      </c>
      <c r="N98" s="74">
        <v>2</v>
      </c>
      <c r="O98" s="75">
        <v>32</v>
      </c>
      <c r="P98" s="77" t="str">
        <f>IF(ISBLANK(Q98),"","+")</f>
        <v>+</v>
      </c>
      <c r="Q98" s="74">
        <v>3</v>
      </c>
      <c r="R98" s="84">
        <v>25</v>
      </c>
      <c r="S98" s="70"/>
      <c r="T98" s="68"/>
      <c r="U98" s="72"/>
      <c r="V98" s="83" t="s">
        <v>373</v>
      </c>
      <c r="W98" s="74">
        <v>2</v>
      </c>
      <c r="X98" s="75">
        <v>32</v>
      </c>
      <c r="Y98" s="77" t="str">
        <f>IF(ISBLANK(Z98),"","+")</f>
        <v>+</v>
      </c>
      <c r="Z98" s="74">
        <v>3</v>
      </c>
      <c r="AA98" s="84">
        <v>20</v>
      </c>
      <c r="AB98" s="70"/>
      <c r="AC98" s="68"/>
      <c r="AD98" s="72"/>
      <c r="AE98" s="83" t="s">
        <v>373</v>
      </c>
      <c r="AF98" s="74">
        <v>2</v>
      </c>
      <c r="AG98" s="75">
        <v>32</v>
      </c>
      <c r="AH98" s="77" t="str">
        <f>IF(ISBLANK(AI98),"","+")</f>
        <v>+</v>
      </c>
      <c r="AI98" s="74">
        <v>3</v>
      </c>
      <c r="AJ98" s="84">
        <v>25</v>
      </c>
      <c r="AK98" s="70"/>
      <c r="AL98" s="68"/>
      <c r="AM98" s="73"/>
    </row>
    <row r="99" spans="12:42" x14ac:dyDescent="0.25">
      <c r="L99" s="73">
        <v>400</v>
      </c>
      <c r="M99" s="85" t="s">
        <v>375</v>
      </c>
      <c r="N99">
        <v>5</v>
      </c>
      <c r="O99" s="76">
        <v>20</v>
      </c>
      <c r="P99" s="1" t="str">
        <f>IF(ISBLANK(Q99),"","+")</f>
        <v/>
      </c>
      <c r="R99" s="86"/>
      <c r="S99" s="69"/>
      <c r="T99" s="348"/>
      <c r="U99" s="73">
        <v>700</v>
      </c>
      <c r="V99" s="85" t="s">
        <v>375</v>
      </c>
      <c r="W99">
        <v>3</v>
      </c>
      <c r="X99" s="76">
        <v>20</v>
      </c>
      <c r="Y99" s="1" t="str">
        <f>IF(ISBLANK(Z99),"","+")</f>
        <v>+</v>
      </c>
      <c r="Z99">
        <v>2</v>
      </c>
      <c r="AA99" s="86">
        <v>16</v>
      </c>
      <c r="AB99" s="69"/>
      <c r="AC99" s="348"/>
      <c r="AD99" s="73">
        <v>700</v>
      </c>
      <c r="AE99" s="85" t="s">
        <v>375</v>
      </c>
      <c r="AF99">
        <v>5</v>
      </c>
      <c r="AG99" s="76">
        <v>20</v>
      </c>
      <c r="AH99" s="1" t="str">
        <f>IF(ISBLANK(AI99),"","+")</f>
        <v/>
      </c>
      <c r="AJ99" s="86"/>
      <c r="AK99" s="69"/>
      <c r="AL99" s="348"/>
      <c r="AM99" s="73">
        <v>400</v>
      </c>
    </row>
    <row r="100" spans="12:42" x14ac:dyDescent="0.25">
      <c r="L100" s="73">
        <v>700</v>
      </c>
      <c r="M100" s="87" t="s">
        <v>377</v>
      </c>
      <c r="N100" s="88"/>
      <c r="O100" s="89">
        <v>4</v>
      </c>
      <c r="P100" s="90">
        <v>8</v>
      </c>
      <c r="Q100" s="88"/>
      <c r="R100" s="91"/>
      <c r="S100" s="69"/>
      <c r="T100" s="348"/>
      <c r="U100" s="73">
        <v>700</v>
      </c>
      <c r="V100" s="87" t="s">
        <v>377</v>
      </c>
      <c r="W100" s="88"/>
      <c r="X100" s="89">
        <v>4</v>
      </c>
      <c r="Y100" s="90">
        <v>8</v>
      </c>
      <c r="Z100" s="88"/>
      <c r="AA100" s="91"/>
      <c r="AB100" s="69"/>
      <c r="AC100" s="348"/>
      <c r="AD100" s="73">
        <v>700</v>
      </c>
      <c r="AE100" s="87" t="s">
        <v>377</v>
      </c>
      <c r="AF100" s="88"/>
      <c r="AG100" s="89">
        <v>4</v>
      </c>
      <c r="AH100" s="90">
        <v>8</v>
      </c>
      <c r="AI100" s="88"/>
      <c r="AJ100" s="91"/>
      <c r="AK100" s="69"/>
      <c r="AL100" s="348"/>
      <c r="AM100" s="73">
        <v>700</v>
      </c>
    </row>
    <row r="101" spans="12:42" x14ac:dyDescent="0.25">
      <c r="L101" s="97">
        <f>PI()/4*(M102*N102^2+M103*N103^2)/L99/L100</f>
        <v>8.6169398498462894E-3</v>
      </c>
      <c r="M101" s="69"/>
      <c r="S101" s="69"/>
      <c r="T101" s="348"/>
      <c r="U101" s="97">
        <f>PI()/4*(V102*W102^2+V103*W103^2)/U99/U100</f>
        <v>8.206609380805991E-3</v>
      </c>
      <c r="V101" s="69"/>
      <c r="AB101" s="69"/>
      <c r="AC101" s="348"/>
      <c r="AD101" s="97">
        <f>PI()/4*(AE102*AF102^2+AE103*AF103^2)/AD99/AD100</f>
        <v>8.206609380805991E-3</v>
      </c>
      <c r="AE101" s="69"/>
      <c r="AK101" s="69"/>
      <c r="AL101" s="348"/>
      <c r="AM101" s="97">
        <f>PI()/4*(AN102*AO102^2+AN103*AO103^2)/AM99/AM100</f>
        <v>8.6169398498462894E-3</v>
      </c>
      <c r="AN101" s="69"/>
    </row>
    <row r="102" spans="12:42" x14ac:dyDescent="0.25">
      <c r="L102" s="109">
        <f>PI()/4*(2*N102^2+2*N103^2)/L99/L100</f>
        <v>1.4361566416410483E-3</v>
      </c>
      <c r="M102" s="93">
        <v>12</v>
      </c>
      <c r="N102" s="94">
        <v>16</v>
      </c>
      <c r="O102" s="95" t="str">
        <f>IF(ISBLANK(M103),"","+")</f>
        <v/>
      </c>
      <c r="P102" s="69"/>
      <c r="Q102" s="69"/>
      <c r="R102" s="69"/>
      <c r="S102" s="69"/>
      <c r="T102" s="348"/>
      <c r="U102" s="109">
        <f>PI()/4*(2*W102^2+2*W103^2)/U99/U100</f>
        <v>8.2066093808059895E-4</v>
      </c>
      <c r="V102" s="93">
        <v>20</v>
      </c>
      <c r="W102" s="94">
        <v>16</v>
      </c>
      <c r="X102" s="95" t="str">
        <f>IF(ISBLANK(V103),"","+")</f>
        <v/>
      </c>
      <c r="Y102" s="69"/>
      <c r="Z102" s="69"/>
      <c r="AA102" s="69"/>
      <c r="AB102" s="69"/>
      <c r="AC102" s="348"/>
      <c r="AD102" s="109">
        <f>PI()/4*(2*AF102^2+2*AF103^2)/AD99/AD100</f>
        <v>8.2066093808059895E-4</v>
      </c>
      <c r="AE102" s="93">
        <v>20</v>
      </c>
      <c r="AF102" s="94">
        <v>16</v>
      </c>
      <c r="AG102" s="95" t="str">
        <f>IF(ISBLANK(AE103),"","+")</f>
        <v/>
      </c>
      <c r="AH102" s="69"/>
      <c r="AI102" s="69"/>
      <c r="AJ102" s="69"/>
      <c r="AK102" s="69"/>
      <c r="AL102" s="348"/>
      <c r="AM102" s="109">
        <f>PI()/4*(2*AO102^2+2*AO103^2)/AM99/AM100</f>
        <v>1.4361566416410483E-3</v>
      </c>
      <c r="AN102" s="93">
        <v>12</v>
      </c>
      <c r="AO102" s="94">
        <v>16</v>
      </c>
      <c r="AP102" s="95" t="str">
        <f>IF(ISBLANK(AN103),"","+")</f>
        <v/>
      </c>
    </row>
    <row r="103" spans="12:42" x14ac:dyDescent="0.25">
      <c r="L103" s="347">
        <f>M105*PI()*M104^2/4/L104/L99</f>
        <v>1.0471975511965978E-2</v>
      </c>
      <c r="M103" s="88"/>
      <c r="N103" s="90"/>
      <c r="O103" s="96"/>
      <c r="P103" s="69"/>
      <c r="Q103" s="69"/>
      <c r="R103" s="69"/>
      <c r="S103" s="69"/>
      <c r="T103" s="348"/>
      <c r="U103" s="347">
        <f>V105*PI()*V104^2/4/U104/U99</f>
        <v>4.4879895051282755E-3</v>
      </c>
      <c r="V103" s="88"/>
      <c r="W103" s="90"/>
      <c r="X103" s="96"/>
      <c r="Y103" s="69"/>
      <c r="Z103" s="69"/>
      <c r="AA103" s="69"/>
      <c r="AB103" s="69"/>
      <c r="AC103" s="348"/>
      <c r="AD103" s="347">
        <f>AE105*PI()*AE104^2/4/AD104/AD99</f>
        <v>4.4879895051282755E-3</v>
      </c>
      <c r="AE103" s="88"/>
      <c r="AF103" s="90"/>
      <c r="AG103" s="96"/>
      <c r="AH103" s="69"/>
      <c r="AI103" s="69"/>
      <c r="AJ103" s="69"/>
      <c r="AK103" s="69"/>
      <c r="AL103" s="348"/>
      <c r="AM103" s="347">
        <f>AN105*PI()*AN104^2/4/AM104/AM99</f>
        <v>0</v>
      </c>
      <c r="AN103" s="88"/>
      <c r="AO103" s="90"/>
      <c r="AP103" s="96"/>
    </row>
    <row r="104" spans="12:42" x14ac:dyDescent="0.25">
      <c r="L104" s="110">
        <v>75</v>
      </c>
      <c r="M104" s="94">
        <v>10</v>
      </c>
      <c r="N104" s="69"/>
      <c r="O104" s="69"/>
      <c r="P104" s="69"/>
      <c r="Q104" s="69"/>
      <c r="R104" s="69"/>
      <c r="S104" s="69"/>
      <c r="T104" s="348"/>
      <c r="U104" s="110">
        <v>100</v>
      </c>
      <c r="V104" s="94">
        <v>10</v>
      </c>
      <c r="W104" s="69"/>
      <c r="X104" s="69"/>
      <c r="Y104" s="69"/>
      <c r="Z104" s="69"/>
      <c r="AA104" s="69"/>
      <c r="AB104" s="69"/>
      <c r="AC104" s="348"/>
      <c r="AD104" s="110">
        <v>100</v>
      </c>
      <c r="AE104" s="94">
        <v>10</v>
      </c>
      <c r="AF104" s="69"/>
      <c r="AG104" s="69"/>
      <c r="AH104" s="69"/>
      <c r="AI104" s="69"/>
      <c r="AJ104" s="69"/>
      <c r="AK104" s="69"/>
      <c r="AL104" s="348"/>
      <c r="AM104" s="110">
        <v>75</v>
      </c>
      <c r="AN104" s="94">
        <v>10</v>
      </c>
      <c r="AO104" s="69"/>
      <c r="AP104" s="69"/>
    </row>
    <row r="105" spans="12:42" x14ac:dyDescent="0.25">
      <c r="L105" s="92">
        <v>3900</v>
      </c>
      <c r="M105">
        <v>4</v>
      </c>
      <c r="T105" s="348"/>
      <c r="U105" s="92">
        <v>3900</v>
      </c>
      <c r="V105">
        <v>4</v>
      </c>
      <c r="AC105" s="348"/>
      <c r="AD105" s="92">
        <v>3900</v>
      </c>
      <c r="AE105">
        <v>4</v>
      </c>
      <c r="AL105" s="348"/>
      <c r="AM105" s="92">
        <v>3900</v>
      </c>
    </row>
    <row r="106" spans="12:42" ht="35.25" thickBot="1" x14ac:dyDescent="0.35">
      <c r="L106" s="111"/>
      <c r="M106" s="71">
        <v>350</v>
      </c>
      <c r="N106" s="71">
        <v>750</v>
      </c>
      <c r="O106" s="78">
        <f>PI()/4*(N107*O107^2+Q107*R107^2)/M106/N106</f>
        <v>1.2931393760776271E-2</v>
      </c>
      <c r="P106" s="78">
        <f>PI()/4*(N108*O108^2+Q108*R108^2)/M106/N106</f>
        <v>5.9839860068377016E-3</v>
      </c>
      <c r="Q106" s="78">
        <f>O109*PI()*P109^2/4/R106/M106</f>
        <v>3.9618114252166856E-3</v>
      </c>
      <c r="R106" s="71">
        <v>145</v>
      </c>
      <c r="S106" s="71">
        <v>8200</v>
      </c>
      <c r="T106" s="381"/>
      <c r="U106" s="111"/>
      <c r="V106" s="71">
        <v>350</v>
      </c>
      <c r="W106" s="71">
        <v>750</v>
      </c>
      <c r="X106" s="78">
        <f>PI()/4*(W107*X107^2+Z107*AA107^2)/V106/W106</f>
        <v>9.7179932751044265E-3</v>
      </c>
      <c r="Y106" s="78">
        <f>PI()/4*(W108*X108^2+Z108*AA108^2)/V106/W106</f>
        <v>5.1222920218530719E-3</v>
      </c>
      <c r="Z106" s="78">
        <f>X109*PI()*Y109^2/4/AA106/V106</f>
        <v>3.9618114252166856E-3</v>
      </c>
      <c r="AA106" s="71">
        <v>145</v>
      </c>
      <c r="AB106" s="71">
        <v>8200</v>
      </c>
      <c r="AC106" s="381"/>
      <c r="AD106" s="111"/>
      <c r="AE106" s="71">
        <v>350</v>
      </c>
      <c r="AF106" s="71">
        <v>750</v>
      </c>
      <c r="AG106" s="78">
        <f>PI()/4*(AF107*AG107^2+AI107*AJ107^2)/AE106/AF106</f>
        <v>1.2931393760776271E-2</v>
      </c>
      <c r="AH106" s="78">
        <f>PI()/4*(AF108*AG108^2+AI108*AJ108^2)/AE106/AF106</f>
        <v>5.9839860068377016E-3</v>
      </c>
      <c r="AI106" s="78">
        <f>AG109*PI()*AH109^2/4/AJ106/AE106</f>
        <v>3.9618114252166856E-3</v>
      </c>
      <c r="AJ106" s="71">
        <v>145</v>
      </c>
      <c r="AK106" s="71">
        <v>8200</v>
      </c>
      <c r="AL106" s="381"/>
      <c r="AM106" s="113" t="s">
        <v>1070</v>
      </c>
    </row>
    <row r="107" spans="12:42" ht="15.75" thickTop="1" x14ac:dyDescent="0.25">
      <c r="L107" s="72"/>
      <c r="M107" s="83" t="s">
        <v>373</v>
      </c>
      <c r="N107" s="74">
        <v>3</v>
      </c>
      <c r="O107" s="75">
        <v>32</v>
      </c>
      <c r="P107" s="77" t="str">
        <f>IF(ISBLANK(Q107),"","+")</f>
        <v>+</v>
      </c>
      <c r="Q107" s="74">
        <v>2</v>
      </c>
      <c r="R107" s="84">
        <v>25</v>
      </c>
      <c r="S107" s="70"/>
      <c r="T107" s="68"/>
      <c r="U107" s="72"/>
      <c r="V107" s="83" t="s">
        <v>373</v>
      </c>
      <c r="W107" s="74">
        <v>2</v>
      </c>
      <c r="X107" s="75">
        <v>32</v>
      </c>
      <c r="Y107" s="77" t="str">
        <f>IF(ISBLANK(Z107),"","+")</f>
        <v>+</v>
      </c>
      <c r="Z107" s="74">
        <v>3</v>
      </c>
      <c r="AA107" s="84">
        <v>20</v>
      </c>
      <c r="AB107" s="70"/>
      <c r="AC107" s="68"/>
      <c r="AD107" s="72"/>
      <c r="AE107" s="83" t="s">
        <v>373</v>
      </c>
      <c r="AF107" s="74">
        <v>3</v>
      </c>
      <c r="AG107" s="75">
        <v>32</v>
      </c>
      <c r="AH107" s="77" t="str">
        <f>IF(ISBLANK(AI107),"","+")</f>
        <v>+</v>
      </c>
      <c r="AI107" s="74">
        <v>2</v>
      </c>
      <c r="AJ107" s="84">
        <v>25</v>
      </c>
      <c r="AK107" s="70"/>
      <c r="AL107" s="68"/>
      <c r="AM107" s="73"/>
    </row>
    <row r="108" spans="12:42" x14ac:dyDescent="0.25">
      <c r="L108" s="73">
        <v>400</v>
      </c>
      <c r="M108" s="85" t="s">
        <v>375</v>
      </c>
      <c r="N108">
        <v>5</v>
      </c>
      <c r="O108" s="76">
        <v>20</v>
      </c>
      <c r="P108" s="1" t="str">
        <f>IF(ISBLANK(Q108),"","+")</f>
        <v/>
      </c>
      <c r="R108" s="86"/>
      <c r="S108" s="69"/>
      <c r="T108" s="348"/>
      <c r="U108" s="73">
        <v>700</v>
      </c>
      <c r="V108" s="85" t="s">
        <v>375</v>
      </c>
      <c r="W108">
        <v>3</v>
      </c>
      <c r="X108" s="76">
        <v>20</v>
      </c>
      <c r="Y108" s="1" t="str">
        <f>IF(ISBLANK(Z108),"","+")</f>
        <v>+</v>
      </c>
      <c r="Z108">
        <v>2</v>
      </c>
      <c r="AA108" s="86">
        <v>16</v>
      </c>
      <c r="AB108" s="69"/>
      <c r="AC108" s="348"/>
      <c r="AD108" s="73">
        <v>700</v>
      </c>
      <c r="AE108" s="85" t="s">
        <v>375</v>
      </c>
      <c r="AF108">
        <v>5</v>
      </c>
      <c r="AG108" s="76">
        <v>20</v>
      </c>
      <c r="AH108" s="1" t="str">
        <f>IF(ISBLANK(AI108),"","+")</f>
        <v/>
      </c>
      <c r="AJ108" s="86"/>
      <c r="AK108" s="69"/>
      <c r="AL108" s="348"/>
      <c r="AM108" s="73">
        <v>400</v>
      </c>
    </row>
    <row r="109" spans="12:42" x14ac:dyDescent="0.25">
      <c r="L109" s="73">
        <v>700</v>
      </c>
      <c r="M109" s="87" t="s">
        <v>377</v>
      </c>
      <c r="N109" s="88"/>
      <c r="O109" s="89">
        <v>4</v>
      </c>
      <c r="P109" s="90">
        <v>8</v>
      </c>
      <c r="Q109" s="88"/>
      <c r="R109" s="91"/>
      <c r="S109" s="69"/>
      <c r="T109" s="348"/>
      <c r="U109" s="73">
        <v>700</v>
      </c>
      <c r="V109" s="87" t="s">
        <v>377</v>
      </c>
      <c r="W109" s="88"/>
      <c r="X109" s="89">
        <v>4</v>
      </c>
      <c r="Y109" s="90">
        <v>8</v>
      </c>
      <c r="Z109" s="88"/>
      <c r="AA109" s="91"/>
      <c r="AB109" s="69"/>
      <c r="AC109" s="348"/>
      <c r="AD109" s="73">
        <v>700</v>
      </c>
      <c r="AE109" s="87" t="s">
        <v>377</v>
      </c>
      <c r="AF109" s="88"/>
      <c r="AG109" s="89">
        <v>4</v>
      </c>
      <c r="AH109" s="90">
        <v>8</v>
      </c>
      <c r="AI109" s="88"/>
      <c r="AJ109" s="91"/>
      <c r="AK109" s="69"/>
      <c r="AL109" s="348"/>
      <c r="AM109" s="73">
        <v>700</v>
      </c>
    </row>
    <row r="110" spans="12:42" x14ac:dyDescent="0.25">
      <c r="L110" s="97">
        <f>PI()/4*(M111*N111^2+M112*N112^2)/L108/L109</f>
        <v>1.3463968515384828E-2</v>
      </c>
      <c r="M110" s="69"/>
      <c r="S110" s="69"/>
      <c r="T110" s="348"/>
      <c r="U110" s="97">
        <f>PI()/4*(V111*W111^2+V112*W112^2)/U108/U109</f>
        <v>1.4265395212729164E-2</v>
      </c>
      <c r="V110" s="69"/>
      <c r="AB110" s="69"/>
      <c r="AC110" s="348"/>
      <c r="AD110" s="97">
        <f>PI()/4*(AE111*AF111^2+AE112*AF112^2)/AD108/AD109</f>
        <v>1.4265395212729164E-2</v>
      </c>
      <c r="AE110" s="69"/>
      <c r="AK110" s="69"/>
      <c r="AL110" s="348"/>
      <c r="AM110" s="97">
        <f>PI()/4*(AN111*AO111^2+AN112*AO112^2)/AM108/AM109</f>
        <v>1.3463968515384828E-2</v>
      </c>
      <c r="AN110" s="69"/>
    </row>
    <row r="111" spans="12:42" x14ac:dyDescent="0.25">
      <c r="L111" s="109">
        <f>PI()/4*(2*N111^2+2*N112^2)/L108/L109</f>
        <v>2.2439947525641378E-3</v>
      </c>
      <c r="M111" s="93">
        <v>12</v>
      </c>
      <c r="N111" s="94">
        <v>20</v>
      </c>
      <c r="O111" s="95" t="str">
        <f>IF(ISBLANK(M112),"","+")</f>
        <v/>
      </c>
      <c r="P111" s="69"/>
      <c r="Q111" s="69"/>
      <c r="R111" s="69"/>
      <c r="S111" s="69"/>
      <c r="T111" s="348"/>
      <c r="U111" s="109">
        <f>PI()/4*(2*W111^2+2*W112^2)/U108/U109</f>
        <v>3.2858494591117733E-3</v>
      </c>
      <c r="V111" s="93">
        <v>4</v>
      </c>
      <c r="W111" s="94">
        <v>25</v>
      </c>
      <c r="X111" s="95" t="str">
        <f>IF(ISBLANK(V112),"","+")</f>
        <v>+</v>
      </c>
      <c r="Y111" s="69"/>
      <c r="Z111" s="69"/>
      <c r="AA111" s="69"/>
      <c r="AB111" s="69"/>
      <c r="AC111" s="348"/>
      <c r="AD111" s="109">
        <f>PI()/4*(2*AF111^2+2*AF112^2)/AD108/AD109</f>
        <v>3.2858494591117733E-3</v>
      </c>
      <c r="AE111" s="93">
        <v>4</v>
      </c>
      <c r="AF111" s="94">
        <v>25</v>
      </c>
      <c r="AG111" s="95" t="str">
        <f>IF(ISBLANK(AE112),"","+")</f>
        <v>+</v>
      </c>
      <c r="AH111" s="69"/>
      <c r="AI111" s="69"/>
      <c r="AJ111" s="69"/>
      <c r="AK111" s="69"/>
      <c r="AL111" s="348"/>
      <c r="AM111" s="109">
        <f>PI()/4*(2*AO111^2+2*AO112^2)/AM108/AM109</f>
        <v>2.2439947525641378E-3</v>
      </c>
      <c r="AN111" s="93">
        <v>12</v>
      </c>
      <c r="AO111" s="94">
        <v>20</v>
      </c>
      <c r="AP111" s="95" t="str">
        <f>IF(ISBLANK(AN112),"","+")</f>
        <v/>
      </c>
    </row>
    <row r="112" spans="12:42" x14ac:dyDescent="0.25">
      <c r="L112" s="347">
        <f>M114*PI()*M113^2/4/L113/L108</f>
        <v>1.0471975511965978E-2</v>
      </c>
      <c r="M112" s="88"/>
      <c r="N112" s="90"/>
      <c r="O112" s="96"/>
      <c r="P112" s="69"/>
      <c r="Q112" s="69"/>
      <c r="R112" s="69"/>
      <c r="S112" s="69"/>
      <c r="T112" s="348"/>
      <c r="U112" s="347">
        <f>V114*PI()*V113^2/4/U113/U108</f>
        <v>4.4879895051282755E-3</v>
      </c>
      <c r="V112" s="88">
        <v>16</v>
      </c>
      <c r="W112" s="90">
        <v>20</v>
      </c>
      <c r="X112" s="96"/>
      <c r="Y112" s="69"/>
      <c r="Z112" s="69"/>
      <c r="AA112" s="69"/>
      <c r="AB112" s="69"/>
      <c r="AC112" s="348"/>
      <c r="AD112" s="347">
        <f>AE114*PI()*AE113^2/4/AD113/AD108</f>
        <v>4.4879895051282755E-3</v>
      </c>
      <c r="AE112" s="88">
        <v>16</v>
      </c>
      <c r="AF112" s="90">
        <v>20</v>
      </c>
      <c r="AG112" s="96"/>
      <c r="AH112" s="69"/>
      <c r="AI112" s="69"/>
      <c r="AJ112" s="69"/>
      <c r="AK112" s="69"/>
      <c r="AL112" s="348"/>
      <c r="AM112" s="347">
        <f>AN114*PI()*AN113^2/4/AM113/AM108</f>
        <v>0</v>
      </c>
      <c r="AN112" s="88"/>
      <c r="AO112" s="90"/>
      <c r="AP112" s="96"/>
    </row>
    <row r="113" spans="12:42" x14ac:dyDescent="0.25">
      <c r="L113" s="110">
        <v>75</v>
      </c>
      <c r="M113" s="94">
        <v>10</v>
      </c>
      <c r="N113" s="69"/>
      <c r="O113" s="69"/>
      <c r="P113" s="69"/>
      <c r="Q113" s="69"/>
      <c r="R113" s="69"/>
      <c r="S113" s="69"/>
      <c r="T113" s="348"/>
      <c r="U113" s="110">
        <v>100</v>
      </c>
      <c r="V113" s="94">
        <v>10</v>
      </c>
      <c r="W113" s="69"/>
      <c r="X113" s="69"/>
      <c r="Y113" s="69"/>
      <c r="Z113" s="69"/>
      <c r="AA113" s="69"/>
      <c r="AB113" s="69"/>
      <c r="AC113" s="348"/>
      <c r="AD113" s="110">
        <v>100</v>
      </c>
      <c r="AE113" s="94">
        <v>10</v>
      </c>
      <c r="AF113" s="69"/>
      <c r="AG113" s="69"/>
      <c r="AH113" s="69"/>
      <c r="AI113" s="69"/>
      <c r="AJ113" s="69"/>
      <c r="AK113" s="69"/>
      <c r="AL113" s="348"/>
      <c r="AM113" s="110">
        <v>75</v>
      </c>
      <c r="AN113" s="94">
        <v>10</v>
      </c>
      <c r="AO113" s="69"/>
      <c r="AP113" s="69"/>
    </row>
    <row r="114" spans="12:42" x14ac:dyDescent="0.25">
      <c r="L114" s="92">
        <v>3900</v>
      </c>
      <c r="M114">
        <v>4</v>
      </c>
      <c r="T114" s="348"/>
      <c r="U114" s="92">
        <v>3900</v>
      </c>
      <c r="V114">
        <v>4</v>
      </c>
      <c r="AC114" s="348"/>
      <c r="AD114" s="92">
        <v>3900</v>
      </c>
      <c r="AE114">
        <v>4</v>
      </c>
      <c r="AL114" s="348"/>
      <c r="AM114" s="92">
        <v>3900</v>
      </c>
    </row>
    <row r="115" spans="12:42" ht="35.25" thickBot="1" x14ac:dyDescent="0.35">
      <c r="L115" s="111"/>
      <c r="M115" s="71">
        <v>350</v>
      </c>
      <c r="N115" s="71">
        <v>750</v>
      </c>
      <c r="O115" s="78">
        <f>PI()/4*(N116*O116^2+Q116*R116^2)/M115/N115</f>
        <v>1.2931393760776271E-2</v>
      </c>
      <c r="P115" s="78">
        <f>PI()/4*(N117*O117^2+Q117*R117^2)/M115/N115</f>
        <v>5.9839860068377016E-3</v>
      </c>
      <c r="Q115" s="78">
        <f>O118*PI()*P118^2/4/R115/M115</f>
        <v>3.9618114252166856E-3</v>
      </c>
      <c r="R115" s="71">
        <v>145</v>
      </c>
      <c r="S115" s="71">
        <v>8200</v>
      </c>
      <c r="T115" s="381"/>
      <c r="U115" s="111"/>
      <c r="V115" s="71">
        <v>350</v>
      </c>
      <c r="W115" s="71">
        <v>750</v>
      </c>
      <c r="X115" s="78">
        <f>PI()/4*(W116*X116^2+Z116*AA116^2)/V115/W115</f>
        <v>9.7179932751044265E-3</v>
      </c>
      <c r="Y115" s="78">
        <f>PI()/4*(W117*X117^2+Z117*AA117^2)/V115/W115</f>
        <v>5.1222920218530719E-3</v>
      </c>
      <c r="Z115" s="78">
        <f>X118*PI()*Y118^2/4/AA115/V115</f>
        <v>3.9618114252166856E-3</v>
      </c>
      <c r="AA115" s="71">
        <v>145</v>
      </c>
      <c r="AB115" s="71">
        <v>8200</v>
      </c>
      <c r="AC115" s="381"/>
      <c r="AD115" s="111"/>
      <c r="AE115" s="71">
        <v>350</v>
      </c>
      <c r="AF115" s="71">
        <v>750</v>
      </c>
      <c r="AG115" s="78">
        <f>PI()/4*(AF116*AG116^2+AI116*AJ116^2)/AE115/AF115</f>
        <v>1.2931393760776271E-2</v>
      </c>
      <c r="AH115" s="78">
        <f>PI()/4*(AF117*AG117^2+AI117*AJ117^2)/AE115/AF115</f>
        <v>5.9839860068377016E-3</v>
      </c>
      <c r="AI115" s="78">
        <f>AG118*PI()*AH118^2/4/AJ115/AE115</f>
        <v>3.9618114252166856E-3</v>
      </c>
      <c r="AJ115" s="71">
        <v>145</v>
      </c>
      <c r="AK115" s="71">
        <v>8200</v>
      </c>
      <c r="AL115" s="381"/>
      <c r="AM115" s="113" t="s">
        <v>1071</v>
      </c>
    </row>
    <row r="116" spans="12:42" ht="15.75" thickTop="1" x14ac:dyDescent="0.25">
      <c r="L116" s="72"/>
      <c r="M116" s="83" t="s">
        <v>373</v>
      </c>
      <c r="N116" s="74">
        <v>3</v>
      </c>
      <c r="O116" s="75">
        <v>32</v>
      </c>
      <c r="P116" s="77" t="str">
        <f>IF(ISBLANK(Q116),"","+")</f>
        <v>+</v>
      </c>
      <c r="Q116" s="74">
        <v>2</v>
      </c>
      <c r="R116" s="84">
        <v>25</v>
      </c>
      <c r="S116" s="70"/>
      <c r="T116" s="68"/>
      <c r="U116" s="72"/>
      <c r="V116" s="83" t="s">
        <v>373</v>
      </c>
      <c r="W116" s="74">
        <v>2</v>
      </c>
      <c r="X116" s="75">
        <v>32</v>
      </c>
      <c r="Y116" s="77" t="str">
        <f>IF(ISBLANK(Z116),"","+")</f>
        <v>+</v>
      </c>
      <c r="Z116" s="74">
        <v>3</v>
      </c>
      <c r="AA116" s="84">
        <v>20</v>
      </c>
      <c r="AB116" s="70"/>
      <c r="AC116" s="68"/>
      <c r="AD116" s="72"/>
      <c r="AE116" s="83" t="s">
        <v>373</v>
      </c>
      <c r="AF116" s="74">
        <v>3</v>
      </c>
      <c r="AG116" s="75">
        <v>32</v>
      </c>
      <c r="AH116" s="77" t="str">
        <f>IF(ISBLANK(AI116),"","+")</f>
        <v>+</v>
      </c>
      <c r="AI116" s="74">
        <v>2</v>
      </c>
      <c r="AJ116" s="84">
        <v>25</v>
      </c>
      <c r="AK116" s="70"/>
      <c r="AL116" s="68"/>
      <c r="AM116" s="73"/>
    </row>
    <row r="117" spans="12:42" x14ac:dyDescent="0.25">
      <c r="L117" s="73">
        <v>450</v>
      </c>
      <c r="M117" s="85" t="s">
        <v>375</v>
      </c>
      <c r="N117">
        <v>5</v>
      </c>
      <c r="O117" s="76">
        <v>20</v>
      </c>
      <c r="P117" s="1" t="str">
        <f>IF(ISBLANK(Q117),"","+")</f>
        <v/>
      </c>
      <c r="R117" s="86"/>
      <c r="S117" s="69"/>
      <c r="T117" s="348"/>
      <c r="U117" s="73">
        <v>750</v>
      </c>
      <c r="V117" s="85" t="s">
        <v>375</v>
      </c>
      <c r="W117">
        <v>3</v>
      </c>
      <c r="X117" s="76">
        <v>20</v>
      </c>
      <c r="Y117" s="1" t="str">
        <f>IF(ISBLANK(Z117),"","+")</f>
        <v>+</v>
      </c>
      <c r="Z117">
        <v>2</v>
      </c>
      <c r="AA117" s="86">
        <v>16</v>
      </c>
      <c r="AB117" s="69"/>
      <c r="AC117" s="348"/>
      <c r="AD117" s="73">
        <v>750</v>
      </c>
      <c r="AE117" s="85" t="s">
        <v>375</v>
      </c>
      <c r="AF117">
        <v>5</v>
      </c>
      <c r="AG117" s="76">
        <v>20</v>
      </c>
      <c r="AH117" s="1" t="str">
        <f>IF(ISBLANK(AI117),"","+")</f>
        <v/>
      </c>
      <c r="AJ117" s="86"/>
      <c r="AK117" s="69"/>
      <c r="AL117" s="348"/>
      <c r="AM117" s="73">
        <v>450</v>
      </c>
    </row>
    <row r="118" spans="12:42" x14ac:dyDescent="0.25">
      <c r="L118" s="73">
        <v>700</v>
      </c>
      <c r="M118" s="87" t="s">
        <v>377</v>
      </c>
      <c r="N118" s="88"/>
      <c r="O118" s="89">
        <v>4</v>
      </c>
      <c r="P118" s="90">
        <v>8</v>
      </c>
      <c r="Q118" s="88"/>
      <c r="R118" s="91"/>
      <c r="S118" s="69"/>
      <c r="T118" s="348"/>
      <c r="U118" s="73">
        <v>750</v>
      </c>
      <c r="V118" s="87" t="s">
        <v>377</v>
      </c>
      <c r="W118" s="88"/>
      <c r="X118" s="89">
        <v>4</v>
      </c>
      <c r="Y118" s="90">
        <v>8</v>
      </c>
      <c r="Z118" s="88"/>
      <c r="AA118" s="91"/>
      <c r="AB118" s="69"/>
      <c r="AC118" s="348"/>
      <c r="AD118" s="73">
        <v>750</v>
      </c>
      <c r="AE118" s="87" t="s">
        <v>377</v>
      </c>
      <c r="AF118" s="88"/>
      <c r="AG118" s="89">
        <v>4</v>
      </c>
      <c r="AH118" s="90">
        <v>8</v>
      </c>
      <c r="AI118" s="88"/>
      <c r="AJ118" s="91"/>
      <c r="AK118" s="69"/>
      <c r="AL118" s="348"/>
      <c r="AM118" s="73">
        <v>700</v>
      </c>
    </row>
    <row r="119" spans="12:42" x14ac:dyDescent="0.25">
      <c r="L119" s="97">
        <f>PI()/4*(M120*N120^2+M121*N121^2)/L117/L118</f>
        <v>1.1648826093310723E-2</v>
      </c>
      <c r="M119" s="69"/>
      <c r="S119" s="69"/>
      <c r="T119" s="348"/>
      <c r="U119" s="97">
        <f>PI()/4*(V120*W120^2+V121*W121^2)/U117/U118</f>
        <v>1.2426744274199628E-2</v>
      </c>
      <c r="V119" s="69"/>
      <c r="AB119" s="69"/>
      <c r="AC119" s="348"/>
      <c r="AD119" s="97">
        <f>PI()/4*(AE120*AF120^2+AE121*AF121^2)/AD117/AD118</f>
        <v>1.2426744274199628E-2</v>
      </c>
      <c r="AE119" s="69"/>
      <c r="AK119" s="69"/>
      <c r="AL119" s="348"/>
      <c r="AM119" s="97">
        <f>PI()/4*(AN120*AO120^2+AN121*AO121^2)/AM117/AM118</f>
        <v>1.1648826093310723E-2</v>
      </c>
      <c r="AN119" s="69"/>
    </row>
    <row r="120" spans="12:42" x14ac:dyDescent="0.25">
      <c r="L120" s="109">
        <f>PI()/4*(2*N120^2+2*N121^2)/L117/L118</f>
        <v>3.2712456837379429E-3</v>
      </c>
      <c r="M120" s="93">
        <v>4</v>
      </c>
      <c r="N120" s="94">
        <v>20</v>
      </c>
      <c r="O120" s="95" t="str">
        <f>IF(ISBLANK(M121),"","+")</f>
        <v>+</v>
      </c>
      <c r="P120" s="69"/>
      <c r="Q120" s="69"/>
      <c r="R120" s="69"/>
      <c r="S120" s="69"/>
      <c r="T120" s="348"/>
      <c r="U120" s="109">
        <f>PI()/4*(2*W120^2+2*W121^2)/U117/U118</f>
        <v>2.8623399732706999E-3</v>
      </c>
      <c r="V120" s="93">
        <v>4</v>
      </c>
      <c r="W120" s="94">
        <v>25</v>
      </c>
      <c r="X120" s="95" t="str">
        <f>IF(ISBLANK(V121),"","+")</f>
        <v>+</v>
      </c>
      <c r="Y120" s="69"/>
      <c r="Z120" s="69"/>
      <c r="AA120" s="69"/>
      <c r="AB120" s="69"/>
      <c r="AC120" s="348"/>
      <c r="AD120" s="109">
        <f>PI()/4*(2*AF120^2+2*AF121^2)/AD117/AD118</f>
        <v>2.8623399732706999E-3</v>
      </c>
      <c r="AE120" s="93">
        <v>4</v>
      </c>
      <c r="AF120" s="94">
        <v>25</v>
      </c>
      <c r="AG120" s="95" t="str">
        <f>IF(ISBLANK(AE121),"","+")</f>
        <v>+</v>
      </c>
      <c r="AH120" s="69"/>
      <c r="AI120" s="69"/>
      <c r="AJ120" s="69"/>
      <c r="AK120" s="69"/>
      <c r="AL120" s="348"/>
      <c r="AM120" s="109">
        <f>PI()/4*(2*AO120^2+2*AO121^2)/AM117/AM118</f>
        <v>3.2712456837379429E-3</v>
      </c>
      <c r="AN120" s="93">
        <v>4</v>
      </c>
      <c r="AO120" s="94">
        <v>20</v>
      </c>
      <c r="AP120" s="95" t="str">
        <f>IF(ISBLANK(AN121),"","+")</f>
        <v>+</v>
      </c>
    </row>
    <row r="121" spans="12:42" x14ac:dyDescent="0.25">
      <c r="L121" s="347">
        <f>M123*PI()*M122^2/4/L122/L117</f>
        <v>6.9813170079773184E-3</v>
      </c>
      <c r="M121" s="88">
        <v>12</v>
      </c>
      <c r="N121" s="90">
        <v>16</v>
      </c>
      <c r="O121" s="96"/>
      <c r="P121" s="69"/>
      <c r="Q121" s="69"/>
      <c r="R121" s="69"/>
      <c r="S121" s="69"/>
      <c r="T121" s="348"/>
      <c r="U121" s="347">
        <f>V123*PI()*V122^2/4/U122/U117</f>
        <v>6.2831853071795866E-3</v>
      </c>
      <c r="V121" s="88">
        <v>16</v>
      </c>
      <c r="W121" s="90">
        <v>20</v>
      </c>
      <c r="X121" s="96"/>
      <c r="Y121" s="69"/>
      <c r="Z121" s="69"/>
      <c r="AA121" s="69"/>
      <c r="AB121" s="69"/>
      <c r="AC121" s="348"/>
      <c r="AD121" s="347">
        <f>AE123*PI()*AE122^2/4/AD122/AD117</f>
        <v>6.2831853071795866E-3</v>
      </c>
      <c r="AE121" s="88">
        <v>16</v>
      </c>
      <c r="AF121" s="90">
        <v>20</v>
      </c>
      <c r="AG121" s="96"/>
      <c r="AH121" s="69"/>
      <c r="AI121" s="69"/>
      <c r="AJ121" s="69"/>
      <c r="AK121" s="69"/>
      <c r="AL121" s="348"/>
      <c r="AM121" s="347">
        <f>AN123*PI()*AN122^2/4/AM122/AM117</f>
        <v>0</v>
      </c>
      <c r="AN121" s="88">
        <v>12</v>
      </c>
      <c r="AO121" s="90">
        <v>16</v>
      </c>
      <c r="AP121" s="96"/>
    </row>
    <row r="122" spans="12:42" x14ac:dyDescent="0.25">
      <c r="L122" s="110">
        <v>100</v>
      </c>
      <c r="M122" s="94">
        <v>10</v>
      </c>
      <c r="N122" s="69"/>
      <c r="O122" s="69"/>
      <c r="P122" s="69"/>
      <c r="Q122" s="69"/>
      <c r="R122" s="69"/>
      <c r="S122" s="69"/>
      <c r="T122" s="348"/>
      <c r="U122" s="110">
        <v>100</v>
      </c>
      <c r="V122" s="94">
        <v>10</v>
      </c>
      <c r="W122" s="69"/>
      <c r="X122" s="69"/>
      <c r="Y122" s="69"/>
      <c r="Z122" s="69"/>
      <c r="AA122" s="69"/>
      <c r="AB122" s="69"/>
      <c r="AC122" s="348"/>
      <c r="AD122" s="110">
        <v>100</v>
      </c>
      <c r="AE122" s="94">
        <v>10</v>
      </c>
      <c r="AF122" s="69"/>
      <c r="AG122" s="69"/>
      <c r="AH122" s="69"/>
      <c r="AI122" s="69"/>
      <c r="AJ122" s="69"/>
      <c r="AK122" s="69"/>
      <c r="AL122" s="348"/>
      <c r="AM122" s="110">
        <v>100</v>
      </c>
      <c r="AN122" s="94">
        <v>10</v>
      </c>
      <c r="AO122" s="69"/>
      <c r="AP122" s="69"/>
    </row>
    <row r="123" spans="12:42" x14ac:dyDescent="0.25">
      <c r="L123" s="92">
        <v>3900</v>
      </c>
      <c r="M123">
        <v>4</v>
      </c>
      <c r="T123" s="348"/>
      <c r="U123" s="92">
        <v>3900</v>
      </c>
      <c r="V123">
        <v>6</v>
      </c>
      <c r="AC123" s="348"/>
      <c r="AD123" s="92">
        <v>3900</v>
      </c>
      <c r="AE123">
        <v>6</v>
      </c>
      <c r="AL123" s="348"/>
      <c r="AM123" s="92">
        <v>3900</v>
      </c>
    </row>
    <row r="124" spans="12:42" ht="35.25" thickBot="1" x14ac:dyDescent="0.35">
      <c r="L124" s="111"/>
      <c r="M124" s="71">
        <v>350</v>
      </c>
      <c r="N124" s="71">
        <v>750</v>
      </c>
      <c r="O124" s="78">
        <f>PI()/4*(N125*O125^2+Q125*R125^2)/M124/N124</f>
        <v>1.2931393760776271E-2</v>
      </c>
      <c r="P124" s="78">
        <f>PI()/4*(N126*O126^2+Q126*R126^2)/M124/N124</f>
        <v>5.9839860068377016E-3</v>
      </c>
      <c r="Q124" s="78">
        <f>O127*PI()*P127^2/4/R124/M124</f>
        <v>3.9618114252166856E-3</v>
      </c>
      <c r="R124" s="71">
        <v>145</v>
      </c>
      <c r="S124" s="71">
        <v>8200</v>
      </c>
      <c r="T124" s="381"/>
      <c r="U124" s="111"/>
      <c r="V124" s="71">
        <v>350</v>
      </c>
      <c r="W124" s="71">
        <v>750</v>
      </c>
      <c r="X124" s="78">
        <f>PI()/4*(W125*X125^2+Z125*AA125^2)/V124/W124</f>
        <v>9.7179932751044265E-3</v>
      </c>
      <c r="Y124" s="78">
        <f>PI()/4*(W126*X126^2+Z126*AA126^2)/V124/W124</f>
        <v>5.1222920218530719E-3</v>
      </c>
      <c r="Z124" s="78">
        <f>X127*PI()*Y127^2/4/AA124/V124</f>
        <v>3.9618114252166856E-3</v>
      </c>
      <c r="AA124" s="71">
        <v>145</v>
      </c>
      <c r="AB124" s="71">
        <v>8200</v>
      </c>
      <c r="AC124" s="381"/>
      <c r="AD124" s="111"/>
      <c r="AE124" s="71">
        <v>350</v>
      </c>
      <c r="AF124" s="71">
        <v>750</v>
      </c>
      <c r="AG124" s="78">
        <f>PI()/4*(AF125*AG125^2+AI125*AJ125^2)/AE124/AF124</f>
        <v>1.2931393760776271E-2</v>
      </c>
      <c r="AH124" s="78">
        <f>PI()/4*(AF126*AG126^2+AI126*AJ126^2)/AE124/AF124</f>
        <v>5.9839860068377016E-3</v>
      </c>
      <c r="AI124" s="78">
        <f>AG127*PI()*AH127^2/4/AJ124/AE124</f>
        <v>3.9618114252166856E-3</v>
      </c>
      <c r="AJ124" s="71">
        <v>145</v>
      </c>
      <c r="AK124" s="71">
        <v>8200</v>
      </c>
      <c r="AL124" s="381"/>
      <c r="AM124" s="113" t="s">
        <v>1072</v>
      </c>
    </row>
    <row r="125" spans="12:42" ht="15.75" thickTop="1" x14ac:dyDescent="0.25">
      <c r="L125" s="72"/>
      <c r="M125" s="83" t="s">
        <v>373</v>
      </c>
      <c r="N125" s="74">
        <v>3</v>
      </c>
      <c r="O125" s="75">
        <v>32</v>
      </c>
      <c r="P125" s="77" t="str">
        <f>IF(ISBLANK(Q125),"","+")</f>
        <v>+</v>
      </c>
      <c r="Q125" s="74">
        <v>2</v>
      </c>
      <c r="R125" s="84">
        <v>25</v>
      </c>
      <c r="S125" s="70"/>
      <c r="T125" s="68"/>
      <c r="U125" s="72"/>
      <c r="V125" s="83" t="s">
        <v>373</v>
      </c>
      <c r="W125" s="74">
        <v>2</v>
      </c>
      <c r="X125" s="75">
        <v>32</v>
      </c>
      <c r="Y125" s="77" t="str">
        <f>IF(ISBLANK(Z125),"","+")</f>
        <v>+</v>
      </c>
      <c r="Z125" s="74">
        <v>3</v>
      </c>
      <c r="AA125" s="84">
        <v>20</v>
      </c>
      <c r="AB125" s="70"/>
      <c r="AC125" s="68"/>
      <c r="AD125" s="72"/>
      <c r="AE125" s="83" t="s">
        <v>373</v>
      </c>
      <c r="AF125" s="74">
        <v>3</v>
      </c>
      <c r="AG125" s="75">
        <v>32</v>
      </c>
      <c r="AH125" s="77" t="str">
        <f>IF(ISBLANK(AI125),"","+")</f>
        <v>+</v>
      </c>
      <c r="AI125" s="74">
        <v>2</v>
      </c>
      <c r="AJ125" s="84">
        <v>25</v>
      </c>
      <c r="AK125" s="70"/>
      <c r="AL125" s="68"/>
      <c r="AM125" s="73"/>
    </row>
    <row r="126" spans="12:42" x14ac:dyDescent="0.25">
      <c r="L126" s="73">
        <v>450</v>
      </c>
      <c r="M126" s="85" t="s">
        <v>375</v>
      </c>
      <c r="N126">
        <v>5</v>
      </c>
      <c r="O126" s="76">
        <v>20</v>
      </c>
      <c r="P126" s="1" t="str">
        <f>IF(ISBLANK(Q126),"","+")</f>
        <v/>
      </c>
      <c r="R126" s="86"/>
      <c r="S126" s="69"/>
      <c r="T126" s="348"/>
      <c r="U126" s="73">
        <v>750</v>
      </c>
      <c r="V126" s="85" t="s">
        <v>375</v>
      </c>
      <c r="W126">
        <v>3</v>
      </c>
      <c r="X126" s="76">
        <v>20</v>
      </c>
      <c r="Y126" s="1" t="str">
        <f>IF(ISBLANK(Z126),"","+")</f>
        <v>+</v>
      </c>
      <c r="Z126">
        <v>2</v>
      </c>
      <c r="AA126" s="86">
        <v>16</v>
      </c>
      <c r="AB126" s="69"/>
      <c r="AC126" s="348"/>
      <c r="AD126" s="73">
        <v>750</v>
      </c>
      <c r="AE126" s="85" t="s">
        <v>375</v>
      </c>
      <c r="AF126">
        <v>5</v>
      </c>
      <c r="AG126" s="76">
        <v>20</v>
      </c>
      <c r="AH126" s="1" t="str">
        <f>IF(ISBLANK(AI126),"","+")</f>
        <v/>
      </c>
      <c r="AJ126" s="86"/>
      <c r="AK126" s="69"/>
      <c r="AL126" s="348"/>
      <c r="AM126" s="73">
        <v>450</v>
      </c>
    </row>
    <row r="127" spans="12:42" x14ac:dyDescent="0.25">
      <c r="L127" s="73">
        <v>700</v>
      </c>
      <c r="M127" s="87" t="s">
        <v>377</v>
      </c>
      <c r="N127" s="88"/>
      <c r="O127" s="89">
        <v>4</v>
      </c>
      <c r="P127" s="90">
        <v>8</v>
      </c>
      <c r="Q127" s="88"/>
      <c r="R127" s="91"/>
      <c r="S127" s="69"/>
      <c r="T127" s="348"/>
      <c r="U127" s="73">
        <v>750</v>
      </c>
      <c r="V127" s="87" t="s">
        <v>377</v>
      </c>
      <c r="W127" s="88"/>
      <c r="X127" s="89">
        <v>4</v>
      </c>
      <c r="Y127" s="90">
        <v>8</v>
      </c>
      <c r="Z127" s="88"/>
      <c r="AA127" s="91"/>
      <c r="AB127" s="69"/>
      <c r="AC127" s="348"/>
      <c r="AD127" s="73">
        <v>750</v>
      </c>
      <c r="AE127" s="87" t="s">
        <v>377</v>
      </c>
      <c r="AF127" s="88"/>
      <c r="AG127" s="89">
        <v>4</v>
      </c>
      <c r="AH127" s="90">
        <v>8</v>
      </c>
      <c r="AI127" s="88"/>
      <c r="AJ127" s="91"/>
      <c r="AK127" s="69"/>
      <c r="AL127" s="348"/>
      <c r="AM127" s="73">
        <v>700</v>
      </c>
    </row>
    <row r="128" spans="12:42" x14ac:dyDescent="0.25">
      <c r="L128" s="97">
        <f>PI()/4*(M129*N129^2+M130*N130^2)/L126/L127</f>
        <v>1.8201290770798007E-2</v>
      </c>
      <c r="M128" s="69"/>
      <c r="S128" s="69"/>
      <c r="T128" s="348"/>
      <c r="U128" s="97">
        <f>PI()/4*(V129*W129^2+V130*W130^2)/U126/U127</f>
        <v>2.0664698343612863E-2</v>
      </c>
      <c r="V128" s="69"/>
      <c r="AB128" s="69"/>
      <c r="AC128" s="348"/>
      <c r="AD128" s="97">
        <f>PI()/4*(AE129*AF129^2+AE130*AF130^2)/AD126/AD127</f>
        <v>2.0664698343612863E-2</v>
      </c>
      <c r="AE128" s="69"/>
      <c r="AK128" s="69"/>
      <c r="AL128" s="348"/>
      <c r="AM128" s="97">
        <f>PI()/4*(AN129*AO129^2+AN130*AO130^2)/AM126/AM127</f>
        <v>1.8201290770798007E-2</v>
      </c>
      <c r="AN128" s="69"/>
    </row>
    <row r="129" spans="12:42" x14ac:dyDescent="0.25">
      <c r="L129" s="109">
        <f>PI()/4*(2*N129^2+2*N130^2)/L126/L127</f>
        <v>5.1113213808405365E-3</v>
      </c>
      <c r="M129" s="93">
        <v>4</v>
      </c>
      <c r="N129" s="94">
        <v>25</v>
      </c>
      <c r="O129" s="95" t="str">
        <f>IF(ISBLANK(M130),"","+")</f>
        <v>+</v>
      </c>
      <c r="P129" s="69"/>
      <c r="Q129" s="69"/>
      <c r="R129" s="69"/>
      <c r="S129" s="69"/>
      <c r="T129" s="348"/>
      <c r="U129" s="109">
        <f>PI()/4*(2*W129^2+2*W130^2)/U126/U127</f>
        <v>2.8623399732706999E-3</v>
      </c>
      <c r="V129" s="93">
        <v>16</v>
      </c>
      <c r="W129" s="94">
        <v>25</v>
      </c>
      <c r="X129" s="95" t="str">
        <f>IF(ISBLANK(V130),"","+")</f>
        <v>+</v>
      </c>
      <c r="Y129" s="69"/>
      <c r="Z129" s="69"/>
      <c r="AA129" s="69"/>
      <c r="AB129" s="69"/>
      <c r="AC129" s="348"/>
      <c r="AD129" s="109">
        <f>PI()/4*(2*AF129^2+2*AF130^2)/AD126/AD127</f>
        <v>2.8623399732706999E-3</v>
      </c>
      <c r="AE129" s="93">
        <v>16</v>
      </c>
      <c r="AF129" s="94">
        <v>25</v>
      </c>
      <c r="AG129" s="95" t="str">
        <f>IF(ISBLANK(AE130),"","+")</f>
        <v>+</v>
      </c>
      <c r="AH129" s="69"/>
      <c r="AI129" s="69"/>
      <c r="AJ129" s="69"/>
      <c r="AK129" s="69"/>
      <c r="AL129" s="348"/>
      <c r="AM129" s="109">
        <f>PI()/4*(2*AO129^2+2*AO130^2)/AM126/AM127</f>
        <v>5.1113213808405365E-3</v>
      </c>
      <c r="AN129" s="93">
        <v>4</v>
      </c>
      <c r="AO129" s="94">
        <v>25</v>
      </c>
      <c r="AP129" s="95" t="str">
        <f>IF(ISBLANK(AN130),"","+")</f>
        <v>+</v>
      </c>
    </row>
    <row r="130" spans="12:42" x14ac:dyDescent="0.25">
      <c r="L130" s="347">
        <f>M132*PI()*M131^2/4/L131/L126</f>
        <v>6.9813170079773184E-3</v>
      </c>
      <c r="M130" s="88">
        <v>12</v>
      </c>
      <c r="N130" s="90">
        <v>20</v>
      </c>
      <c r="O130" s="96"/>
      <c r="P130" s="69"/>
      <c r="Q130" s="69"/>
      <c r="R130" s="69"/>
      <c r="S130" s="69"/>
      <c r="T130" s="348"/>
      <c r="U130" s="347">
        <f>V132*PI()*V131^2/4/U131/U126</f>
        <v>6.2831853071795866E-3</v>
      </c>
      <c r="V130" s="88">
        <v>12</v>
      </c>
      <c r="W130" s="90">
        <v>20</v>
      </c>
      <c r="X130" s="96"/>
      <c r="Y130" s="69"/>
      <c r="Z130" s="69"/>
      <c r="AA130" s="69"/>
      <c r="AB130" s="69"/>
      <c r="AC130" s="348"/>
      <c r="AD130" s="347">
        <f>AE132*PI()*AE131^2/4/AD131/AD126</f>
        <v>6.2831853071795866E-3</v>
      </c>
      <c r="AE130" s="88">
        <v>12</v>
      </c>
      <c r="AF130" s="90">
        <v>20</v>
      </c>
      <c r="AG130" s="96"/>
      <c r="AH130" s="69"/>
      <c r="AI130" s="69"/>
      <c r="AJ130" s="69"/>
      <c r="AK130" s="69"/>
      <c r="AL130" s="348"/>
      <c r="AM130" s="347">
        <f>AN132*PI()*AN131^2/4/AM131/AM126</f>
        <v>0</v>
      </c>
      <c r="AN130" s="88">
        <v>12</v>
      </c>
      <c r="AO130" s="90">
        <v>20</v>
      </c>
      <c r="AP130" s="96"/>
    </row>
    <row r="131" spans="12:42" x14ac:dyDescent="0.25">
      <c r="L131" s="110">
        <v>100</v>
      </c>
      <c r="M131" s="94">
        <v>10</v>
      </c>
      <c r="N131" s="69"/>
      <c r="O131" s="69"/>
      <c r="P131" s="69"/>
      <c r="Q131" s="69"/>
      <c r="R131" s="69"/>
      <c r="S131" s="69"/>
      <c r="T131" s="348"/>
      <c r="U131" s="110">
        <v>100</v>
      </c>
      <c r="V131" s="94">
        <v>10</v>
      </c>
      <c r="W131" s="69"/>
      <c r="X131" s="69"/>
      <c r="Y131" s="69"/>
      <c r="Z131" s="69"/>
      <c r="AA131" s="69"/>
      <c r="AB131" s="69"/>
      <c r="AC131" s="348"/>
      <c r="AD131" s="110">
        <v>100</v>
      </c>
      <c r="AE131" s="94">
        <v>10</v>
      </c>
      <c r="AF131" s="69"/>
      <c r="AG131" s="69"/>
      <c r="AH131" s="69"/>
      <c r="AI131" s="69"/>
      <c r="AJ131" s="69"/>
      <c r="AK131" s="69"/>
      <c r="AL131" s="348"/>
      <c r="AM131" s="110">
        <v>100</v>
      </c>
      <c r="AN131" s="94">
        <v>10</v>
      </c>
      <c r="AO131" s="69"/>
      <c r="AP131" s="69"/>
    </row>
    <row r="132" spans="12:42" x14ac:dyDescent="0.25">
      <c r="L132" s="92">
        <v>3900</v>
      </c>
      <c r="M132">
        <v>4</v>
      </c>
      <c r="T132" s="348"/>
      <c r="U132" s="92">
        <v>3900</v>
      </c>
      <c r="V132">
        <v>6</v>
      </c>
      <c r="AC132" s="348"/>
      <c r="AD132" s="92">
        <v>3900</v>
      </c>
      <c r="AE132">
        <v>6</v>
      </c>
      <c r="AL132" s="348"/>
      <c r="AM132" s="92">
        <v>3900</v>
      </c>
    </row>
    <row r="133" spans="12:42" ht="35.25" thickBot="1" x14ac:dyDescent="0.35">
      <c r="L133" s="111"/>
      <c r="M133" s="71">
        <v>350</v>
      </c>
      <c r="N133" s="71">
        <v>750</v>
      </c>
      <c r="O133" s="78">
        <f>PI()/4*(N134*O134^2+Q134*R134^2)/M133/N133</f>
        <v>1.2931393760776271E-2</v>
      </c>
      <c r="P133" s="78">
        <f>PI()/4*(N135*O135^2+Q135*R135^2)/M133/N133</f>
        <v>5.9839860068377016E-3</v>
      </c>
      <c r="Q133" s="78">
        <f>O136*PI()*P136^2/4/R133/M133</f>
        <v>3.9618114252166856E-3</v>
      </c>
      <c r="R133" s="71">
        <v>145</v>
      </c>
      <c r="S133" s="71">
        <v>8200</v>
      </c>
      <c r="T133" s="381"/>
      <c r="U133" s="111"/>
      <c r="V133" s="71">
        <v>350</v>
      </c>
      <c r="W133" s="71">
        <v>750</v>
      </c>
      <c r="X133" s="78">
        <f>PI()/4*(W134*X134^2+Z134*AA134^2)/V133/W133</f>
        <v>9.7179932751044265E-3</v>
      </c>
      <c r="Y133" s="78">
        <f>PI()/4*(W135*X135^2+Z135*AA135^2)/V133/W133</f>
        <v>5.1222920218530719E-3</v>
      </c>
      <c r="Z133" s="78">
        <f>X136*PI()*Y136^2/4/AA133/V133</f>
        <v>3.9618114252166856E-3</v>
      </c>
      <c r="AA133" s="71">
        <v>145</v>
      </c>
      <c r="AB133" s="71">
        <v>8200</v>
      </c>
      <c r="AC133" s="381"/>
      <c r="AD133" s="111"/>
      <c r="AE133" s="71">
        <v>350</v>
      </c>
      <c r="AF133" s="71">
        <v>750</v>
      </c>
      <c r="AG133" s="78">
        <f>PI()/4*(AF134*AG134^2+AI134*AJ134^2)/AE133/AF133</f>
        <v>1.2931393760776271E-2</v>
      </c>
      <c r="AH133" s="78">
        <f>PI()/4*(AF135*AG135^2+AI135*AJ135^2)/AE133/AF133</f>
        <v>5.9839860068377016E-3</v>
      </c>
      <c r="AI133" s="78">
        <f>AG136*PI()*AH136^2/4/AJ133/AE133</f>
        <v>3.9618114252166856E-3</v>
      </c>
      <c r="AJ133" s="71">
        <v>145</v>
      </c>
      <c r="AK133" s="71">
        <v>8200</v>
      </c>
      <c r="AL133" s="381"/>
      <c r="AM133" s="113" t="s">
        <v>1073</v>
      </c>
    </row>
    <row r="134" spans="12:42" ht="15.75" thickTop="1" x14ac:dyDescent="0.25">
      <c r="L134" s="72"/>
      <c r="M134" s="83" t="s">
        <v>373</v>
      </c>
      <c r="N134" s="74">
        <v>3</v>
      </c>
      <c r="O134" s="75">
        <v>32</v>
      </c>
      <c r="P134" s="77" t="str">
        <f>IF(ISBLANK(Q134),"","+")</f>
        <v>+</v>
      </c>
      <c r="Q134" s="74">
        <v>2</v>
      </c>
      <c r="R134" s="84">
        <v>25</v>
      </c>
      <c r="S134" s="70"/>
      <c r="T134" s="68"/>
      <c r="U134" s="72"/>
      <c r="V134" s="83" t="s">
        <v>373</v>
      </c>
      <c r="W134" s="74">
        <v>2</v>
      </c>
      <c r="X134" s="75">
        <v>32</v>
      </c>
      <c r="Y134" s="77" t="str">
        <f>IF(ISBLANK(Z134),"","+")</f>
        <v>+</v>
      </c>
      <c r="Z134" s="74">
        <v>3</v>
      </c>
      <c r="AA134" s="84">
        <v>20</v>
      </c>
      <c r="AB134" s="70"/>
      <c r="AC134" s="68"/>
      <c r="AD134" s="72"/>
      <c r="AE134" s="83" t="s">
        <v>373</v>
      </c>
      <c r="AF134" s="74">
        <v>3</v>
      </c>
      <c r="AG134" s="75">
        <v>32</v>
      </c>
      <c r="AH134" s="77" t="str">
        <f>IF(ISBLANK(AI134),"","+")</f>
        <v>+</v>
      </c>
      <c r="AI134" s="74">
        <v>2</v>
      </c>
      <c r="AJ134" s="84">
        <v>25</v>
      </c>
      <c r="AK134" s="70"/>
      <c r="AL134" s="68"/>
      <c r="AM134" s="73"/>
    </row>
    <row r="135" spans="12:42" x14ac:dyDescent="0.25">
      <c r="L135" s="73">
        <v>450</v>
      </c>
      <c r="M135" s="85" t="s">
        <v>375</v>
      </c>
      <c r="N135">
        <v>5</v>
      </c>
      <c r="O135" s="76">
        <v>20</v>
      </c>
      <c r="P135" s="1" t="str">
        <f>IF(ISBLANK(Q135),"","+")</f>
        <v/>
      </c>
      <c r="R135" s="86"/>
      <c r="S135" s="69"/>
      <c r="T135" s="348"/>
      <c r="U135" s="73">
        <v>750</v>
      </c>
      <c r="V135" s="85" t="s">
        <v>375</v>
      </c>
      <c r="W135">
        <v>3</v>
      </c>
      <c r="X135" s="76">
        <v>20</v>
      </c>
      <c r="Y135" s="1" t="str">
        <f>IF(ISBLANK(Z135),"","+")</f>
        <v>+</v>
      </c>
      <c r="Z135">
        <v>2</v>
      </c>
      <c r="AA135" s="86">
        <v>16</v>
      </c>
      <c r="AB135" s="69"/>
      <c r="AC135" s="348"/>
      <c r="AD135" s="73">
        <v>750</v>
      </c>
      <c r="AE135" s="85" t="s">
        <v>375</v>
      </c>
      <c r="AF135">
        <v>5</v>
      </c>
      <c r="AG135" s="76">
        <v>20</v>
      </c>
      <c r="AH135" s="1" t="str">
        <f>IF(ISBLANK(AI135),"","+")</f>
        <v/>
      </c>
      <c r="AJ135" s="86"/>
      <c r="AK135" s="69"/>
      <c r="AL135" s="348"/>
      <c r="AM135" s="73">
        <v>450</v>
      </c>
    </row>
    <row r="136" spans="12:42" x14ac:dyDescent="0.25">
      <c r="L136" s="73">
        <v>700</v>
      </c>
      <c r="M136" s="87" t="s">
        <v>377</v>
      </c>
      <c r="N136" s="88"/>
      <c r="O136" s="89">
        <v>4</v>
      </c>
      <c r="P136" s="90">
        <v>8</v>
      </c>
      <c r="Q136" s="88"/>
      <c r="R136" s="91"/>
      <c r="S136" s="69"/>
      <c r="T136" s="348"/>
      <c r="U136" s="73">
        <v>750</v>
      </c>
      <c r="V136" s="87" t="s">
        <v>377</v>
      </c>
      <c r="W136" s="88"/>
      <c r="X136" s="89">
        <v>4</v>
      </c>
      <c r="Y136" s="90">
        <v>8</v>
      </c>
      <c r="Z136" s="88"/>
      <c r="AA136" s="91"/>
      <c r="AB136" s="69"/>
      <c r="AC136" s="348"/>
      <c r="AD136" s="73">
        <v>750</v>
      </c>
      <c r="AE136" s="87" t="s">
        <v>377</v>
      </c>
      <c r="AF136" s="88"/>
      <c r="AG136" s="89">
        <v>4</v>
      </c>
      <c r="AH136" s="90">
        <v>8</v>
      </c>
      <c r="AI136" s="88"/>
      <c r="AJ136" s="91"/>
      <c r="AK136" s="69"/>
      <c r="AL136" s="348"/>
      <c r="AM136" s="73">
        <v>700</v>
      </c>
    </row>
    <row r="137" spans="12:42" x14ac:dyDescent="0.25">
      <c r="L137" s="97">
        <f>PI()/4*(M138*N138^2+M139*N139^2)/L135/L136</f>
        <v>2.4933275028490423E-2</v>
      </c>
      <c r="M137" s="69"/>
      <c r="S137" s="69"/>
      <c r="T137" s="348"/>
      <c r="U137" s="97">
        <f>PI()/4*(V138*W138^2+V139*W139^2)/U135/U136</f>
        <v>2.9578443899398298E-2</v>
      </c>
      <c r="V137" s="69"/>
      <c r="AB137" s="69"/>
      <c r="AC137" s="348"/>
      <c r="AD137" s="97">
        <f>PI()/4*(AE138*AF138^2+AE139*AF139^2)/AD135/AD136</f>
        <v>2.9578443899398298E-2</v>
      </c>
      <c r="AE137" s="69"/>
      <c r="AK137" s="69"/>
      <c r="AL137" s="348"/>
      <c r="AM137" s="97">
        <f>PI()/4*(AN138*AO138^2+AN139*AO139^2)/AM135/AM136</f>
        <v>2.4933275028490423E-2</v>
      </c>
      <c r="AN137" s="69"/>
    </row>
    <row r="138" spans="12:42" x14ac:dyDescent="0.25">
      <c r="L138" s="109">
        <f>PI()/4*(2*N138^2+2*N139^2)/L135/L136</f>
        <v>3.1166593785613029E-3</v>
      </c>
      <c r="M138" s="93">
        <v>16</v>
      </c>
      <c r="N138" s="94">
        <v>25</v>
      </c>
      <c r="O138" s="95" t="str">
        <f>IF(ISBLANK(M139),"","+")</f>
        <v/>
      </c>
      <c r="P138" s="69"/>
      <c r="Q138" s="69"/>
      <c r="R138" s="69"/>
      <c r="S138" s="69"/>
      <c r="T138" s="348"/>
      <c r="U138" s="109">
        <f>PI()/4*(2*W138^2+2*W139^2)/U135/U136</f>
        <v>3.9765581677438802E-3</v>
      </c>
      <c r="V138" s="93">
        <v>16</v>
      </c>
      <c r="W138" s="94">
        <v>32</v>
      </c>
      <c r="X138" s="95" t="str">
        <f>IF(ISBLANK(V139),"","+")</f>
        <v>+</v>
      </c>
      <c r="Y138" s="69"/>
      <c r="Z138" s="69"/>
      <c r="AA138" s="69"/>
      <c r="AB138" s="69"/>
      <c r="AC138" s="348"/>
      <c r="AD138" s="109">
        <f>PI()/4*(2*AF138^2+2*AF139^2)/AD135/AD136</f>
        <v>3.9765581677438802E-3</v>
      </c>
      <c r="AE138" s="93">
        <v>16</v>
      </c>
      <c r="AF138" s="94">
        <v>32</v>
      </c>
      <c r="AG138" s="95" t="str">
        <f>IF(ISBLANK(AE139),"","+")</f>
        <v>+</v>
      </c>
      <c r="AH138" s="69"/>
      <c r="AI138" s="69"/>
      <c r="AJ138" s="69"/>
      <c r="AK138" s="69"/>
      <c r="AL138" s="348"/>
      <c r="AM138" s="109">
        <f>PI()/4*(2*AO138^2+2*AO139^2)/AM135/AM136</f>
        <v>3.1166593785613029E-3</v>
      </c>
      <c r="AN138" s="93">
        <v>16</v>
      </c>
      <c r="AO138" s="94">
        <v>25</v>
      </c>
      <c r="AP138" s="95" t="str">
        <f>IF(ISBLANK(AN139),"","+")</f>
        <v/>
      </c>
    </row>
    <row r="139" spans="12:42" x14ac:dyDescent="0.25">
      <c r="L139" s="347">
        <f>M141*PI()*M140^2/4/L140/L135</f>
        <v>6.9813170079773184E-3</v>
      </c>
      <c r="M139" s="88"/>
      <c r="N139" s="90"/>
      <c r="O139" s="96"/>
      <c r="P139" s="69"/>
      <c r="Q139" s="69"/>
      <c r="R139" s="69"/>
      <c r="S139" s="69"/>
      <c r="T139" s="348"/>
      <c r="U139" s="347">
        <f>V141*PI()*V140^2/4/U140/U135</f>
        <v>6.2831853071795866E-3</v>
      </c>
      <c r="V139" s="88">
        <v>12</v>
      </c>
      <c r="W139" s="90">
        <v>20</v>
      </c>
      <c r="X139" s="96"/>
      <c r="Y139" s="69"/>
      <c r="Z139" s="69"/>
      <c r="AA139" s="69"/>
      <c r="AB139" s="69"/>
      <c r="AC139" s="348"/>
      <c r="AD139" s="347">
        <f>AE141*PI()*AE140^2/4/AD140/AD135</f>
        <v>6.2831853071795866E-3</v>
      </c>
      <c r="AE139" s="88">
        <v>12</v>
      </c>
      <c r="AF139" s="90">
        <v>20</v>
      </c>
      <c r="AG139" s="96"/>
      <c r="AH139" s="69"/>
      <c r="AI139" s="69"/>
      <c r="AJ139" s="69"/>
      <c r="AK139" s="69"/>
      <c r="AL139" s="348"/>
      <c r="AM139" s="347">
        <f>AN141*PI()*AN140^2/4/AM140/AM135</f>
        <v>0</v>
      </c>
      <c r="AN139" s="88"/>
      <c r="AO139" s="90"/>
      <c r="AP139" s="96"/>
    </row>
    <row r="140" spans="12:42" x14ac:dyDescent="0.25">
      <c r="L140" s="110">
        <v>100</v>
      </c>
      <c r="M140" s="94">
        <v>10</v>
      </c>
      <c r="N140" s="69"/>
      <c r="O140" s="69"/>
      <c r="P140" s="69"/>
      <c r="Q140" s="69"/>
      <c r="R140" s="69"/>
      <c r="S140" s="69"/>
      <c r="T140" s="348"/>
      <c r="U140" s="110">
        <v>100</v>
      </c>
      <c r="V140" s="94">
        <v>10</v>
      </c>
      <c r="W140" s="69"/>
      <c r="X140" s="69"/>
      <c r="Y140" s="69"/>
      <c r="Z140" s="69"/>
      <c r="AA140" s="69"/>
      <c r="AB140" s="69"/>
      <c r="AC140" s="348"/>
      <c r="AD140" s="110">
        <v>100</v>
      </c>
      <c r="AE140" s="94">
        <v>10</v>
      </c>
      <c r="AF140" s="69"/>
      <c r="AG140" s="69"/>
      <c r="AH140" s="69"/>
      <c r="AI140" s="69"/>
      <c r="AJ140" s="69"/>
      <c r="AK140" s="69"/>
      <c r="AL140" s="348"/>
      <c r="AM140" s="110">
        <v>100</v>
      </c>
      <c r="AN140" s="94">
        <v>10</v>
      </c>
      <c r="AO140" s="69"/>
      <c r="AP140" s="69"/>
    </row>
    <row r="141" spans="12:42" x14ac:dyDescent="0.25">
      <c r="L141" s="92">
        <v>3900</v>
      </c>
      <c r="M141">
        <v>4</v>
      </c>
      <c r="T141" s="348"/>
      <c r="U141" s="92">
        <v>3900</v>
      </c>
      <c r="V141">
        <v>6</v>
      </c>
      <c r="AC141" s="348"/>
      <c r="AD141" s="92">
        <v>3900</v>
      </c>
      <c r="AE141">
        <v>6</v>
      </c>
      <c r="AL141" s="348"/>
      <c r="AM141" s="92">
        <v>3900</v>
      </c>
    </row>
    <row r="142" spans="12:42" ht="35.25" thickBot="1" x14ac:dyDescent="0.35">
      <c r="L142" s="111"/>
      <c r="M142" s="71">
        <v>350</v>
      </c>
      <c r="N142" s="71">
        <v>750</v>
      </c>
      <c r="O142" s="78">
        <f>PI()/4*(N143*O143^2+Q143*R143^2)/M142/N142</f>
        <v>1.2931393760776271E-2</v>
      </c>
      <c r="P142" s="78">
        <f>PI()/4*(N144*O144^2+Q144*R144^2)/M142/N142</f>
        <v>5.9839860068377016E-3</v>
      </c>
      <c r="Q142" s="78">
        <f>O145*PI()*P145^2/4/R142/M142</f>
        <v>3.9618114252166856E-3</v>
      </c>
      <c r="R142" s="71">
        <v>145</v>
      </c>
      <c r="S142" s="71">
        <v>8200</v>
      </c>
      <c r="T142" s="381"/>
      <c r="U142" s="111"/>
      <c r="V142" s="71">
        <v>350</v>
      </c>
      <c r="W142" s="71">
        <v>750</v>
      </c>
      <c r="X142" s="78">
        <f>PI()/4*(W143*X143^2+Z143*AA143^2)/V142/W142</f>
        <v>9.7179932751044265E-3</v>
      </c>
      <c r="Y142" s="78">
        <f>PI()/4*(W144*X144^2+Z144*AA144^2)/V142/W142</f>
        <v>5.1222920218530719E-3</v>
      </c>
      <c r="Z142" s="78">
        <f>X145*PI()*Y145^2/4/AA142/V142</f>
        <v>3.9618114252166856E-3</v>
      </c>
      <c r="AA142" s="71">
        <v>145</v>
      </c>
      <c r="AB142" s="71">
        <v>8200</v>
      </c>
      <c r="AC142" s="381"/>
      <c r="AD142" s="111"/>
      <c r="AE142" s="71">
        <v>350</v>
      </c>
      <c r="AF142" s="71">
        <v>750</v>
      </c>
      <c r="AG142" s="78">
        <f>PI()/4*(AF143*AG143^2+AI143*AJ143^2)/AE142/AF142</f>
        <v>1.2931393760776271E-2</v>
      </c>
      <c r="AH142" s="78">
        <f>PI()/4*(AF144*AG144^2+AI144*AJ144^2)/AE142/AF142</f>
        <v>5.9839860068377016E-3</v>
      </c>
      <c r="AI142" s="78">
        <f>AG145*PI()*AH145^2/4/AJ142/AE142</f>
        <v>3.9618114252166856E-3</v>
      </c>
      <c r="AJ142" s="71">
        <v>145</v>
      </c>
      <c r="AK142" s="71">
        <v>8200</v>
      </c>
      <c r="AL142" s="381"/>
      <c r="AM142" s="113" t="s">
        <v>1074</v>
      </c>
    </row>
    <row r="143" spans="12:42" ht="15.75" thickTop="1" x14ac:dyDescent="0.25">
      <c r="L143" s="72"/>
      <c r="M143" s="83" t="s">
        <v>373</v>
      </c>
      <c r="N143" s="74">
        <v>3</v>
      </c>
      <c r="O143" s="75">
        <v>32</v>
      </c>
      <c r="P143" s="77" t="str">
        <f>IF(ISBLANK(Q143),"","+")</f>
        <v>+</v>
      </c>
      <c r="Q143" s="74">
        <v>2</v>
      </c>
      <c r="R143" s="84">
        <v>25</v>
      </c>
      <c r="S143" s="70"/>
      <c r="T143" s="68"/>
      <c r="U143" s="72"/>
      <c r="V143" s="83" t="s">
        <v>373</v>
      </c>
      <c r="W143" s="74">
        <v>2</v>
      </c>
      <c r="X143" s="75">
        <v>32</v>
      </c>
      <c r="Y143" s="77" t="str">
        <f>IF(ISBLANK(Z143),"","+")</f>
        <v>+</v>
      </c>
      <c r="Z143" s="74">
        <v>3</v>
      </c>
      <c r="AA143" s="84">
        <v>20</v>
      </c>
      <c r="AB143" s="70"/>
      <c r="AC143" s="68"/>
      <c r="AD143" s="72"/>
      <c r="AE143" s="83" t="s">
        <v>373</v>
      </c>
      <c r="AF143" s="74">
        <v>3</v>
      </c>
      <c r="AG143" s="75">
        <v>32</v>
      </c>
      <c r="AH143" s="77" t="str">
        <f>IF(ISBLANK(AI143),"","+")</f>
        <v>+</v>
      </c>
      <c r="AI143" s="74">
        <v>2</v>
      </c>
      <c r="AJ143" s="84">
        <v>25</v>
      </c>
      <c r="AK143" s="70"/>
      <c r="AL143" s="68"/>
      <c r="AM143" s="73"/>
    </row>
    <row r="144" spans="12:42" x14ac:dyDescent="0.25">
      <c r="L144" s="73">
        <v>450</v>
      </c>
      <c r="M144" s="85" t="s">
        <v>375</v>
      </c>
      <c r="N144">
        <v>5</v>
      </c>
      <c r="O144" s="76">
        <v>20</v>
      </c>
      <c r="P144" s="1" t="str">
        <f>IF(ISBLANK(Q144),"","+")</f>
        <v/>
      </c>
      <c r="R144" s="86"/>
      <c r="S144" s="69"/>
      <c r="T144" s="348"/>
      <c r="U144" s="73">
        <v>750</v>
      </c>
      <c r="V144" s="85" t="s">
        <v>375</v>
      </c>
      <c r="W144">
        <v>3</v>
      </c>
      <c r="X144" s="76">
        <v>20</v>
      </c>
      <c r="Y144" s="1" t="str">
        <f>IF(ISBLANK(Z144),"","+")</f>
        <v>+</v>
      </c>
      <c r="Z144">
        <v>2</v>
      </c>
      <c r="AA144" s="86">
        <v>16</v>
      </c>
      <c r="AB144" s="69"/>
      <c r="AC144" s="348"/>
      <c r="AD144" s="73">
        <v>750</v>
      </c>
      <c r="AE144" s="85" t="s">
        <v>375</v>
      </c>
      <c r="AF144">
        <v>5</v>
      </c>
      <c r="AG144" s="76">
        <v>20</v>
      </c>
      <c r="AH144" s="1" t="str">
        <f>IF(ISBLANK(AI144),"","+")</f>
        <v/>
      </c>
      <c r="AJ144" s="86"/>
      <c r="AK144" s="69"/>
      <c r="AL144" s="348"/>
      <c r="AM144" s="73">
        <v>450</v>
      </c>
    </row>
    <row r="145" spans="12:42" x14ac:dyDescent="0.25">
      <c r="L145" s="73">
        <v>700</v>
      </c>
      <c r="M145" s="87" t="s">
        <v>377</v>
      </c>
      <c r="N145" s="88"/>
      <c r="O145" s="89">
        <v>4</v>
      </c>
      <c r="P145" s="90">
        <v>8</v>
      </c>
      <c r="Q145" s="88"/>
      <c r="R145" s="91"/>
      <c r="S145" s="69"/>
      <c r="T145" s="348"/>
      <c r="U145" s="73">
        <v>750</v>
      </c>
      <c r="V145" s="87" t="s">
        <v>377</v>
      </c>
      <c r="W145" s="88"/>
      <c r="X145" s="89">
        <v>4</v>
      </c>
      <c r="Y145" s="90">
        <v>8</v>
      </c>
      <c r="Z145" s="88"/>
      <c r="AA145" s="91"/>
      <c r="AB145" s="69"/>
      <c r="AC145" s="348"/>
      <c r="AD145" s="73">
        <v>750</v>
      </c>
      <c r="AE145" s="87" t="s">
        <v>377</v>
      </c>
      <c r="AF145" s="88"/>
      <c r="AG145" s="89">
        <v>4</v>
      </c>
      <c r="AH145" s="90">
        <v>8</v>
      </c>
      <c r="AI145" s="88"/>
      <c r="AJ145" s="91"/>
      <c r="AK145" s="69"/>
      <c r="AL145" s="348"/>
      <c r="AM145" s="73">
        <v>700</v>
      </c>
    </row>
    <row r="146" spans="12:42" x14ac:dyDescent="0.25">
      <c r="L146" s="97">
        <f>PI()/4*(M147*N147^2+M148*N148^2)/L144/L145</f>
        <v>3.6871327112131633E-2</v>
      </c>
      <c r="M146" s="69"/>
      <c r="S146" s="69"/>
      <c r="T146" s="348"/>
      <c r="U146" s="97">
        <f>PI()/4*(V147*W147^2+V148*W148^2)/U144/U145</f>
        <v>4.0033664250545137E-2</v>
      </c>
      <c r="V146" s="69"/>
      <c r="AB146" s="69"/>
      <c r="AC146" s="348"/>
      <c r="AD146" s="97">
        <f>PI()/4*(AE147*AF147^2+AE148*AF148^2)/AD144/AD145</f>
        <v>4.0033664250545137E-2</v>
      </c>
      <c r="AE146" s="69"/>
      <c r="AK146" s="69"/>
      <c r="AL146" s="348"/>
      <c r="AM146" s="97">
        <f>PI()/4*(AN147*AO147^2+AN148*AO148^2)/AM144/AM145</f>
        <v>3.6871327112131633E-2</v>
      </c>
      <c r="AN146" s="69"/>
    </row>
    <row r="147" spans="12:42" x14ac:dyDescent="0.25">
      <c r="L147" s="109">
        <f>PI()/4*(2*N147^2+2*N148^2)/L144/L145</f>
        <v>8.2229941043961401E-3</v>
      </c>
      <c r="M147" s="93">
        <v>12</v>
      </c>
      <c r="N147" s="94">
        <v>32</v>
      </c>
      <c r="O147" s="95" t="str">
        <f>IF(ISBLANK(M148),"","+")</f>
        <v>+</v>
      </c>
      <c r="P147" s="69"/>
      <c r="Q147" s="69"/>
      <c r="R147" s="69"/>
      <c r="S147" s="69"/>
      <c r="T147" s="348"/>
      <c r="U147" s="109">
        <f>PI()/4*(2*W147^2+2*W148^2)/U144/U145</f>
        <v>2.8595474464675093E-3</v>
      </c>
      <c r="V147" s="93">
        <v>28</v>
      </c>
      <c r="W147" s="94">
        <v>32</v>
      </c>
      <c r="X147" s="95" t="str">
        <f>IF(ISBLANK(V148),"","+")</f>
        <v/>
      </c>
      <c r="Y147" s="69"/>
      <c r="Z147" s="69"/>
      <c r="AA147" s="69"/>
      <c r="AB147" s="69"/>
      <c r="AC147" s="348"/>
      <c r="AD147" s="109">
        <f>PI()/4*(2*AF147^2+2*AF148^2)/AD144/AD145</f>
        <v>2.8595474464675093E-3</v>
      </c>
      <c r="AE147" s="93">
        <v>28</v>
      </c>
      <c r="AF147" s="94">
        <v>32</v>
      </c>
      <c r="AG147" s="95" t="str">
        <f>IF(ISBLANK(AE148),"","+")</f>
        <v/>
      </c>
      <c r="AH147" s="69"/>
      <c r="AI147" s="69"/>
      <c r="AJ147" s="69"/>
      <c r="AK147" s="69"/>
      <c r="AL147" s="348"/>
      <c r="AM147" s="109">
        <f>PI()/4*(2*AO147^2+2*AO148^2)/AM144/AM145</f>
        <v>8.2229941043961401E-3</v>
      </c>
      <c r="AN147" s="93">
        <v>12</v>
      </c>
      <c r="AO147" s="94">
        <v>32</v>
      </c>
      <c r="AP147" s="95" t="str">
        <f>IF(ISBLANK(AN148),"","+")</f>
        <v>+</v>
      </c>
    </row>
    <row r="148" spans="12:42" x14ac:dyDescent="0.25">
      <c r="L148" s="347">
        <f>M150*PI()*M149^2/4/L149/L144</f>
        <v>6.9813170079773184E-3</v>
      </c>
      <c r="M148" s="88">
        <v>4</v>
      </c>
      <c r="N148" s="90">
        <v>25</v>
      </c>
      <c r="O148" s="96"/>
      <c r="P148" s="69"/>
      <c r="Q148" s="69"/>
      <c r="R148" s="69"/>
      <c r="S148" s="69"/>
      <c r="T148" s="348"/>
      <c r="U148" s="347">
        <f>V150*PI()*V149^2/4/U149/U144</f>
        <v>6.2831853071795866E-3</v>
      </c>
      <c r="V148" s="88"/>
      <c r="W148" s="90"/>
      <c r="X148" s="96"/>
      <c r="Y148" s="69"/>
      <c r="Z148" s="69"/>
      <c r="AA148" s="69"/>
      <c r="AB148" s="69"/>
      <c r="AC148" s="348"/>
      <c r="AD148" s="347">
        <f>AE150*PI()*AE149^2/4/AD149/AD144</f>
        <v>6.2831853071795866E-3</v>
      </c>
      <c r="AE148" s="88"/>
      <c r="AF148" s="90"/>
      <c r="AG148" s="96"/>
      <c r="AH148" s="69"/>
      <c r="AI148" s="69"/>
      <c r="AJ148" s="69"/>
      <c r="AK148" s="69"/>
      <c r="AL148" s="348"/>
      <c r="AM148" s="347">
        <f>AN150*PI()*AN149^2/4/AM149/AM144</f>
        <v>0</v>
      </c>
      <c r="AN148" s="88">
        <v>4</v>
      </c>
      <c r="AO148" s="90">
        <v>25</v>
      </c>
      <c r="AP148" s="96"/>
    </row>
    <row r="149" spans="12:42" x14ac:dyDescent="0.25">
      <c r="L149" s="110">
        <v>100</v>
      </c>
      <c r="M149" s="94">
        <v>10</v>
      </c>
      <c r="N149" s="69"/>
      <c r="O149" s="69"/>
      <c r="P149" s="69"/>
      <c r="Q149" s="69"/>
      <c r="R149" s="69"/>
      <c r="S149" s="69"/>
      <c r="T149" s="348"/>
      <c r="U149" s="110">
        <v>100</v>
      </c>
      <c r="V149" s="94">
        <v>10</v>
      </c>
      <c r="W149" s="69"/>
      <c r="X149" s="69"/>
      <c r="Y149" s="69"/>
      <c r="Z149" s="69"/>
      <c r="AA149" s="69"/>
      <c r="AB149" s="69"/>
      <c r="AC149" s="348"/>
      <c r="AD149" s="110">
        <v>100</v>
      </c>
      <c r="AE149" s="94">
        <v>10</v>
      </c>
      <c r="AF149" s="69"/>
      <c r="AG149" s="69"/>
      <c r="AH149" s="69"/>
      <c r="AI149" s="69"/>
      <c r="AJ149" s="69"/>
      <c r="AK149" s="69"/>
      <c r="AL149" s="348"/>
      <c r="AM149" s="110">
        <v>100</v>
      </c>
      <c r="AN149" s="94">
        <v>10</v>
      </c>
      <c r="AO149" s="69"/>
      <c r="AP149" s="69"/>
    </row>
    <row r="150" spans="12:42" x14ac:dyDescent="0.25">
      <c r="L150" s="92">
        <v>4500</v>
      </c>
      <c r="M150">
        <v>4</v>
      </c>
      <c r="T150" s="348"/>
      <c r="U150" s="92">
        <v>4500</v>
      </c>
      <c r="V150">
        <v>6</v>
      </c>
      <c r="AC150" s="348"/>
      <c r="AD150" s="92">
        <v>4500</v>
      </c>
      <c r="AE150">
        <v>6</v>
      </c>
      <c r="AL150" s="348"/>
      <c r="AM150" s="92">
        <v>4500</v>
      </c>
    </row>
    <row r="151" spans="12:42" ht="15.75" thickBot="1" x14ac:dyDescent="0.3">
      <c r="L151" s="112"/>
      <c r="M151" s="80"/>
      <c r="N151" s="80"/>
      <c r="O151" s="80"/>
      <c r="P151" s="80"/>
      <c r="Q151" s="80"/>
      <c r="R151" s="80"/>
      <c r="S151" s="80"/>
      <c r="T151" s="80"/>
    </row>
    <row r="152" spans="12:42" ht="15.75" thickTop="1"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Equation.DSMT4" shapeId="4097" r:id="rId4">
          <objectPr defaultSize="0" autoPict="0" r:id="rId5">
            <anchor moveWithCells="1" sizeWithCells="1">
              <from>
                <xdr:col>9</xdr:col>
                <xdr:colOff>200025</xdr:colOff>
                <xdr:row>0</xdr:row>
                <xdr:rowOff>114300</xdr:rowOff>
              </from>
              <to>
                <xdr:col>12</xdr:col>
                <xdr:colOff>876300</xdr:colOff>
                <xdr:row>3</xdr:row>
                <xdr:rowOff>38100</xdr:rowOff>
              </to>
            </anchor>
          </objectPr>
        </oleObject>
      </mc:Choice>
      <mc:Fallback>
        <oleObject progId="Equation.DSMT4" shapeId="4097" r:id="rId4"/>
      </mc:Fallback>
    </mc:AlternateContent>
    <mc:AlternateContent xmlns:mc="http://schemas.openxmlformats.org/markup-compatibility/2006">
      <mc:Choice Requires="x14">
        <oleObject progId="Equation.DSMT4" shapeId="4098" r:id="rId6">
          <objectPr defaultSize="0" autoPict="0" r:id="rId7">
            <anchor moveWithCells="1" sizeWithCells="1">
              <from>
                <xdr:col>12</xdr:col>
                <xdr:colOff>923925</xdr:colOff>
                <xdr:row>0</xdr:row>
                <xdr:rowOff>47625</xdr:rowOff>
              </from>
              <to>
                <xdr:col>13</xdr:col>
                <xdr:colOff>866775</xdr:colOff>
                <xdr:row>2</xdr:row>
                <xdr:rowOff>123825</xdr:rowOff>
              </to>
            </anchor>
          </objectPr>
        </oleObject>
      </mc:Choice>
      <mc:Fallback>
        <oleObject progId="Equation.DSMT4" shapeId="4098" r:id="rId6"/>
      </mc:Fallback>
    </mc:AlternateContent>
    <mc:AlternateContent xmlns:mc="http://schemas.openxmlformats.org/markup-compatibility/2006">
      <mc:Choice Requires="x14">
        <oleObject progId="Equation.DSMT4" shapeId="4099" r:id="rId8">
          <objectPr defaultSize="0" autoPict="0" r:id="rId9">
            <anchor moveWithCells="1" sizeWithCells="1">
              <from>
                <xdr:col>9</xdr:col>
                <xdr:colOff>209550</xdr:colOff>
                <xdr:row>4</xdr:row>
                <xdr:rowOff>0</xdr:rowOff>
              </from>
              <to>
                <xdr:col>12</xdr:col>
                <xdr:colOff>142875</xdr:colOff>
                <xdr:row>6</xdr:row>
                <xdr:rowOff>123825</xdr:rowOff>
              </to>
            </anchor>
          </objectPr>
        </oleObject>
      </mc:Choice>
      <mc:Fallback>
        <oleObject progId="Equation.DSMT4" shapeId="4099" r:id="rId8"/>
      </mc:Fallback>
    </mc:AlternateContent>
    <mc:AlternateContent xmlns:mc="http://schemas.openxmlformats.org/markup-compatibility/2006">
      <mc:Choice Requires="x14">
        <oleObject progId="Equation.DSMT4" shapeId="4101" r:id="rId10">
          <objectPr defaultSize="0" r:id="rId7">
            <anchor moveWithCells="1" sizeWithCells="1">
              <from>
                <xdr:col>12</xdr:col>
                <xdr:colOff>419100</xdr:colOff>
                <xdr:row>4</xdr:row>
                <xdr:rowOff>0</xdr:rowOff>
              </from>
              <to>
                <xdr:col>13</xdr:col>
                <xdr:colOff>314325</xdr:colOff>
                <xdr:row>6</xdr:row>
                <xdr:rowOff>85725</xdr:rowOff>
              </to>
            </anchor>
          </objectPr>
        </oleObject>
      </mc:Choice>
      <mc:Fallback>
        <oleObject progId="Equation.DSMT4" shapeId="4101" r:id="rId10"/>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ReadMe</vt:lpstr>
      <vt:lpstr>RxnCheck</vt:lpstr>
      <vt:lpstr>Vb</vt:lpstr>
      <vt:lpstr>Detailing(OMRF&amp;SMRF)</vt:lpstr>
      <vt:lpstr>Joint shear check</vt:lpstr>
      <vt:lpstr>AxialForceEQCase</vt:lpstr>
      <vt:lpstr>DesignFile</vt:lpstr>
      <vt:lpstr>LOAD_DATA</vt:lpstr>
      <vt:lpstr>GeneralInput</vt:lpstr>
      <vt:lpstr>FDN_STIFFNESS</vt:lpstr>
      <vt:lpstr>ModelFile</vt:lpstr>
      <vt:lpstr>buildingInfo</vt:lpstr>
      <vt:lpstr>PropManualCals</vt:lpstr>
      <vt:lpstr>DesignFile!Print_Area</vt:lpstr>
      <vt:lpstr>'Detailing(OMRF&amp;SMRF)'!Print_Area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Prakash Singh</dc:creator>
  <cp:keywords/>
  <dc:description/>
  <cp:lastModifiedBy>sks</cp:lastModifiedBy>
  <cp:revision/>
  <dcterms:created xsi:type="dcterms:W3CDTF">2015-09-07T01:39:31Z</dcterms:created>
  <dcterms:modified xsi:type="dcterms:W3CDTF">2026-06-28T19:01:28Z</dcterms:modified>
  <cp:category/>
  <cp:contentStatus/>
</cp:coreProperties>
</file>