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7704" yWindow="84" windowWidth="17112" windowHeight="11112" tabRatio="735" activeTab="2"/>
  </bookViews>
  <sheets>
    <sheet name="Proposed Budget" sheetId="1" r:id="rId1"/>
    <sheet name="Proposed Harvard U. Subcontract" sheetId="2" r:id="rId2"/>
    <sheet name="Reduced Budget" sheetId="3" r:id="rId3"/>
    <sheet name="Reduced Harvard U. Subcontract" sheetId="4" r:id="rId4"/>
  </sheets>
  <calcPr calcId="145621"/>
</workbook>
</file>

<file path=xl/calcChain.xml><?xml version="1.0" encoding="utf-8"?>
<calcChain xmlns="http://schemas.openxmlformats.org/spreadsheetml/2006/main">
  <c r="M38" i="3" l="1"/>
  <c r="B7" i="4" l="1"/>
  <c r="B5" i="4"/>
  <c r="E7" i="4"/>
  <c r="E5" i="4"/>
  <c r="M33" i="3"/>
  <c r="M24" i="3"/>
  <c r="M23" i="3"/>
  <c r="J6" i="3"/>
  <c r="M8" i="3"/>
  <c r="M9" i="3" s="1"/>
  <c r="M12" i="3"/>
  <c r="M13" i="3" s="1"/>
  <c r="M30" i="3"/>
  <c r="M29" i="3" s="1"/>
  <c r="M26" i="3"/>
  <c r="M22" i="3"/>
  <c r="M14" i="3"/>
  <c r="M15" i="3" s="1"/>
  <c r="J14" i="3"/>
  <c r="J10" i="3"/>
  <c r="M10" i="3" s="1"/>
  <c r="M6" i="3"/>
  <c r="G38" i="3"/>
  <c r="G37" i="3"/>
  <c r="G36" i="3"/>
  <c r="G27" i="3"/>
  <c r="G35" i="3"/>
  <c r="G18" i="3"/>
  <c r="E33" i="3"/>
  <c r="E28" i="3"/>
  <c r="E24" i="3"/>
  <c r="E20" i="3"/>
  <c r="E36" i="3" s="1"/>
  <c r="B14" i="3"/>
  <c r="E14" i="3" s="1"/>
  <c r="E15" i="3" s="1"/>
  <c r="B12" i="3"/>
  <c r="E12" i="3" s="1"/>
  <c r="E13" i="3" s="1"/>
  <c r="B10" i="3"/>
  <c r="E10" i="3" s="1"/>
  <c r="B8" i="3"/>
  <c r="E8" i="3" s="1"/>
  <c r="E9" i="3" s="1"/>
  <c r="B6" i="3"/>
  <c r="E6" i="3" s="1"/>
  <c r="E38" i="1"/>
  <c r="Q37" i="1"/>
  <c r="M37" i="1"/>
  <c r="I37" i="1"/>
  <c r="E37" i="1"/>
  <c r="R36" i="1"/>
  <c r="Q36" i="1"/>
  <c r="M36" i="1"/>
  <c r="I36" i="1"/>
  <c r="E36" i="1"/>
  <c r="Q27" i="1"/>
  <c r="M27" i="1"/>
  <c r="R29" i="1"/>
  <c r="R30" i="1"/>
  <c r="R31" i="1"/>
  <c r="R32" i="1"/>
  <c r="R28" i="1"/>
  <c r="R25" i="1"/>
  <c r="R24" i="1"/>
  <c r="R22" i="1"/>
  <c r="R21" i="1"/>
  <c r="R20" i="1"/>
  <c r="R16" i="1"/>
  <c r="R17" i="1"/>
  <c r="R18" i="1"/>
  <c r="R15" i="1"/>
  <c r="R10" i="1"/>
  <c r="R8" i="1"/>
  <c r="R6" i="1"/>
  <c r="Q33" i="1"/>
  <c r="M33" i="1"/>
  <c r="I33" i="1"/>
  <c r="I27" i="1" s="1"/>
  <c r="I35" i="1" s="1"/>
  <c r="I38" i="1" s="1"/>
  <c r="E33" i="1"/>
  <c r="Q10" i="2"/>
  <c r="M10" i="2"/>
  <c r="I10" i="2"/>
  <c r="E10" i="2"/>
  <c r="R9" i="2"/>
  <c r="M8" i="2"/>
  <c r="I11" i="2"/>
  <c r="Q8" i="2"/>
  <c r="R8" i="2"/>
  <c r="Q6" i="2"/>
  <c r="M6" i="2"/>
  <c r="M7" i="2"/>
  <c r="R6" i="2"/>
  <c r="R7" i="2"/>
  <c r="R5" i="2"/>
  <c r="J7" i="2"/>
  <c r="J5" i="2"/>
  <c r="M5" i="2"/>
  <c r="N7" i="2"/>
  <c r="Q7" i="2" s="1"/>
  <c r="N5" i="2"/>
  <c r="I8" i="2"/>
  <c r="F7" i="2"/>
  <c r="F5" i="2"/>
  <c r="I5" i="2" s="1"/>
  <c r="I6" i="2" s="1"/>
  <c r="E8" i="2"/>
  <c r="I7" i="2"/>
  <c r="Q5" i="2"/>
  <c r="E7" i="2"/>
  <c r="E6" i="1"/>
  <c r="E5" i="2"/>
  <c r="E6" i="2" s="1"/>
  <c r="B7" i="2"/>
  <c r="B5" i="2"/>
  <c r="Q7" i="1"/>
  <c r="M13" i="1"/>
  <c r="M11" i="1"/>
  <c r="M9" i="1"/>
  <c r="M7" i="1"/>
  <c r="Q14" i="1"/>
  <c r="Q15" i="1" s="1"/>
  <c r="Q10" i="1"/>
  <c r="Q11" i="1" s="1"/>
  <c r="M10" i="1"/>
  <c r="Q28" i="1"/>
  <c r="M28" i="1"/>
  <c r="I28" i="1"/>
  <c r="E28" i="1"/>
  <c r="N14" i="1"/>
  <c r="N12" i="1"/>
  <c r="Q12" i="1" s="1"/>
  <c r="Q13" i="1" s="1"/>
  <c r="N10" i="1"/>
  <c r="J14" i="1"/>
  <c r="M14" i="1" s="1"/>
  <c r="M15" i="1" s="1"/>
  <c r="J12" i="1"/>
  <c r="M12" i="1" s="1"/>
  <c r="J10" i="1"/>
  <c r="J8" i="1"/>
  <c r="M8" i="1" s="1"/>
  <c r="F14" i="1"/>
  <c r="I14" i="1" s="1"/>
  <c r="I15" i="1" s="1"/>
  <c r="F12" i="1"/>
  <c r="I12" i="1" s="1"/>
  <c r="F10" i="1"/>
  <c r="I10" i="1" s="1"/>
  <c r="Q24" i="1"/>
  <c r="M24" i="1"/>
  <c r="I24" i="1"/>
  <c r="E24" i="1"/>
  <c r="Q20" i="1"/>
  <c r="M20" i="1"/>
  <c r="I20" i="1"/>
  <c r="E20" i="1"/>
  <c r="B14" i="1"/>
  <c r="E14" i="1" s="1"/>
  <c r="E15" i="1" s="1"/>
  <c r="B12" i="1"/>
  <c r="E12" i="1" s="1"/>
  <c r="E13" i="1" s="1"/>
  <c r="B10" i="1"/>
  <c r="E10" i="1" s="1"/>
  <c r="B8" i="1"/>
  <c r="E8" i="1" s="1"/>
  <c r="N8" i="1"/>
  <c r="Q8" i="1" s="1"/>
  <c r="Q9" i="1" s="1"/>
  <c r="N6" i="1"/>
  <c r="Q6" i="1" s="1"/>
  <c r="J6" i="1"/>
  <c r="M6" i="1" s="1"/>
  <c r="F8" i="1"/>
  <c r="I8" i="1" s="1"/>
  <c r="I9" i="1" s="1"/>
  <c r="F6" i="1"/>
  <c r="I6" i="1" s="1"/>
  <c r="I7" i="1" s="1"/>
  <c r="B6" i="1"/>
  <c r="E7" i="1" s="1"/>
  <c r="E8" i="4" l="1"/>
  <c r="E6" i="4"/>
  <c r="M11" i="3"/>
  <c r="M17" i="3" s="1"/>
  <c r="M7" i="3"/>
  <c r="M16" i="3" s="1"/>
  <c r="E27" i="3"/>
  <c r="G39" i="3"/>
  <c r="E7" i="3"/>
  <c r="E16" i="3" s="1"/>
  <c r="E17" i="3"/>
  <c r="E11" i="3"/>
  <c r="E27" i="1"/>
  <c r="R33" i="1"/>
  <c r="R27" i="1"/>
  <c r="R10" i="2"/>
  <c r="M11" i="2"/>
  <c r="Q11" i="2"/>
  <c r="Q12" i="2" s="1"/>
  <c r="I12" i="2"/>
  <c r="E11" i="2"/>
  <c r="E12" i="2" s="1"/>
  <c r="Q17" i="1"/>
  <c r="M17" i="1"/>
  <c r="M18" i="1" s="1"/>
  <c r="Q16" i="1"/>
  <c r="Q18" i="1" s="1"/>
  <c r="Q35" i="1" s="1"/>
  <c r="Q38" i="1" s="1"/>
  <c r="R7" i="1"/>
  <c r="I13" i="1"/>
  <c r="R13" i="1" s="1"/>
  <c r="R12" i="1"/>
  <c r="I11" i="1"/>
  <c r="I17" i="1" s="1"/>
  <c r="R14" i="1"/>
  <c r="I16" i="1"/>
  <c r="M16" i="1"/>
  <c r="E9" i="1"/>
  <c r="E16" i="1" s="1"/>
  <c r="E11" i="1"/>
  <c r="E10" i="4" l="1"/>
  <c r="M18" i="3"/>
  <c r="E18" i="3"/>
  <c r="E35" i="3" s="1"/>
  <c r="E37" i="3" s="1"/>
  <c r="E38" i="3" s="1"/>
  <c r="E35" i="1"/>
  <c r="M12" i="2"/>
  <c r="R12" i="2" s="1"/>
  <c r="R11" i="2"/>
  <c r="M35" i="1"/>
  <c r="R35" i="1" s="1"/>
  <c r="Q39" i="1"/>
  <c r="R9" i="1"/>
  <c r="I18" i="1"/>
  <c r="E17" i="1"/>
  <c r="E18" i="1" s="1"/>
  <c r="R11" i="1"/>
  <c r="M37" i="3" l="1"/>
  <c r="M39" i="3" s="1"/>
  <c r="M40" i="3" s="1"/>
  <c r="M41" i="3" s="1"/>
  <c r="M42" i="3" s="1"/>
  <c r="E11" i="4"/>
  <c r="E39" i="3"/>
  <c r="R37" i="1"/>
  <c r="E39" i="1"/>
  <c r="M38" i="1"/>
  <c r="I39" i="1"/>
  <c r="E12" i="4" l="1"/>
  <c r="M39" i="1"/>
  <c r="R39" i="1" s="1"/>
  <c r="R38" i="1"/>
</calcChain>
</file>

<file path=xl/sharedStrings.xml><?xml version="1.0" encoding="utf-8"?>
<sst xmlns="http://schemas.openxmlformats.org/spreadsheetml/2006/main" count="190" uniqueCount="53">
  <si>
    <t>Unified Statistical Methods for Sequence-Based Association Studies</t>
  </si>
  <si>
    <t>Momiao Xiong, PhD</t>
  </si>
  <si>
    <t>04/01/2013--01/31/2014</t>
  </si>
  <si>
    <t>02/01/2014--01/31/2015</t>
  </si>
  <si>
    <t>02/01/2015--01/31/2016</t>
  </si>
  <si>
    <t>02/01/2016--01/31/2017</t>
  </si>
  <si>
    <t>Year 1</t>
  </si>
  <si>
    <t>Year 2</t>
  </si>
  <si>
    <t>Year 3</t>
  </si>
  <si>
    <t>Year 4</t>
  </si>
  <si>
    <t>Total</t>
  </si>
  <si>
    <t>04/01/2013--01/31/2017</t>
  </si>
  <si>
    <t>Xiong, Momiao</t>
  </si>
  <si>
    <t>Boerwinkle, Eric</t>
  </si>
  <si>
    <t>Months</t>
  </si>
  <si>
    <t>Base</t>
  </si>
  <si>
    <t>fringe benefits</t>
  </si>
  <si>
    <t>GRA</t>
  </si>
  <si>
    <t>Programmer</t>
  </si>
  <si>
    <t>Grants Manager</t>
  </si>
  <si>
    <t>Total Senior/Key</t>
  </si>
  <si>
    <t>Total Other</t>
  </si>
  <si>
    <t>Total Salary/Fringe</t>
  </si>
  <si>
    <t>Equipment</t>
  </si>
  <si>
    <t>GPU Powered Cluster</t>
  </si>
  <si>
    <t>Data Server (20Tb Storage)</t>
  </si>
  <si>
    <t>Travel</t>
  </si>
  <si>
    <t>Domestic</t>
  </si>
  <si>
    <t>Other</t>
  </si>
  <si>
    <t>Publication Costs</t>
  </si>
  <si>
    <t>Materials &amp; Supplies</t>
  </si>
  <si>
    <t>Consultant Services</t>
  </si>
  <si>
    <t>Subcontracts</t>
  </si>
  <si>
    <t>Effort/Fringe</t>
  </si>
  <si>
    <t>Total Direct Costs</t>
  </si>
  <si>
    <t>Modified TDC</t>
  </si>
  <si>
    <t>Indirect Costs</t>
  </si>
  <si>
    <t>Software</t>
  </si>
  <si>
    <t>Total Costs</t>
  </si>
  <si>
    <t>Computer Supplies</t>
  </si>
  <si>
    <t>Harvard University Subcontract</t>
  </si>
  <si>
    <t>Liming Liang, PhD</t>
  </si>
  <si>
    <t>Liang, Liming</t>
  </si>
  <si>
    <t>Postdoc</t>
  </si>
  <si>
    <t>Direct Costs</t>
  </si>
  <si>
    <t>Supplies</t>
  </si>
  <si>
    <t>IDC Exempt</t>
  </si>
  <si>
    <t>NOGA</t>
  </si>
  <si>
    <t>reduced 25%</t>
  </si>
  <si>
    <t>reduction needed</t>
  </si>
  <si>
    <t>reduced to NOGA</t>
  </si>
  <si>
    <t>Tuition</t>
  </si>
  <si>
    <t>issued 3/27/13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</si>
</sst>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C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2">
    <xf numFmtId="0" fontId="0" fillId="0" borderId="0" xfId="0"/>
    <xf numFmtId="0" fontId="0" fillId="0" borderId="0" xfId="0" applyAlignment="1">
      <alignment wrapText="1"/>
    </xf>
    <xf numFmtId="164" fontId="0" fillId="0" borderId="0" xfId="1" applyNumberFormat="1" applyFont="1"/>
    <xf numFmtId="9" fontId="0" fillId="0" borderId="0" xfId="2" applyFont="1"/>
    <xf numFmtId="164" fontId="0" fillId="0" borderId="0" xfId="1" applyNumberFormat="1" applyFont="1" applyAlignment="1">
      <alignment horizontal="center"/>
    </xf>
    <xf numFmtId="164" fontId="0" fillId="0" borderId="0" xfId="1" applyNumberFormat="1" applyFont="1" applyAlignment="1">
      <alignment wrapText="1"/>
    </xf>
    <xf numFmtId="0" fontId="0" fillId="0" borderId="0" xfId="0" applyAlignment="1">
      <alignment horizontal="left" indent="1"/>
    </xf>
    <xf numFmtId="9" fontId="0" fillId="0" borderId="0" xfId="2" applyFont="1" applyAlignment="1">
      <alignment wrapText="1"/>
    </xf>
    <xf numFmtId="0" fontId="2" fillId="0" borderId="0" xfId="0" applyFont="1" applyAlignment="1"/>
    <xf numFmtId="9" fontId="2" fillId="0" borderId="0" xfId="2" applyFont="1"/>
    <xf numFmtId="0" fontId="2" fillId="0" borderId="0" xfId="0" applyFont="1"/>
    <xf numFmtId="164" fontId="2" fillId="0" borderId="0" xfId="1" applyNumberFormat="1" applyFont="1"/>
    <xf numFmtId="0" fontId="0" fillId="0" borderId="0" xfId="0" applyFont="1" applyAlignment="1"/>
    <xf numFmtId="9" fontId="1" fillId="0" borderId="0" xfId="2" applyFont="1"/>
    <xf numFmtId="0" fontId="0" fillId="0" borderId="0" xfId="0" applyFont="1"/>
    <xf numFmtId="164" fontId="1" fillId="0" borderId="0" xfId="1" applyNumberFormat="1" applyFont="1"/>
    <xf numFmtId="9" fontId="0" fillId="2" borderId="0" xfId="2" applyFont="1" applyFill="1"/>
    <xf numFmtId="0" fontId="0" fillId="2" borderId="0" xfId="0" applyFill="1"/>
    <xf numFmtId="164" fontId="0" fillId="2" borderId="0" xfId="1" applyNumberFormat="1" applyFont="1" applyFill="1"/>
    <xf numFmtId="9" fontId="0" fillId="2" borderId="0" xfId="2" applyFont="1" applyFill="1" applyAlignment="1">
      <alignment wrapText="1"/>
    </xf>
    <xf numFmtId="164" fontId="0" fillId="2" borderId="0" xfId="1" applyNumberFormat="1" applyFont="1" applyFill="1" applyAlignment="1">
      <alignment wrapText="1"/>
    </xf>
    <xf numFmtId="9" fontId="2" fillId="2" borderId="0" xfId="2" applyFont="1" applyFill="1"/>
    <xf numFmtId="0" fontId="2" fillId="2" borderId="0" xfId="0" applyFont="1" applyFill="1"/>
    <xf numFmtId="164" fontId="2" fillId="2" borderId="0" xfId="1" applyNumberFormat="1" applyFont="1" applyFill="1"/>
    <xf numFmtId="9" fontId="1" fillId="2" borderId="0" xfId="2" applyFont="1" applyFill="1"/>
    <xf numFmtId="0" fontId="0" fillId="2" borderId="0" xfId="0" applyFont="1" applyFill="1"/>
    <xf numFmtId="164" fontId="1" fillId="2" borderId="0" xfId="1" applyNumberFormat="1" applyFont="1" applyFill="1"/>
    <xf numFmtId="0" fontId="3" fillId="0" borderId="0" xfId="0" applyFont="1"/>
    <xf numFmtId="9" fontId="3" fillId="0" borderId="0" xfId="2" applyFont="1"/>
    <xf numFmtId="164" fontId="3" fillId="0" borderId="0" xfId="1" applyNumberFormat="1" applyFont="1"/>
    <xf numFmtId="9" fontId="3" fillId="2" borderId="0" xfId="2" applyFont="1" applyFill="1"/>
    <xf numFmtId="0" fontId="3" fillId="2" borderId="0" xfId="0" applyFont="1" applyFill="1"/>
    <xf numFmtId="164" fontId="3" fillId="2" borderId="0" xfId="1" applyNumberFormat="1" applyFont="1" applyFill="1"/>
    <xf numFmtId="0" fontId="3" fillId="0" borderId="0" xfId="0" applyFont="1" applyAlignment="1">
      <alignment horizontal="right"/>
    </xf>
    <xf numFmtId="164" fontId="0" fillId="0" borderId="0" xfId="1" applyNumberFormat="1" applyFont="1" applyFill="1"/>
    <xf numFmtId="0" fontId="0" fillId="0" borderId="0" xfId="0" applyFill="1"/>
    <xf numFmtId="164" fontId="0" fillId="0" borderId="0" xfId="1" applyNumberFormat="1" applyFont="1" applyFill="1" applyAlignment="1">
      <alignment wrapText="1"/>
    </xf>
    <xf numFmtId="0" fontId="0" fillId="0" borderId="0" xfId="0" applyAlignment="1">
      <alignment horizontal="right"/>
    </xf>
    <xf numFmtId="0" fontId="2" fillId="0" borderId="0" xfId="0" applyFont="1" applyAlignment="1">
      <alignment horizontal="left"/>
    </xf>
    <xf numFmtId="9" fontId="2" fillId="0" borderId="0" xfId="2" applyFont="1" applyAlignment="1">
      <alignment horizontal="left"/>
    </xf>
    <xf numFmtId="164" fontId="2" fillId="0" borderId="0" xfId="1" applyNumberFormat="1" applyFont="1" applyAlignment="1">
      <alignment horizontal="left"/>
    </xf>
    <xf numFmtId="0" fontId="2" fillId="2" borderId="0" xfId="0" applyFont="1" applyFill="1" applyAlignment="1">
      <alignment horizontal="left"/>
    </xf>
    <xf numFmtId="164" fontId="2" fillId="2" borderId="0" xfId="1" applyNumberFormat="1" applyFont="1" applyFill="1" applyAlignment="1">
      <alignment horizontal="left"/>
    </xf>
    <xf numFmtId="9" fontId="0" fillId="2" borderId="0" xfId="2" applyNumberFormat="1" applyFont="1" applyFill="1"/>
    <xf numFmtId="9" fontId="0" fillId="2" borderId="0" xfId="2" applyNumberFormat="1" applyFont="1" applyFill="1" applyAlignment="1">
      <alignment wrapText="1"/>
    </xf>
    <xf numFmtId="9" fontId="2" fillId="2" borderId="0" xfId="2" applyNumberFormat="1" applyFont="1" applyFill="1" applyAlignment="1">
      <alignment horizontal="left"/>
    </xf>
    <xf numFmtId="9" fontId="0" fillId="0" borderId="0" xfId="2" applyNumberFormat="1" applyFont="1"/>
    <xf numFmtId="9" fontId="0" fillId="0" borderId="0" xfId="2" applyNumberFormat="1" applyFont="1" applyAlignment="1">
      <alignment wrapText="1"/>
    </xf>
    <xf numFmtId="9" fontId="2" fillId="0" borderId="0" xfId="2" applyNumberFormat="1" applyFont="1" applyAlignment="1">
      <alignment horizontal="left"/>
    </xf>
    <xf numFmtId="9" fontId="0" fillId="0" borderId="0" xfId="2" applyNumberFormat="1" applyFont="1" applyFill="1"/>
    <xf numFmtId="164" fontId="0" fillId="0" borderId="0" xfId="1" applyNumberFormat="1" applyFont="1" applyFill="1" applyAlignment="1">
      <alignment horizontal="center"/>
    </xf>
    <xf numFmtId="9" fontId="0" fillId="0" borderId="0" xfId="2" applyNumberFormat="1" applyFont="1" applyFill="1" applyAlignment="1">
      <alignment wrapText="1"/>
    </xf>
    <xf numFmtId="9" fontId="0" fillId="0" borderId="0" xfId="2" applyFont="1" applyFill="1"/>
    <xf numFmtId="9" fontId="2" fillId="0" borderId="0" xfId="2" applyNumberFormat="1" applyFont="1" applyFill="1" applyAlignment="1">
      <alignment horizontal="left"/>
    </xf>
    <xf numFmtId="0" fontId="2" fillId="0" borderId="0" xfId="0" applyFont="1" applyFill="1" applyAlignment="1">
      <alignment horizontal="left"/>
    </xf>
    <xf numFmtId="164" fontId="2" fillId="0" borderId="0" xfId="1" applyNumberFormat="1" applyFont="1" applyFill="1" applyAlignment="1">
      <alignment horizontal="left"/>
    </xf>
    <xf numFmtId="164" fontId="2" fillId="0" borderId="0" xfId="1" applyNumberFormat="1" applyFont="1" applyFill="1"/>
    <xf numFmtId="0" fontId="4" fillId="0" borderId="0" xfId="0" applyFont="1"/>
    <xf numFmtId="164" fontId="0" fillId="0" borderId="0" xfId="0" applyNumberFormat="1"/>
    <xf numFmtId="164" fontId="0" fillId="0" borderId="0" xfId="1" applyNumberFormat="1" applyFont="1" applyAlignment="1">
      <alignment horizontal="center"/>
    </xf>
    <xf numFmtId="164" fontId="0" fillId="2" borderId="0" xfId="1" applyNumberFormat="1" applyFont="1" applyFill="1" applyAlignment="1">
      <alignment horizontal="center"/>
    </xf>
    <xf numFmtId="164" fontId="0" fillId="0" borderId="0" xfId="1" applyNumberFormat="1" applyFont="1" applyFill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9"/>
  <sheetViews>
    <sheetView workbookViewId="0">
      <selection activeCell="I15" sqref="I15"/>
    </sheetView>
  </sheetViews>
  <sheetFormatPr defaultRowHeight="14.4" x14ac:dyDescent="0.3"/>
  <cols>
    <col min="1" max="1" width="15" customWidth="1"/>
    <col min="2" max="2" width="6.33203125" style="3" bestFit="1" customWidth="1"/>
    <col min="3" max="3" width="7.21875" bestFit="1" customWidth="1"/>
    <col min="4" max="4" width="9.5546875" style="2" bestFit="1" customWidth="1"/>
    <col min="5" max="5" width="11.5546875" style="2" customWidth="1"/>
    <col min="6" max="6" width="6.33203125" style="16" bestFit="1" customWidth="1"/>
    <col min="7" max="7" width="7.21875" style="17" bestFit="1" customWidth="1"/>
    <col min="8" max="8" width="9.5546875" style="18" bestFit="1" customWidth="1"/>
    <col min="9" max="9" width="11.5546875" style="18" customWidth="1"/>
    <col min="10" max="10" width="6.33203125" style="3" bestFit="1" customWidth="1"/>
    <col min="11" max="11" width="7.21875" bestFit="1" customWidth="1"/>
    <col min="12" max="12" width="9.5546875" style="2" bestFit="1" customWidth="1"/>
    <col min="13" max="13" width="11.5546875" style="2" customWidth="1"/>
    <col min="14" max="14" width="6.33203125" style="16" bestFit="1" customWidth="1"/>
    <col min="15" max="15" width="7.21875" style="17" bestFit="1" customWidth="1"/>
    <col min="16" max="16" width="9.5546875" style="18" bestFit="1" customWidth="1"/>
    <col min="17" max="17" width="11.5546875" style="18" customWidth="1"/>
    <col min="18" max="18" width="11.5546875" style="2" customWidth="1"/>
    <col min="19" max="21" width="11.5546875" customWidth="1"/>
  </cols>
  <sheetData>
    <row r="1" spans="1:21" ht="14.55" x14ac:dyDescent="0.35">
      <c r="A1" t="s">
        <v>0</v>
      </c>
    </row>
    <row r="2" spans="1:21" ht="14.55" x14ac:dyDescent="0.35">
      <c r="A2" t="s">
        <v>1</v>
      </c>
    </row>
    <row r="4" spans="1:21" ht="14.55" x14ac:dyDescent="0.35">
      <c r="B4" s="59" t="s">
        <v>6</v>
      </c>
      <c r="C4" s="59"/>
      <c r="D4" s="59"/>
      <c r="E4" s="59"/>
      <c r="F4" s="60" t="s">
        <v>7</v>
      </c>
      <c r="G4" s="60"/>
      <c r="H4" s="60"/>
      <c r="I4" s="60"/>
      <c r="J4" s="59" t="s">
        <v>8</v>
      </c>
      <c r="K4" s="59"/>
      <c r="L4" s="59"/>
      <c r="M4" s="59"/>
      <c r="N4" s="60" t="s">
        <v>9</v>
      </c>
      <c r="O4" s="60"/>
      <c r="P4" s="60"/>
      <c r="Q4" s="60"/>
      <c r="R4" s="4" t="s">
        <v>10</v>
      </c>
    </row>
    <row r="5" spans="1:21" ht="28.95" customHeight="1" x14ac:dyDescent="0.35">
      <c r="B5" s="7" t="s">
        <v>33</v>
      </c>
      <c r="C5" t="s">
        <v>14</v>
      </c>
      <c r="D5" s="2" t="s">
        <v>15</v>
      </c>
      <c r="E5" s="5" t="s">
        <v>2</v>
      </c>
      <c r="F5" s="19" t="s">
        <v>33</v>
      </c>
      <c r="G5" s="17" t="s">
        <v>14</v>
      </c>
      <c r="H5" s="18" t="s">
        <v>15</v>
      </c>
      <c r="I5" s="20" t="s">
        <v>3</v>
      </c>
      <c r="J5" s="7" t="s">
        <v>33</v>
      </c>
      <c r="K5" t="s">
        <v>14</v>
      </c>
      <c r="L5" s="2" t="s">
        <v>15</v>
      </c>
      <c r="M5" s="5" t="s">
        <v>4</v>
      </c>
      <c r="N5" s="19" t="s">
        <v>33</v>
      </c>
      <c r="O5" s="17" t="s">
        <v>14</v>
      </c>
      <c r="P5" s="18" t="s">
        <v>15</v>
      </c>
      <c r="Q5" s="20" t="s">
        <v>5</v>
      </c>
      <c r="R5" s="5" t="s">
        <v>11</v>
      </c>
      <c r="S5" s="1"/>
      <c r="T5" s="1"/>
      <c r="U5" s="1"/>
    </row>
    <row r="6" spans="1:21" ht="14.55" x14ac:dyDescent="0.35">
      <c r="A6" t="s">
        <v>12</v>
      </c>
      <c r="B6" s="3">
        <f>C6/12</f>
        <v>0.39999999999999997</v>
      </c>
      <c r="C6">
        <v>4.8</v>
      </c>
      <c r="D6" s="2">
        <v>114675</v>
      </c>
      <c r="E6" s="2">
        <f>D6*B6</f>
        <v>45869.999999999993</v>
      </c>
      <c r="F6" s="16">
        <f>G6/12</f>
        <v>0.39999999999999997</v>
      </c>
      <c r="G6" s="17">
        <v>4.8</v>
      </c>
      <c r="H6" s="18">
        <v>114675</v>
      </c>
      <c r="I6" s="18">
        <f>H6*F6</f>
        <v>45869.999999999993</v>
      </c>
      <c r="J6" s="3">
        <f>K6/12</f>
        <v>0.39999999999999997</v>
      </c>
      <c r="K6">
        <v>4.8</v>
      </c>
      <c r="L6" s="2">
        <v>114675</v>
      </c>
      <c r="M6" s="2">
        <f>L6*J6</f>
        <v>45869.999999999993</v>
      </c>
      <c r="N6" s="16">
        <f>O6/12</f>
        <v>0.39999999999999997</v>
      </c>
      <c r="O6" s="17">
        <v>4.8</v>
      </c>
      <c r="P6" s="18">
        <v>114675</v>
      </c>
      <c r="Q6" s="18">
        <f>P6*N6</f>
        <v>45869.999999999993</v>
      </c>
      <c r="R6" s="2">
        <f>E6+I6+M6+Q6</f>
        <v>183479.99999999997</v>
      </c>
    </row>
    <row r="7" spans="1:21" ht="14.55" x14ac:dyDescent="0.35">
      <c r="A7" s="6" t="s">
        <v>16</v>
      </c>
      <c r="B7" s="3">
        <v>0.23</v>
      </c>
      <c r="E7" s="2">
        <f>E6*B7</f>
        <v>10550.099999999999</v>
      </c>
      <c r="F7" s="16">
        <v>0.23</v>
      </c>
      <c r="I7" s="18">
        <f>I6*F7</f>
        <v>10550.099999999999</v>
      </c>
      <c r="J7" s="3">
        <v>0.23</v>
      </c>
      <c r="M7" s="34">
        <f>M6*J7</f>
        <v>10550.099999999999</v>
      </c>
      <c r="N7" s="16">
        <v>0.23</v>
      </c>
      <c r="Q7" s="18">
        <f>Q6*N7</f>
        <v>10550.099999999999</v>
      </c>
      <c r="R7" s="2">
        <f t="shared" ref="R7:R14" si="0">E7+I7+M7+Q7</f>
        <v>42200.399999999994</v>
      </c>
    </row>
    <row r="8" spans="1:21" ht="14.55" x14ac:dyDescent="0.35">
      <c r="A8" t="s">
        <v>13</v>
      </c>
      <c r="B8" s="3">
        <f>C8/12</f>
        <v>9.9999999999999992E-2</v>
      </c>
      <c r="C8">
        <v>1.2</v>
      </c>
      <c r="D8" s="2">
        <v>179700</v>
      </c>
      <c r="E8" s="2">
        <f>D8*B8</f>
        <v>17970</v>
      </c>
      <c r="F8" s="16">
        <f>G8/12</f>
        <v>9.9999999999999992E-2</v>
      </c>
      <c r="G8" s="17">
        <v>1.2</v>
      </c>
      <c r="H8" s="18">
        <v>179700</v>
      </c>
      <c r="I8" s="18">
        <f>H8*F8</f>
        <v>17970</v>
      </c>
      <c r="J8" s="3">
        <f>K8/12</f>
        <v>9.9999999999999992E-2</v>
      </c>
      <c r="K8">
        <v>1.2</v>
      </c>
      <c r="L8" s="2">
        <v>179700</v>
      </c>
      <c r="M8" s="2">
        <f>L8*J8</f>
        <v>17970</v>
      </c>
      <c r="N8" s="16">
        <f>O8/12</f>
        <v>9.9999999999999992E-2</v>
      </c>
      <c r="O8" s="17">
        <v>1.2</v>
      </c>
      <c r="P8" s="18">
        <v>179700</v>
      </c>
      <c r="Q8" s="18">
        <f>P8*N8</f>
        <v>17970</v>
      </c>
      <c r="R8" s="2">
        <f>E8+I8+M8+Q8</f>
        <v>71880</v>
      </c>
    </row>
    <row r="9" spans="1:21" ht="14.55" x14ac:dyDescent="0.35">
      <c r="A9" s="6" t="s">
        <v>16</v>
      </c>
      <c r="B9" s="3">
        <v>0.15</v>
      </c>
      <c r="E9" s="2">
        <f>E8*B9</f>
        <v>2695.5</v>
      </c>
      <c r="F9" s="16">
        <v>0.15</v>
      </c>
      <c r="I9" s="18">
        <f>I8*F9</f>
        <v>2695.5</v>
      </c>
      <c r="J9" s="3">
        <v>0.15</v>
      </c>
      <c r="M9" s="34">
        <f>M8*J9</f>
        <v>2695.5</v>
      </c>
      <c r="N9" s="16">
        <v>0.15</v>
      </c>
      <c r="Q9" s="18">
        <f>Q8*N9</f>
        <v>2695.5</v>
      </c>
      <c r="R9" s="2">
        <f t="shared" si="0"/>
        <v>10782</v>
      </c>
    </row>
    <row r="10" spans="1:21" ht="14.55" x14ac:dyDescent="0.35">
      <c r="A10" t="s">
        <v>17</v>
      </c>
      <c r="B10" s="3">
        <f>C10/12</f>
        <v>0.5</v>
      </c>
      <c r="C10">
        <v>6</v>
      </c>
      <c r="D10" s="2">
        <v>46000</v>
      </c>
      <c r="E10" s="2">
        <f>D10*B10</f>
        <v>23000</v>
      </c>
      <c r="F10" s="16">
        <f>G10/12</f>
        <v>0.5</v>
      </c>
      <c r="G10" s="17">
        <v>6</v>
      </c>
      <c r="H10" s="18">
        <v>46000</v>
      </c>
      <c r="I10" s="18">
        <f>H10*F10</f>
        <v>23000</v>
      </c>
      <c r="J10" s="3">
        <f>K10/12</f>
        <v>0.5</v>
      </c>
      <c r="K10">
        <v>6</v>
      </c>
      <c r="L10" s="2">
        <v>46000</v>
      </c>
      <c r="M10" s="2">
        <f>L10*J10</f>
        <v>23000</v>
      </c>
      <c r="N10" s="16">
        <f>O10/12</f>
        <v>0.5</v>
      </c>
      <c r="O10" s="17">
        <v>6</v>
      </c>
      <c r="P10" s="18">
        <v>46000</v>
      </c>
      <c r="Q10" s="18">
        <f>P10*N10</f>
        <v>23000</v>
      </c>
      <c r="R10" s="2">
        <f>E10+I10+M10+Q10</f>
        <v>92000</v>
      </c>
    </row>
    <row r="11" spans="1:21" ht="14.55" x14ac:dyDescent="0.35">
      <c r="A11" s="6" t="s">
        <v>16</v>
      </c>
      <c r="B11" s="3">
        <v>0.19</v>
      </c>
      <c r="E11" s="2">
        <f>E10*B11</f>
        <v>4370</v>
      </c>
      <c r="F11" s="16">
        <v>0.19</v>
      </c>
      <c r="I11" s="18">
        <f>I10*F11</f>
        <v>4370</v>
      </c>
      <c r="J11" s="3">
        <v>0.19</v>
      </c>
      <c r="M11" s="34">
        <f>M10*J11</f>
        <v>4370</v>
      </c>
      <c r="N11" s="16">
        <v>0.19</v>
      </c>
      <c r="Q11" s="18">
        <f>Q10*N11</f>
        <v>4370</v>
      </c>
      <c r="R11" s="2">
        <f t="shared" si="0"/>
        <v>17480</v>
      </c>
    </row>
    <row r="12" spans="1:21" ht="14.55" x14ac:dyDescent="0.35">
      <c r="A12" t="s">
        <v>18</v>
      </c>
      <c r="B12" s="3">
        <f>C12/12</f>
        <v>1</v>
      </c>
      <c r="C12">
        <v>12</v>
      </c>
      <c r="D12" s="2">
        <v>60000</v>
      </c>
      <c r="E12" s="2">
        <f>D12*B12</f>
        <v>60000</v>
      </c>
      <c r="F12" s="16">
        <f>G12/12</f>
        <v>1</v>
      </c>
      <c r="G12" s="17">
        <v>12</v>
      </c>
      <c r="H12" s="18">
        <v>60000</v>
      </c>
      <c r="I12" s="18">
        <f>H12*F12</f>
        <v>60000</v>
      </c>
      <c r="J12" s="3">
        <f>K12/12</f>
        <v>1</v>
      </c>
      <c r="K12">
        <v>12</v>
      </c>
      <c r="L12" s="2">
        <v>60000</v>
      </c>
      <c r="M12" s="2">
        <f>L12*J12</f>
        <v>60000</v>
      </c>
      <c r="N12" s="16">
        <f>O12/12</f>
        <v>1</v>
      </c>
      <c r="O12" s="17">
        <v>12</v>
      </c>
      <c r="P12" s="18">
        <v>60000</v>
      </c>
      <c r="Q12" s="18">
        <f>P12*N12</f>
        <v>60000</v>
      </c>
      <c r="R12" s="2">
        <f t="shared" si="0"/>
        <v>240000</v>
      </c>
    </row>
    <row r="13" spans="1:21" ht="14.55" x14ac:dyDescent="0.35">
      <c r="A13" s="6" t="s">
        <v>16</v>
      </c>
      <c r="B13" s="3">
        <v>0.28000000000000003</v>
      </c>
      <c r="E13" s="2">
        <f>E12*B13</f>
        <v>16800</v>
      </c>
      <c r="F13" s="16">
        <v>0.28000000000000003</v>
      </c>
      <c r="I13" s="18">
        <f>I12*F13</f>
        <v>16800</v>
      </c>
      <c r="J13" s="3">
        <v>0.28000000000000003</v>
      </c>
      <c r="M13" s="34">
        <f>M12*J13</f>
        <v>16800</v>
      </c>
      <c r="N13" s="16">
        <v>0.28000000000000003</v>
      </c>
      <c r="Q13" s="18">
        <f>Q12*N13</f>
        <v>16800</v>
      </c>
      <c r="R13" s="2">
        <f t="shared" si="0"/>
        <v>67200</v>
      </c>
    </row>
    <row r="14" spans="1:21" ht="14.55" x14ac:dyDescent="0.35">
      <c r="A14" t="s">
        <v>19</v>
      </c>
      <c r="B14" s="3">
        <f>C14/12</f>
        <v>5.8333333333333336E-3</v>
      </c>
      <c r="C14">
        <v>7.0000000000000007E-2</v>
      </c>
      <c r="D14" s="2">
        <v>55500</v>
      </c>
      <c r="E14" s="2">
        <f>D14*B14</f>
        <v>323.75</v>
      </c>
      <c r="F14" s="16">
        <f>G14/12</f>
        <v>5.8333333333333336E-3</v>
      </c>
      <c r="G14" s="17">
        <v>7.0000000000000007E-2</v>
      </c>
      <c r="H14" s="18">
        <v>55500</v>
      </c>
      <c r="I14" s="18">
        <f>H14*F14</f>
        <v>323.75</v>
      </c>
      <c r="J14" s="3">
        <f>K14/12</f>
        <v>5.8333333333333336E-3</v>
      </c>
      <c r="K14">
        <v>7.0000000000000007E-2</v>
      </c>
      <c r="L14" s="2">
        <v>55500</v>
      </c>
      <c r="M14" s="2">
        <f>L14*J14</f>
        <v>323.75</v>
      </c>
      <c r="N14" s="16">
        <f>O14/12</f>
        <v>5.8333333333333336E-3</v>
      </c>
      <c r="O14" s="17">
        <v>7.0000000000000007E-2</v>
      </c>
      <c r="P14" s="18">
        <v>55500</v>
      </c>
      <c r="Q14" s="18">
        <f>P14*N14</f>
        <v>323.75</v>
      </c>
      <c r="R14" s="2">
        <f t="shared" si="0"/>
        <v>1295</v>
      </c>
    </row>
    <row r="15" spans="1:21" ht="14.55" x14ac:dyDescent="0.35">
      <c r="A15" s="6" t="s">
        <v>16</v>
      </c>
      <c r="B15" s="3">
        <v>0.28000000000000003</v>
      </c>
      <c r="E15" s="2">
        <f>E14*B15</f>
        <v>90.65</v>
      </c>
      <c r="F15" s="16">
        <v>0.28000000000000003</v>
      </c>
      <c r="I15" s="18">
        <f>I14*F15</f>
        <v>90.65</v>
      </c>
      <c r="J15" s="3">
        <v>0.28000000000000003</v>
      </c>
      <c r="M15" s="34">
        <f>M14*J15</f>
        <v>90.65</v>
      </c>
      <c r="N15" s="16">
        <v>0.28000000000000003</v>
      </c>
      <c r="Q15" s="18">
        <f>Q14*N15</f>
        <v>90.65</v>
      </c>
      <c r="R15" s="2">
        <f>E15+I15+M15+Q15</f>
        <v>362.6</v>
      </c>
    </row>
    <row r="16" spans="1:21" s="10" customFormat="1" ht="14.55" x14ac:dyDescent="0.35">
      <c r="A16" s="8" t="s">
        <v>20</v>
      </c>
      <c r="B16" s="9"/>
      <c r="D16" s="11"/>
      <c r="E16" s="11">
        <f>SUM(E6:E9)</f>
        <v>77085.599999999991</v>
      </c>
      <c r="F16" s="21"/>
      <c r="G16" s="22"/>
      <c r="H16" s="23"/>
      <c r="I16" s="23">
        <f>SUM(I6:I9)</f>
        <v>77085.599999999991</v>
      </c>
      <c r="J16" s="9"/>
      <c r="L16" s="11"/>
      <c r="M16" s="11">
        <f>SUM(M6:M9)</f>
        <v>77085.599999999991</v>
      </c>
      <c r="N16" s="21"/>
      <c r="O16" s="22"/>
      <c r="P16" s="23"/>
      <c r="Q16" s="23">
        <f>SUM(Q6:Q9)</f>
        <v>77085.599999999991</v>
      </c>
      <c r="R16" s="11">
        <f t="shared" ref="R16:R25" si="1">E16+I16+M16+Q16</f>
        <v>308342.39999999997</v>
      </c>
    </row>
    <row r="17" spans="1:18" s="10" customFormat="1" ht="14.55" x14ac:dyDescent="0.35">
      <c r="A17" s="8" t="s">
        <v>21</v>
      </c>
      <c r="B17" s="9"/>
      <c r="D17" s="11"/>
      <c r="E17" s="11">
        <f>SUM(E10:E15)</f>
        <v>104584.4</v>
      </c>
      <c r="F17" s="21"/>
      <c r="G17" s="22"/>
      <c r="H17" s="23"/>
      <c r="I17" s="23">
        <f>SUM(I10:I15)</f>
        <v>104584.4</v>
      </c>
      <c r="J17" s="9"/>
      <c r="L17" s="11"/>
      <c r="M17" s="11">
        <f>SUM(M10:M15)</f>
        <v>104584.4</v>
      </c>
      <c r="N17" s="21"/>
      <c r="O17" s="22"/>
      <c r="P17" s="23"/>
      <c r="Q17" s="23">
        <f>SUM(Q10:Q15)</f>
        <v>104584.4</v>
      </c>
      <c r="R17" s="11">
        <f t="shared" si="1"/>
        <v>418337.6</v>
      </c>
    </row>
    <row r="18" spans="1:18" s="10" customFormat="1" ht="14.55" x14ac:dyDescent="0.35">
      <c r="A18" s="8" t="s">
        <v>22</v>
      </c>
      <c r="B18" s="9"/>
      <c r="D18" s="11"/>
      <c r="E18" s="11">
        <f>SUM(E16:E17)</f>
        <v>181670</v>
      </c>
      <c r="F18" s="21"/>
      <c r="G18" s="22"/>
      <c r="H18" s="23"/>
      <c r="I18" s="23">
        <f>SUM(I16:I17)</f>
        <v>181670</v>
      </c>
      <c r="J18" s="9"/>
      <c r="L18" s="11"/>
      <c r="M18" s="11">
        <f>SUM(M16:M17)</f>
        <v>181670</v>
      </c>
      <c r="N18" s="21"/>
      <c r="O18" s="22"/>
      <c r="P18" s="23"/>
      <c r="Q18" s="23">
        <f>SUM(Q16:Q17)</f>
        <v>181670</v>
      </c>
      <c r="R18" s="11">
        <f t="shared" si="1"/>
        <v>726680</v>
      </c>
    </row>
    <row r="20" spans="1:18" s="10" customFormat="1" ht="14.55" x14ac:dyDescent="0.35">
      <c r="A20" s="8" t="s">
        <v>23</v>
      </c>
      <c r="B20" s="9"/>
      <c r="D20" s="11"/>
      <c r="E20" s="11">
        <f>SUM(E21:E22)</f>
        <v>50000</v>
      </c>
      <c r="F20" s="21"/>
      <c r="G20" s="22"/>
      <c r="H20" s="23"/>
      <c r="I20" s="23">
        <f>SUM(I21:I22)</f>
        <v>0</v>
      </c>
      <c r="J20" s="9"/>
      <c r="L20" s="11"/>
      <c r="M20" s="11">
        <f>SUM(M21:M22)</f>
        <v>0</v>
      </c>
      <c r="N20" s="21"/>
      <c r="O20" s="22"/>
      <c r="P20" s="23"/>
      <c r="Q20" s="23">
        <f>SUM(Q21:Q22)</f>
        <v>0</v>
      </c>
      <c r="R20" s="11">
        <f t="shared" si="1"/>
        <v>50000</v>
      </c>
    </row>
    <row r="21" spans="1:18" s="14" customFormat="1" ht="14.55" x14ac:dyDescent="0.35">
      <c r="A21" s="12" t="s">
        <v>24</v>
      </c>
      <c r="B21" s="13"/>
      <c r="D21" s="15"/>
      <c r="E21" s="15">
        <v>35000</v>
      </c>
      <c r="F21" s="24"/>
      <c r="G21" s="25"/>
      <c r="H21" s="26"/>
      <c r="I21" s="26">
        <v>0</v>
      </c>
      <c r="J21" s="13"/>
      <c r="L21" s="15"/>
      <c r="M21" s="15">
        <v>0</v>
      </c>
      <c r="N21" s="24"/>
      <c r="O21" s="25"/>
      <c r="P21" s="26"/>
      <c r="Q21" s="26">
        <v>0</v>
      </c>
      <c r="R21" s="15">
        <f t="shared" si="1"/>
        <v>35000</v>
      </c>
    </row>
    <row r="22" spans="1:18" ht="14.55" x14ac:dyDescent="0.35">
      <c r="A22" s="12" t="s">
        <v>25</v>
      </c>
      <c r="E22" s="2">
        <v>15000</v>
      </c>
      <c r="I22" s="18">
        <v>0</v>
      </c>
      <c r="M22" s="2">
        <v>0</v>
      </c>
      <c r="Q22" s="18">
        <v>0</v>
      </c>
      <c r="R22" s="15">
        <f t="shared" si="1"/>
        <v>15000</v>
      </c>
    </row>
    <row r="24" spans="1:18" s="10" customFormat="1" ht="14.55" x14ac:dyDescent="0.35">
      <c r="A24" s="10" t="s">
        <v>26</v>
      </c>
      <c r="B24" s="9"/>
      <c r="D24" s="11"/>
      <c r="E24" s="11">
        <f>SUM(E25:E25)</f>
        <v>8000</v>
      </c>
      <c r="F24" s="21"/>
      <c r="G24" s="22"/>
      <c r="H24" s="23"/>
      <c r="I24" s="23">
        <f>SUM(I25:I25)</f>
        <v>8000</v>
      </c>
      <c r="J24" s="9"/>
      <c r="L24" s="11"/>
      <c r="M24" s="11">
        <f>SUM(M25:M25)</f>
        <v>8000</v>
      </c>
      <c r="N24" s="21"/>
      <c r="O24" s="22"/>
      <c r="P24" s="23"/>
      <c r="Q24" s="23">
        <f>SUM(Q25:Q25)</f>
        <v>8000</v>
      </c>
      <c r="R24" s="11">
        <f t="shared" si="1"/>
        <v>32000</v>
      </c>
    </row>
    <row r="25" spans="1:18" ht="14.55" x14ac:dyDescent="0.35">
      <c r="A25" t="s">
        <v>27</v>
      </c>
      <c r="E25" s="2">
        <v>8000</v>
      </c>
      <c r="I25" s="18">
        <v>8000</v>
      </c>
      <c r="M25" s="2">
        <v>8000</v>
      </c>
      <c r="Q25" s="18">
        <v>8000</v>
      </c>
      <c r="R25" s="15">
        <f t="shared" si="1"/>
        <v>32000</v>
      </c>
    </row>
    <row r="27" spans="1:18" s="10" customFormat="1" ht="14.55" x14ac:dyDescent="0.35">
      <c r="A27" s="10" t="s">
        <v>28</v>
      </c>
      <c r="B27" s="9"/>
      <c r="D27" s="11"/>
      <c r="E27" s="11">
        <f>SUM(E31:E33)+E28</f>
        <v>111464.98999999999</v>
      </c>
      <c r="F27" s="21"/>
      <c r="G27" s="22"/>
      <c r="H27" s="23"/>
      <c r="I27" s="23">
        <f>SUM(I31:I33)+I28</f>
        <v>111787.98999999999</v>
      </c>
      <c r="J27" s="9"/>
      <c r="L27" s="11"/>
      <c r="M27" s="11">
        <f>SUM(M31:M33)+M28</f>
        <v>111787.98999999999</v>
      </c>
      <c r="N27" s="21"/>
      <c r="O27" s="22"/>
      <c r="P27" s="23"/>
      <c r="Q27" s="23">
        <f>SUM(Q31:Q33)+Q28</f>
        <v>111787.98999999999</v>
      </c>
      <c r="R27" s="11">
        <f>E27+I27+M27+Q27</f>
        <v>446828.95999999996</v>
      </c>
    </row>
    <row r="28" spans="1:18" ht="14.55" x14ac:dyDescent="0.35">
      <c r="A28" t="s">
        <v>30</v>
      </c>
      <c r="E28" s="2">
        <f>SUM(E29:E30)</f>
        <v>9399</v>
      </c>
      <c r="I28" s="18">
        <f>SUM(I29:I30)</f>
        <v>9399</v>
      </c>
      <c r="M28" s="2">
        <f>SUM(M29:M30)</f>
        <v>9399</v>
      </c>
      <c r="Q28" s="18">
        <f>SUM(Q29:Q30)</f>
        <v>9399</v>
      </c>
      <c r="R28" s="15">
        <f>E28+I28+M28+Q28</f>
        <v>37596</v>
      </c>
    </row>
    <row r="29" spans="1:18" s="27" customFormat="1" ht="10.5" x14ac:dyDescent="0.25">
      <c r="A29" s="33" t="s">
        <v>39</v>
      </c>
      <c r="B29" s="28"/>
      <c r="D29" s="29"/>
      <c r="E29" s="29">
        <v>2000</v>
      </c>
      <c r="F29" s="30"/>
      <c r="G29" s="31"/>
      <c r="H29" s="32"/>
      <c r="I29" s="32">
        <v>2000</v>
      </c>
      <c r="J29" s="28"/>
      <c r="L29" s="29"/>
      <c r="M29" s="29">
        <v>2000</v>
      </c>
      <c r="N29" s="30"/>
      <c r="O29" s="31"/>
      <c r="P29" s="32"/>
      <c r="Q29" s="32">
        <v>2000</v>
      </c>
      <c r="R29" s="29">
        <f t="shared" ref="R29:R32" si="2">E29+I29+M29+Q29</f>
        <v>8000</v>
      </c>
    </row>
    <row r="30" spans="1:18" s="27" customFormat="1" ht="10.5" x14ac:dyDescent="0.25">
      <c r="A30" s="33" t="s">
        <v>37</v>
      </c>
      <c r="B30" s="28"/>
      <c r="D30" s="29"/>
      <c r="E30" s="29">
        <v>7399</v>
      </c>
      <c r="F30" s="30"/>
      <c r="G30" s="31"/>
      <c r="H30" s="32"/>
      <c r="I30" s="32">
        <v>7399</v>
      </c>
      <c r="J30" s="28"/>
      <c r="L30" s="29"/>
      <c r="M30" s="29">
        <v>7399</v>
      </c>
      <c r="N30" s="30"/>
      <c r="O30" s="31"/>
      <c r="P30" s="32"/>
      <c r="Q30" s="32">
        <v>7399</v>
      </c>
      <c r="R30" s="29">
        <f t="shared" si="2"/>
        <v>29596</v>
      </c>
    </row>
    <row r="31" spans="1:18" ht="14.55" x14ac:dyDescent="0.35">
      <c r="A31" t="s">
        <v>29</v>
      </c>
      <c r="E31" s="2">
        <v>4000</v>
      </c>
      <c r="I31" s="18">
        <v>4000</v>
      </c>
      <c r="M31" s="2">
        <v>4000</v>
      </c>
      <c r="Q31" s="18">
        <v>4000</v>
      </c>
      <c r="R31" s="15">
        <f t="shared" si="2"/>
        <v>16000</v>
      </c>
    </row>
    <row r="32" spans="1:18" ht="14.55" x14ac:dyDescent="0.35">
      <c r="A32" t="s">
        <v>31</v>
      </c>
      <c r="E32" s="2">
        <v>5000</v>
      </c>
      <c r="I32" s="18">
        <v>5000</v>
      </c>
      <c r="M32" s="2">
        <v>5000</v>
      </c>
      <c r="Q32" s="18">
        <v>5000</v>
      </c>
      <c r="R32" s="15">
        <f t="shared" si="2"/>
        <v>20000</v>
      </c>
    </row>
    <row r="33" spans="1:18" ht="14.55" x14ac:dyDescent="0.35">
      <c r="A33" t="s">
        <v>32</v>
      </c>
      <c r="E33" s="2">
        <f>'Proposed Harvard U. Subcontract'!E12</f>
        <v>93065.989999999991</v>
      </c>
      <c r="I33" s="18">
        <f>'Proposed Harvard U. Subcontract'!I12</f>
        <v>93388.989999999991</v>
      </c>
      <c r="M33" s="2">
        <f>'Proposed Harvard U. Subcontract'!M12</f>
        <v>93388.989999999991</v>
      </c>
      <c r="Q33" s="18">
        <f>'Proposed Harvard U. Subcontract'!Q12</f>
        <v>93388.989999999991</v>
      </c>
      <c r="R33" s="15">
        <f>E33+I33+M33+Q33</f>
        <v>373232.95999999996</v>
      </c>
    </row>
    <row r="35" spans="1:18" s="10" customFormat="1" ht="14.55" x14ac:dyDescent="0.35">
      <c r="A35" s="10" t="s">
        <v>34</v>
      </c>
      <c r="B35" s="9"/>
      <c r="D35" s="11"/>
      <c r="E35" s="11">
        <f>E18+E20+E24+E27</f>
        <v>351134.99</v>
      </c>
      <c r="F35" s="21"/>
      <c r="G35" s="22"/>
      <c r="H35" s="23"/>
      <c r="I35" s="23">
        <f>I18+I20+I24+I27</f>
        <v>301457.99</v>
      </c>
      <c r="J35" s="9"/>
      <c r="L35" s="11"/>
      <c r="M35" s="11">
        <f>M18+M20+M24+M27</f>
        <v>301457.99</v>
      </c>
      <c r="N35" s="21"/>
      <c r="O35" s="22"/>
      <c r="P35" s="23"/>
      <c r="Q35" s="23">
        <f>Q18+Q20+Q24+Q27</f>
        <v>301457.99</v>
      </c>
      <c r="R35" s="11">
        <f>E35+I35+M35+Q35</f>
        <v>1255508.96</v>
      </c>
    </row>
    <row r="36" spans="1:18" s="10" customFormat="1" x14ac:dyDescent="0.3">
      <c r="A36" s="10" t="s">
        <v>46</v>
      </c>
      <c r="B36" s="9"/>
      <c r="D36" s="11"/>
      <c r="E36" s="11">
        <f>(E20+E33)-25000</f>
        <v>118065.98999999999</v>
      </c>
      <c r="F36" s="21"/>
      <c r="G36" s="22"/>
      <c r="H36" s="23"/>
      <c r="I36" s="23">
        <f>(I20+I33)</f>
        <v>93388.989999999991</v>
      </c>
      <c r="J36" s="9"/>
      <c r="L36" s="11"/>
      <c r="M36" s="11">
        <f>(M20+M33)</f>
        <v>93388.989999999991</v>
      </c>
      <c r="N36" s="21"/>
      <c r="O36" s="22"/>
      <c r="P36" s="23"/>
      <c r="Q36" s="23">
        <f>(Q20+Q33)</f>
        <v>93388.989999999991</v>
      </c>
      <c r="R36" s="11">
        <f>E36+I36+M36+Q36</f>
        <v>398232.95999999996</v>
      </c>
    </row>
    <row r="37" spans="1:18" s="10" customFormat="1" x14ac:dyDescent="0.3">
      <c r="A37" s="10" t="s">
        <v>35</v>
      </c>
      <c r="B37" s="9"/>
      <c r="D37" s="11"/>
      <c r="E37" s="11">
        <f>E35-E36</f>
        <v>233069</v>
      </c>
      <c r="F37" s="21"/>
      <c r="G37" s="22"/>
      <c r="H37" s="23"/>
      <c r="I37" s="23">
        <f>I35-I36</f>
        <v>208069</v>
      </c>
      <c r="J37" s="9"/>
      <c r="L37" s="11"/>
      <c r="M37" s="11">
        <f>M35-M36</f>
        <v>208069</v>
      </c>
      <c r="N37" s="21"/>
      <c r="O37" s="22"/>
      <c r="P37" s="23"/>
      <c r="Q37" s="23">
        <f>Q35-Q36</f>
        <v>208069</v>
      </c>
      <c r="R37" s="11">
        <f>E37+I37+M37+Q37</f>
        <v>857276</v>
      </c>
    </row>
    <row r="38" spans="1:18" s="10" customFormat="1" x14ac:dyDescent="0.3">
      <c r="A38" s="10" t="s">
        <v>36</v>
      </c>
      <c r="B38" s="9">
        <v>0.52</v>
      </c>
      <c r="D38" s="11"/>
      <c r="E38" s="11">
        <f>E37*$B$38</f>
        <v>121195.88</v>
      </c>
      <c r="F38" s="21"/>
      <c r="G38" s="22"/>
      <c r="H38" s="23"/>
      <c r="I38" s="23">
        <f>I37*$B$38</f>
        <v>108195.88</v>
      </c>
      <c r="J38" s="9"/>
      <c r="L38" s="11"/>
      <c r="M38" s="11">
        <f>M37*$B$38</f>
        <v>108195.88</v>
      </c>
      <c r="N38" s="21"/>
      <c r="O38" s="22"/>
      <c r="P38" s="23"/>
      <c r="Q38" s="23">
        <f>Q37*$B$38</f>
        <v>108195.88</v>
      </c>
      <c r="R38" s="11">
        <f>E38+I38+M38+Q38</f>
        <v>445783.52</v>
      </c>
    </row>
    <row r="39" spans="1:18" s="10" customFormat="1" x14ac:dyDescent="0.3">
      <c r="A39" s="10" t="s">
        <v>38</v>
      </c>
      <c r="B39" s="9"/>
      <c r="D39" s="11"/>
      <c r="E39" s="11">
        <f>E35+E38</f>
        <v>472330.87</v>
      </c>
      <c r="F39" s="21"/>
      <c r="G39" s="22"/>
      <c r="H39" s="23"/>
      <c r="I39" s="23">
        <f>I35+I38</f>
        <v>409653.87</v>
      </c>
      <c r="J39" s="9"/>
      <c r="L39" s="11"/>
      <c r="M39" s="11">
        <f>M35+M38</f>
        <v>409653.87</v>
      </c>
      <c r="N39" s="21"/>
      <c r="O39" s="22"/>
      <c r="P39" s="23"/>
      <c r="Q39" s="23">
        <f>Q35+Q38</f>
        <v>409653.87</v>
      </c>
      <c r="R39" s="11">
        <f>E39+I39+M39+Q39</f>
        <v>1701292.48</v>
      </c>
    </row>
  </sheetData>
  <mergeCells count="4">
    <mergeCell ref="B4:E4"/>
    <mergeCell ref="F4:I4"/>
    <mergeCell ref="J4:M4"/>
    <mergeCell ref="N4:Q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"/>
  <sheetViews>
    <sheetView workbookViewId="0">
      <selection activeCell="F30" sqref="F30"/>
    </sheetView>
  </sheetViews>
  <sheetFormatPr defaultRowHeight="14.4" x14ac:dyDescent="0.3"/>
  <cols>
    <col min="1" max="1" width="15" customWidth="1"/>
    <col min="2" max="2" width="6.33203125" style="3" bestFit="1" customWidth="1"/>
    <col min="3" max="3" width="7.21875" bestFit="1" customWidth="1"/>
    <col min="4" max="4" width="12.109375" style="2" bestFit="1" customWidth="1"/>
    <col min="5" max="5" width="11.5546875" style="2" customWidth="1"/>
    <col min="6" max="6" width="6.33203125" style="43" customWidth="1"/>
    <col min="7" max="7" width="7.21875" style="17" bestFit="1" customWidth="1"/>
    <col min="8" max="8" width="9.5546875" style="18" bestFit="1" customWidth="1"/>
    <col min="9" max="9" width="11.5546875" style="18" customWidth="1"/>
    <col min="10" max="10" width="6.33203125" style="46" bestFit="1" customWidth="1"/>
    <col min="11" max="11" width="7.21875" bestFit="1" customWidth="1"/>
    <col min="12" max="12" width="9.5546875" style="2" bestFit="1" customWidth="1"/>
    <col min="13" max="13" width="11.5546875" style="2" customWidth="1"/>
    <col min="14" max="14" width="6.33203125" style="43" customWidth="1"/>
    <col min="15" max="15" width="7.21875" style="17" bestFit="1" customWidth="1"/>
    <col min="16" max="16" width="9.5546875" style="18" bestFit="1" customWidth="1"/>
    <col min="17" max="17" width="11.5546875" style="18" customWidth="1"/>
    <col min="18" max="18" width="11.5546875" style="2" customWidth="1"/>
    <col min="19" max="21" width="11.5546875" customWidth="1"/>
  </cols>
  <sheetData>
    <row r="1" spans="1:21" ht="14.55" x14ac:dyDescent="0.35">
      <c r="A1" t="s">
        <v>40</v>
      </c>
    </row>
    <row r="2" spans="1:21" ht="14.55" x14ac:dyDescent="0.35">
      <c r="A2" t="s">
        <v>41</v>
      </c>
    </row>
    <row r="3" spans="1:21" ht="14.55" x14ac:dyDescent="0.35">
      <c r="B3" s="59" t="s">
        <v>6</v>
      </c>
      <c r="C3" s="59"/>
      <c r="D3" s="59"/>
      <c r="E3" s="59"/>
      <c r="F3" s="60" t="s">
        <v>7</v>
      </c>
      <c r="G3" s="60"/>
      <c r="H3" s="60"/>
      <c r="I3" s="60"/>
      <c r="J3" s="59" t="s">
        <v>8</v>
      </c>
      <c r="K3" s="59"/>
      <c r="L3" s="59"/>
      <c r="M3" s="59"/>
      <c r="N3" s="60" t="s">
        <v>9</v>
      </c>
      <c r="O3" s="60"/>
      <c r="P3" s="60"/>
      <c r="Q3" s="60"/>
      <c r="R3" s="4" t="s">
        <v>10</v>
      </c>
    </row>
    <row r="4" spans="1:21" ht="28.95" customHeight="1" x14ac:dyDescent="0.35">
      <c r="B4" s="7" t="s">
        <v>33</v>
      </c>
      <c r="C4" t="s">
        <v>14</v>
      </c>
      <c r="D4" s="2" t="s">
        <v>15</v>
      </c>
      <c r="E4" s="5" t="s">
        <v>2</v>
      </c>
      <c r="F4" s="44" t="s">
        <v>33</v>
      </c>
      <c r="G4" s="17" t="s">
        <v>14</v>
      </c>
      <c r="H4" s="18" t="s">
        <v>15</v>
      </c>
      <c r="I4" s="20" t="s">
        <v>3</v>
      </c>
      <c r="J4" s="47" t="s">
        <v>33</v>
      </c>
      <c r="K4" t="s">
        <v>14</v>
      </c>
      <c r="L4" s="2" t="s">
        <v>15</v>
      </c>
      <c r="M4" s="5" t="s">
        <v>4</v>
      </c>
      <c r="N4" s="44" t="s">
        <v>33</v>
      </c>
      <c r="O4" s="17" t="s">
        <v>14</v>
      </c>
      <c r="P4" s="18" t="s">
        <v>15</v>
      </c>
      <c r="Q4" s="20" t="s">
        <v>5</v>
      </c>
      <c r="R4" s="5" t="s">
        <v>11</v>
      </c>
      <c r="S4" s="1"/>
      <c r="T4" s="1"/>
      <c r="U4" s="1"/>
    </row>
    <row r="5" spans="1:21" ht="14.55" x14ac:dyDescent="0.35">
      <c r="A5" t="s">
        <v>42</v>
      </c>
      <c r="B5" s="3">
        <f>C5/12</f>
        <v>0.15</v>
      </c>
      <c r="C5">
        <v>1.8</v>
      </c>
      <c r="D5" s="2">
        <v>114000</v>
      </c>
      <c r="E5" s="2">
        <f>D5*B5</f>
        <v>17100</v>
      </c>
      <c r="F5" s="43">
        <f>G5/12</f>
        <v>0.15</v>
      </c>
      <c r="G5" s="17">
        <v>1.8</v>
      </c>
      <c r="H5" s="18">
        <v>114000</v>
      </c>
      <c r="I5" s="18">
        <f>H5*F5</f>
        <v>17100</v>
      </c>
      <c r="J5" s="3">
        <f>K5/12</f>
        <v>0.15</v>
      </c>
      <c r="K5">
        <v>1.8</v>
      </c>
      <c r="L5" s="2">
        <v>114000</v>
      </c>
      <c r="M5" s="2">
        <f>L5*J5</f>
        <v>17100</v>
      </c>
      <c r="N5" s="43">
        <f>O5/12</f>
        <v>0.15</v>
      </c>
      <c r="O5" s="17">
        <v>1.8</v>
      </c>
      <c r="P5" s="18">
        <v>114000</v>
      </c>
      <c r="Q5" s="18">
        <f>P5*N5</f>
        <v>17100</v>
      </c>
      <c r="R5" s="2">
        <f>E5+I5+M5+Q5</f>
        <v>68400</v>
      </c>
    </row>
    <row r="6" spans="1:21" ht="14.55" x14ac:dyDescent="0.35">
      <c r="A6" s="37" t="s">
        <v>16</v>
      </c>
      <c r="B6" s="3">
        <v>0.25</v>
      </c>
      <c r="E6" s="2">
        <f>E5*B6</f>
        <v>4275</v>
      </c>
      <c r="F6" s="43">
        <v>0.25</v>
      </c>
      <c r="I6" s="18">
        <f>I5*F6</f>
        <v>4275</v>
      </c>
      <c r="J6" s="3">
        <v>0.25</v>
      </c>
      <c r="M6" s="2">
        <f>M5*J6</f>
        <v>4275</v>
      </c>
      <c r="N6" s="43">
        <v>0.25</v>
      </c>
      <c r="Q6" s="18">
        <f>Q5*N6</f>
        <v>4275</v>
      </c>
      <c r="R6" s="2">
        <f t="shared" ref="R6:R12" si="0">E6+I6+M6+Q6</f>
        <v>17100</v>
      </c>
    </row>
    <row r="7" spans="1:21" ht="14.55" x14ac:dyDescent="0.35">
      <c r="A7" t="s">
        <v>43</v>
      </c>
      <c r="B7" s="3">
        <f>C7/12</f>
        <v>0.5</v>
      </c>
      <c r="C7">
        <v>6</v>
      </c>
      <c r="D7" s="2">
        <v>58000</v>
      </c>
      <c r="E7" s="2">
        <f>D7*B7</f>
        <v>29000</v>
      </c>
      <c r="F7" s="43">
        <f>G7/12</f>
        <v>0.5</v>
      </c>
      <c r="G7" s="17">
        <v>6</v>
      </c>
      <c r="H7" s="18">
        <v>58000</v>
      </c>
      <c r="I7" s="18">
        <f>H7*F7</f>
        <v>29000</v>
      </c>
      <c r="J7" s="3">
        <f>K7/12</f>
        <v>0.5</v>
      </c>
      <c r="K7">
        <v>6</v>
      </c>
      <c r="L7" s="2">
        <v>58000</v>
      </c>
      <c r="M7" s="2">
        <f>L7*J7</f>
        <v>29000</v>
      </c>
      <c r="N7" s="43">
        <f>O7/12</f>
        <v>0.5</v>
      </c>
      <c r="O7" s="17">
        <v>6</v>
      </c>
      <c r="P7" s="18">
        <v>58000</v>
      </c>
      <c r="Q7" s="18">
        <f>P7*N7</f>
        <v>29000</v>
      </c>
      <c r="R7" s="2">
        <f t="shared" si="0"/>
        <v>116000</v>
      </c>
    </row>
    <row r="8" spans="1:21" ht="14.55" x14ac:dyDescent="0.35">
      <c r="A8" s="37" t="s">
        <v>16</v>
      </c>
      <c r="B8" s="3">
        <v>0.25</v>
      </c>
      <c r="E8" s="2">
        <f>E7*B8</f>
        <v>7250</v>
      </c>
      <c r="F8" s="43">
        <v>0.25</v>
      </c>
      <c r="I8" s="18">
        <f>I7*F8</f>
        <v>7250</v>
      </c>
      <c r="J8" s="3">
        <v>0.25</v>
      </c>
      <c r="M8" s="2">
        <f>M7*J8</f>
        <v>7250</v>
      </c>
      <c r="N8" s="43">
        <v>0.25</v>
      </c>
      <c r="Q8" s="18">
        <f>Q7*N8</f>
        <v>7250</v>
      </c>
      <c r="R8" s="2">
        <f t="shared" si="0"/>
        <v>29000</v>
      </c>
    </row>
    <row r="9" spans="1:21" ht="14.55" x14ac:dyDescent="0.35">
      <c r="A9" t="s">
        <v>45</v>
      </c>
      <c r="I9" s="18">
        <v>200</v>
      </c>
      <c r="M9" s="2">
        <v>200</v>
      </c>
      <c r="Q9" s="18">
        <v>200</v>
      </c>
      <c r="R9" s="2">
        <f t="shared" si="0"/>
        <v>600</v>
      </c>
    </row>
    <row r="10" spans="1:21" s="38" customFormat="1" ht="14.55" x14ac:dyDescent="0.35">
      <c r="A10" s="38" t="s">
        <v>44</v>
      </c>
      <c r="B10" s="39"/>
      <c r="E10" s="40">
        <f>SUM(E5:E8)+1</f>
        <v>57626</v>
      </c>
      <c r="F10" s="45"/>
      <c r="G10" s="41"/>
      <c r="H10" s="42"/>
      <c r="I10" s="42">
        <f>SUM(I5:I9)+1</f>
        <v>57826</v>
      </c>
      <c r="J10" s="48"/>
      <c r="L10" s="40"/>
      <c r="M10" s="40">
        <f>SUM(M5:M9)+1</f>
        <v>57826</v>
      </c>
      <c r="N10" s="45"/>
      <c r="O10" s="41"/>
      <c r="P10" s="42"/>
      <c r="Q10" s="42">
        <f>SUM(Q5:Q9)+1</f>
        <v>57826</v>
      </c>
      <c r="R10" s="11">
        <f t="shared" si="0"/>
        <v>231104</v>
      </c>
    </row>
    <row r="11" spans="1:21" s="38" customFormat="1" ht="14.55" x14ac:dyDescent="0.35">
      <c r="A11" s="38" t="s">
        <v>36</v>
      </c>
      <c r="B11" s="39"/>
      <c r="E11" s="40">
        <f>E10*0.615</f>
        <v>35439.99</v>
      </c>
      <c r="F11" s="45"/>
      <c r="G11" s="41"/>
      <c r="H11" s="42"/>
      <c r="I11" s="42">
        <f>I10*0.615</f>
        <v>35562.99</v>
      </c>
      <c r="J11" s="48"/>
      <c r="L11" s="40"/>
      <c r="M11" s="40">
        <f>M10*0.615</f>
        <v>35562.99</v>
      </c>
      <c r="N11" s="45"/>
      <c r="O11" s="41"/>
      <c r="P11" s="42"/>
      <c r="Q11" s="42">
        <f>Q10*0.615</f>
        <v>35562.99</v>
      </c>
      <c r="R11" s="11">
        <f t="shared" si="0"/>
        <v>142128.95999999999</v>
      </c>
    </row>
    <row r="12" spans="1:21" s="38" customFormat="1" ht="14.55" x14ac:dyDescent="0.35">
      <c r="A12" s="38" t="s">
        <v>38</v>
      </c>
      <c r="B12" s="39"/>
      <c r="E12" s="40">
        <f>SUM(E10:E11)</f>
        <v>93065.989999999991</v>
      </c>
      <c r="F12" s="45"/>
      <c r="G12" s="41"/>
      <c r="H12" s="42"/>
      <c r="I12" s="42">
        <f>SUM(I10:I11)</f>
        <v>93388.989999999991</v>
      </c>
      <c r="J12" s="48"/>
      <c r="L12" s="40"/>
      <c r="M12" s="40">
        <f>SUM(M10:M11)</f>
        <v>93388.989999999991</v>
      </c>
      <c r="N12" s="45"/>
      <c r="O12" s="41"/>
      <c r="P12" s="42"/>
      <c r="Q12" s="42">
        <f>SUM(Q10:Q11)</f>
        <v>93388.989999999991</v>
      </c>
      <c r="R12" s="11">
        <f t="shared" si="0"/>
        <v>373232.95999999996</v>
      </c>
    </row>
  </sheetData>
  <mergeCells count="4">
    <mergeCell ref="B3:E3"/>
    <mergeCell ref="F3:I3"/>
    <mergeCell ref="J3:M3"/>
    <mergeCell ref="N3:Q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"/>
  <sheetViews>
    <sheetView tabSelected="1" workbookViewId="0">
      <selection activeCell="G5" sqref="G5"/>
    </sheetView>
  </sheetViews>
  <sheetFormatPr defaultRowHeight="14.4" x14ac:dyDescent="0.3"/>
  <cols>
    <col min="1" max="1" width="15" customWidth="1"/>
    <col min="2" max="2" width="6.33203125" style="3" bestFit="1" customWidth="1"/>
    <col min="3" max="3" width="7.21875" bestFit="1" customWidth="1"/>
    <col min="4" max="4" width="9.5546875" style="2" bestFit="1" customWidth="1"/>
    <col min="5" max="5" width="11.5546875" style="2" customWidth="1"/>
    <col min="6" max="6" width="6.77734375" style="2" customWidth="1"/>
    <col min="7" max="7" width="11.21875" style="18" bestFit="1" customWidth="1"/>
    <col min="8" max="8" width="6.77734375" customWidth="1"/>
    <col min="9" max="9" width="15" customWidth="1"/>
    <col min="10" max="10" width="6.33203125" bestFit="1" customWidth="1"/>
    <col min="11" max="11" width="7.21875" bestFit="1" customWidth="1"/>
    <col min="12" max="12" width="9.5546875" bestFit="1" customWidth="1"/>
    <col min="13" max="13" width="11.5546875" customWidth="1"/>
    <col min="14" max="14" width="8.77734375" style="57"/>
  </cols>
  <sheetData>
    <row r="1" spans="1:14" ht="14.55" x14ac:dyDescent="0.35">
      <c r="A1" t="s">
        <v>0</v>
      </c>
    </row>
    <row r="2" spans="1:14" ht="14.55" x14ac:dyDescent="0.35">
      <c r="A2" t="s">
        <v>1</v>
      </c>
    </row>
    <row r="3" spans="1:14" ht="14.55" x14ac:dyDescent="0.35">
      <c r="G3" s="18" t="s">
        <v>47</v>
      </c>
    </row>
    <row r="4" spans="1:14" ht="14.55" x14ac:dyDescent="0.35">
      <c r="A4" s="59" t="s">
        <v>6</v>
      </c>
      <c r="B4" s="59"/>
      <c r="C4" s="59"/>
      <c r="D4" s="59"/>
      <c r="E4" s="59"/>
      <c r="F4" s="4"/>
      <c r="G4" s="18" t="s">
        <v>52</v>
      </c>
      <c r="I4" s="59" t="s">
        <v>6</v>
      </c>
      <c r="J4" s="59"/>
      <c r="K4" s="59"/>
      <c r="L4" s="59"/>
      <c r="M4" s="59"/>
    </row>
    <row r="5" spans="1:14" ht="72.45" customHeight="1" x14ac:dyDescent="0.35">
      <c r="B5" s="7" t="s">
        <v>33</v>
      </c>
      <c r="C5" t="s">
        <v>14</v>
      </c>
      <c r="D5" s="2" t="s">
        <v>15</v>
      </c>
      <c r="E5" s="5" t="s">
        <v>2</v>
      </c>
      <c r="F5" s="5"/>
      <c r="J5" s="7" t="s">
        <v>33</v>
      </c>
      <c r="K5" t="s">
        <v>14</v>
      </c>
      <c r="L5" s="2" t="s">
        <v>15</v>
      </c>
      <c r="M5" s="5" t="s">
        <v>2</v>
      </c>
    </row>
    <row r="6" spans="1:14" ht="14.55" x14ac:dyDescent="0.35">
      <c r="A6" t="s">
        <v>12</v>
      </c>
      <c r="B6" s="3">
        <f>C6/12</f>
        <v>0.39999999999999997</v>
      </c>
      <c r="C6">
        <v>4.8</v>
      </c>
      <c r="D6" s="2">
        <v>114675</v>
      </c>
      <c r="E6" s="2">
        <f>D6*B6</f>
        <v>45869.999999999993</v>
      </c>
      <c r="I6" t="s">
        <v>12</v>
      </c>
      <c r="J6" s="3">
        <f>(K6/12)*0.75</f>
        <v>0.3</v>
      </c>
      <c r="K6">
        <v>4.8</v>
      </c>
      <c r="L6" s="2">
        <v>132000</v>
      </c>
      <c r="M6" s="2">
        <f>L6*J6</f>
        <v>39600</v>
      </c>
      <c r="N6" s="57" t="s">
        <v>48</v>
      </c>
    </row>
    <row r="7" spans="1:14" ht="14.55" x14ac:dyDescent="0.35">
      <c r="A7" s="6" t="s">
        <v>16</v>
      </c>
      <c r="B7" s="3">
        <v>0.23</v>
      </c>
      <c r="E7" s="2">
        <f>E6*B7</f>
        <v>10550.099999999999</v>
      </c>
      <c r="I7" s="6" t="s">
        <v>16</v>
      </c>
      <c r="J7" s="3">
        <v>0.23</v>
      </c>
      <c r="L7" s="2"/>
      <c r="M7" s="2">
        <f>M6*J7</f>
        <v>9108</v>
      </c>
    </row>
    <row r="8" spans="1:14" ht="14.55" x14ac:dyDescent="0.35">
      <c r="A8" t="s">
        <v>13</v>
      </c>
      <c r="B8" s="3">
        <f>C8/12</f>
        <v>9.9999999999999992E-2</v>
      </c>
      <c r="C8">
        <v>1.2</v>
      </c>
      <c r="D8" s="2">
        <v>179700</v>
      </c>
      <c r="E8" s="2">
        <f>D8*B8</f>
        <v>17970</v>
      </c>
      <c r="I8" t="s">
        <v>13</v>
      </c>
      <c r="J8" s="3">
        <v>0.06</v>
      </c>
      <c r="K8">
        <v>0.72</v>
      </c>
      <c r="L8" s="2">
        <v>179700</v>
      </c>
      <c r="M8" s="2">
        <f>L8*J8</f>
        <v>10782</v>
      </c>
      <c r="N8" s="57" t="s">
        <v>48</v>
      </c>
    </row>
    <row r="9" spans="1:14" ht="14.55" x14ac:dyDescent="0.35">
      <c r="A9" s="6" t="s">
        <v>16</v>
      </c>
      <c r="B9" s="3">
        <v>0.15</v>
      </c>
      <c r="E9" s="2">
        <f>E8*B9</f>
        <v>2695.5</v>
      </c>
      <c r="I9" s="6" t="s">
        <v>16</v>
      </c>
      <c r="J9" s="3">
        <v>0.15</v>
      </c>
      <c r="L9" s="2"/>
      <c r="M9" s="2">
        <f>M8*J9</f>
        <v>1617.3</v>
      </c>
    </row>
    <row r="10" spans="1:14" ht="14.55" x14ac:dyDescent="0.35">
      <c r="A10" t="s">
        <v>17</v>
      </c>
      <c r="B10" s="3">
        <f>C10/12</f>
        <v>0.5</v>
      </c>
      <c r="C10">
        <v>6</v>
      </c>
      <c r="D10" s="2">
        <v>46000</v>
      </c>
      <c r="E10" s="2">
        <f>D10*B10</f>
        <v>23000</v>
      </c>
      <c r="I10" t="s">
        <v>17</v>
      </c>
      <c r="J10" s="3">
        <f>K10/12</f>
        <v>0.5</v>
      </c>
      <c r="K10">
        <v>6</v>
      </c>
      <c r="L10" s="2">
        <v>46000</v>
      </c>
      <c r="M10" s="2">
        <f>L10*J10</f>
        <v>23000</v>
      </c>
    </row>
    <row r="11" spans="1:14" ht="14.55" x14ac:dyDescent="0.35">
      <c r="A11" s="6" t="s">
        <v>16</v>
      </c>
      <c r="B11" s="3">
        <v>0.19</v>
      </c>
      <c r="E11" s="2">
        <f>E10*B11</f>
        <v>4370</v>
      </c>
      <c r="I11" s="6" t="s">
        <v>16</v>
      </c>
      <c r="J11" s="3">
        <v>0.19</v>
      </c>
      <c r="L11" s="2"/>
      <c r="M11" s="2">
        <f>M10*J11</f>
        <v>4370</v>
      </c>
    </row>
    <row r="12" spans="1:14" ht="14.55" x14ac:dyDescent="0.35">
      <c r="A12" t="s">
        <v>18</v>
      </c>
      <c r="B12" s="3">
        <f>C12/12</f>
        <v>1</v>
      </c>
      <c r="C12">
        <v>12</v>
      </c>
      <c r="D12" s="2">
        <v>60000</v>
      </c>
      <c r="E12" s="2">
        <f>D12*B12</f>
        <v>60000</v>
      </c>
      <c r="I12" t="s">
        <v>18</v>
      </c>
      <c r="J12" s="3">
        <v>0.7</v>
      </c>
      <c r="K12">
        <v>12</v>
      </c>
      <c r="L12" s="2">
        <v>60000</v>
      </c>
      <c r="M12" s="2">
        <f>L12*J12</f>
        <v>42000</v>
      </c>
      <c r="N12" s="57" t="s">
        <v>48</v>
      </c>
    </row>
    <row r="13" spans="1:14" ht="14.55" x14ac:dyDescent="0.35">
      <c r="A13" s="6" t="s">
        <v>16</v>
      </c>
      <c r="B13" s="3">
        <v>0.28000000000000003</v>
      </c>
      <c r="E13" s="2">
        <f>E12*B13</f>
        <v>16800</v>
      </c>
      <c r="I13" s="6" t="s">
        <v>16</v>
      </c>
      <c r="J13" s="3">
        <v>0.28000000000000003</v>
      </c>
      <c r="L13" s="2"/>
      <c r="M13" s="2">
        <f>M12*J13</f>
        <v>11760.000000000002</v>
      </c>
    </row>
    <row r="14" spans="1:14" ht="14.55" x14ac:dyDescent="0.35">
      <c r="A14" t="s">
        <v>19</v>
      </c>
      <c r="B14" s="3">
        <f>C14/12</f>
        <v>5.8333333333333336E-3</v>
      </c>
      <c r="C14">
        <v>7.0000000000000007E-2</v>
      </c>
      <c r="D14" s="2">
        <v>55500</v>
      </c>
      <c r="E14" s="2">
        <f>D14*B14</f>
        <v>323.75</v>
      </c>
      <c r="I14" t="s">
        <v>19</v>
      </c>
      <c r="J14" s="3">
        <f>K14/12</f>
        <v>5.8333333333333336E-3</v>
      </c>
      <c r="K14">
        <v>7.0000000000000007E-2</v>
      </c>
      <c r="L14" s="2">
        <v>55500</v>
      </c>
      <c r="M14" s="2">
        <f>L14*J14</f>
        <v>323.75</v>
      </c>
    </row>
    <row r="15" spans="1:14" ht="14.55" x14ac:dyDescent="0.35">
      <c r="A15" s="6" t="s">
        <v>16</v>
      </c>
      <c r="B15" s="3">
        <v>0.28000000000000003</v>
      </c>
      <c r="E15" s="2">
        <f>E14*B15</f>
        <v>90.65</v>
      </c>
      <c r="I15" s="6" t="s">
        <v>16</v>
      </c>
      <c r="J15" s="3">
        <v>0.28000000000000003</v>
      </c>
      <c r="L15" s="2"/>
      <c r="M15" s="2">
        <f>M14*J15</f>
        <v>90.65</v>
      </c>
    </row>
    <row r="16" spans="1:14" ht="14.55" x14ac:dyDescent="0.35">
      <c r="A16" s="8" t="s">
        <v>20</v>
      </c>
      <c r="B16" s="9"/>
      <c r="C16" s="10"/>
      <c r="D16" s="11"/>
      <c r="E16" s="11">
        <f>SUM(E6:E9)</f>
        <v>77085.599999999991</v>
      </c>
      <c r="F16" s="11"/>
      <c r="I16" s="8" t="s">
        <v>20</v>
      </c>
      <c r="J16" s="9"/>
      <c r="K16" s="10"/>
      <c r="L16" s="11"/>
      <c r="M16" s="11">
        <f>SUM(M6:M9)</f>
        <v>61107.3</v>
      </c>
    </row>
    <row r="17" spans="1:14" ht="14.55" x14ac:dyDescent="0.35">
      <c r="A17" s="8" t="s">
        <v>21</v>
      </c>
      <c r="B17" s="9"/>
      <c r="C17" s="10"/>
      <c r="D17" s="11"/>
      <c r="E17" s="11">
        <f>SUM(E10:E15)</f>
        <v>104584.4</v>
      </c>
      <c r="F17" s="11"/>
      <c r="I17" s="8" t="s">
        <v>21</v>
      </c>
      <c r="J17" s="9"/>
      <c r="K17" s="10"/>
      <c r="L17" s="11"/>
      <c r="M17" s="11">
        <f>SUM(M10:M15)</f>
        <v>81544.399999999994</v>
      </c>
    </row>
    <row r="18" spans="1:14" ht="14.55" x14ac:dyDescent="0.35">
      <c r="A18" s="8" t="s">
        <v>22</v>
      </c>
      <c r="B18" s="9"/>
      <c r="C18" s="10"/>
      <c r="D18" s="11"/>
      <c r="E18" s="11">
        <f>SUM(E16:E17)</f>
        <v>181670</v>
      </c>
      <c r="F18" s="11"/>
      <c r="G18" s="23">
        <f>111845+26224</f>
        <v>138069</v>
      </c>
      <c r="I18" s="8" t="s">
        <v>22</v>
      </c>
      <c r="J18" s="9"/>
      <c r="K18" s="10"/>
      <c r="L18" s="11"/>
      <c r="M18" s="11">
        <f>SUM(M16:M17)</f>
        <v>142651.70000000001</v>
      </c>
    </row>
    <row r="19" spans="1:14" ht="14.55" x14ac:dyDescent="0.35">
      <c r="J19" s="3"/>
      <c r="L19" s="2"/>
      <c r="M19" s="2"/>
    </row>
    <row r="20" spans="1:14" ht="14.55" x14ac:dyDescent="0.35">
      <c r="A20" s="8" t="s">
        <v>23</v>
      </c>
      <c r="B20" s="9"/>
      <c r="C20" s="10"/>
      <c r="D20" s="11"/>
      <c r="E20" s="11">
        <f>SUM(E21:E22)</f>
        <v>50000</v>
      </c>
      <c r="F20" s="11"/>
      <c r="G20" s="23">
        <v>38000</v>
      </c>
      <c r="I20" s="8" t="s">
        <v>51</v>
      </c>
      <c r="M20" s="2">
        <v>5000</v>
      </c>
    </row>
    <row r="21" spans="1:14" ht="14.55" x14ac:dyDescent="0.35">
      <c r="A21" s="12" t="s">
        <v>24</v>
      </c>
      <c r="B21" s="13"/>
      <c r="C21" s="14"/>
      <c r="D21" s="15"/>
      <c r="E21" s="15">
        <v>35000</v>
      </c>
      <c r="F21" s="15"/>
    </row>
    <row r="22" spans="1:14" ht="14.55" x14ac:dyDescent="0.35">
      <c r="A22" s="12" t="s">
        <v>25</v>
      </c>
      <c r="E22" s="2">
        <v>15000</v>
      </c>
      <c r="I22" s="8" t="s">
        <v>23</v>
      </c>
      <c r="J22" s="9"/>
      <c r="K22" s="10"/>
      <c r="L22" s="11"/>
      <c r="M22" s="11">
        <f>SUM(M23:M24)</f>
        <v>37500</v>
      </c>
    </row>
    <row r="23" spans="1:14" ht="14.55" x14ac:dyDescent="0.35">
      <c r="I23" s="12" t="s">
        <v>24</v>
      </c>
      <c r="J23" s="13"/>
      <c r="K23" s="14"/>
      <c r="L23" s="15"/>
      <c r="M23" s="15">
        <f>35000*0.75</f>
        <v>26250</v>
      </c>
      <c r="N23" s="57" t="s">
        <v>48</v>
      </c>
    </row>
    <row r="24" spans="1:14" ht="14.55" x14ac:dyDescent="0.35">
      <c r="A24" s="10" t="s">
        <v>26</v>
      </c>
      <c r="B24" s="9"/>
      <c r="C24" s="10"/>
      <c r="D24" s="11"/>
      <c r="E24" s="11">
        <f>SUM(E25:E25)</f>
        <v>8000</v>
      </c>
      <c r="F24" s="11"/>
      <c r="G24" s="23">
        <v>5000</v>
      </c>
      <c r="I24" s="12" t="s">
        <v>25</v>
      </c>
      <c r="J24" s="3"/>
      <c r="L24" s="2"/>
      <c r="M24" s="2">
        <f>15000*0.75</f>
        <v>11250</v>
      </c>
      <c r="N24" s="57" t="s">
        <v>48</v>
      </c>
    </row>
    <row r="25" spans="1:14" ht="14.55" x14ac:dyDescent="0.35">
      <c r="A25" t="s">
        <v>27</v>
      </c>
      <c r="E25" s="2">
        <v>8000</v>
      </c>
      <c r="J25" s="3"/>
      <c r="L25" s="2"/>
      <c r="M25" s="2"/>
    </row>
    <row r="26" spans="1:14" ht="14.55" x14ac:dyDescent="0.35">
      <c r="I26" s="10" t="s">
        <v>26</v>
      </c>
      <c r="J26" s="9"/>
      <c r="K26" s="10"/>
      <c r="L26" s="11"/>
      <c r="M26" s="11">
        <f>SUM(M27:M27)</f>
        <v>5000</v>
      </c>
    </row>
    <row r="27" spans="1:14" ht="14.55" x14ac:dyDescent="0.35">
      <c r="A27" s="10" t="s">
        <v>28</v>
      </c>
      <c r="B27" s="9"/>
      <c r="C27" s="10"/>
      <c r="D27" s="11"/>
      <c r="E27" s="11">
        <f>SUM(E31:E33)+E28</f>
        <v>111464.98999999999</v>
      </c>
      <c r="F27" s="11"/>
      <c r="G27" s="23">
        <f>SUM(G31:G33)+G28</f>
        <v>84714</v>
      </c>
      <c r="I27" t="s">
        <v>27</v>
      </c>
      <c r="J27" s="3"/>
      <c r="L27" s="2"/>
      <c r="M27" s="2">
        <v>5000</v>
      </c>
      <c r="N27" s="57" t="s">
        <v>50</v>
      </c>
    </row>
    <row r="28" spans="1:14" ht="14.55" x14ac:dyDescent="0.35">
      <c r="A28" t="s">
        <v>30</v>
      </c>
      <c r="E28" s="2">
        <f>SUM(E29:E30)</f>
        <v>9399</v>
      </c>
      <c r="G28" s="18">
        <v>7143</v>
      </c>
      <c r="J28" s="3"/>
      <c r="L28" s="2"/>
      <c r="M28" s="2"/>
    </row>
    <row r="29" spans="1:14" ht="14.55" x14ac:dyDescent="0.35">
      <c r="A29" s="33" t="s">
        <v>39</v>
      </c>
      <c r="B29" s="28"/>
      <c r="C29" s="27"/>
      <c r="D29" s="29"/>
      <c r="E29" s="29">
        <v>2000</v>
      </c>
      <c r="F29" s="29"/>
      <c r="I29" s="10" t="s">
        <v>28</v>
      </c>
      <c r="J29" s="9"/>
      <c r="K29" s="10"/>
      <c r="L29" s="11"/>
      <c r="M29" s="11">
        <f>SUM(M33:M35)+M30</f>
        <v>75210</v>
      </c>
    </row>
    <row r="30" spans="1:14" ht="14.55" x14ac:dyDescent="0.35">
      <c r="A30" s="33" t="s">
        <v>37</v>
      </c>
      <c r="B30" s="28"/>
      <c r="C30" s="27"/>
      <c r="D30" s="29"/>
      <c r="E30" s="29">
        <v>7399</v>
      </c>
      <c r="F30" s="29"/>
      <c r="I30" t="s">
        <v>30</v>
      </c>
      <c r="J30" s="3"/>
      <c r="L30" s="2"/>
      <c r="M30" s="2">
        <f>SUM(M31:M32)</f>
        <v>5450</v>
      </c>
    </row>
    <row r="31" spans="1:14" ht="14.55" x14ac:dyDescent="0.35">
      <c r="A31" t="s">
        <v>29</v>
      </c>
      <c r="E31" s="2">
        <v>4000</v>
      </c>
      <c r="G31" s="18">
        <v>3040</v>
      </c>
      <c r="I31" s="33" t="s">
        <v>39</v>
      </c>
      <c r="J31" s="28"/>
      <c r="K31" s="27"/>
      <c r="L31" s="29"/>
      <c r="M31" s="29">
        <v>1200</v>
      </c>
      <c r="N31" s="57" t="s">
        <v>48</v>
      </c>
    </row>
    <row r="32" spans="1:14" x14ac:dyDescent="0.3">
      <c r="A32" t="s">
        <v>31</v>
      </c>
      <c r="E32" s="2">
        <v>5000</v>
      </c>
      <c r="G32" s="18">
        <v>3800</v>
      </c>
      <c r="I32" s="33" t="s">
        <v>37</v>
      </c>
      <c r="J32" s="28"/>
      <c r="K32" s="27"/>
      <c r="L32" s="29"/>
      <c r="M32" s="29">
        <v>4250</v>
      </c>
      <c r="N32" s="57" t="s">
        <v>48</v>
      </c>
    </row>
    <row r="33" spans="1:14" x14ac:dyDescent="0.3">
      <c r="A33" t="s">
        <v>32</v>
      </c>
      <c r="E33" s="2">
        <f>'Proposed Harvard U. Subcontract'!E12</f>
        <v>93065.989999999991</v>
      </c>
      <c r="G33" s="18">
        <v>70731</v>
      </c>
      <c r="I33" t="s">
        <v>29</v>
      </c>
      <c r="J33" s="3"/>
      <c r="L33" s="2"/>
      <c r="M33" s="2">
        <f>4000*0.75</f>
        <v>3000</v>
      </c>
      <c r="N33" s="57" t="s">
        <v>48</v>
      </c>
    </row>
    <row r="34" spans="1:14" x14ac:dyDescent="0.3">
      <c r="I34" t="s">
        <v>31</v>
      </c>
      <c r="J34" s="3"/>
      <c r="L34" s="2"/>
      <c r="M34" s="2">
        <v>1760</v>
      </c>
      <c r="N34" s="57" t="s">
        <v>48</v>
      </c>
    </row>
    <row r="35" spans="1:14" x14ac:dyDescent="0.3">
      <c r="A35" s="10" t="s">
        <v>34</v>
      </c>
      <c r="B35" s="9"/>
      <c r="C35" s="10"/>
      <c r="D35" s="11"/>
      <c r="E35" s="11">
        <f>E18+E20+E24+E27</f>
        <v>351134.99</v>
      </c>
      <c r="F35" s="11"/>
      <c r="G35" s="23">
        <f>G18+G20+G24+G27</f>
        <v>265783</v>
      </c>
      <c r="I35" t="s">
        <v>32</v>
      </c>
      <c r="J35" s="3"/>
      <c r="L35" s="2"/>
      <c r="M35" s="2">
        <v>65000</v>
      </c>
      <c r="N35" s="57" t="s">
        <v>48</v>
      </c>
    </row>
    <row r="36" spans="1:14" x14ac:dyDescent="0.3">
      <c r="A36" s="10" t="s">
        <v>46</v>
      </c>
      <c r="B36" s="9"/>
      <c r="C36" s="10"/>
      <c r="D36" s="11"/>
      <c r="E36" s="11">
        <f>(E20+E33)-25000</f>
        <v>118065.98999999999</v>
      </c>
      <c r="F36" s="11"/>
      <c r="G36" s="23">
        <f>(G20+G33)-25000</f>
        <v>83731</v>
      </c>
      <c r="J36" s="3"/>
      <c r="L36" s="2"/>
      <c r="M36" s="2"/>
    </row>
    <row r="37" spans="1:14" x14ac:dyDescent="0.3">
      <c r="A37" s="10" t="s">
        <v>35</v>
      </c>
      <c r="B37" s="9"/>
      <c r="C37" s="10"/>
      <c r="D37" s="11"/>
      <c r="E37" s="11">
        <f>E35-E36</f>
        <v>233069</v>
      </c>
      <c r="F37" s="11"/>
      <c r="G37" s="23">
        <f>G35-G36</f>
        <v>182052</v>
      </c>
      <c r="I37" s="10" t="s">
        <v>34</v>
      </c>
      <c r="J37" s="9"/>
      <c r="K37" s="10"/>
      <c r="L37" s="11"/>
      <c r="M37" s="11">
        <f>M18+M20+M22+M26+M29</f>
        <v>265361.7</v>
      </c>
    </row>
    <row r="38" spans="1:14" x14ac:dyDescent="0.3">
      <c r="A38" s="10" t="s">
        <v>36</v>
      </c>
      <c r="B38" s="9">
        <v>0.52</v>
      </c>
      <c r="C38" s="10"/>
      <c r="D38" s="11"/>
      <c r="E38" s="11">
        <f>E37*$B$38</f>
        <v>121195.88</v>
      </c>
      <c r="F38" s="11"/>
      <c r="G38" s="23">
        <f>G37*$B$38</f>
        <v>94667.040000000008</v>
      </c>
      <c r="I38" s="10" t="s">
        <v>46</v>
      </c>
      <c r="J38" s="9"/>
      <c r="K38" s="10"/>
      <c r="L38" s="11"/>
      <c r="M38" s="11">
        <f>(M20+M22+M35)-25000</f>
        <v>82500</v>
      </c>
    </row>
    <row r="39" spans="1:14" x14ac:dyDescent="0.3">
      <c r="A39" s="10" t="s">
        <v>38</v>
      </c>
      <c r="B39" s="9"/>
      <c r="C39" s="10"/>
      <c r="D39" s="11"/>
      <c r="E39" s="11">
        <f>E35+E38</f>
        <v>472330.87</v>
      </c>
      <c r="F39" s="11"/>
      <c r="G39" s="23">
        <f>G35+G38</f>
        <v>360450.04000000004</v>
      </c>
      <c r="I39" s="10" t="s">
        <v>35</v>
      </c>
      <c r="J39" s="9"/>
      <c r="K39" s="10"/>
      <c r="L39" s="11"/>
      <c r="M39" s="11">
        <f>M37-M38</f>
        <v>182861.7</v>
      </c>
    </row>
    <row r="40" spans="1:14" x14ac:dyDescent="0.3">
      <c r="I40" s="10" t="s">
        <v>36</v>
      </c>
      <c r="J40" s="9">
        <v>0.52</v>
      </c>
      <c r="K40" s="10"/>
      <c r="L40" s="11"/>
      <c r="M40" s="11">
        <f>M39*$B$38</f>
        <v>95088.084000000003</v>
      </c>
    </row>
    <row r="41" spans="1:14" x14ac:dyDescent="0.3">
      <c r="I41" s="10" t="s">
        <v>38</v>
      </c>
      <c r="J41" s="9"/>
      <c r="K41" s="10"/>
      <c r="L41" s="11"/>
      <c r="M41" s="11">
        <f>M37+M40</f>
        <v>360449.78399999999</v>
      </c>
    </row>
    <row r="42" spans="1:14" x14ac:dyDescent="0.3">
      <c r="M42" s="58">
        <f>M41-G39</f>
        <v>-0.25600000005215406</v>
      </c>
      <c r="N42" s="57" t="s">
        <v>49</v>
      </c>
    </row>
  </sheetData>
  <mergeCells count="2">
    <mergeCell ref="A4:E4"/>
    <mergeCell ref="I4:M4"/>
  </mergeCells>
  <pageMargins left="0.7" right="0.7" top="0.75" bottom="0.75" header="0.3" footer="0.3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"/>
  <sheetViews>
    <sheetView workbookViewId="0">
      <selection activeCell="B5" sqref="B5"/>
    </sheetView>
  </sheetViews>
  <sheetFormatPr defaultRowHeight="14.4" x14ac:dyDescent="0.3"/>
  <cols>
    <col min="1" max="1" width="15" customWidth="1"/>
    <col min="2" max="2" width="6.33203125" style="3" bestFit="1" customWidth="1"/>
    <col min="3" max="3" width="7.21875" bestFit="1" customWidth="1"/>
    <col min="4" max="4" width="12.109375" style="2" bestFit="1" customWidth="1"/>
    <col min="5" max="5" width="11.5546875" style="2" customWidth="1"/>
    <col min="6" max="6" width="6.33203125" style="49" customWidth="1"/>
    <col min="7" max="7" width="7.21875" style="35" bestFit="1" customWidth="1"/>
    <col min="8" max="8" width="9.5546875" style="34" bestFit="1" customWidth="1"/>
    <col min="9" max="9" width="11.5546875" style="34" customWidth="1"/>
    <col min="10" max="10" width="6.33203125" style="49" bestFit="1" customWidth="1"/>
    <col min="11" max="11" width="7.21875" style="35" bestFit="1" customWidth="1"/>
    <col min="12" max="12" width="9.5546875" style="34" bestFit="1" customWidth="1"/>
    <col min="13" max="13" width="11.5546875" style="34" customWidth="1"/>
    <col min="14" max="14" width="6.33203125" style="49" customWidth="1"/>
    <col min="15" max="15" width="7.21875" style="35" bestFit="1" customWidth="1"/>
    <col min="16" max="16" width="9.5546875" style="34" bestFit="1" customWidth="1"/>
    <col min="17" max="18" width="11.5546875" style="34" customWidth="1"/>
    <col min="19" max="21" width="11.5546875" customWidth="1"/>
  </cols>
  <sheetData>
    <row r="1" spans="1:21" ht="14.55" x14ac:dyDescent="0.35">
      <c r="A1" t="s">
        <v>40</v>
      </c>
    </row>
    <row r="2" spans="1:21" ht="14.55" x14ac:dyDescent="0.35">
      <c r="A2" t="s">
        <v>41</v>
      </c>
    </row>
    <row r="3" spans="1:21" ht="14.55" x14ac:dyDescent="0.35">
      <c r="B3" s="59" t="s">
        <v>6</v>
      </c>
      <c r="C3" s="59"/>
      <c r="D3" s="59"/>
      <c r="E3" s="59"/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50"/>
    </row>
    <row r="4" spans="1:21" ht="28.95" customHeight="1" x14ac:dyDescent="0.35">
      <c r="B4" s="7" t="s">
        <v>33</v>
      </c>
      <c r="C4" t="s">
        <v>14</v>
      </c>
      <c r="D4" s="2" t="s">
        <v>15</v>
      </c>
      <c r="E4" s="5" t="s">
        <v>2</v>
      </c>
      <c r="F4" s="51"/>
      <c r="I4" s="36"/>
      <c r="J4" s="51"/>
      <c r="M4" s="36"/>
      <c r="N4" s="51"/>
      <c r="Q4" s="36"/>
      <c r="R4" s="36"/>
      <c r="S4" s="1"/>
      <c r="T4" s="1"/>
      <c r="U4" s="1"/>
    </row>
    <row r="5" spans="1:21" ht="14.55" x14ac:dyDescent="0.35">
      <c r="A5" t="s">
        <v>42</v>
      </c>
      <c r="B5" s="3">
        <f>(C5/12)*0.75</f>
        <v>0.11249999999999999</v>
      </c>
      <c r="C5">
        <v>1.8</v>
      </c>
      <c r="D5" s="2">
        <v>114000</v>
      </c>
      <c r="E5" s="2">
        <f>D5*B5</f>
        <v>12824.999999999998</v>
      </c>
      <c r="F5" s="49" t="s">
        <v>48</v>
      </c>
      <c r="J5" s="52"/>
    </row>
    <row r="6" spans="1:21" ht="14.55" x14ac:dyDescent="0.35">
      <c r="A6" s="37" t="s">
        <v>16</v>
      </c>
      <c r="B6" s="3">
        <v>0.25</v>
      </c>
      <c r="E6" s="2">
        <f>E5*B6</f>
        <v>3206.2499999999995</v>
      </c>
      <c r="J6" s="52"/>
    </row>
    <row r="7" spans="1:21" ht="14.55" x14ac:dyDescent="0.35">
      <c r="A7" t="s">
        <v>43</v>
      </c>
      <c r="B7" s="3">
        <f>(C7/12)*0.75</f>
        <v>0.375</v>
      </c>
      <c r="C7">
        <v>6</v>
      </c>
      <c r="D7" s="2">
        <v>58000</v>
      </c>
      <c r="E7" s="2">
        <f>D7*B7</f>
        <v>21750</v>
      </c>
      <c r="F7" s="49" t="s">
        <v>48</v>
      </c>
      <c r="J7" s="52"/>
    </row>
    <row r="8" spans="1:21" ht="14.55" x14ac:dyDescent="0.35">
      <c r="A8" s="37" t="s">
        <v>16</v>
      </c>
      <c r="B8" s="3">
        <v>0.25</v>
      </c>
      <c r="E8" s="2">
        <f>E7*B8</f>
        <v>5437.5</v>
      </c>
      <c r="J8" s="52"/>
    </row>
    <row r="9" spans="1:21" ht="14.55" x14ac:dyDescent="0.35">
      <c r="A9" t="s">
        <v>45</v>
      </c>
    </row>
    <row r="10" spans="1:21" s="38" customFormat="1" ht="14.55" x14ac:dyDescent="0.35">
      <c r="A10" s="38" t="s">
        <v>44</v>
      </c>
      <c r="B10" s="39"/>
      <c r="E10" s="40">
        <f>SUM(E5:E8)+1</f>
        <v>43219.75</v>
      </c>
      <c r="F10" s="53"/>
      <c r="G10" s="54"/>
      <c r="H10" s="55"/>
      <c r="I10" s="55"/>
      <c r="J10" s="53"/>
      <c r="K10" s="54"/>
      <c r="L10" s="55"/>
      <c r="M10" s="55"/>
      <c r="N10" s="53"/>
      <c r="O10" s="54"/>
      <c r="P10" s="55"/>
      <c r="Q10" s="55"/>
      <c r="R10" s="56"/>
    </row>
    <row r="11" spans="1:21" s="38" customFormat="1" ht="14.55" x14ac:dyDescent="0.35">
      <c r="A11" s="38" t="s">
        <v>36</v>
      </c>
      <c r="B11" s="39"/>
      <c r="E11" s="40">
        <f>E10*0.615</f>
        <v>26580.146249999998</v>
      </c>
      <c r="F11" s="53"/>
      <c r="G11" s="54"/>
      <c r="H11" s="55"/>
      <c r="I11" s="55"/>
      <c r="J11" s="53"/>
      <c r="K11" s="54"/>
      <c r="L11" s="55"/>
      <c r="M11" s="55"/>
      <c r="N11" s="53"/>
      <c r="O11" s="54"/>
      <c r="P11" s="55"/>
      <c r="Q11" s="55"/>
      <c r="R11" s="56"/>
    </row>
    <row r="12" spans="1:21" s="38" customFormat="1" ht="14.55" x14ac:dyDescent="0.35">
      <c r="A12" s="38" t="s">
        <v>38</v>
      </c>
      <c r="B12" s="39"/>
      <c r="E12" s="40">
        <f>SUM(E10:E11)</f>
        <v>69799.896249999991</v>
      </c>
      <c r="F12" s="53"/>
      <c r="G12" s="54"/>
      <c r="H12" s="55"/>
      <c r="I12" s="55"/>
      <c r="J12" s="53"/>
      <c r="K12" s="54"/>
      <c r="L12" s="55"/>
      <c r="M12" s="55"/>
      <c r="N12" s="53"/>
      <c r="O12" s="54"/>
      <c r="P12" s="55"/>
      <c r="Q12" s="55"/>
      <c r="R12" s="56"/>
    </row>
  </sheetData>
  <mergeCells count="4">
    <mergeCell ref="B3:E3"/>
    <mergeCell ref="F3:I3"/>
    <mergeCell ref="J3:M3"/>
    <mergeCell ref="N3:Q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Proposed Budget</vt:lpstr>
      <vt:lpstr>Proposed Harvard U. Subcontract</vt:lpstr>
      <vt:lpstr>Reduced Budget</vt:lpstr>
      <vt:lpstr>Reduced Harvard U. Subcontract</vt:lpstr>
    </vt:vector>
  </TitlesOfParts>
  <Company>UT School of Public Health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Crary, Kathryn S</dc:creator>
  <cp:lastModifiedBy>hao xiong</cp:lastModifiedBy>
  <cp:lastPrinted>2013-04-30T19:27:12Z</cp:lastPrinted>
  <dcterms:created xsi:type="dcterms:W3CDTF">2013-04-22T16:02:03Z</dcterms:created>
  <dcterms:modified xsi:type="dcterms:W3CDTF">2013-05-10T15:44:54Z</dcterms:modified>
</cp:coreProperties>
</file>