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colaneri/Desktop/"/>
    </mc:Choice>
  </mc:AlternateContent>
  <xr:revisionPtr revIDLastSave="0" documentId="13_ncr:1_{5A6AA8BF-CDE2-AB45-8FB9-98BDD9981C29}" xr6:coauthVersionLast="45" xr6:coauthVersionMax="45" xr10:uidLastSave="{00000000-0000-0000-0000-000000000000}"/>
  <bookViews>
    <workbookView xWindow="0" yWindow="460" windowWidth="28800" windowHeight="15940" activeTab="34" xr2:uid="{8AC18C8F-CE4A-3949-8EA2-F5A73C79CD7D}"/>
  </bookViews>
  <sheets>
    <sheet name="Pre-marzo 2020" sheetId="1" state="hidden" r:id="rId1"/>
    <sheet name="Marzo 2020" sheetId="3" state="hidden" r:id="rId2"/>
    <sheet name="CoVid - Abril 2020" sheetId="6" state="hidden" r:id="rId3"/>
    <sheet name="Mayo 2020" sheetId="7" state="hidden" r:id="rId4"/>
    <sheet name="Junio 2020" sheetId="8" state="hidden" r:id="rId5"/>
    <sheet name="Julio 2020" sheetId="9" state="hidden" r:id="rId6"/>
    <sheet name="Agosto 2020" sheetId="10" state="hidden" r:id="rId7"/>
    <sheet name="Septiembre 2020" sheetId="11" state="hidden" r:id="rId8"/>
    <sheet name="Octubre 2020" sheetId="12" state="hidden" r:id="rId9"/>
    <sheet name="Nov. 2020" sheetId="14" state="hidden" r:id="rId10"/>
    <sheet name="Dic. 2020" sheetId="15" state="hidden" r:id="rId11"/>
    <sheet name="Enero 2021" sheetId="16" state="hidden" r:id="rId12"/>
    <sheet name="Feb. 2021" sheetId="17" state="hidden" r:id="rId13"/>
    <sheet name="Mar. 2021" sheetId="18" state="hidden" r:id="rId14"/>
    <sheet name="Abr. 2021" sheetId="19" state="hidden" r:id="rId15"/>
    <sheet name="Mayo 2021" sheetId="20" state="hidden" r:id="rId16"/>
    <sheet name="Junio 2021" sheetId="21" state="hidden" r:id="rId17"/>
    <sheet name="Julio 2021 " sheetId="22" state="hidden" r:id="rId18"/>
    <sheet name="Agosto 2021" sheetId="23" state="hidden" r:id="rId19"/>
    <sheet name="Septiembre 2021 " sheetId="24" state="hidden" r:id="rId20"/>
    <sheet name="Octubre 2021" sheetId="25" state="hidden" r:id="rId21"/>
    <sheet name="Noviembre 2021" sheetId="26" r:id="rId22"/>
    <sheet name="Diciembre 2021" sheetId="27" r:id="rId23"/>
    <sheet name="Enero 2022" sheetId="28" r:id="rId24"/>
    <sheet name="02-22" sheetId="29" r:id="rId25"/>
    <sheet name="03-22 " sheetId="30" r:id="rId26"/>
    <sheet name="04-22 " sheetId="32" r:id="rId27"/>
    <sheet name="05-22" sheetId="33" r:id="rId28"/>
    <sheet name="06-22 " sheetId="34" r:id="rId29"/>
    <sheet name="07-22" sheetId="35" r:id="rId30"/>
    <sheet name="08-22" sheetId="37" r:id="rId31"/>
    <sheet name="09-22 " sheetId="38" r:id="rId32"/>
    <sheet name="10-22 " sheetId="40" r:id="rId33"/>
    <sheet name="11-22" sheetId="39" r:id="rId34"/>
    <sheet name="12-22 " sheetId="41" r:id="rId35"/>
    <sheet name="FIJO" sheetId="31" r:id="rId36"/>
    <sheet name="Gastos fijos" sheetId="13" state="hidden" r:id="rId3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41" l="1"/>
  <c r="J29" i="41"/>
  <c r="J19" i="41"/>
  <c r="G4" i="41"/>
  <c r="J18" i="41"/>
  <c r="J21" i="41"/>
  <c r="I3" i="31"/>
  <c r="E49" i="41"/>
  <c r="E50" i="41"/>
  <c r="E51" i="41"/>
  <c r="E52" i="4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C40" i="41"/>
  <c r="E8" i="41" l="1"/>
  <c r="E9" i="41" s="1"/>
  <c r="E10" i="41" s="1"/>
  <c r="E11" i="41" s="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6" i="41"/>
  <c r="E7" i="41"/>
  <c r="J4" i="41"/>
  <c r="C10" i="41"/>
  <c r="E24" i="41" l="1"/>
  <c r="E25" i="41" s="1"/>
  <c r="E26" i="41" s="1"/>
  <c r="E27" i="41" s="1"/>
  <c r="E28" i="41" s="1"/>
  <c r="E29" i="41" s="1"/>
  <c r="E30" i="41" s="1"/>
  <c r="E31" i="41" s="1"/>
  <c r="J55" i="39"/>
  <c r="I16" i="31"/>
  <c r="I15" i="31"/>
  <c r="P26" i="31"/>
  <c r="P25" i="31"/>
  <c r="J62" i="39"/>
  <c r="J50" i="39"/>
  <c r="F42" i="39"/>
  <c r="J27" i="41"/>
  <c r="E4" i="41"/>
  <c r="E5" i="41" s="1"/>
  <c r="E32" i="41" l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J44" i="39"/>
  <c r="C31" i="39"/>
  <c r="J29" i="39" l="1"/>
  <c r="J25" i="39"/>
  <c r="F25" i="39"/>
  <c r="J38" i="39" s="1"/>
  <c r="J39" i="39" l="1"/>
  <c r="J18" i="39"/>
  <c r="H3" i="31"/>
  <c r="C6" i="39"/>
  <c r="F6" i="39" s="1"/>
  <c r="D34" i="40"/>
  <c r="F31" i="40"/>
  <c r="F26" i="40"/>
  <c r="J22" i="40" s="1"/>
  <c r="E20" i="40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19" i="40"/>
  <c r="J15" i="40"/>
  <c r="C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E16" i="40" s="1"/>
  <c r="E17" i="40" s="1"/>
  <c r="E4" i="40"/>
  <c r="E58" i="40" l="1"/>
  <c r="E59" i="40" s="1"/>
  <c r="G4" i="40"/>
  <c r="J24" i="40"/>
  <c r="P23" i="31"/>
  <c r="P24" i="31"/>
  <c r="N21" i="31" l="1"/>
  <c r="P21" i="31" s="1"/>
  <c r="P22" i="31"/>
  <c r="H2" i="31"/>
  <c r="P20" i="31" l="1"/>
  <c r="N20" i="31"/>
  <c r="G4" i="31"/>
  <c r="E4" i="39"/>
  <c r="E5" i="39" s="1"/>
  <c r="E6" i="39" s="1"/>
  <c r="E7" i="39" l="1"/>
  <c r="E8" i="39" s="1"/>
  <c r="E9" i="39" s="1"/>
  <c r="E10" i="39" s="1"/>
  <c r="E11" i="39" s="1"/>
  <c r="J31" i="38"/>
  <c r="J30" i="38"/>
  <c r="J29" i="38"/>
  <c r="P19" i="31"/>
  <c r="E7" i="38"/>
  <c r="E8" i="38" s="1"/>
  <c r="E9" i="38" s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2" i="38" s="1"/>
  <c r="E23" i="38" s="1"/>
  <c r="E24" i="38" s="1"/>
  <c r="E25" i="38" s="1"/>
  <c r="E26" i="38" s="1"/>
  <c r="E27" i="38" s="1"/>
  <c r="E28" i="38" s="1"/>
  <c r="E29" i="38" s="1"/>
  <c r="F16" i="38"/>
  <c r="F15" i="38"/>
  <c r="E12" i="39" l="1"/>
  <c r="E13" i="39" s="1"/>
  <c r="E14" i="39" s="1"/>
  <c r="E15" i="39" s="1"/>
  <c r="E16" i="39" s="1"/>
  <c r="E17" i="39" s="1"/>
  <c r="E18" i="39" s="1"/>
  <c r="F4" i="31"/>
  <c r="E19" i="39" l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J4" i="38"/>
  <c r="J3" i="38"/>
  <c r="J37" i="37"/>
  <c r="E4" i="38"/>
  <c r="E5" i="38" s="1"/>
  <c r="E6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F40" i="37"/>
  <c r="J31" i="37" s="1"/>
  <c r="E58" i="39" l="1"/>
  <c r="E59" i="39" s="1"/>
  <c r="G4" i="39"/>
  <c r="E58" i="38"/>
  <c r="E59" i="38" s="1"/>
  <c r="G4" i="38"/>
  <c r="P14" i="31" l="1"/>
  <c r="P15" i="31"/>
  <c r="P16" i="31"/>
  <c r="P17" i="31"/>
  <c r="P18" i="31"/>
  <c r="P13" i="31"/>
  <c r="J23" i="37"/>
  <c r="J22" i="37"/>
  <c r="J21" i="37"/>
  <c r="C24" i="37"/>
  <c r="C21" i="37"/>
  <c r="C16" i="37" l="1"/>
  <c r="I20" i="31"/>
  <c r="H20" i="31"/>
  <c r="F20" i="31"/>
  <c r="J5" i="38" s="1"/>
  <c r="G20" i="31"/>
  <c r="E20" i="31"/>
  <c r="D20" i="31"/>
  <c r="J7" i="37"/>
  <c r="J26" i="37" s="1"/>
  <c r="E4" i="37"/>
  <c r="E5" i="37" s="1"/>
  <c r="E6" i="37" s="1"/>
  <c r="E7" i="37" s="1"/>
  <c r="E8" i="37" s="1"/>
  <c r="E9" i="37" s="1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9" i="37" s="1"/>
  <c r="E30" i="37" s="1"/>
  <c r="F45" i="35"/>
  <c r="J27" i="35"/>
  <c r="J28" i="35" s="1"/>
  <c r="N12" i="31"/>
  <c r="P12" i="31" s="1"/>
  <c r="D3" i="31"/>
  <c r="J21" i="35"/>
  <c r="J20" i="35"/>
  <c r="D25" i="35"/>
  <c r="F15" i="35"/>
  <c r="F13" i="35"/>
  <c r="F12" i="35"/>
  <c r="C17" i="35"/>
  <c r="F7" i="35"/>
  <c r="E4" i="35"/>
  <c r="E5" i="35" s="1"/>
  <c r="E6" i="35" s="1"/>
  <c r="E7" i="35" s="1"/>
  <c r="E8" i="35" s="1"/>
  <c r="E9" i="35" s="1"/>
  <c r="E10" i="35" s="1"/>
  <c r="E11" i="35" s="1"/>
  <c r="E12" i="35" s="1"/>
  <c r="E13" i="35" s="1"/>
  <c r="E14" i="35" s="1"/>
  <c r="E15" i="35" s="1"/>
  <c r="E16" i="35" s="1"/>
  <c r="F52" i="34"/>
  <c r="D45" i="34"/>
  <c r="F44" i="34"/>
  <c r="P36" i="34"/>
  <c r="E31" i="37" l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G4" i="37" s="1"/>
  <c r="E17" i="35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G4" i="35" s="1"/>
  <c r="P37" i="34"/>
  <c r="P31" i="34"/>
  <c r="P30" i="34"/>
  <c r="F39" i="34"/>
  <c r="F37" i="34"/>
  <c r="F36" i="34"/>
  <c r="E58" i="37" l="1"/>
  <c r="E59" i="37" s="1"/>
  <c r="E58" i="35"/>
  <c r="E59" i="35" s="1"/>
  <c r="P7" i="31"/>
  <c r="P5" i="34"/>
  <c r="C24" i="34"/>
  <c r="F24" i="34" s="1"/>
  <c r="F23" i="34"/>
  <c r="F16" i="34"/>
  <c r="D4" i="34"/>
  <c r="E4" i="34" s="1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L4" i="34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P22" i="34" l="1"/>
  <c r="P23" i="34" s="1"/>
  <c r="E55" i="34"/>
  <c r="E56" i="34" s="1"/>
  <c r="E57" i="34" s="1"/>
  <c r="E58" i="34" s="1"/>
  <c r="E59" i="34" s="1"/>
  <c r="G4" i="34" l="1"/>
  <c r="P4" i="31"/>
  <c r="P5" i="31"/>
  <c r="H16" i="31" s="1"/>
  <c r="P6" i="31"/>
  <c r="P8" i="31"/>
  <c r="P9" i="31"/>
  <c r="P10" i="31"/>
  <c r="P11" i="31"/>
  <c r="P2" i="31"/>
  <c r="N3" i="31"/>
  <c r="P3" i="31" s="1"/>
  <c r="L4" i="33"/>
  <c r="L5" i="33" s="1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D45" i="32"/>
  <c r="F16" i="31" l="1"/>
  <c r="F15" i="31"/>
  <c r="G15" i="31"/>
  <c r="G19" i="31" s="1"/>
  <c r="H15" i="31"/>
  <c r="H19" i="31" s="1"/>
  <c r="G16" i="31"/>
  <c r="D15" i="31"/>
  <c r="E15" i="31"/>
  <c r="E19" i="31" s="1"/>
  <c r="I19" i="31"/>
  <c r="E16" i="31"/>
  <c r="D16" i="31"/>
  <c r="B16" i="31"/>
  <c r="B19" i="31" s="1"/>
  <c r="C16" i="31"/>
  <c r="C19" i="31" s="1"/>
  <c r="G4" i="33"/>
  <c r="E58" i="33"/>
  <c r="E59" i="33" s="1"/>
  <c r="P37" i="32"/>
  <c r="P31" i="32"/>
  <c r="P30" i="32"/>
  <c r="P23" i="32"/>
  <c r="P22" i="32"/>
  <c r="P21" i="32"/>
  <c r="F36" i="32"/>
  <c r="F28" i="32"/>
  <c r="F27" i="32"/>
  <c r="F23" i="32"/>
  <c r="D19" i="31" l="1"/>
  <c r="F19" i="31"/>
  <c r="F14" i="32"/>
  <c r="C10" i="32"/>
  <c r="F5" i="32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L38" i="32" s="1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4" i="32"/>
  <c r="E4" i="32"/>
  <c r="E5" i="32" s="1"/>
  <c r="E6" i="32" s="1"/>
  <c r="E7" i="32" s="1"/>
  <c r="E8" i="32" s="1"/>
  <c r="E9" i="32" s="1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D43" i="30"/>
  <c r="G4" i="32" l="1"/>
  <c r="E58" i="32"/>
  <c r="E59" i="32" s="1"/>
  <c r="P40" i="30"/>
  <c r="P36" i="30"/>
  <c r="P35" i="30"/>
  <c r="P31" i="30"/>
  <c r="F31" i="30"/>
  <c r="P32" i="30" l="1"/>
  <c r="P30" i="30"/>
  <c r="P29" i="30"/>
  <c r="P28" i="30"/>
  <c r="P27" i="30"/>
  <c r="P26" i="30"/>
  <c r="F28" i="30"/>
  <c r="F26" i="30"/>
  <c r="P24" i="30" l="1"/>
  <c r="P16" i="30"/>
  <c r="P13" i="30"/>
  <c r="F20" i="30"/>
  <c r="F13" i="30"/>
  <c r="F11" i="30"/>
  <c r="L4" i="30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9" i="30" s="1"/>
  <c r="E30" i="30" s="1"/>
  <c r="E31" i="30" s="1"/>
  <c r="E32" i="30" s="1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43" i="30" s="1"/>
  <c r="E44" i="30" s="1"/>
  <c r="E45" i="30" s="1"/>
  <c r="E46" i="30" s="1"/>
  <c r="E47" i="30" s="1"/>
  <c r="E48" i="30" s="1"/>
  <c r="E49" i="30" s="1"/>
  <c r="E50" i="30" s="1"/>
  <c r="E51" i="30" s="1"/>
  <c r="E52" i="30" s="1"/>
  <c r="E53" i="30" s="1"/>
  <c r="E54" i="30" s="1"/>
  <c r="E55" i="30" s="1"/>
  <c r="E56" i="30" s="1"/>
  <c r="E57" i="30" s="1"/>
  <c r="G4" i="30" l="1"/>
  <c r="E58" i="30"/>
  <c r="E59" i="30" s="1"/>
  <c r="P13" i="29"/>
  <c r="P12" i="29"/>
  <c r="P11" i="29"/>
  <c r="P9" i="29"/>
  <c r="P10" i="29"/>
  <c r="F43" i="29" l="1"/>
  <c r="F26" i="29" l="1"/>
  <c r="P41" i="28" l="1"/>
  <c r="P31" i="28" l="1"/>
  <c r="P10" i="28"/>
  <c r="F13" i="29"/>
  <c r="F8" i="29"/>
  <c r="C8" i="29"/>
  <c r="C5" i="29"/>
  <c r="E5" i="29"/>
  <c r="E6" i="29" s="1"/>
  <c r="E7" i="29" s="1"/>
  <c r="L4" i="29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L36" i="29" s="1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E4" i="29"/>
  <c r="F31" i="28"/>
  <c r="E8" i="29" l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G4" i="29" s="1"/>
  <c r="F17" i="28"/>
  <c r="E58" i="29" l="1"/>
  <c r="E59" i="29" s="1"/>
  <c r="P13" i="28"/>
  <c r="E5" i="28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F40" i="27"/>
  <c r="F39" i="27"/>
  <c r="F36" i="27"/>
  <c r="E4" i="28"/>
  <c r="L26" i="28" l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E58" i="28"/>
  <c r="E59" i="28" s="1"/>
  <c r="P10" i="27"/>
  <c r="P8" i="27"/>
  <c r="F29" i="27"/>
  <c r="F28" i="27"/>
  <c r="P2" i="27"/>
  <c r="F21" i="27"/>
  <c r="G4" i="28" l="1"/>
  <c r="C14" i="27"/>
  <c r="C7" i="27"/>
  <c r="L5" i="27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E4" i="27"/>
  <c r="E5" i="27" s="1"/>
  <c r="E6" i="27" s="1"/>
  <c r="P34" i="26"/>
  <c r="P22" i="26"/>
  <c r="F35" i="26"/>
  <c r="E8" i="27" l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G4" i="27" s="1"/>
  <c r="P32" i="26"/>
  <c r="P31" i="26"/>
  <c r="P30" i="26"/>
  <c r="D32" i="26"/>
  <c r="D28" i="26"/>
  <c r="P27" i="26"/>
  <c r="E58" i="27" l="1"/>
  <c r="E59" i="27" s="1"/>
  <c r="P26" i="26"/>
  <c r="P24" i="26"/>
  <c r="P23" i="26"/>
  <c r="M16" i="26"/>
  <c r="M15" i="26"/>
  <c r="P21" i="26"/>
  <c r="P19" i="26"/>
  <c r="M13" i="26"/>
  <c r="P20" i="26" l="1"/>
  <c r="M5" i="26"/>
  <c r="M8" i="26"/>
  <c r="P17" i="26" l="1"/>
  <c r="P15" i="26"/>
  <c r="P13" i="26"/>
  <c r="L4" i="26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8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G4" i="26" l="1"/>
  <c r="E58" i="26"/>
  <c r="E59" i="26" s="1"/>
  <c r="M27" i="25"/>
  <c r="E27" i="25" l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26" i="25"/>
  <c r="M24" i="25"/>
  <c r="P16" i="25" l="1"/>
  <c r="P14" i="25"/>
  <c r="P12" i="25"/>
  <c r="P11" i="25"/>
  <c r="P10" i="25"/>
  <c r="P9" i="25"/>
  <c r="M22" i="25"/>
  <c r="M21" i="25"/>
  <c r="P8" i="25"/>
  <c r="J17" i="25"/>
  <c r="P7" i="25"/>
  <c r="P6" i="25"/>
  <c r="M14" i="25" l="1"/>
  <c r="P4" i="25"/>
  <c r="M13" i="25"/>
  <c r="P3" i="25"/>
  <c r="M9" i="25"/>
  <c r="J9" i="25"/>
  <c r="E11" i="25" l="1"/>
  <c r="L4" i="25"/>
  <c r="L5" i="25" s="1"/>
  <c r="L6" i="25" s="1"/>
  <c r="L7" i="25" s="1"/>
  <c r="L8" i="25" s="1"/>
  <c r="L9" i="25" s="1"/>
  <c r="L10" i="25" s="1"/>
  <c r="L11" i="25" s="1"/>
  <c r="L12" i="25" s="1"/>
  <c r="L13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E4" i="25"/>
  <c r="E5" i="25" s="1"/>
  <c r="E6" i="25" s="1"/>
  <c r="E7" i="25" s="1"/>
  <c r="E8" i="25" s="1"/>
  <c r="E9" i="25" s="1"/>
  <c r="E10" i="25" s="1"/>
  <c r="P27" i="24"/>
  <c r="P25" i="24"/>
  <c r="E12" i="25" l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52" i="25" s="1"/>
  <c r="E53" i="25" s="1"/>
  <c r="E54" i="25" s="1"/>
  <c r="E55" i="25" s="1"/>
  <c r="E56" i="25" s="1"/>
  <c r="E57" i="25" s="1"/>
  <c r="G4" i="25" s="1"/>
  <c r="M10" i="24"/>
  <c r="E58" i="25" l="1"/>
  <c r="E59" i="25" s="1"/>
  <c r="P21" i="24"/>
  <c r="M7" i="24"/>
  <c r="P31" i="24"/>
  <c r="P23" i="24"/>
  <c r="P22" i="24"/>
  <c r="F19" i="24"/>
  <c r="P15" i="24" l="1"/>
  <c r="C12" i="24" l="1"/>
  <c r="P19" i="24" l="1"/>
  <c r="P17" i="24" l="1"/>
  <c r="E6" i="24"/>
  <c r="E7" i="24" s="1"/>
  <c r="E8" i="24" s="1"/>
  <c r="E9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" i="24"/>
  <c r="L4" i="24"/>
  <c r="L5" i="24" s="1"/>
  <c r="L6" i="24" s="1"/>
  <c r="L7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l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G4" i="24"/>
  <c r="E4" i="24"/>
  <c r="R38" i="23"/>
  <c r="R37" i="23"/>
  <c r="Q38" i="23"/>
  <c r="P38" i="23"/>
  <c r="Q37" i="23"/>
  <c r="P37" i="23"/>
  <c r="P35" i="23"/>
  <c r="P34" i="23"/>
  <c r="P30" i="23"/>
  <c r="E54" i="24" l="1"/>
  <c r="E55" i="24" s="1"/>
  <c r="E56" i="24" s="1"/>
  <c r="E57" i="24" s="1"/>
  <c r="E58" i="24" s="1"/>
  <c r="E59" i="24" s="1"/>
  <c r="P29" i="23"/>
  <c r="P20" i="23"/>
  <c r="P21" i="23"/>
  <c r="P22" i="23" l="1"/>
  <c r="P18" i="23"/>
  <c r="F43" i="23"/>
  <c r="C44" i="23"/>
  <c r="F45" i="23"/>
  <c r="P9" i="23"/>
  <c r="F38" i="23"/>
  <c r="F34" i="23"/>
  <c r="P17" i="23" l="1"/>
  <c r="F32" i="23"/>
  <c r="P16" i="23" l="1"/>
  <c r="M22" i="23"/>
  <c r="J21" i="23"/>
  <c r="M21" i="23" s="1"/>
  <c r="M18" i="23" l="1"/>
  <c r="M15" i="23"/>
  <c r="P15" i="23"/>
  <c r="M12" i="23" l="1"/>
  <c r="P14" i="23"/>
  <c r="F22" i="23"/>
  <c r="F21" i="23"/>
  <c r="K6" i="13" l="1"/>
  <c r="L5" i="13"/>
  <c r="L4" i="13"/>
  <c r="N8" i="13"/>
  <c r="O8" i="13"/>
  <c r="P8" i="13"/>
  <c r="Q8" i="13"/>
  <c r="N12" i="13"/>
  <c r="O12" i="13"/>
  <c r="P12" i="13"/>
  <c r="Q12" i="13"/>
  <c r="Q13" i="13" s="1"/>
  <c r="O42" i="22"/>
  <c r="O41" i="22"/>
  <c r="G3" i="23"/>
  <c r="F17" i="23"/>
  <c r="O43" i="22" s="1"/>
  <c r="O44" i="22" s="1"/>
  <c r="F14" i="23"/>
  <c r="C6" i="23"/>
  <c r="L5" i="23"/>
  <c r="L6" i="23" s="1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E4" i="23"/>
  <c r="E5" i="23" s="1"/>
  <c r="E37" i="22"/>
  <c r="E38" i="22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P13" i="13" l="1"/>
  <c r="O13" i="13"/>
  <c r="N13" i="13"/>
  <c r="E6" i="23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O33" i="22"/>
  <c r="M37" i="22"/>
  <c r="M36" i="22"/>
  <c r="O32" i="22"/>
  <c r="J33" i="22"/>
  <c r="L30" i="22"/>
  <c r="L31" i="22" s="1"/>
  <c r="L32" i="22" s="1"/>
  <c r="L19" i="22"/>
  <c r="L20" i="22" s="1"/>
  <c r="L21" i="22" s="1"/>
  <c r="L22" i="22" s="1"/>
  <c r="L23" i="22" s="1"/>
  <c r="L24" i="22" s="1"/>
  <c r="L25" i="22" s="1"/>
  <c r="L26" i="22" s="1"/>
  <c r="L27" i="22" s="1"/>
  <c r="L28" i="22" s="1"/>
  <c r="L18" i="22"/>
  <c r="O25" i="22"/>
  <c r="F29" i="22"/>
  <c r="C31" i="22"/>
  <c r="F25" i="22"/>
  <c r="O28" i="22"/>
  <c r="O29" i="22" s="1"/>
  <c r="O31" i="22" s="1"/>
  <c r="E30" i="23" l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L33" i="22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O6" i="22"/>
  <c r="M17" i="22"/>
  <c r="M16" i="22"/>
  <c r="M15" i="22"/>
  <c r="M13" i="22"/>
  <c r="F17" i="22"/>
  <c r="E58" i="23" l="1"/>
  <c r="E59" i="23" s="1"/>
  <c r="G5" i="23"/>
  <c r="C13" i="22"/>
  <c r="C12" i="22"/>
  <c r="F11" i="22"/>
  <c r="C11" i="22"/>
  <c r="G3" i="22" l="1"/>
  <c r="M5" i="22"/>
  <c r="F5" i="22"/>
  <c r="L4" i="22"/>
  <c r="L5" i="22" s="1"/>
  <c r="L6" i="22" s="1"/>
  <c r="E4" i="22"/>
  <c r="E5" i="22" s="1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2" i="22" s="1"/>
  <c r="E33" i="22" s="1"/>
  <c r="E34" i="22" s="1"/>
  <c r="O37" i="21"/>
  <c r="O39" i="21"/>
  <c r="M30" i="21"/>
  <c r="O29" i="21"/>
  <c r="O23" i="21"/>
  <c r="K5" i="13"/>
  <c r="O20" i="21"/>
  <c r="E27" i="21"/>
  <c r="C31" i="21"/>
  <c r="O41" i="21" l="1"/>
  <c r="L7" i="22"/>
  <c r="L8" i="22" s="1"/>
  <c r="L9" i="22" s="1"/>
  <c r="L10" i="22" s="1"/>
  <c r="L11" i="22" s="1"/>
  <c r="L13" i="22" s="1"/>
  <c r="L14" i="22" s="1"/>
  <c r="L15" i="22" s="1"/>
  <c r="L16" i="22" s="1"/>
  <c r="L17" i="22" s="1"/>
  <c r="L52" i="22" s="1"/>
  <c r="L53" i="22" s="1"/>
  <c r="L54" i="22" s="1"/>
  <c r="L55" i="22" s="1"/>
  <c r="L56" i="22" s="1"/>
  <c r="L57" i="22" s="1"/>
  <c r="L58" i="22" s="1"/>
  <c r="L59" i="22" s="1"/>
  <c r="G5" i="22" s="1"/>
  <c r="E35" i="22"/>
  <c r="E36" i="22" s="1"/>
  <c r="C26" i="21"/>
  <c r="M39" i="21"/>
  <c r="M38" i="21" l="1"/>
  <c r="M35" i="21"/>
  <c r="F23" i="21" l="1"/>
  <c r="O26" i="21" l="1"/>
  <c r="F27" i="13" l="1"/>
  <c r="F26" i="13"/>
  <c r="F24" i="13"/>
  <c r="F18" i="13"/>
  <c r="C24" i="13"/>
  <c r="M26" i="21"/>
  <c r="O6" i="21"/>
  <c r="F16" i="21"/>
  <c r="O9" i="21"/>
  <c r="O8" i="21"/>
  <c r="O12" i="21" s="1"/>
  <c r="M19" i="21" l="1"/>
  <c r="F14" i="21"/>
  <c r="K12" i="13" l="1"/>
  <c r="J7" i="21"/>
  <c r="F5" i="21" l="1"/>
  <c r="O14" i="21" s="1"/>
  <c r="O16" i="21" s="1"/>
  <c r="E5" i="21"/>
  <c r="E6" i="21" s="1"/>
  <c r="E7" i="21" s="1"/>
  <c r="E8" i="21" s="1"/>
  <c r="E9" i="21" s="1"/>
  <c r="E10" i="21" s="1"/>
  <c r="E11" i="21" s="1"/>
  <c r="E12" i="21" s="1"/>
  <c r="E13" i="21" s="1"/>
  <c r="C6" i="21"/>
  <c r="L4" i="2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L24" i="21" s="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E4" i="21"/>
  <c r="G3" i="21"/>
  <c r="E14" i="21" l="1"/>
  <c r="E15" i="21" s="1"/>
  <c r="E16" i="21" s="1"/>
  <c r="E17" i="21" s="1"/>
  <c r="E19" i="21" s="1"/>
  <c r="E20" i="21" s="1"/>
  <c r="E21" i="21" s="1"/>
  <c r="E22" i="21" s="1"/>
  <c r="E23" i="21" s="1"/>
  <c r="E24" i="21" s="1"/>
  <c r="E25" i="21" s="1"/>
  <c r="E26" i="21" s="1"/>
  <c r="E28" i="21" s="1"/>
  <c r="E29" i="21" s="1"/>
  <c r="E30" i="21" s="1"/>
  <c r="E31" i="21" s="1"/>
  <c r="E32" i="21" s="1"/>
  <c r="E33" i="21" s="1"/>
  <c r="E34" i="21" s="1"/>
  <c r="O18" i="20"/>
  <c r="O17" i="20"/>
  <c r="M37" i="20"/>
  <c r="G5" i="21" l="1"/>
  <c r="E35" i="2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M34" i="20"/>
  <c r="M33" i="20"/>
  <c r="O15" i="20"/>
  <c r="O14" i="20"/>
  <c r="M28" i="20" l="1"/>
  <c r="O8" i="20" l="1"/>
  <c r="C25" i="13"/>
  <c r="O6" i="20"/>
  <c r="O5" i="20"/>
  <c r="M19" i="20"/>
  <c r="M18" i="20"/>
  <c r="O4" i="20" l="1"/>
  <c r="O3" i="20"/>
  <c r="G3" i="20"/>
  <c r="C17" i="13" l="1"/>
  <c r="C26" i="13" s="1"/>
  <c r="M4" i="20"/>
  <c r="M5" i="20"/>
  <c r="O7" i="20" l="1"/>
  <c r="O9" i="20" s="1"/>
  <c r="C14" i="20" s="1"/>
  <c r="C27" i="13"/>
  <c r="L4" i="20"/>
  <c r="L5" i="20" s="1"/>
  <c r="L6" i="20" s="1"/>
  <c r="L7" i="20" s="1"/>
  <c r="L8" i="20" s="1"/>
  <c r="L9" i="20" s="1"/>
  <c r="L10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E4" i="20"/>
  <c r="E5" i="20" s="1"/>
  <c r="E7" i="20" s="1"/>
  <c r="E8" i="20" s="1"/>
  <c r="E9" i="20" s="1"/>
  <c r="E10" i="20" s="1"/>
  <c r="E11" i="20" s="1"/>
  <c r="E12" i="20" s="1"/>
  <c r="E13" i="20" s="1"/>
  <c r="O29" i="19"/>
  <c r="O28" i="19"/>
  <c r="M18" i="19"/>
  <c r="D27" i="19"/>
  <c r="F25" i="19"/>
  <c r="M17" i="19"/>
  <c r="O26" i="19"/>
  <c r="O24" i="19"/>
  <c r="E14" i="20" l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G5" i="20" s="1"/>
  <c r="M14" i="19"/>
  <c r="O30" i="19" s="1"/>
  <c r="E35" i="20" l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K8" i="13"/>
  <c r="K13" i="13" s="1"/>
  <c r="L8" i="13"/>
  <c r="M8" i="13"/>
  <c r="L12" i="13"/>
  <c r="M12" i="13"/>
  <c r="M9" i="19"/>
  <c r="M8" i="19"/>
  <c r="M13" i="13" l="1"/>
  <c r="L13" i="13"/>
  <c r="O20" i="19"/>
  <c r="O16" i="19" l="1"/>
  <c r="O14" i="19"/>
  <c r="O11" i="19"/>
  <c r="O9" i="19"/>
  <c r="O8" i="19"/>
  <c r="O6" i="19"/>
  <c r="G3" i="19"/>
  <c r="F13" i="19"/>
  <c r="F7" i="19"/>
  <c r="F15" i="19"/>
  <c r="G3" i="18" l="1"/>
  <c r="O4" i="19"/>
  <c r="O3" i="19"/>
  <c r="O2" i="19"/>
  <c r="L4" i="19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F28" i="18"/>
  <c r="G5" i="19" l="1"/>
  <c r="O26" i="18"/>
  <c r="O22" i="18"/>
  <c r="O23" i="18"/>
  <c r="O24" i="18"/>
  <c r="M44" i="18"/>
  <c r="I81" i="1"/>
  <c r="I80" i="1"/>
  <c r="I79" i="1"/>
  <c r="I78" i="1"/>
  <c r="I77" i="1"/>
  <c r="I76" i="1"/>
  <c r="I75" i="1"/>
  <c r="I74" i="1"/>
  <c r="I73" i="1"/>
  <c r="I72" i="1"/>
  <c r="I71" i="1"/>
  <c r="I70" i="1"/>
  <c r="J41" i="18" l="1"/>
  <c r="O19" i="18" l="1"/>
  <c r="O16" i="18"/>
  <c r="O18" i="18"/>
  <c r="M35" i="18" l="1"/>
  <c r="M33" i="18"/>
  <c r="O13" i="18" l="1"/>
  <c r="M27" i="18"/>
  <c r="M28" i="18"/>
  <c r="M26" i="18"/>
  <c r="E12" i="18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5" i="18" s="1"/>
  <c r="E26" i="18" s="1"/>
  <c r="E27" i="18" s="1"/>
  <c r="E28" i="18" s="1"/>
  <c r="E29" i="18" s="1"/>
  <c r="E30" i="18" s="1"/>
  <c r="O8" i="18" l="1"/>
  <c r="O9" i="18" s="1"/>
  <c r="O7" i="18"/>
  <c r="O2" i="18"/>
  <c r="M12" i="18"/>
  <c r="O4" i="18"/>
  <c r="M6" i="18" l="1"/>
  <c r="M5" i="18"/>
  <c r="J7" i="18"/>
  <c r="F10" i="18"/>
  <c r="D12" i="13" l="1"/>
  <c r="E12" i="13"/>
  <c r="F12" i="13"/>
  <c r="G12" i="13"/>
  <c r="H12" i="13"/>
  <c r="I12" i="13"/>
  <c r="J12" i="13"/>
  <c r="C12" i="13"/>
  <c r="D4" i="18"/>
  <c r="E3" i="18"/>
  <c r="L4" i="18"/>
  <c r="L5" i="18" s="1"/>
  <c r="L6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E4" i="18"/>
  <c r="E5" i="18" s="1"/>
  <c r="E6" i="18" s="1"/>
  <c r="E7" i="18" s="1"/>
  <c r="E8" i="18" s="1"/>
  <c r="E9" i="18" s="1"/>
  <c r="E10" i="18" s="1"/>
  <c r="E11" i="18" s="1"/>
  <c r="E31" i="18" s="1"/>
  <c r="E32" i="18" s="1"/>
  <c r="E33" i="18" s="1"/>
  <c r="E34" i="18" s="1"/>
  <c r="G5" i="18" l="1"/>
  <c r="E35" i="18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O16" i="17"/>
  <c r="O14" i="17"/>
  <c r="O11" i="17"/>
  <c r="M40" i="17"/>
  <c r="M37" i="17"/>
  <c r="M36" i="17"/>
  <c r="F24" i="17"/>
  <c r="M33" i="17" l="1"/>
  <c r="M32" i="17"/>
  <c r="M29" i="17"/>
  <c r="L27" i="17"/>
  <c r="L28" i="17"/>
  <c r="L29" i="17" s="1"/>
  <c r="L30" i="17" s="1"/>
  <c r="L31" i="17" s="1"/>
  <c r="L32" i="17" s="1"/>
  <c r="L33" i="17" s="1"/>
  <c r="L34" i="17" s="1"/>
  <c r="M27" i="17"/>
  <c r="M26" i="17"/>
  <c r="H3" i="13"/>
  <c r="O10" i="17" l="1"/>
  <c r="M8" i="17" l="1"/>
  <c r="O6" i="17" s="1"/>
  <c r="O5" i="17"/>
  <c r="O3" i="17"/>
  <c r="M7" i="17"/>
  <c r="G3" i="17"/>
  <c r="O1" i="17" l="1"/>
  <c r="O4" i="17" s="1"/>
  <c r="O7" i="17" s="1"/>
  <c r="L4" i="17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G5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L19" i="16"/>
  <c r="L20" i="16"/>
  <c r="L21" i="16"/>
  <c r="L22" i="16"/>
  <c r="L23" i="16" s="1"/>
  <c r="L24" i="16" s="1"/>
  <c r="L25" i="16" s="1"/>
  <c r="L26" i="16" s="1"/>
  <c r="L27" i="16" s="1"/>
  <c r="L18" i="16"/>
  <c r="L17" i="16"/>
  <c r="C29" i="16"/>
  <c r="E35" i="17" l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L13" i="16"/>
  <c r="L14" i="16" s="1"/>
  <c r="L15" i="16" s="1"/>
  <c r="L16" i="16" s="1"/>
  <c r="O11" i="16" l="1"/>
  <c r="F23" i="16"/>
  <c r="F22" i="16"/>
  <c r="M12" i="16"/>
  <c r="M11" i="16"/>
  <c r="M9" i="16" l="1"/>
  <c r="C20" i="16"/>
  <c r="M5" i="16"/>
  <c r="M6" i="16"/>
  <c r="M8" i="16"/>
  <c r="L4" i="16"/>
  <c r="L5" i="16" s="1"/>
  <c r="L6" i="16" s="1"/>
  <c r="L7" i="16" s="1"/>
  <c r="L8" i="16" s="1"/>
  <c r="J5" i="16"/>
  <c r="L9" i="16" l="1"/>
  <c r="L10" i="16" s="1"/>
  <c r="L11" i="16" s="1"/>
  <c r="L12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O5" i="16"/>
  <c r="O8" i="16"/>
  <c r="O6" i="16"/>
  <c r="G3" i="16"/>
  <c r="O33" i="15"/>
  <c r="O31" i="15"/>
  <c r="F18" i="15"/>
  <c r="E4" i="16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G5" i="16" l="1"/>
  <c r="E35" i="16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O29" i="15"/>
  <c r="O23" i="15" l="1"/>
  <c r="O22" i="15"/>
  <c r="O21" i="15"/>
  <c r="O24" i="15" s="1"/>
  <c r="O20" i="15"/>
  <c r="O18" i="15"/>
  <c r="O17" i="15"/>
  <c r="O15" i="15"/>
  <c r="O14" i="15"/>
  <c r="F24" i="15"/>
  <c r="F22" i="15"/>
  <c r="G3" i="15"/>
  <c r="O11" i="15" l="1"/>
  <c r="O13" i="15"/>
  <c r="O12" i="15"/>
  <c r="O10" i="15"/>
  <c r="O9" i="15"/>
  <c r="L4" i="15" l="1"/>
  <c r="L5" i="15" s="1"/>
  <c r="L6" i="15" s="1"/>
  <c r="L7" i="15" s="1"/>
  <c r="L10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O8" i="15"/>
  <c r="O7" i="15" l="1"/>
  <c r="L59" i="14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L58" i="14"/>
  <c r="M58" i="14"/>
  <c r="G5" i="15" l="1"/>
  <c r="L53" i="14"/>
  <c r="L54" i="14" l="1"/>
  <c r="L55" i="14" s="1"/>
  <c r="L56" i="14" s="1"/>
  <c r="L57" i="14" s="1"/>
  <c r="G3" i="14"/>
  <c r="J4" i="14" l="1"/>
  <c r="J51" i="12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D25" i="12"/>
  <c r="C24" i="12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l="1"/>
  <c r="E36" i="14" s="1"/>
  <c r="E37" i="14" s="1"/>
  <c r="E38" i="14" s="1"/>
  <c r="G5" i="14"/>
  <c r="D8" i="13" l="1"/>
  <c r="D13" i="13" s="1"/>
  <c r="E8" i="13"/>
  <c r="E13" i="13" s="1"/>
  <c r="F8" i="13"/>
  <c r="F13" i="13" s="1"/>
  <c r="G8" i="13"/>
  <c r="G13" i="13" s="1"/>
  <c r="H8" i="13"/>
  <c r="H13" i="13" s="1"/>
  <c r="I8" i="13"/>
  <c r="I13" i="13" s="1"/>
  <c r="J8" i="13"/>
  <c r="J13" i="13" s="1"/>
  <c r="C8" i="13"/>
  <c r="C13" i="13" s="1"/>
  <c r="L44" i="12"/>
  <c r="L45" i="12"/>
  <c r="L46" i="12" s="1"/>
  <c r="L47" i="12" s="1"/>
  <c r="L48" i="12" s="1"/>
  <c r="L49" i="12" s="1"/>
  <c r="L50" i="12" s="1"/>
  <c r="L51" i="12" s="1"/>
  <c r="L52" i="12" s="1"/>
  <c r="L53" i="12" s="1"/>
  <c r="J44" i="12"/>
  <c r="E24" i="11" l="1"/>
  <c r="E25" i="11"/>
  <c r="E26" i="11"/>
  <c r="E27" i="11"/>
  <c r="E28" i="11" s="1"/>
  <c r="E11" i="12" l="1"/>
  <c r="E12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8" i="12"/>
  <c r="E9" i="12"/>
  <c r="E10" i="12"/>
  <c r="E7" i="12"/>
  <c r="E5" i="12"/>
  <c r="E6" i="12"/>
  <c r="G3" i="12" l="1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E4" i="12"/>
  <c r="E26" i="12" s="1"/>
  <c r="E27" i="12" s="1"/>
  <c r="E28" i="12" s="1"/>
  <c r="E29" i="12" s="1"/>
  <c r="E30" i="12" s="1"/>
  <c r="E31" i="12" s="1"/>
  <c r="E32" i="12" s="1"/>
  <c r="E33" i="12" s="1"/>
  <c r="E34" i="12" s="1"/>
  <c r="E35" i="12" l="1"/>
  <c r="E36" i="12" s="1"/>
  <c r="E37" i="12" s="1"/>
  <c r="E38" i="12" s="1"/>
  <c r="G5" i="12"/>
  <c r="L39" i="11"/>
  <c r="L40" i="11" s="1"/>
  <c r="L41" i="11" s="1"/>
  <c r="L42" i="11" s="1"/>
  <c r="L43" i="11" s="1"/>
  <c r="S12" i="11" l="1"/>
  <c r="P9" i="11" l="1"/>
  <c r="E19" i="11"/>
  <c r="E20" i="11"/>
  <c r="E21" i="11" s="1"/>
  <c r="E22" i="11" s="1"/>
  <c r="E23" i="11" s="1"/>
  <c r="P7" i="11" l="1"/>
  <c r="P5" i="11" l="1"/>
  <c r="P4" i="11"/>
  <c r="J20" i="11"/>
  <c r="Q3" i="11" l="1"/>
  <c r="C5" i="11"/>
  <c r="L4" i="11"/>
  <c r="L5" i="11" s="1"/>
  <c r="L6" i="11" s="1"/>
  <c r="L7" i="11" s="1"/>
  <c r="L8" i="11" s="1"/>
  <c r="L9" i="11" s="1"/>
  <c r="L10" i="11" s="1"/>
  <c r="L11" i="11" s="1"/>
  <c r="L12" i="11" s="1"/>
  <c r="L13" i="11" s="1"/>
  <c r="E4" i="11"/>
  <c r="L14" i="11" l="1"/>
  <c r="L15" i="11" s="1"/>
  <c r="L16" i="11" s="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G5" i="11" s="1"/>
  <c r="E19" i="10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L17" i="11" l="1"/>
  <c r="L18" i="11" s="1"/>
  <c r="L19" i="11" s="1"/>
  <c r="L20" i="11" s="1"/>
  <c r="L21" i="11" s="1"/>
  <c r="L22" i="11" s="1"/>
  <c r="L23" i="11" s="1"/>
  <c r="L24" i="11" s="1"/>
  <c r="L25" i="11" s="1"/>
  <c r="L27" i="11" s="1"/>
  <c r="L28" i="11" s="1"/>
  <c r="L29" i="11" s="1"/>
  <c r="L30" i="11" s="1"/>
  <c r="L31" i="11" s="1"/>
  <c r="L32" i="11" s="1"/>
  <c r="L33" i="11" s="1"/>
  <c r="L35" i="11" s="1"/>
  <c r="L36" i="11" s="1"/>
  <c r="L37" i="11" s="1"/>
  <c r="L38" i="11" s="1"/>
  <c r="G3" i="10"/>
  <c r="G6" i="10" l="1"/>
  <c r="C8" i="10" l="1"/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33" i="10" s="1"/>
  <c r="E34" i="10" s="1"/>
  <c r="E35" i="10" s="1"/>
  <c r="E36" i="10" s="1"/>
  <c r="E37" i="10" s="1"/>
  <c r="E38" i="10" s="1"/>
  <c r="Q10" i="10"/>
  <c r="P10" i="10"/>
  <c r="L4" i="10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G5" i="10" l="1"/>
  <c r="Q11" i="10"/>
  <c r="G4" i="9"/>
  <c r="C14" i="9" l="1"/>
  <c r="Q10" i="9" l="1"/>
  <c r="Q11" i="9" s="1"/>
  <c r="P10" i="9"/>
  <c r="G3" i="9" l="1"/>
  <c r="G3" i="8"/>
  <c r="L22" i="8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l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L4" i="9"/>
  <c r="L5" i="9" s="1"/>
  <c r="L6" i="9" l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E29" i="9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G4" i="8"/>
  <c r="G6" i="9" l="1"/>
  <c r="C13" i="8"/>
  <c r="L4" i="8" l="1"/>
  <c r="L5" i="8" s="1"/>
  <c r="L6" i="8" s="1"/>
  <c r="L7" i="8" s="1"/>
  <c r="L8" i="8" s="1"/>
  <c r="L9" i="8" s="1"/>
  <c r="E3" i="8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C12" i="7"/>
  <c r="G3" i="7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E4" i="7"/>
  <c r="E5" i="7" s="1"/>
  <c r="E6" i="7" s="1"/>
  <c r="E7" i="7" s="1"/>
  <c r="E9" i="7"/>
  <c r="E10" i="7" s="1"/>
  <c r="E11" i="7" s="1"/>
  <c r="E12" i="7" s="1"/>
  <c r="E13" i="7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G6" i="7" s="1"/>
  <c r="C10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G3" i="6"/>
  <c r="E3" i="6"/>
  <c r="E4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C22" i="3"/>
  <c r="C23" i="3"/>
  <c r="E3" i="3"/>
  <c r="E4" i="3"/>
  <c r="E5" i="3"/>
  <c r="E6" i="3" s="1"/>
  <c r="E7" i="3" s="1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2" i="3"/>
  <c r="E84" i="3"/>
  <c r="E85" i="3" s="1"/>
  <c r="E86" i="3" s="1"/>
  <c r="E87" i="3"/>
  <c r="E88" i="3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D63" i="1"/>
  <c r="C5" i="1"/>
  <c r="C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L10" i="8" l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G6" i="8" s="1"/>
  <c r="J14" i="38" l="1"/>
  <c r="J21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tc={DC8E213C-05C0-1447-898F-28AAC0212D75}</author>
    <author>tc={176BA9FF-E599-7A4E-9719-8A7C4DA57715}</author>
  </authors>
  <commentList>
    <comment ref="B5" authorId="0" shapeId="0" xr:uid="{DC8E213C-05C0-1447-898F-28AAC0212D75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Hubo aumento</t>
        </r>
      </text>
    </comment>
    <comment ref="J42" authorId="1" shapeId="0" xr:uid="{176BA9FF-E599-7A4E-9719-8A7C4DA57715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otra parte se saldo por todos los gastos que hice yo en el mes, hicimos balance y Félix me debía $3125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8" authorId="0" shapeId="0" xr:uid="{68FDC696-9301-DD4F-8265-F6B2FB58CA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Wifi 09/2021 + gas y luz 08/2021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P38" authorId="0" shapeId="0" xr:uid="{5F8602D0-93F2-FE45-AD81-E108DDBA8A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Lo llevé a la caja del 07/2022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4" authorId="0" shapeId="0" xr:uid="{3767B0D4-8920-3C44-AF65-47B501908C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llevé a la caja del 07/2022</t>
        </r>
      </text>
    </comment>
    <comment ref="F52" authorId="0" shapeId="0" xr:uid="{8F14F69F-9F74-3B42-B881-BCCC198860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Lo llevé a la caja del 07/2022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4" authorId="0" shapeId="0" xr:uid="{031F0B0D-AECE-3B49-B44C-8F988DC184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manteca de cacao + pasta de dientes PURO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4A877CBF-34A2-DF40-B71F-B2CC8016E2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Las pagó Fel el 08/05/2022</t>
        </r>
      </text>
    </comment>
    <comment ref="D3" authorId="0" shapeId="0" xr:uid="{E2D55211-DD41-E845-A7B2-954F2E04419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Pagó Fel 11/7</t>
        </r>
      </text>
    </comment>
    <comment ref="E3" authorId="0" shapeId="0" xr:uid="{2507007E-AA8C-8C46-993A-735E6705DE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Fel transf 14-08</t>
        </r>
      </text>
    </comment>
    <comment ref="F3" authorId="0" shapeId="0" xr:uid="{E3B6550E-1E93-0A43-A042-C1CE59858D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hecha a Fel para que pague el 03/09 (incluido en eso)</t>
        </r>
      </text>
    </comment>
    <comment ref="G3" authorId="0" shapeId="0" xr:uid="{E5E76A55-AB1D-EF41-B511-F302C801605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fel 07/10</t>
        </r>
      </text>
    </comment>
    <comment ref="H3" authorId="0" shapeId="0" xr:uid="{E8AB2777-C5B5-A246-ACED-14989D6072C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Contemplado caja cta. felix 11/2022</t>
        </r>
      </text>
    </comment>
    <comment ref="I3" authorId="0" shapeId="0" xr:uid="{477A9D5E-4D96-8141-B681-C125874E30A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 fel 20/12</t>
        </r>
      </text>
    </comment>
    <comment ref="C4" authorId="0" shapeId="0" xr:uid="{FB5399CB-286D-0A48-BF2B-72A4007C16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mia a Juanchi el 08/05</t>
        </r>
      </text>
    </comment>
    <comment ref="D4" authorId="0" shapeId="0" xr:uid="{FD596267-8CA8-A444-BA49-5FC7B3F7BD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Pagó Fel</t>
        </r>
      </text>
    </comment>
    <comment ref="E4" authorId="0" shapeId="0" xr:uid="{65FE7B96-74D4-D046-BDE5-4F9C446B74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Pago Fel transf 14-08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" authorId="0" shapeId="0" xr:uid="{45075020-0C59-E847-BB10-8816AD8444F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Transf. hecha a Fel para que pague el 03/09 (incluido en eso)
</t>
        </r>
      </text>
    </comment>
    <comment ref="G4" authorId="0" shapeId="0" xr:uid="{E4A1F2EF-C55A-624F-BD0E-39AF95645A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Transf. hecha a Fel para que pague el 06/10 (incluido en eso)
</t>
        </r>
      </text>
    </comment>
    <comment ref="H4" authorId="0" shapeId="0" xr:uid="{0D18D07E-18CB-6746-AA63-8D39EE51EB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Contemplado caja cta. felix 11/2022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4" authorId="0" shapeId="0" xr:uid="{3F566864-4C80-4E4C-B7CE-47E2A0CEFE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Transf 09/12 Santander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5" authorId="0" shapeId="0" xr:uid="{E8E29B33-A539-4648-BC4F-329948EB33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Incluído gastos fijos y deuda al 24/07 - pago fel 24/07</t>
        </r>
      </text>
    </comment>
    <comment ref="D6" authorId="0" shapeId="0" xr:uid="{E6D07F15-FAD5-DA44-86B7-9BCB005DF45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Incluído gastos fijos y deuda al 24/07 - pago fel 24/07
</t>
        </r>
      </text>
    </comment>
    <comment ref="E6" authorId="0" shapeId="0" xr:uid="{A28C20CA-4BC1-5E4A-95EB-AE1E901CC0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Pago Fel DA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F6" authorId="0" shapeId="0" xr:uid="{8472AF1B-F3D0-BB42-85D0-D421936F9E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Transf. hecha a Fel para que pague el 03/09 (incluido en eso)
</t>
        </r>
      </text>
    </comment>
    <comment ref="G6" authorId="0" shapeId="0" xr:uid="{3E04DEB7-2460-A04D-9BE2-084AC39489B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Incluido en la primer caja fel 10/2022</t>
        </r>
      </text>
    </comment>
    <comment ref="H6" authorId="0" shapeId="0" xr:uid="{A0F7B78B-9783-0248-90CE-D9A47F26D1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Contemplado en gastos 11/2022</t>
        </r>
      </text>
    </comment>
    <comment ref="I6" authorId="0" shapeId="0" xr:uid="{99DF8350-0B18-4741-AD09-5372283144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Incluido en gastos Fel del 17/11 al 02/12 (pestaña 11.22)</t>
        </r>
      </text>
    </comment>
    <comment ref="D7" authorId="0" shapeId="0" xr:uid="{8E4C0759-AE38-7C40-A977-B913143431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Incluído gastos fijos y deuda al 24/07 - pago fel 24/07
</t>
        </r>
      </text>
    </comment>
    <comment ref="B8" authorId="0" shapeId="0" xr:uid="{EB949B8B-A1F5-C743-B98C-2A092856EC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papá Santander 01/05</t>
        </r>
      </text>
    </comment>
    <comment ref="C8" authorId="0" shapeId="0" xr:uid="{86342AD8-DE26-8A42-976F-2613EF0DFA7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papá 30/05/2022</t>
        </r>
      </text>
    </comment>
    <comment ref="D8" authorId="0" shapeId="0" xr:uid="{C384088C-4228-8B44-84A1-98D09B0A36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Transf. papá 08/07/2022
</t>
        </r>
      </text>
    </comment>
    <comment ref="E8" authorId="0" shapeId="0" xr:uid="{815D631C-39E8-A343-A009-61A404A9435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Transf. 05/08 Macro papá - cuotas Macro 07 y 08/2022 y segpat08/2022
</t>
        </r>
      </text>
    </comment>
    <comment ref="F8" authorId="0" shapeId="0" xr:uid="{D499032E-BC73-4843-AC56-4867F6818A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con deuda asumida con mamá. Le transfiere la plata a papá, yo le pago a ella en octubre.</t>
        </r>
      </text>
    </comment>
    <comment ref="G8" authorId="0" shapeId="0" xr:uid="{FC5EBA0C-A8BE-044F-8980-5A9E7273A7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mike 07/10</t>
        </r>
      </text>
    </comment>
    <comment ref="H8" authorId="0" shapeId="0" xr:uid="{0412BA45-5AFA-2044-A436-204F53E40E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 1/11 a papá</t>
        </r>
      </text>
    </comment>
    <comment ref="I8" authorId="0" shapeId="0" xr:uid="{4E3A87DE-4F70-4A46-862F-74BD8DF885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Transf 09/12 Santander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9" authorId="0" shapeId="0" xr:uid="{3FF3FB6B-5336-3649-B3AB-DB370ED94B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mamá $1095 efectivo de los champis que compre en la verdulería</t>
        </r>
      </text>
    </comment>
    <comment ref="C9" authorId="0" shapeId="0" xr:uid="{DEBC74EE-B043-EB48-9CC9-95CA90D5E21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Neteado con los $930 del regalo de Pablo</t>
        </r>
      </text>
    </comment>
    <comment ref="E9" authorId="0" shapeId="0" xr:uid="{3C50846A-9888-3B48-8128-25C6A460D6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05/08 HSBC mamma- $23463 de las cuotas Santander 07 y 08/2022 + telefono 08/2022</t>
        </r>
      </text>
    </comment>
    <comment ref="F9" authorId="0" shapeId="0" xr:uid="{9AC292E1-E7AD-CB4E-B597-459FEECDAE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Pago con 100 dólares mios que tiene papá y se los da a mamá domingo 28/08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9" authorId="0" shapeId="0" xr:uid="{858D539E-3ED3-BC4A-A4BA-8D60CB4520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transf. HSBC mamma 07/10</t>
        </r>
      </text>
    </comment>
    <comment ref="H9" authorId="0" shapeId="0" xr:uid="{2EF628B9-70C2-EA4F-9209-B70E9F9283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 01/11 a mamá</t>
        </r>
      </text>
    </comment>
    <comment ref="I9" authorId="0" shapeId="0" xr:uid="{BDB09AB1-9CF2-704E-BD6E-114F61661E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 09/12 Santander</t>
        </r>
      </text>
    </comment>
    <comment ref="B10" authorId="0" shapeId="0" xr:uid="{6E90F3B6-8E43-894A-BFF3-1284A6B983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efectivo 12/05</t>
        </r>
      </text>
    </comment>
    <comment ref="C10" authorId="0" shapeId="0" xr:uid="{C4B13606-C77C-BD48-84DD-55F68FC515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efectivo tita jueves mañana 02/06</t>
        </r>
      </text>
    </comment>
    <comment ref="D10" authorId="0" shapeId="0" xr:uid="{10D69F56-EF85-6649-8D4D-6F978AC145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Transf. Jero 08/07/2022
</t>
        </r>
      </text>
    </comment>
    <comment ref="E10" authorId="0" shapeId="0" xr:uid="{492659F1-017E-5F4C-924D-2100B14A3A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Jero transf. 05/08/2022</t>
        </r>
      </text>
    </comment>
    <comment ref="H10" authorId="0" shapeId="0" xr:uid="{733522ED-A95D-FB4C-99C6-7B4312495D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efvo (debajo de la gorra) lunes 21/11</t>
        </r>
      </text>
    </comment>
    <comment ref="I10" authorId="0" shapeId="0" xr:uid="{99503117-380B-AC49-98E8-51EA552C94A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Efvo. lunes 05/12</t>
        </r>
      </text>
    </comment>
    <comment ref="B11" authorId="0" shapeId="0" xr:uid="{CB360336-D236-964C-B9D7-19F9978437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1) Transf. Santander 01/05
</t>
        </r>
        <r>
          <rPr>
            <sz val="10"/>
            <color rgb="FF000000"/>
            <rFont val="Calibri"/>
            <family val="2"/>
          </rPr>
          <t xml:space="preserve">2) Transf. Santander 09/05 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C11" authorId="0" shapeId="0" xr:uid="{2639EA09-35E3-074E-A637-C97A1EAE147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1) Transf. Santander 30/05 para sesión del 09/06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11" authorId="0" shapeId="0" xr:uid="{C8610AB6-98BB-C94D-8EA0-1BBD138EEC8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1) Transf. Santander 03/07 para sesión del 07/07
</t>
        </r>
      </text>
    </comment>
    <comment ref="E11" authorId="0" shapeId="0" xr:uid="{2BD03DC9-0273-7143-A862-4D9A6BC0A6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1) Transf. 05/08 para sesión 08/08 9.30 am
</t>
        </r>
        <r>
          <rPr>
            <sz val="10"/>
            <color rgb="FF000000"/>
            <rFont val="Calibri"/>
            <family val="2"/>
          </rPr>
          <t xml:space="preserve">2) Transf. 14/08 para sesión 25/08 17 HS
</t>
        </r>
      </text>
    </comment>
    <comment ref="G11" authorId="0" shapeId="0" xr:uid="{5907E4FB-0FA5-344C-B538-7A87033431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1) Sesión 30/09 --&gt; pago transf. 27/09
</t>
        </r>
        <r>
          <rPr>
            <sz val="10"/>
            <color rgb="FF000000"/>
            <rFont val="Tahoma"/>
            <family val="2"/>
          </rPr>
          <t>2) Sesión 11/10 --&gt; pago transf. 07/10</t>
        </r>
      </text>
    </comment>
    <comment ref="H11" authorId="0" shapeId="0" xr:uid="{44627C98-FF39-1D40-82FD-C8F425E8F9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15/11</t>
        </r>
      </text>
    </comment>
    <comment ref="I11" authorId="0" shapeId="0" xr:uid="{A2C26D53-37A5-4F4A-B443-AF7DB89991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efectivo 08/12/2022</t>
        </r>
      </text>
    </comment>
    <comment ref="B12" authorId="0" shapeId="0" xr:uid="{F43A124A-5AFE-6246-9240-89436D349D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Pago efectivo 12/05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12" authorId="0" shapeId="0" xr:uid="{00319902-C82D-C044-AD0F-F1D85B681F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 m.parra 30/05</t>
        </r>
      </text>
    </comment>
    <comment ref="D12" authorId="0" shapeId="0" xr:uid="{1FC9A16C-97B4-3C4B-843F-7EAA30F2990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Transf. Marlene 08/07/2022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3" authorId="0" shapeId="0" xr:uid="{12F6C67B-ABB2-2941-A6FB-52D78001DB7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4-30 fuimos al cine con mamá y papá entonces cuenta como el pago movieclub</t>
        </r>
      </text>
    </comment>
    <comment ref="C13" authorId="0" shapeId="0" xr:uid="{1390EB95-59E1-3147-A781-24354FEDD1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Neteado con el regalo de Pablo $930</t>
        </r>
      </text>
    </comment>
    <comment ref="D13" authorId="0" shapeId="0" xr:uid="{AE8231B7-42E9-8749-9E4D-CD953296008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di de baja el 23/07</t>
        </r>
      </text>
    </comment>
    <comment ref="B14" authorId="0" shapeId="0" xr:uid="{847F7210-A4DF-454B-8958-9E8ACBF884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Pago efectivo curso 14/05</t>
        </r>
      </text>
    </comment>
    <comment ref="D14" authorId="0" shapeId="0" xr:uid="{A53E9F06-CD3E-2B42-AAF9-181A782C9E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efvo. 31/07</t>
        </r>
      </text>
    </comment>
    <comment ref="G14" authorId="0" shapeId="0" xr:uid="{D2F3B4D9-75B3-C843-AFA6-AED4B14233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</t>
        </r>
      </text>
    </comment>
    <comment ref="I14" authorId="0" shapeId="0" xr:uid="{DED39CCD-3424-8848-B8BC-E9A6CBDB8E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Efvo. finde 10 y 11/12</t>
        </r>
      </text>
    </comment>
    <comment ref="R14" authorId="0" shapeId="0" xr:uid="{CCB8A6C2-54A4-3D45-8752-6639EBEE13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Recordar que no tengo nuevo ejercicio, quedan 2 cuotas ahí</t>
        </r>
      </text>
    </comment>
    <comment ref="D15" authorId="0" shapeId="0" xr:uid="{27CEF459-B1AC-6E41-830A-8F49C4E549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Transf. 05/08 HSBC mamma- $23463 de las cuotas Santander 07 y 08/2022 + telefono 08/2022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5" authorId="0" shapeId="0" xr:uid="{1AA94EE2-3E1B-AD46-8DFA-F9AA9251C1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Transf. 05/08 HSBC mamma- $23463 de las cuotas Santander 07 y 08/2022 + telefono 08/2022
</t>
        </r>
      </text>
    </comment>
    <comment ref="F15" authorId="0" shapeId="0" xr:uid="{41781A34-D280-0748-9D23-CF3B354696A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con 100 dólares mios que tiene papá y se los da a mamá domingo 28/08</t>
        </r>
      </text>
    </comment>
    <comment ref="G15" authorId="0" shapeId="0" xr:uid="{20E2A0D4-9A02-0547-AF3C-81A52006FD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Pago transf. HSBC mamma 07/10
</t>
        </r>
      </text>
    </comment>
    <comment ref="H15" authorId="0" shapeId="0" xr:uid="{BA7F451D-F2FA-E843-A6CD-5D33C24C4E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Transf 01/11 a mamá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15" authorId="0" shapeId="0" xr:uid="{7580ACEC-7FED-AA4A-86DB-6114615F77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 09/12 Santander
</t>
        </r>
      </text>
    </comment>
    <comment ref="B16" authorId="0" shapeId="0" xr:uid="{AEA11162-3771-B34D-B20A-8E18E997BD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papá Macro 09/05</t>
        </r>
      </text>
    </comment>
    <comment ref="C16" authorId="0" shapeId="0" xr:uid="{DDDB70C1-73A8-FC4B-A633-CDA0D3D2DA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papaá 30/05/2022</t>
        </r>
      </text>
    </comment>
    <comment ref="D16" authorId="0" shapeId="0" xr:uid="{4A78C4AA-A326-394F-8654-3A8C8AAEDC4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05/08 Macro papá - cuotas Macro 07 y 08/2022 y segpat08/2022</t>
        </r>
      </text>
    </comment>
    <comment ref="E16" authorId="0" shapeId="0" xr:uid="{E83FABAC-4522-134B-8DD6-973B92F67E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Transf. 05/08 Macro papá - cuotas Macro 07 y 08/2022 y segpat08/2022
</t>
        </r>
      </text>
    </comment>
    <comment ref="F16" authorId="0" shapeId="0" xr:uid="{AA0EA19B-4CF2-9449-A760-1DB7CD13AC3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Pago con deuda asumida con mamá. Le transfiere la plata a papá, yo le pago a ella en octubre.
</t>
        </r>
      </text>
    </comment>
    <comment ref="G16" authorId="0" shapeId="0" xr:uid="{B58FD839-BB06-464E-A17A-FF9EACDA38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Transf. mike 07/10
</t>
        </r>
      </text>
    </comment>
    <comment ref="H16" authorId="0" shapeId="0" xr:uid="{F0492028-39BD-6642-B3F2-5C8906E1B1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 1/11 a papá
</t>
        </r>
      </text>
    </comment>
    <comment ref="I16" authorId="0" shapeId="0" xr:uid="{E5609A0A-EF3F-E04B-832C-565DBAD2FF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Transf 09/12 Santander
</t>
        </r>
      </text>
    </comment>
    <comment ref="R16" authorId="0" shapeId="0" xr:uid="{4D35CA0A-680E-2B4D-8BF3-BAE96B6F83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Recordar que no tengo nuevo ejercicio, quedan 2 cuotas ahí</t>
        </r>
      </text>
    </comment>
    <comment ref="B18" authorId="0" shapeId="0" xr:uid="{CCEC51A6-DCEE-694F-B3C8-3A129A5902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Mamá me pagó la ropa del boli y me perdonó la primera cuota - es para comprarme ropa justamente</t>
        </r>
      </text>
    </comment>
    <comment ref="C18" authorId="0" shapeId="0" xr:uid="{149F36CB-D179-784A-9E8D-CAAF4C65F9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mamá HSBC 19/06</t>
        </r>
      </text>
    </comment>
    <comment ref="E18" authorId="0" shapeId="0" xr:uid="{F65960CE-6C2C-454E-A32E-D0FB57D687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Deuda mamá fin de julio - ya saldada 04/08 transferencia a ella.</t>
        </r>
      </text>
    </comment>
    <comment ref="G18" authorId="0" shapeId="0" xr:uid="{BFF6B817-279F-374C-B563-914AF63EC9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Pago transf. HSBC mamma 07/10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(Mamá me había prestado para pagarle a papá la tarjeta macro 09/2022 y segpat 09/2022)</t>
        </r>
      </text>
    </comment>
    <comment ref="H18" authorId="0" shapeId="0" xr:uid="{AB029F10-CA5E-F04C-85CB-1E436B424F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Pago 8000 a tin, $2000 menos por la pizza que pagué yo</t>
        </r>
      </text>
    </comment>
    <comment ref="D20" authorId="0" shapeId="0" xr:uid="{DC72850F-2144-654C-8197-8392CFC6DA9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Contemplada 24/07</t>
        </r>
      </text>
    </comment>
    <comment ref="E20" authorId="0" shapeId="0" xr:uid="{A343AFC3-1DDB-A046-9422-E8931DB6E3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Contemplada 05/08 </t>
        </r>
      </text>
    </comment>
    <comment ref="F20" authorId="0" shapeId="0" xr:uid="{0B22982B-F5F0-084F-A206-39CCBB31A20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Incluido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20" authorId="0" shapeId="0" xr:uid="{D575AC33-FF87-A140-B5A1-DC6361F31BE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Incluido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H20" authorId="0" shapeId="0" xr:uid="{32E41BA6-AADE-5E40-8270-90F08F50C3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Incluido</t>
        </r>
      </text>
    </comment>
    <comment ref="I20" authorId="0" shapeId="0" xr:uid="{994F6E35-6384-D645-B192-3BD40AC6BE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Incluido en gastos Fel del 17/11 al 02/12 (pestaña 11.22)
</t>
        </r>
      </text>
    </comment>
    <comment ref="R20" authorId="0" shapeId="0" xr:uid="{7A8AB8CF-66EC-114A-9069-B9B63157DC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Recordar que no tengo nuevo ejercicio, quedan 3 cuotas ahí
</t>
        </r>
      </text>
    </comment>
    <comment ref="R26" authorId="0" shapeId="0" xr:uid="{2F605DD5-BD9C-3443-B5CC-FAF3DBCBD0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Recordar que no tengo nuevo ejercicio, quedan 3 cuotas ahí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tc={D7EF5778-E750-5049-BEA5-549E097C19C1}</author>
    <author>tc={2234C273-262F-7F4A-8869-0089C2BF9A51}</author>
    <author>tc={D6904D52-10C7-B94C-814C-3B7C82BCB1B0}</author>
    <author>tc={84F5377C-7401-404B-B9CE-41858ED1418A}</author>
    <author>tc={83BBD266-D193-AB4E-88EE-5240EF070F3D}</author>
    <author>tc={B865B2F6-D458-1648-B05E-2CA2C0A5601A}</author>
    <author>tc={FA83EBF3-8B86-D94C-996B-D49BA86D3823}</author>
    <author>tc={9012E626-7C74-9943-98DC-31DD649B0252}</author>
    <author>Microsoft Office User</author>
    <author>tc={C849CCDA-792C-2D43-99F8-ADBC423F02EE}</author>
    <author>tc={67B4AA13-D225-3647-9769-4C1EBF9AC5D6}</author>
    <author>tc={5D953998-2AFA-D745-9032-476B46A52952}</author>
    <author>tc={20C69E3C-762D-4944-95AA-D78F7F2B84B8}</author>
    <author>tc={F0918D88-D21A-DA47-9D84-DBAA47E9F12A}</author>
    <author>tc={E2D5B19A-D8B3-144C-8A69-78C12D44EE7C}</author>
    <author>tc={546B88C4-EA60-974C-BC8D-A1CD0F2E98E4}</author>
    <author>tc={7AD9C323-D524-FE43-9FFC-A4409EE60564}</author>
    <author>tc={F296E4C8-0EEE-FB44-9EA7-4F426738F1E5}</author>
    <author>tc={73F58481-A473-9148-9A5D-0EBC50615C7D}</author>
    <author>tc={F7EC12F6-3A24-5A49-9952-22D762445541}</author>
    <author>tc={D2AE845D-1953-074A-B932-377600AACC4F}</author>
    <author>tc={49E4BC3D-98F8-194A-8482-97CA936BCF20}</author>
    <author>tc={CF9DA268-8632-3949-8C3C-087A1842B69D}</author>
    <author>tc={9A750A2D-9FFF-084B-818C-DFD4C81B4280}</author>
    <author>tc={68B28A9E-21F5-3C4F-817F-798E24B9AA58}</author>
    <author>tc={39B195FF-C109-1047-9DB5-60BDE83C4633}</author>
    <author>tc={A5201B10-D15B-5E4C-A740-2C32545AA80A}</author>
    <author>tc={2302F8ED-1E59-634F-9254-0A7D15887F84}</author>
    <author>tc={D9FD2BBB-F549-1C4C-ABBB-AA0B6C1BE2C4}</author>
    <author>tc={FC452DCC-9F3E-A547-A64B-C049879A4E40}</author>
    <author>tc={1F0B577C-1246-A943-819F-301F4BF0D6ED}</author>
    <author>tc={599F71EE-2CB6-F247-9B54-190620703C35}</author>
    <author>tc={C7FB3ED9-E144-C04F-A7D7-980BF38E4597}</author>
    <author>tc={3D51659D-81EC-4C4C-9F9E-81AECE87FCA0}</author>
    <author>tc={F104F2F7-EAFD-4A4D-B6B1-0A385FA8C134}</author>
    <author>tc={E0BF7B1F-E0F2-3844-8901-508A293B3368}</author>
    <author>tc={CBA77018-2E1E-994B-ACE2-419922BCC388}</author>
    <author>tc={5D3154FD-9B51-F542-B4E1-BDD007700687}</author>
    <author>tc={5CCE5AD5-4191-C649-81FB-DB03A4E12493}</author>
    <author>tc={31D71B5E-A911-894C-B683-2E53B93E33C2}</author>
    <author>tc={588CFD83-9846-4C4A-B655-5A320B1FDB55}</author>
    <author>tc={52FF7FC4-F0B1-6043-9920-11F04FE1ECB1}</author>
    <author>tc={05A4FEC8-6631-0545-A5D2-8D2D79B8CDA3}</author>
    <author>tc={1ED287CD-9DD4-6D47-B5E6-B7B386A042C0}</author>
    <author>tc={71D98918-4F77-7B42-81C9-8D160860AE07}</author>
    <author>tc={D80891F2-C7FB-8E4A-8D53-05B1CC567529}</author>
    <author>tc={DA2DD510-1F63-414B-B3D5-7E75CB997EC6}</author>
    <author>tc={CA5D448F-9958-CE4C-BA21-DAE4F21B52C0}</author>
    <author>tc={43035B5A-070D-6148-B813-94F3C946B4CA}</author>
  </authors>
  <commentList>
    <comment ref="C3" authorId="0" shapeId="0" xr:uid="{D7EF5778-E750-5049-BEA5-549E097C19C1}">
      <text>
        <r>
          <rPr>
            <sz val="12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 pago Fel x adelantado en octubre
</t>
        </r>
      </text>
    </comment>
    <comment ref="D3" authorId="1" shapeId="0" xr:uid="{2234C273-262F-7F4A-8869-0089C2BF9A51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 pago Fel x adelantado en octubre</t>
        </r>
      </text>
    </comment>
    <comment ref="E3" authorId="2" shapeId="0" xr:uid="{D6904D52-10C7-B94C-814C-3B7C82BCB1B0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Félix depósito 22-12-2020</t>
        </r>
      </text>
    </comment>
    <comment ref="F3" authorId="3" shapeId="0" xr:uid="{84F5377C-7401-404B-B9CE-41858ED1418A}">
      <text>
        <r>
          <rPr>
            <sz val="12"/>
            <color rgb="FF000000"/>
            <rFont val="Calibri"/>
            <family val="2"/>
          </rPr>
          <t xml:space="preserve">[Comentario encadenado]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Comentario:
</t>
        </r>
        <r>
          <rPr>
            <sz val="12"/>
            <color rgb="FF000000"/>
            <rFont val="Calibri"/>
            <family val="2"/>
          </rPr>
          <t xml:space="preserve">    Depositó Fel 29-01-2021</t>
        </r>
      </text>
    </comment>
    <comment ref="I3" authorId="4" shapeId="0" xr:uid="{83BBD266-D193-AB4E-88EE-5240EF070F3D}">
      <text>
        <r>
          <rPr>
            <sz val="12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Pagas JC el 09-04-2021
</t>
        </r>
      </text>
    </comment>
    <comment ref="J3" authorId="5" shapeId="0" xr:uid="{B865B2F6-D458-1648-B05E-2CA2C0A5601A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Fel pagó 05 y 06 juntos el 13-05-2021</t>
        </r>
      </text>
    </comment>
    <comment ref="K3" authorId="6" shapeId="0" xr:uid="{FA83EBF3-8B86-D94C-996B-D49BA86D3823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Fel pagó 05 y 06 juntos el 13-05-2021</t>
        </r>
      </text>
    </comment>
    <comment ref="L3" authorId="7" shapeId="0" xr:uid="{9012E626-7C74-9943-98DC-31DD649B0252}">
      <text>
        <r>
          <rPr>
            <sz val="12"/>
            <color rgb="FF000000"/>
            <rFont val="Calibri"/>
            <family val="2"/>
          </rPr>
          <t xml:space="preserve">[Comentario encadenado]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Comentario:
</t>
        </r>
        <r>
          <rPr>
            <sz val="12"/>
            <color rgb="FF000000"/>
            <rFont val="Calibri"/>
            <family val="2"/>
          </rPr>
          <t xml:space="preserve">    Depósito 01-07-2021</t>
        </r>
      </text>
    </comment>
    <comment ref="M3" authorId="8" shapeId="0" xr:uid="{D77791EC-2A5D-BE4B-9128-56D6E4C555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Pago Fel en Banco Ciudad en 09/2021 por deuda 08/2021 y adelantado 10/2021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N3" authorId="8" shapeId="0" xr:uid="{46606D8F-E1F9-4440-A318-39C3839DF9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Pago Fel en Banco Ciudad en 09/2021 por deuda 08/2021 y adelantado 10/2021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3" authorId="8" shapeId="0" xr:uid="{55FE655F-E7FD-0A41-BAF2-9C0F3DA59B9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Pago Fel en Banco Ciudad en 09/2021 por deuda 08/2021 y adelantado 10/2021
</t>
        </r>
      </text>
    </comment>
    <comment ref="D4" authorId="9" shapeId="0" xr:uid="{C849CCDA-792C-2D43-99F8-ADBC423F02EE}">
      <text>
        <r>
          <rPr>
            <sz val="12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Pagado por fel el día 25-11-2020. Mandó comprobante por el mes anterior porque se había olvidado y figuraba que debíamos el pasado. </t>
        </r>
      </text>
    </comment>
    <comment ref="E4" authorId="10" shapeId="0" xr:uid="{67B4AA13-D225-3647-9769-4C1EBF9AC5D6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Félix depósito 22-12-2020</t>
        </r>
      </text>
    </comment>
    <comment ref="F4" authorId="11" shapeId="0" xr:uid="{5D953998-2AFA-D745-9032-476B46A52952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Depositó Fel 29-01-2021</t>
        </r>
      </text>
    </comment>
    <comment ref="G4" authorId="12" shapeId="0" xr:uid="{20C69E3C-762D-4944-95AA-D78F7F2B84B8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JC depositó en ICBC esquina Pilar</t>
        </r>
      </text>
    </comment>
    <comment ref="I4" authorId="13" shapeId="0" xr:uid="{F0918D88-D21A-DA47-9D84-DBAA47E9F12A}">
      <text>
        <r>
          <rPr>
            <sz val="12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Pagas Fel 09-04-2021
</t>
        </r>
      </text>
    </comment>
    <comment ref="J4" authorId="14" shapeId="0" xr:uid="{E2D5B19A-D8B3-144C-8A69-78C12D44EE7C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Fel pagó 05 el 13-05-2021</t>
        </r>
      </text>
    </comment>
    <comment ref="K4" authorId="15" shapeId="0" xr:uid="{546B88C4-EA60-974C-BC8D-A1CD0F2E98E4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Depósito 14-06-2021
$5000 juana
Resto Félix</t>
        </r>
      </text>
    </comment>
    <comment ref="L4" authorId="16" shapeId="0" xr:uid="{7AD9C323-D524-FE43-9FFC-A4409EE60564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Pagó Félix 08-07-2021</t>
        </r>
      </text>
    </comment>
    <comment ref="N4" authorId="8" shapeId="0" xr:uid="{14FC2860-0949-8143-A27A-8F2879B111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pague yo el 10-09-2021</t>
        </r>
      </text>
    </comment>
    <comment ref="P4" authorId="8" shapeId="0" xr:uid="{3EA0738A-12C7-3F44-8D93-FA2CB00678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ICBC 9/11/2020</t>
        </r>
      </text>
    </comment>
    <comment ref="C5" authorId="17" shapeId="0" xr:uid="{F296E4C8-0EEE-FB44-9EA7-4F426738F1E5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MP Fel 03-11-2020</t>
        </r>
      </text>
    </comment>
    <comment ref="D5" authorId="18" shapeId="0" xr:uid="{73F58481-A473-9148-9A5D-0EBC50615C7D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Félix RIPSA 22-12-2020 con factura vencida</t>
        </r>
      </text>
    </comment>
    <comment ref="F5" authorId="19" shapeId="0" xr:uid="{F7EC12F6-3A24-5A49-9952-22D762445541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MP Fel 30-01-2021</t>
        </r>
      </text>
    </comment>
    <comment ref="G5" authorId="20" shapeId="0" xr:uid="{D2AE845D-1953-074A-B932-377600AACC4F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MP fel 02-03-2021</t>
        </r>
      </text>
    </comment>
    <comment ref="I5" authorId="21" shapeId="0" xr:uid="{49E4BC3D-98F8-194A-8482-97CA936BCF20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MP Fel 02-05-2021</t>
        </r>
      </text>
    </comment>
    <comment ref="J5" authorId="22" shapeId="0" xr:uid="{CF9DA268-8632-3949-8C3C-087A1842B69D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Fel atrasado MP 29/06/2021</t>
        </r>
      </text>
    </comment>
    <comment ref="K5" authorId="23" shapeId="0" xr:uid="{9A750A2D-9FFF-084B-818C-DFD4C81B4280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Fel MP 29/06/2021</t>
        </r>
      </text>
    </comment>
    <comment ref="M5" authorId="8" shapeId="0" xr:uid="{FC2FAE4A-A23F-6149-B761-07B3B724784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Fel MP 05-09-2021</t>
        </r>
      </text>
    </comment>
    <comment ref="N5" authorId="8" shapeId="0" xr:uid="{2E9036CD-6C09-1840-B29F-FFC68C81A1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MP Fel 29/09/2021</t>
        </r>
      </text>
    </comment>
    <comment ref="O5" authorId="8" shapeId="0" xr:uid="{FC4D12F5-0DBB-8A45-840C-DAB8C1DF8C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Fel MP 07/11/2021</t>
        </r>
      </text>
    </comment>
    <comment ref="C6" authorId="24" shapeId="0" xr:uid="{68B28A9E-21F5-3C4F-817F-798E24B9AA58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MP Fel 03-11-2020</t>
        </r>
      </text>
    </comment>
    <comment ref="D6" authorId="25" shapeId="0" xr:uid="{39B195FF-C109-1047-9DB5-60BDE83C4633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MP Félix 20-12-2020: plata ya devuelta en transf.</t>
        </r>
      </text>
    </comment>
    <comment ref="E6" authorId="26" shapeId="0" xr:uid="{A5201B10-D15B-5E4C-A740-2C32545AA80A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MP Félix 20-12-2020: plata ya devuelta en transf.</t>
        </r>
      </text>
    </comment>
    <comment ref="F6" authorId="27" shapeId="0" xr:uid="{2302F8ED-1E59-634F-9254-0A7D15887F84}">
      <text>
        <r>
          <rPr>
            <sz val="12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MP Fel 01-02-2021
</t>
        </r>
      </text>
    </comment>
    <comment ref="G6" authorId="28" shapeId="0" xr:uid="{D9FD2BBB-F549-1C4C-ABBB-AA0B6C1BE2C4}">
      <text>
        <r>
          <rPr>
            <sz val="12"/>
            <color rgb="FF000000"/>
            <rFont val="Calibri"/>
            <family val="2"/>
          </rPr>
          <t xml:space="preserve">[Comentario encadenado]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Comentario:
</t>
        </r>
        <r>
          <rPr>
            <sz val="12"/>
            <color rgb="FF000000"/>
            <rFont val="Calibri"/>
            <family val="2"/>
          </rPr>
          <t xml:space="preserve">    Pago MP Fel 02-05-2021</t>
        </r>
      </text>
    </comment>
    <comment ref="H6" authorId="29" shapeId="0" xr:uid="{FC452DCC-9F3E-A547-A64B-C049879A4E40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MP Fel 02-05-2021</t>
        </r>
      </text>
    </comment>
    <comment ref="I6" authorId="30" shapeId="0" xr:uid="{1F0B577C-1246-A943-819F-301F4BF0D6ED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MP Fel 02-05-2021</t>
        </r>
      </text>
    </comment>
    <comment ref="L6" authorId="31" shapeId="0" xr:uid="{599F71EE-2CB6-F247-9B54-190620703C35}">
      <text>
        <r>
          <rPr>
            <sz val="12"/>
            <color rgb="FF000000"/>
            <rFont val="Calibri"/>
            <family val="2"/>
          </rPr>
          <t xml:space="preserve">[Comentario encadenado]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Comentario:
</t>
        </r>
        <r>
          <rPr>
            <sz val="12"/>
            <color rgb="FF000000"/>
            <rFont val="Calibri"/>
            <family val="2"/>
          </rPr>
          <t xml:space="preserve">    08-08 MP Fel</t>
        </r>
      </text>
    </comment>
    <comment ref="M6" authorId="8" shapeId="0" xr:uid="{A78F787A-AC07-4D4D-AC93-135FD37B33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Fel MP 05-09-2021
</t>
        </r>
      </text>
    </comment>
    <comment ref="N6" authorId="8" shapeId="0" xr:uid="{1DCC6B0D-B334-554F-AF4B-7815420B288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MP Fel 29/09/2021
</t>
        </r>
      </text>
    </comment>
    <comment ref="O6" authorId="8" shapeId="0" xr:uid="{D99F73ED-5505-BC47-99D9-C04023D36E0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Fel MP 07/11/2021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7" authorId="32" shapeId="0" xr:uid="{C7FB3ED9-E144-C04F-A7D7-980BF38E4597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DA Fel</t>
        </r>
      </text>
    </comment>
    <comment ref="H9" authorId="33" shapeId="0" xr:uid="{3D51659D-81EC-4C4C-9F9E-81AECE87FCA0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JC transf papà 27-02-2021</t>
        </r>
      </text>
    </comment>
    <comment ref="I9" authorId="34" shapeId="0" xr:uid="{F104F2F7-EAFD-4A4D-B6B1-0A385FA8C134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11-04-2021 Papá transferencia</t>
        </r>
      </text>
    </comment>
    <comment ref="J9" authorId="35" shapeId="0" xr:uid="{E0BF7B1F-E0F2-3844-8901-508A293B3368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Transf. Papá 04-05-2021</t>
        </r>
      </text>
    </comment>
    <comment ref="K9" authorId="36" shapeId="0" xr:uid="{CBA77018-2E1E-994B-ACE2-419922BCC388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Transf. 03-06-2021 papá</t>
        </r>
      </text>
    </comment>
    <comment ref="M9" authorId="37" shapeId="0" xr:uid="{5D3154FD-9B51-F542-B4E1-BDD007700687}">
      <text>
        <r>
          <rPr>
            <sz val="12"/>
            <color rgb="FF000000"/>
            <rFont val="Calibri"/>
            <family val="2"/>
          </rPr>
          <t xml:space="preserve">[Comentario encadenado]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Comentario:
</t>
        </r>
        <r>
          <rPr>
            <sz val="12"/>
            <color rgb="FF000000"/>
            <rFont val="Calibri"/>
            <family val="2"/>
          </rPr>
          <t xml:space="preserve">    03-08-2021 Transf. papá</t>
        </r>
      </text>
    </comment>
    <comment ref="N9" authorId="8" shapeId="0" xr:uid="{D6417978-AB31-4A47-9B63-F172E56EB08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papá 05/09/2021</t>
        </r>
      </text>
    </comment>
    <comment ref="O9" authorId="8" shapeId="0" xr:uid="{99C45884-9BAC-2344-857E-1F398EFBB5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Transf. padres 03/10/2021</t>
        </r>
      </text>
    </comment>
    <comment ref="P9" authorId="8" shapeId="0" xr:uid="{B9420B3A-BE3E-284A-BE5F-95CCC671C3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8/11</t>
        </r>
      </text>
    </comment>
    <comment ref="I10" authorId="38" shapeId="0" xr:uid="{5CCE5AD5-4191-C649-81FB-DB03A4E12493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11-04-2021 Papá transferencia</t>
        </r>
      </text>
    </comment>
    <comment ref="J10" authorId="39" shapeId="0" xr:uid="{31D71B5E-A911-894C-B683-2E53B93E33C2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Mamá me debía plata por la compra del helado de Volta que yo hice</t>
        </r>
      </text>
    </comment>
    <comment ref="K10" authorId="40" shapeId="0" xr:uid="{588CFD83-9846-4C4A-B655-5A320B1FDB55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Efectivo mamá en casa 05-06-2021</t>
        </r>
      </text>
    </comment>
    <comment ref="L10" authorId="41" shapeId="0" xr:uid="{52FF7FC4-F0B1-6043-9920-11F04FE1ECB1}">
      <text>
        <r>
          <rPr>
            <sz val="12"/>
            <color rgb="FF000000"/>
            <rFont val="Calibri"/>
            <family val="2"/>
          </rPr>
          <t xml:space="preserve">[Comentario encadenado]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Comentario:
</t>
        </r>
        <r>
          <rPr>
            <sz val="12"/>
            <color rgb="FF000000"/>
            <rFont val="Calibri"/>
            <family val="2"/>
          </rPr>
          <t xml:space="preserve">    Neteado porque mamá me debía del regalo de Pablo menos unos ravioles. Quedaba esta plata que me neta el teléfono que lo paga mamá.
</t>
        </r>
      </text>
    </comment>
    <comment ref="M10" authorId="42" shapeId="0" xr:uid="{05A4FEC8-6631-0545-A5D2-8D2D79B8CDA3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08-08-2021 Transf. Mamá</t>
        </r>
      </text>
    </comment>
    <comment ref="N10" authorId="8" shapeId="0" xr:uid="{9E6B33BE-0702-F14B-A257-3DCE7944291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Transf. mamá 05/09/2021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0" authorId="8" shapeId="0" xr:uid="{081CFA8B-3303-7E4E-89F7-376E62AE60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Transf. padres 03/10/2021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P10" authorId="8" shapeId="0" xr:uid="{B2516F69-3C8B-014B-AFE0-88A0B92867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8/11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F11" authorId="43" shapeId="0" xr:uid="{1ED287CD-9DD4-6D47-B5E6-B7B386A042C0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JC - Santander - transf. papá 06/02/2021</t>
        </r>
      </text>
    </comment>
    <comment ref="G11" authorId="44" shapeId="0" xr:uid="{71D98918-4F77-7B42-81C9-8D160860AE07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JC - Santander - transf. papá 06/02/2021</t>
        </r>
      </text>
    </comment>
    <comment ref="I11" authorId="45" shapeId="0" xr:uid="{D80891F2-C7FB-8E4A-8D53-05B1CC567529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11-04-2021 Papá transferencia</t>
        </r>
      </text>
    </comment>
    <comment ref="J11" authorId="46" shapeId="0" xr:uid="{DA2DD510-1F63-414B-B3D5-7E75CB997EC6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Transf. Papá 04-05-2021</t>
        </r>
      </text>
    </comment>
    <comment ref="K11" authorId="47" shapeId="0" xr:uid="{CA5D448F-9958-CE4C-BA21-DAE4F21B52C0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Transf. 03-06-2021 papá</t>
        </r>
      </text>
    </comment>
    <comment ref="M11" authorId="48" shapeId="0" xr:uid="{43035B5A-070D-6148-B813-94F3C946B4CA}">
      <text>
        <r>
          <rPr>
            <sz val="12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03-08-2021 Transf. papá</t>
        </r>
      </text>
    </comment>
    <comment ref="N11" authorId="8" shapeId="0" xr:uid="{49C0D067-1727-AC42-A875-E6EB7EA521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Transf. papá 05/09/2021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1" authorId="8" shapeId="0" xr:uid="{99016573-ADAC-224C-BCF1-F055F55D4B5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Transf. padres 03/10/2021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P11" authorId="8" shapeId="0" xr:uid="{2F874121-AFCF-E84A-BB2E-1A0A1D64784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8/11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<sst xmlns="http://schemas.openxmlformats.org/spreadsheetml/2006/main" count="3314" uniqueCount="2123">
  <si>
    <t>Fecha</t>
  </si>
  <si>
    <t>Movimientos</t>
  </si>
  <si>
    <t>Saldo</t>
  </si>
  <si>
    <t>Detalle</t>
  </si>
  <si>
    <t>Saldo inicial</t>
  </si>
  <si>
    <t>Salida</t>
  </si>
  <si>
    <t>Entrada</t>
  </si>
  <si>
    <t>Gastos Santander</t>
  </si>
  <si>
    <t>Comisión compra Rochi + Regalo Maria B. Mercadolibre</t>
  </si>
  <si>
    <t>Regalo Félix</t>
  </si>
  <si>
    <t>Cuadro Topo</t>
  </si>
  <si>
    <t>Nafta Octubre</t>
  </si>
  <si>
    <t>Santander y Macro</t>
  </si>
  <si>
    <t>Teléfono Octubre</t>
  </si>
  <si>
    <t xml:space="preserve">Santander   </t>
  </si>
  <si>
    <t>Efvo. papá</t>
  </si>
  <si>
    <t>Le debía</t>
  </si>
  <si>
    <t>A billetera</t>
  </si>
  <si>
    <t>Préstamo Tin</t>
  </si>
  <si>
    <t>01-12 devolver</t>
  </si>
  <si>
    <t xml:space="preserve">Préstamo mamá </t>
  </si>
  <si>
    <t>Puesto en plazo fijo (10472 en diciembre)</t>
  </si>
  <si>
    <t>Natalia</t>
  </si>
  <si>
    <t>Adrián Iriólogo</t>
  </si>
  <si>
    <t>Santander</t>
  </si>
  <si>
    <t>Clases: Rebolo</t>
  </si>
  <si>
    <t>Era para comprar en Prune (lo terminé usando para comer afuera)</t>
  </si>
  <si>
    <t>Topo "vuelto cuadro"</t>
  </si>
  <si>
    <t>Eco</t>
  </si>
  <si>
    <t>Teléfono</t>
  </si>
  <si>
    <t>Depilación</t>
  </si>
  <si>
    <t>Me devuelve apenas pueda + 127 de impresiones</t>
  </si>
  <si>
    <t>Adelanto Sueldo Nov.</t>
  </si>
  <si>
    <t>Efvo. papá por tarjeta</t>
  </si>
  <si>
    <t>Deuda félix</t>
  </si>
  <si>
    <t>Verdulería</t>
  </si>
  <si>
    <t>Sueldo Nov.</t>
  </si>
  <si>
    <t>Regalo Fer Casamiento</t>
  </si>
  <si>
    <t>Registro</t>
  </si>
  <si>
    <t>(400 de vuelto a mamá porque paso 14000 a papa para dólares)</t>
  </si>
  <si>
    <t>Parte devolución deuda Tin</t>
  </si>
  <si>
    <t>Faltan 8615</t>
  </si>
  <si>
    <t>Préstamo papá</t>
  </si>
  <si>
    <t>Regalo Avila</t>
  </si>
  <si>
    <t>Libro Jorge Solari</t>
  </si>
  <si>
    <t>Yoga</t>
  </si>
  <si>
    <t>Macro</t>
  </si>
  <si>
    <t>TOTAL</t>
  </si>
  <si>
    <t>Gastos + ajuste caja</t>
  </si>
  <si>
    <t>Devolución Préstamo Papá</t>
  </si>
  <si>
    <t>Devuelto</t>
  </si>
  <si>
    <t xml:space="preserve">Pagar dijes Pau </t>
  </si>
  <si>
    <t xml:space="preserve">Zapatillas felix </t>
  </si>
  <si>
    <t>100 a billetera</t>
  </si>
  <si>
    <t>250 a billetera</t>
  </si>
  <si>
    <t>8165 devolución préstamo Tin (ya está saldado)</t>
  </si>
  <si>
    <t>Total devolución préstamo Tin</t>
  </si>
  <si>
    <t>Prisma mio + Euge</t>
  </si>
  <si>
    <t>950 son de Euge y están como deuda</t>
  </si>
  <si>
    <t>Compras super Félix</t>
  </si>
  <si>
    <t>El resto a billetera</t>
  </si>
  <si>
    <t>Ajustes caja</t>
  </si>
  <si>
    <t>Regalo Flor Solari</t>
  </si>
  <si>
    <t>300 y resto a billetera</t>
  </si>
  <si>
    <t>Feria Filia</t>
  </si>
  <si>
    <t>Adelanto Sueldo Dic. + SAC</t>
  </si>
  <si>
    <t xml:space="preserve">Nafta   </t>
  </si>
  <si>
    <t>Comida afuera</t>
  </si>
  <si>
    <t>Clases: Schnaider</t>
  </si>
  <si>
    <t>Devolución prisma Euge</t>
  </si>
  <si>
    <t>Devolución gema botanica Mar</t>
  </si>
  <si>
    <t>Sueldo Dic. + SAC</t>
  </si>
  <si>
    <t>Previsión Retiro de Silencio</t>
  </si>
  <si>
    <t>Plazo fijo mamá</t>
  </si>
  <si>
    <t>Fin de año compras</t>
  </si>
  <si>
    <t>Félix devolver plata</t>
  </si>
  <si>
    <t>Para el 09/01</t>
  </si>
  <si>
    <t>Cena Maria en Sifón</t>
  </si>
  <si>
    <t>New Garden</t>
  </si>
  <si>
    <t>Vinos Pielihueso</t>
  </si>
  <si>
    <t>Dietética Capilla del Monte</t>
  </si>
  <si>
    <t>Toallitas reutilizables</t>
  </si>
  <si>
    <t>Adelanto Sueldo Enero</t>
  </si>
  <si>
    <t>Chinampas</t>
  </si>
  <si>
    <t>Sueldo Enero 2020</t>
  </si>
  <si>
    <t>Previsión Yoga</t>
  </si>
  <si>
    <t>Planta Félix</t>
  </si>
  <si>
    <t>Tincho devolución AySA</t>
  </si>
  <si>
    <t>Aumento Sueldo Enero 20</t>
  </si>
  <si>
    <t>Entrada Festival Buena Vibra</t>
  </si>
  <si>
    <t>Festival Buena Vibra</t>
  </si>
  <si>
    <t>La sesión es el 20-02</t>
  </si>
  <si>
    <t>HyM Tincho Europa</t>
  </si>
  <si>
    <t>Ashu compra dólares</t>
  </si>
  <si>
    <t>Sushi Male-Félix</t>
  </si>
  <si>
    <t>Bolsa tela Gloomy</t>
  </si>
  <si>
    <t>Adelanto Sueldo Febrero</t>
  </si>
  <si>
    <t>Anafe Félix</t>
  </si>
  <si>
    <t xml:space="preserve">Compras super   </t>
  </si>
  <si>
    <t>Sushi Félix</t>
  </si>
  <si>
    <t xml:space="preserve">Yoga </t>
  </si>
  <si>
    <t>Nafta</t>
  </si>
  <si>
    <t>Sesión 4 de marzo</t>
  </si>
  <si>
    <t>Regalo Tian</t>
  </si>
  <si>
    <t>4 de marzo (Félix me debe $1000)</t>
  </si>
  <si>
    <t>Sueldo Febrero 2020</t>
  </si>
  <si>
    <t>Compras picada Pau</t>
  </si>
  <si>
    <t>Compra ropa Gloomy</t>
  </si>
  <si>
    <t>Me falta pagar 1000 más</t>
  </si>
  <si>
    <t>Devolución préstamo Tin</t>
  </si>
  <si>
    <t>Regalo Flor Eddis</t>
  </si>
  <si>
    <t>Félix</t>
  </si>
  <si>
    <t>Cena Salado chicas</t>
  </si>
  <si>
    <t>Piantao + birra Stefi/Romi</t>
  </si>
  <si>
    <t>Cena Koi + Prietto Felix</t>
  </si>
  <si>
    <t>Devolución préstamo papá</t>
  </si>
  <si>
    <t>Ya me los devolvió!</t>
  </si>
  <si>
    <t>Anafe Tincho</t>
  </si>
  <si>
    <t>Efvo. papá por cuarentena</t>
  </si>
  <si>
    <t>Tincho se lo transfirió</t>
  </si>
  <si>
    <t>Devolución préstamo mamá</t>
  </si>
  <si>
    <t>Sueldos Blanco Marzo 2020</t>
  </si>
  <si>
    <t>Yoga (jero) Abril 2020</t>
  </si>
  <si>
    <t>Natalia (sesión 9-04)</t>
  </si>
  <si>
    <t>Sueldos Negro Marzo 2020</t>
  </si>
  <si>
    <t xml:space="preserve">Sueldo Marzo </t>
  </si>
  <si>
    <t>Efvo. a billetera</t>
  </si>
  <si>
    <t>Compras Fel 11-04</t>
  </si>
  <si>
    <t>Banco Maria</t>
  </si>
  <si>
    <t>Efvo. Billetera</t>
  </si>
  <si>
    <t>Félix (y le me da efvo.)</t>
  </si>
  <si>
    <t>Pizza Cero</t>
  </si>
  <si>
    <t>Verdulería chino</t>
  </si>
  <si>
    <t>Félix me dio x transf.</t>
  </si>
  <si>
    <t>Menos $850 que pago el todo</t>
  </si>
  <si>
    <t xml:space="preserve">Félix </t>
  </si>
  <si>
    <t>Compras Fel 18-04</t>
  </si>
  <si>
    <t xml:space="preserve">Máscaras </t>
  </si>
  <si>
    <t>Félix x compras (Male)</t>
  </si>
  <si>
    <t>Natalia (sesión 24-04)</t>
  </si>
  <si>
    <t>Chinampas María</t>
  </si>
  <si>
    <t>Félix compras</t>
  </si>
  <si>
    <t>Sueldos Blanco Abril 2020</t>
  </si>
  <si>
    <t xml:space="preserve">Sueldo Abril </t>
  </si>
  <si>
    <t>Saldo Inicial</t>
  </si>
  <si>
    <t>Pago a papá por tarjeta Macro</t>
  </si>
  <si>
    <t>Yoga (jero) Mayo 2020</t>
  </si>
  <si>
    <t>Félix x compra Tin café</t>
  </si>
  <si>
    <t>Es como plata a papá</t>
  </si>
  <si>
    <t>Impresiones mamá</t>
  </si>
  <si>
    <t xml:space="preserve">$ a mamá x compras </t>
  </si>
  <si>
    <t>Retiro cajero cuenta</t>
  </si>
  <si>
    <t>Maru a Juana</t>
  </si>
  <si>
    <t>Banco Maria / Juana Santander</t>
  </si>
  <si>
    <t>A mi cuenta digamos y paso todo lo demás</t>
  </si>
  <si>
    <t>Préstamo a Maria para RT</t>
  </si>
  <si>
    <t>Sueldo abril parte negro</t>
  </si>
  <si>
    <t>Sueldo marzo hs extras</t>
  </si>
  <si>
    <t>Natalia sesión 15-05</t>
  </si>
  <si>
    <t>Chinampas desodorante</t>
  </si>
  <si>
    <t>Soda casa</t>
  </si>
  <si>
    <t>Compra 200 dólares</t>
  </si>
  <si>
    <t>Préstamo a Maria</t>
  </si>
  <si>
    <t>Devolución préstamo Maria</t>
  </si>
  <si>
    <t>Fiesta sushi sábado</t>
  </si>
  <si>
    <t>Regalo Sil (transf a Lili)</t>
  </si>
  <si>
    <t>Regalo Lili (transf a Paz)</t>
  </si>
  <si>
    <t>Regalo Lili (transf a Adri)</t>
  </si>
  <si>
    <t>Retiro efvo. cajero</t>
  </si>
  <si>
    <t>Pago a papá por compras casa</t>
  </si>
  <si>
    <t>$ AHORA</t>
  </si>
  <si>
    <t xml:space="preserve">Chinampas  </t>
  </si>
  <si>
    <t>Deuda tin</t>
  </si>
  <si>
    <t>Mc Donalds</t>
  </si>
  <si>
    <t>Devolución Maria</t>
  </si>
  <si>
    <t>Plantas vivero Inés</t>
  </si>
  <si>
    <t>Sueldo negro Mayo 2020</t>
  </si>
  <si>
    <t>Sueldo blanco Mayo 2020</t>
  </si>
  <si>
    <t>Yoga (jero) junio 2020</t>
  </si>
  <si>
    <t>Natalia sesión 05-06</t>
  </si>
  <si>
    <t>Curso Robero junio 2020</t>
  </si>
  <si>
    <t>Maria compras chinampas y +</t>
  </si>
  <si>
    <t>Compras eco</t>
  </si>
  <si>
    <t>Efvo. cajero</t>
  </si>
  <si>
    <t>Devolución préstamo Maru</t>
  </si>
  <si>
    <t>Sushi viernes 5-6</t>
  </si>
  <si>
    <t>Devolución sushi mamá</t>
  </si>
  <si>
    <t>Préstamo Maru</t>
  </si>
  <si>
    <t>Devolución préstamos Maria (toda)</t>
  </si>
  <si>
    <t>100 míos, 100 tin</t>
  </si>
  <si>
    <t>Efvo. por compra uss tin</t>
  </si>
  <si>
    <t>Hs extras abril 2020</t>
  </si>
  <si>
    <t>Sueldo Mayo + hs extras abril</t>
  </si>
  <si>
    <t>Compras fel</t>
  </si>
  <si>
    <t>Compras new garden (deso)</t>
  </si>
  <si>
    <t>Compra delivery</t>
  </si>
  <si>
    <t>Compra camisa Mechi</t>
  </si>
  <si>
    <t>Compra regalo Flor (libro)</t>
  </si>
  <si>
    <t>Compra regalo Flor (Pachu pasteleria)</t>
  </si>
  <si>
    <t>Devolución regalo Flor - Rochi</t>
  </si>
  <si>
    <t>Devolución regalo Flor - Fer</t>
  </si>
  <si>
    <t>Natalia sesión 19-06</t>
  </si>
  <si>
    <t>Devolución regalo Flor - Lili</t>
  </si>
  <si>
    <t>Sueldo blanco Junio 2020 (ATP)</t>
  </si>
  <si>
    <t>Sueldo Junio Blanco</t>
  </si>
  <si>
    <t>Chinampas + velas</t>
  </si>
  <si>
    <t>Hornito La Baulera p/ Maru</t>
  </si>
  <si>
    <t>Compra aguas chino</t>
  </si>
  <si>
    <t>4000 en amarilla</t>
  </si>
  <si>
    <t>Pachu Pastelería Manza</t>
  </si>
  <si>
    <t>Devolución regalo Flor - Romi y Adri</t>
  </si>
  <si>
    <t>Intereses ANSES</t>
  </si>
  <si>
    <t>Natalia sesión 03-07 (aumentó)</t>
  </si>
  <si>
    <t>Eddis - prueba cursos OL</t>
  </si>
  <si>
    <t>Me reintegran $250 en el sueldo efvo. junio</t>
  </si>
  <si>
    <t>Félix - compras varias (vet)</t>
  </si>
  <si>
    <t>Félix - Sushi Club</t>
  </si>
  <si>
    <t>Ajuste caja - estadía Félix</t>
  </si>
  <si>
    <t>Curso Robero julio 2020 (transf. Pau)</t>
  </si>
  <si>
    <t>Ella va a llevar el efvo.</t>
  </si>
  <si>
    <t>Pago papá compras casa</t>
  </si>
  <si>
    <t>2500 en amarilla</t>
  </si>
  <si>
    <t>Ropa - mechi vecina (cardigan)</t>
  </si>
  <si>
    <t>Sueldo Junio + c1/2 SAC</t>
  </si>
  <si>
    <t>Regalo mamá libro huerta</t>
  </si>
  <si>
    <t>Sueldo efvo. junio 2020</t>
  </si>
  <si>
    <t>Sueldo banco junio 2020 (dif. ATP)</t>
  </si>
  <si>
    <t>Devolución prueba Eddis tarjeta personal</t>
  </si>
  <si>
    <t>SAC 1 - c1/2</t>
  </si>
  <si>
    <t>Yoga julio 2020</t>
  </si>
  <si>
    <t>Verduleria Chino</t>
  </si>
  <si>
    <t>Juana</t>
  </si>
  <si>
    <t>Felix</t>
  </si>
  <si>
    <t>Chino compras</t>
  </si>
  <si>
    <t>Carnicería chino</t>
  </si>
  <si>
    <t>Verduleria Las Piedras</t>
  </si>
  <si>
    <t>Tomi</t>
  </si>
  <si>
    <t>Dietética Félix</t>
  </si>
  <si>
    <t>Jumbo</t>
  </si>
  <si>
    <t>TOTALES</t>
  </si>
  <si>
    <t>5000 cajero</t>
  </si>
  <si>
    <t>2000 jumbo</t>
  </si>
  <si>
    <t>Dif compras 5-7-2020</t>
  </si>
  <si>
    <t>Extracción banco La Escala</t>
  </si>
  <si>
    <t>Compra Disco</t>
  </si>
  <si>
    <t>Extracción Disco</t>
  </si>
  <si>
    <t>Diferencia a Félix x compras hoy</t>
  </si>
  <si>
    <t>Regalo Maria Zafu (Félix ML)</t>
  </si>
  <si>
    <t>Verdulería chino cachorros</t>
  </si>
  <si>
    <t>Dietética Tomi Las Piedas</t>
  </si>
  <si>
    <t>Sandich de miga Las Piedras</t>
  </si>
  <si>
    <t>Ajuste de caja</t>
  </si>
  <si>
    <t>Dólares compra</t>
  </si>
  <si>
    <t>Regalo Mamá fotos Say Cool</t>
  </si>
  <si>
    <t>Veterinaria Olga</t>
  </si>
  <si>
    <t>Chino Super Roma</t>
  </si>
  <si>
    <t>Devolución regalo mamá - Maru</t>
  </si>
  <si>
    <t>Regalo Rochi Esteban desayuno</t>
  </si>
  <si>
    <t>Devolución regalo Ro - Fer</t>
  </si>
  <si>
    <t>Regalo rochi a Sil (mi parte)</t>
  </si>
  <si>
    <t>Retiro cajero Santander km 50</t>
  </si>
  <si>
    <t>Natalia sesión 17-7</t>
  </si>
  <si>
    <t>Almacén orgánico Las Piedras</t>
  </si>
  <si>
    <t>Pachu pastelería cumple mamá</t>
  </si>
  <si>
    <t>Chaleco tejido a mano</t>
  </si>
  <si>
    <t>Retiro cajero Santander</t>
  </si>
  <si>
    <t>Compra chino agua y soda</t>
  </si>
  <si>
    <t>Mc Donalds sábado 11</t>
  </si>
  <si>
    <t>Sueldo blanco Julio 2020 (ATP)</t>
  </si>
  <si>
    <t>Sueldo Julio Blanco</t>
  </si>
  <si>
    <t>Yunga café Félix</t>
  </si>
  <si>
    <t>Maceta Félix</t>
  </si>
  <si>
    <t>La Rosa Botánicos (martu)</t>
  </si>
  <si>
    <t xml:space="preserve">Devolución Tin regalo mamá y Maria </t>
  </si>
  <si>
    <t>Prueba capacitación Eddis</t>
  </si>
  <si>
    <t>Vittore helado flia</t>
  </si>
  <si>
    <t>Regalo marqui y mica</t>
  </si>
  <si>
    <t>Regalo Pau casa nueva</t>
  </si>
  <si>
    <t>Chinampas tin</t>
  </si>
  <si>
    <t>Tortas clarita larguía</t>
  </si>
  <si>
    <t>Tortas Marce Costa</t>
  </si>
  <si>
    <t>Intereses compra dólares</t>
  </si>
  <si>
    <t>Devolución regalo mamá - Pedro</t>
  </si>
  <si>
    <t>Devolución regalo Ro - Romi</t>
  </si>
  <si>
    <t>Compra zafu p/ mi (seña 50%)</t>
  </si>
  <si>
    <t>Verdulería chino lomada</t>
  </si>
  <si>
    <t>Chino lomada</t>
  </si>
  <si>
    <t>Natalia sesión 31-7</t>
  </si>
  <si>
    <t>Tortas Marce Costa (cheescake ddl)</t>
  </si>
  <si>
    <t>Facturas guardias Terrazas</t>
  </si>
  <si>
    <t>Pizza cero con Fel</t>
  </si>
  <si>
    <t>Conjunto - compra ropa</t>
  </si>
  <si>
    <t>Banco Juana Santander</t>
  </si>
  <si>
    <t>Devolución regalo Marqui y Mica - mamá</t>
  </si>
  <si>
    <t>Sushi Fabric mamá y tin</t>
  </si>
  <si>
    <t>Retiro cajero lagartos</t>
  </si>
  <si>
    <t>Compra 100 dólares tincho</t>
  </si>
  <si>
    <t>Compra naturista disco</t>
  </si>
  <si>
    <t>Sueldo efvo. julio 2020</t>
  </si>
  <si>
    <t>SAC c2/2</t>
  </si>
  <si>
    <t>Compra dólares (100 míos)</t>
  </si>
  <si>
    <t>Pago Félix tabaco Pedro</t>
  </si>
  <si>
    <t>Yoga Agosto 2020</t>
  </si>
  <si>
    <t>Curso Roberto agosto 2020 (paga Maru)</t>
  </si>
  <si>
    <t>Comisión compra dólares Tin</t>
  </si>
  <si>
    <t>Torta Imperial marce cc tin</t>
  </si>
  <si>
    <t>Focopias régimen tributario</t>
  </si>
  <si>
    <t>Devolución Pedro tabaco</t>
  </si>
  <si>
    <t>Compra buzo celeste barta</t>
  </si>
  <si>
    <t>Chinampas cc Tin</t>
  </si>
  <si>
    <t>Ajuste de caja (+)</t>
  </si>
  <si>
    <t>5000 en billetera amarilla</t>
  </si>
  <si>
    <t>Compra pantuflas fieltro</t>
  </si>
  <si>
    <t>Pantuflas - regalo mamá</t>
  </si>
  <si>
    <t xml:space="preserve">Sueldo banco agosto (ATP) </t>
  </si>
  <si>
    <t>Natalia sesión 14-08</t>
  </si>
  <si>
    <t>Chinampas cc Tin (compras p/ lo de Fel)</t>
  </si>
  <si>
    <t>Dietética félix</t>
  </si>
  <si>
    <t>Birras cabaña juramente (p/ Tin)</t>
  </si>
  <si>
    <t>Empanadas shell</t>
  </si>
  <si>
    <t>Sushi night mamá y tin</t>
  </si>
  <si>
    <t>Sueldo Agosto (blanco)</t>
  </si>
  <si>
    <t>Ajuste de caja (-)</t>
  </si>
  <si>
    <t>Compra zafu p/ mi (pago total)</t>
  </si>
  <si>
    <t>Tincho - x compra acciones</t>
  </si>
  <si>
    <t>Intereses</t>
  </si>
  <si>
    <t>Hs extras junio 2020</t>
  </si>
  <si>
    <t>Sueldo Julio + c2/2 SAC + hs extras junio</t>
  </si>
  <si>
    <t>Capacitación MP Eddis Educativa</t>
  </si>
  <si>
    <t>The Night Market (martu y pau)</t>
  </si>
  <si>
    <t>Devolución Pau comida china</t>
  </si>
  <si>
    <t>Devolución Martu comida china</t>
  </si>
  <si>
    <t>Pago Pipe Martignone x piantao viernes</t>
  </si>
  <si>
    <t>Quiquia cc tin</t>
  </si>
  <si>
    <t>Plantines herbarium arveja</t>
  </si>
  <si>
    <t>Franui capital mar</t>
  </si>
  <si>
    <t>Piedritas félix/ olga</t>
  </si>
  <si>
    <t>Natalia sesión 28-08</t>
  </si>
  <si>
    <t>La Juvenil Félix</t>
  </si>
  <si>
    <t>Maru p/dólares</t>
  </si>
  <si>
    <t>700 x transf + pago de roberto incluido</t>
  </si>
  <si>
    <t>Regalo Mario - Los Guachos</t>
  </si>
  <si>
    <t>Roberto septiembre 2020</t>
  </si>
  <si>
    <t>5300 pagos por Maru x compra dólares</t>
  </si>
  <si>
    <t>Bebé vino - patio del liceo</t>
  </si>
  <si>
    <t>Regalo Juan - gin Bosque (puro escabio)</t>
  </si>
  <si>
    <t>Almuerzo piantao con Fel</t>
  </si>
  <si>
    <t>La Despensa Herbarium</t>
  </si>
  <si>
    <t>Tincho efvo. x la Despensa</t>
  </si>
  <si>
    <t>Tincho tranfs. x la Despensa</t>
  </si>
  <si>
    <t>Bananas pasadas p/ budín</t>
  </si>
  <si>
    <t>Comida china chicas</t>
  </si>
  <si>
    <t>Pan de MM Nacho Benini</t>
  </si>
  <si>
    <t>Extracción cajero lagartos</t>
  </si>
  <si>
    <t xml:space="preserve">Compra dólares 200 </t>
  </si>
  <si>
    <t xml:space="preserve">Tincho - x compra pan de MM </t>
  </si>
  <si>
    <t>No tenía cambio yo para darle en efvo.</t>
  </si>
  <si>
    <t>Sueldo Agosto + hs extras julio</t>
  </si>
  <si>
    <t>Compra mate Lily Market</t>
  </si>
  <si>
    <t>Sueldo efvo. Agosto 2020 Eddis</t>
  </si>
  <si>
    <t>RENUNCIÉ</t>
  </si>
  <si>
    <t>Yoga Septiembre 2020</t>
  </si>
  <si>
    <t>Compra dólares (p/maru)</t>
  </si>
  <si>
    <t>Compra dólares Maru x poquitin más</t>
  </si>
  <si>
    <t>Balanz Tincho (pago total)</t>
  </si>
  <si>
    <t>La Despensa</t>
  </si>
  <si>
    <t>Tincho x yerba</t>
  </si>
  <si>
    <t>Extracción La Escala</t>
  </si>
  <si>
    <t>Verdulería mamá</t>
  </si>
  <si>
    <t>Seña Tarot RT fotocopeado x 2</t>
  </si>
  <si>
    <t>Kayton Félix</t>
  </si>
  <si>
    <t>Ajuste caja (+)</t>
  </si>
  <si>
    <t>Hs. Extras julio 2020 Eddis</t>
  </si>
  <si>
    <t>Verdulería mamá devolución</t>
  </si>
  <si>
    <t>Valor hs extra Eddis: $279.01</t>
  </si>
  <si>
    <t>Préstamo Félix</t>
  </si>
  <si>
    <t>Natalia sesión 11-09-2020</t>
  </si>
  <si>
    <t>Empanadas panadería</t>
  </si>
  <si>
    <t>Tortilla lo de Seba</t>
  </si>
  <si>
    <t>Tincho pago chinampas</t>
  </si>
  <si>
    <t>Chino x compra Félix</t>
  </si>
  <si>
    <t>Tarot RT fotocopeado x 2 (pago total)</t>
  </si>
  <si>
    <t>Cartulinas contaduría</t>
  </si>
  <si>
    <t>Regalo ashu</t>
  </si>
  <si>
    <t>La despensa (vinos + quinoa)</t>
  </si>
  <si>
    <t>Coca YPF p/ fernet</t>
  </si>
  <si>
    <t>Deuda fel</t>
  </si>
  <si>
    <t>Préstamo efvo.</t>
  </si>
  <si>
    <t>Quesoteca</t>
  </si>
  <si>
    <t>Roberto devolución sept2020 x 1 clase agosto</t>
  </si>
  <si>
    <t>Me lo devolvió maru</t>
  </si>
  <si>
    <t xml:space="preserve">Regalo ashu </t>
  </si>
  <si>
    <t>Chinampas apertura</t>
  </si>
  <si>
    <t>Tolteca pulmonar</t>
  </si>
  <si>
    <t>Calle</t>
  </si>
  <si>
    <t xml:space="preserve">Nafta </t>
  </si>
  <si>
    <t>Conjunto</t>
  </si>
  <si>
    <t>Devolución regalo ashu - Fati</t>
  </si>
  <si>
    <t>Devolución regalo ashu - Flor</t>
  </si>
  <si>
    <t>Devolución regalo ashu - Xime</t>
  </si>
  <si>
    <t>Birras Cabaña Juramento</t>
  </si>
  <si>
    <t>Temple - Contaduría</t>
  </si>
  <si>
    <t>Devolución Temple - Contaduría</t>
  </si>
  <si>
    <t>Ajuste caja (-)</t>
  </si>
  <si>
    <t>Panadería Jorge</t>
  </si>
  <si>
    <t>Extracción Lagartos</t>
  </si>
  <si>
    <t>Devolución Chinampas + Pan MM - Tin</t>
  </si>
  <si>
    <t>Pedidos ya</t>
  </si>
  <si>
    <t>Chinampas (juana + tin)</t>
  </si>
  <si>
    <t>Pan MM - Nacho Benini</t>
  </si>
  <si>
    <t>Fotocopias historia</t>
  </si>
  <si>
    <t>Chinampas 23-09</t>
  </si>
  <si>
    <t>Panadería capacitación Grazetti</t>
  </si>
  <si>
    <t>Piantao - fernet</t>
  </si>
  <si>
    <t>Eddis - hs. Capacitación (hasta el 18-09-2020)</t>
  </si>
  <si>
    <t>Herbarium</t>
  </si>
  <si>
    <t>Luccianos</t>
  </si>
  <si>
    <t xml:space="preserve">Chino  </t>
  </si>
  <si>
    <t>Devolución Fel - chino</t>
  </si>
  <si>
    <t>Comida china Euge</t>
  </si>
  <si>
    <t>Devolución Euge - comida china</t>
  </si>
  <si>
    <t>Natalia sesión 02-10</t>
  </si>
  <si>
    <t>Eddis - hs. Capacitación (pago total)</t>
  </si>
  <si>
    <t>Eddis - liquidación final</t>
  </si>
  <si>
    <t>Sueldo Septiembre</t>
  </si>
  <si>
    <t>Banco Juana Santander + Provincia</t>
  </si>
  <si>
    <t>Sueldo septiembre 2020</t>
  </si>
  <si>
    <t>Empanadas de 10 - capacitación</t>
  </si>
  <si>
    <t>Yoga octubre 2020</t>
  </si>
  <si>
    <t>Deuda Félix del mes pasado</t>
  </si>
  <si>
    <t>Pago 2-10</t>
  </si>
  <si>
    <t>Papa - pago tarjeta septiembre</t>
  </si>
  <si>
    <t>Devolución Sole x empanadas</t>
  </si>
  <si>
    <t>Compra alfajores</t>
  </si>
  <si>
    <t>Devolución mamá</t>
  </si>
  <si>
    <t>Extracción cajero Lagartos</t>
  </si>
  <si>
    <t>Apotheke velas</t>
  </si>
  <si>
    <t>Luciannos p/ Tincho</t>
  </si>
  <si>
    <t>Ravioles</t>
  </si>
  <si>
    <t>Fotocopias + cuaderno Pilar Copy Center</t>
  </si>
  <si>
    <t>Calle medias</t>
  </si>
  <si>
    <t>Jorge Panadería</t>
  </si>
  <si>
    <t>Peluquería mamá</t>
  </si>
  <si>
    <t>Atte pizzería</t>
  </si>
  <si>
    <t>Pizza cero capacitación</t>
  </si>
  <si>
    <t>Burza hambur Tin</t>
  </si>
  <si>
    <t>Luciannos cc Tincho</t>
  </si>
  <si>
    <t>Billetera kle</t>
  </si>
  <si>
    <t>Regalo Martu (pau)</t>
  </si>
  <si>
    <t>Extracción cajero Paseo Pilar</t>
  </si>
  <si>
    <t>Fotocopias Glossy</t>
  </si>
  <si>
    <t>Quesoteca Burgos (camembert)</t>
  </si>
  <si>
    <t>Mamá x tickets</t>
  </si>
  <si>
    <t>Natalia - sesión 16-10</t>
  </si>
  <si>
    <t>Devolución MariaB Atte Pizzeria</t>
  </si>
  <si>
    <t>Compras Jumbo (fel)</t>
  </si>
  <si>
    <t>Quesoteca Burgos</t>
  </si>
  <si>
    <t>Medialunas Grazzetti</t>
  </si>
  <si>
    <t>Hamburguesa Burger King</t>
  </si>
  <si>
    <t>Nafta Shell</t>
  </si>
  <si>
    <t>Devolución Fel x compra Jumbo</t>
  </si>
  <si>
    <t>Marce Costa - día de la madre</t>
  </si>
  <si>
    <t>Concepto</t>
  </si>
  <si>
    <t>Alquiler</t>
  </si>
  <si>
    <t>Expensas</t>
  </si>
  <si>
    <t>Luz</t>
  </si>
  <si>
    <t>Gas</t>
  </si>
  <si>
    <t>Wifi</t>
  </si>
  <si>
    <t>Devolución Tin y Maru x regalo mamá</t>
  </si>
  <si>
    <t>Devolución Pedro x regalo mamá</t>
  </si>
  <si>
    <t>Regalo Aimé</t>
  </si>
  <si>
    <t>Expensas Terrazas 10-2020</t>
  </si>
  <si>
    <t>Comida Yusti 20-10-2020</t>
  </si>
  <si>
    <t>Fotocopias historia + Tarot regalo MaruB</t>
  </si>
  <si>
    <t>Devolución mamá x fotocopias 20-10</t>
  </si>
  <si>
    <t>Lili Mercado - plantita</t>
  </si>
  <si>
    <t>Regalo Maru (martu) - diferencia</t>
  </si>
  <si>
    <t>Comida china Fel</t>
  </si>
  <si>
    <t>Tortas cumple maru b</t>
  </si>
  <si>
    <t>Delivery</t>
  </si>
  <si>
    <t>Facturas + caramelos ofi</t>
  </si>
  <si>
    <t>cte</t>
  </si>
  <si>
    <t>mv</t>
  </si>
  <si>
    <t>da</t>
  </si>
  <si>
    <t>Extracción cajero L. López</t>
  </si>
  <si>
    <t>Focopias facultad PLP</t>
  </si>
  <si>
    <t>Devolución Tin x chinampas</t>
  </si>
  <si>
    <t>Pedidos ya - Pizzas Fel</t>
  </si>
  <si>
    <t>Banco</t>
  </si>
  <si>
    <t>Birra Pau Recoleta</t>
  </si>
  <si>
    <t>Sueldo Octubre 2020</t>
  </si>
  <si>
    <t>Sueldo Octubre</t>
  </si>
  <si>
    <t>Yoga noviembre 2020</t>
  </si>
  <si>
    <t>Calle Plaza Francia</t>
  </si>
  <si>
    <t>Piantao café Maria</t>
  </si>
  <si>
    <t>Comida Yusti Fel</t>
  </si>
  <si>
    <t>Chinampas Tin</t>
  </si>
  <si>
    <t>Regalo Fel - Zuleica Carta Astral 16/11</t>
  </si>
  <si>
    <t>Retiro cajero Antares</t>
  </si>
  <si>
    <t>Sushi Germán flia Cola</t>
  </si>
  <si>
    <t>Tolteca digestiva</t>
  </si>
  <si>
    <t>Eddis hs. extras agosto 2020</t>
  </si>
  <si>
    <t>Curso Roberto noviembre 2020</t>
  </si>
  <si>
    <t>Regalo Fel - botellita de acero</t>
  </si>
  <si>
    <t>Nafta Axion colegio</t>
  </si>
  <si>
    <t xml:space="preserve">Comida Yusti  </t>
  </si>
  <si>
    <t>Parmeggiano (ricotta y demás)</t>
  </si>
  <si>
    <t>Piantao</t>
  </si>
  <si>
    <t>Tincho - devolución chinampas + sushi</t>
  </si>
  <si>
    <t>Devolución mamá sushi</t>
  </si>
  <si>
    <t>Ivess acumulado (quedamos al día)</t>
  </si>
  <si>
    <t>Growler cumple Giani</t>
  </si>
  <si>
    <t>Rapanui bombones fel</t>
  </si>
  <si>
    <t>Plata fel momi</t>
  </si>
  <si>
    <t>Verdulería p/ Nan</t>
  </si>
  <si>
    <t>Chino p/ Nan</t>
  </si>
  <si>
    <t>Barbijos (Romi)</t>
  </si>
  <si>
    <t>Torta Pachu p/ Fel</t>
  </si>
  <si>
    <t>Helado p/ Nan</t>
  </si>
  <si>
    <t>Cajero Lagartos</t>
  </si>
  <si>
    <t>Escritorio Parana - seña 10%</t>
  </si>
  <si>
    <t>Luccianos cc Fel</t>
  </si>
  <si>
    <t>Pizza La Uruguaya</t>
  </si>
  <si>
    <t>Panadería de Jorge</t>
  </si>
  <si>
    <t>Eco + gomitas cumple Mati</t>
  </si>
  <si>
    <t>Tierra herbarium</t>
  </si>
  <si>
    <t>Devolución Agus y Sole pizza</t>
  </si>
  <si>
    <t>Hamburguesa Temple cc Fel y Mene</t>
  </si>
  <si>
    <t>Casa Barro cc chicas</t>
  </si>
  <si>
    <t>Yusti</t>
  </si>
  <si>
    <t>Rami - cumpleaños nov. Contaduría 2020</t>
  </si>
  <si>
    <t>Comida Lagartos cc Tin (ñoquis + helado)</t>
  </si>
  <si>
    <t>Torta Selva Negra Marce p/cumple papá</t>
  </si>
  <si>
    <t>Devolución cumple papá</t>
  </si>
  <si>
    <t>Gomitas</t>
  </si>
  <si>
    <t>Tincho x regalo papá</t>
  </si>
  <si>
    <t>Comida RT martes 24-11</t>
  </si>
  <si>
    <t>Regalo Pau (a martu)</t>
  </si>
  <si>
    <t>Cajero Paseo Pilar</t>
  </si>
  <si>
    <t>A félix x los vinos de Paseo Pilar</t>
  </si>
  <si>
    <t>Natalia sesión 27-11</t>
  </si>
  <si>
    <t>Natalia sesión 16-11</t>
  </si>
  <si>
    <t>Indio Planta - anillo + aros</t>
  </si>
  <si>
    <t>Naranjo = Fel + Topo + Pipe + Belu</t>
  </si>
  <si>
    <t>Regalo Tin cafetera</t>
  </si>
  <si>
    <t>Almuerzo capacitación Alberto</t>
  </si>
  <si>
    <t>Café Z para regalo tin</t>
  </si>
  <si>
    <t>Devolución cumple Tin - Maru</t>
  </si>
  <si>
    <t>Devolución cumple Tin - Pedro</t>
  </si>
  <si>
    <t>Cumpleaños oficina (brownie)</t>
  </si>
  <si>
    <t>Cumpleaños oficina (sandwichitos)</t>
  </si>
  <si>
    <t>Cumpleaños oficina (facturas)</t>
  </si>
  <si>
    <t>Hamburguesas Res</t>
  </si>
  <si>
    <t>Sueldo Noviembre 2020</t>
  </si>
  <si>
    <t>Ajuste caja</t>
  </si>
  <si>
    <t>3200 chinampas felix</t>
  </si>
  <si>
    <t>550 parmegianno felix</t>
  </si>
  <si>
    <t>300 piantao</t>
  </si>
  <si>
    <t>1660 veterinaria</t>
  </si>
  <si>
    <t>Birra Piantao</t>
  </si>
  <si>
    <t>jumbo</t>
  </si>
  <si>
    <t>Easy - cortinas de baño</t>
  </si>
  <si>
    <t>Transf. Félix (seña retiro)</t>
  </si>
  <si>
    <t>Transf. Félix (efectivo)</t>
  </si>
  <si>
    <t>Efvo. félix</t>
  </si>
  <si>
    <t>Nafta viaje</t>
  </si>
  <si>
    <t>Retiro efectivo</t>
  </si>
  <si>
    <t>Viaje mar del sur</t>
  </si>
  <si>
    <t>Yoga diciembre 2020</t>
  </si>
  <si>
    <t>Natalia sesión 19-12</t>
  </si>
  <si>
    <t>Curso Roberto diciembre 2020</t>
  </si>
  <si>
    <t>Ajuste</t>
  </si>
  <si>
    <t>jumbo II</t>
  </si>
  <si>
    <t>Furatti</t>
  </si>
  <si>
    <t>Sushi</t>
  </si>
  <si>
    <t>Agua (choreo)</t>
  </si>
  <si>
    <t>Lavado auto</t>
  </si>
  <si>
    <t>Sushi con male vuelta Mar del Sur</t>
  </si>
  <si>
    <t>Transf. Tin x compra La Despensa</t>
  </si>
  <si>
    <t>Bono extraordinario</t>
  </si>
  <si>
    <t>Sueldo Noviembre + bono + 2do sac</t>
  </si>
  <si>
    <t>2do SAC proporcional</t>
  </si>
  <si>
    <t>Escritorio</t>
  </si>
  <si>
    <t>Agus comida ofi</t>
  </si>
  <si>
    <t>Café félix a Tin</t>
  </si>
  <si>
    <t>Carne Cabaña Juramento</t>
  </si>
  <si>
    <t>Naturgy (noviembre y diciembre)</t>
  </si>
  <si>
    <t>Sushi Brothers</t>
  </si>
  <si>
    <t>Préstamo efvo. + 700 escritorio</t>
  </si>
  <si>
    <t>Burza</t>
  </si>
  <si>
    <t>Ajuste caja al 21-12-2020</t>
  </si>
  <si>
    <t>Transferencia hecha el 21-12-2020</t>
  </si>
  <si>
    <t>Transf. A Félix x gastos varios</t>
  </si>
  <si>
    <t>Seguro</t>
  </si>
  <si>
    <t>SUBTOTAL I</t>
  </si>
  <si>
    <t>SUBTOTAL II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</si>
  <si>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</si>
  <si>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</si>
  <si>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</si>
  <si>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</si>
  <si>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</si>
  <si>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</si>
  <si>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</si>
  <si>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</si>
  <si>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Vestido piantao félix</t>
  </si>
  <si>
    <t>Cuenta</t>
  </si>
  <si>
    <t>Mc Donalds Ofi</t>
  </si>
  <si>
    <t>Devolución Agus por MC</t>
  </si>
  <si>
    <t>Torta Marce p/navidad</t>
  </si>
  <si>
    <t>Queso camembert navidad</t>
  </si>
  <si>
    <t>Biferdil farmacia Pilar</t>
  </si>
  <si>
    <t>Ajuste caja al 27-12-2020</t>
  </si>
  <si>
    <t>Servicios + expensas 12/2020</t>
  </si>
  <si>
    <t>Llave papa</t>
  </si>
  <si>
    <t>Fotocopias materia de verano</t>
  </si>
  <si>
    <t>Despedida juventud - birras chino</t>
  </si>
  <si>
    <t>Sueldo Diciembre</t>
  </si>
  <si>
    <t>Cosas que gasté yo</t>
  </si>
  <si>
    <t>Deuda félix al 31/12/2020</t>
  </si>
  <si>
    <t>Sueldo Diciembre 2020</t>
  </si>
  <si>
    <t>Cumpleaños oficina Contaduría</t>
  </si>
  <si>
    <t>Dev. Tin x nafta</t>
  </si>
  <si>
    <t>Veterinaria (dev. Martu)</t>
  </si>
  <si>
    <t>Veterinaria (dev. Mati)</t>
  </si>
  <si>
    <t>Extracción Galicia Pilar</t>
  </si>
  <si>
    <t>Extracción Axion Libertador</t>
  </si>
  <si>
    <t>Dev. Tin x finde Pilar</t>
  </si>
  <si>
    <t xml:space="preserve">Ajuste caja </t>
  </si>
  <si>
    <t>Veterinaria</t>
  </si>
  <si>
    <t>Agua</t>
  </si>
  <si>
    <t>Hecha el 09-01-2021</t>
  </si>
  <si>
    <t>Transf. Deuda en cero félix al 09-01</t>
  </si>
  <si>
    <t>Duplicado llave papa</t>
  </si>
  <si>
    <t>Yerba Santi de Tolteca</t>
  </si>
  <si>
    <t>Verdulería + chino (vuelta Félix)</t>
  </si>
  <si>
    <t>Extracción Paseo Pilar</t>
  </si>
  <si>
    <t>La Despensa vinos</t>
  </si>
  <si>
    <t>Endoscopía Pioji</t>
  </si>
  <si>
    <t>Devolución Santi yerbas pau</t>
  </si>
  <si>
    <t>Farmacia + New Garden Paseo</t>
  </si>
  <si>
    <t>Devolución tin</t>
  </si>
  <si>
    <t>Deuda Fel</t>
  </si>
  <si>
    <t>Ajuste caja al 11-01-2021</t>
  </si>
  <si>
    <t>Agua al 12-01-2021</t>
  </si>
  <si>
    <t>Chinampas aislamiento</t>
  </si>
  <si>
    <t>Cabaña juramento</t>
  </si>
  <si>
    <t>Deuda de félix a Juana al 12-01-2021</t>
  </si>
  <si>
    <t>Hecha el 13-01-2021</t>
  </si>
  <si>
    <t xml:space="preserve">Dev. Tin x inversiones </t>
  </si>
  <si>
    <t>Dev. Félix por deuda al 12-01-2021</t>
  </si>
  <si>
    <t>Pasaje Retiro</t>
  </si>
  <si>
    <t>Córdoba - Nora, retiro, vuelta, etc.</t>
  </si>
  <si>
    <t>Extracción Jumbo + RIPSA</t>
  </si>
  <si>
    <t>Plata que me dio Fel</t>
  </si>
  <si>
    <t>New Garden p/retiro + stuff</t>
  </si>
  <si>
    <t>Jumbo retiro + stuff</t>
  </si>
  <si>
    <t>Cuenta Santander</t>
  </si>
  <si>
    <t>Pedro p/ torta Susy</t>
  </si>
  <si>
    <t>Extracción Santander Antares</t>
  </si>
  <si>
    <t>Marce Costa (pedro)</t>
  </si>
  <si>
    <t>Regalo pepe (pagó tin $1500)</t>
  </si>
  <si>
    <t>Extracción cajero Anchorena</t>
  </si>
  <si>
    <t>Sueldo Enero 2021</t>
  </si>
  <si>
    <t>Kanu Sushi</t>
  </si>
  <si>
    <t>Pain et vin cc Tin</t>
  </si>
  <si>
    <t>Franui Pau</t>
  </si>
  <si>
    <t>Piantao - gin tonic</t>
  </si>
  <si>
    <t>Propina pedidos ya Sushi</t>
  </si>
  <si>
    <t>Retiro Lorenzo Lopez</t>
  </si>
  <si>
    <t>Deuda fel gastos fijos 01/2021</t>
  </si>
  <si>
    <t>Victoria Bread cena flia Fel</t>
  </si>
  <si>
    <t>Bon Prix Gin + huevos verdu</t>
  </si>
  <si>
    <t>Deuda a Fel al 02-02-2021</t>
  </si>
  <si>
    <t>Me debe a mí al 02-02-2021</t>
  </si>
  <si>
    <t>Transf. Hecha el 02-02-2021</t>
  </si>
  <si>
    <t>Transf. Hecha a Fel el 02-02-2021</t>
  </si>
  <si>
    <t>Devolución facturas Sole</t>
  </si>
  <si>
    <t>Despedida Ashu</t>
  </si>
  <si>
    <t>Yoga febrero 2021 (2 veces por semana)</t>
  </si>
  <si>
    <t>Piantao noche de rap</t>
  </si>
  <si>
    <t>Previsión gastos fijos (expensas y demás)</t>
  </si>
  <si>
    <t>Seguro papá 01 y 02/2021</t>
  </si>
  <si>
    <t>Agua al 3/02/2021 pagó Fel</t>
  </si>
  <si>
    <t>Piantao cc Fel</t>
  </si>
  <si>
    <t>Facturas (devolución via Banco Sole)</t>
  </si>
  <si>
    <t>Piantao a la gorra cc Euge</t>
  </si>
  <si>
    <t>Previsión gastos fijos y demás</t>
  </si>
  <si>
    <t>Eco Lagartos</t>
  </si>
  <si>
    <t>Deuda Tin</t>
  </si>
  <si>
    <t>Volta domingo</t>
  </si>
  <si>
    <t>Alfajor Capilla del Señor p/ Fel</t>
  </si>
  <si>
    <t>Expensas 02/2021</t>
  </si>
  <si>
    <t>Efvo. a Agus</t>
  </si>
  <si>
    <t>Efvo. a Agus (su devolución)</t>
  </si>
  <si>
    <t>Comida Sole</t>
  </si>
  <si>
    <t>Empanadas Sole</t>
  </si>
  <si>
    <t>Efvo. Fel</t>
  </si>
  <si>
    <t>Cumpleaños oficina 02/2021</t>
  </si>
  <si>
    <t>Comida Pipe, Belu y el Topo</t>
  </si>
  <si>
    <t>El Encuentro cc Agus</t>
  </si>
  <si>
    <t>Diferencia caja</t>
  </si>
  <si>
    <t>Extracción</t>
  </si>
  <si>
    <t>Juntada Pipe Martignone</t>
  </si>
  <si>
    <t>Agenda 2021</t>
  </si>
  <si>
    <t>Sushi cc Fel</t>
  </si>
  <si>
    <t>Chino Carmel</t>
  </si>
  <si>
    <t>Franui Legarretas Sushi</t>
  </si>
  <si>
    <t>Patagonia</t>
  </si>
  <si>
    <t>Comida Agus semana pasada</t>
  </si>
  <si>
    <t>Pachu Pasteleria</t>
  </si>
  <si>
    <t>Salame y queso</t>
  </si>
  <si>
    <t>Deuda fel a Juana</t>
  </si>
  <si>
    <t xml:space="preserve">Los Espiritus </t>
  </si>
  <si>
    <t>Quiquia cc Tin</t>
  </si>
  <si>
    <t>Piantao cc Fel y Euge</t>
  </si>
  <si>
    <t>Chocolates Sole</t>
  </si>
  <si>
    <t>Verdulería para ensalada sabado cc Fel</t>
  </si>
  <si>
    <t>Efvo. Félix a mi</t>
  </si>
  <si>
    <t>Devolución quiquia Tin</t>
  </si>
  <si>
    <t>Quiquia chicas</t>
  </si>
  <si>
    <t>Los espiritus cc Fel, Fel y Pau</t>
  </si>
  <si>
    <t>Prestamo fel a juana</t>
  </si>
  <si>
    <t>chino fel</t>
  </si>
  <si>
    <t>deuda fel a mi al 22-02-2021</t>
  </si>
  <si>
    <t xml:space="preserve">Luccianos </t>
  </si>
  <si>
    <t>Sushi shea</t>
  </si>
  <si>
    <t>Propina piantao</t>
  </si>
  <si>
    <t>Laburo + fel etc</t>
  </si>
  <si>
    <t>Gasta esa plata sin que fel me haga transf. Quedamos en cero</t>
  </si>
  <si>
    <t>Sueldo Febrero 2021</t>
  </si>
  <si>
    <t>Seguro + patente papá 03/3021</t>
  </si>
  <si>
    <t>Malta - joyas flores</t>
  </si>
  <si>
    <t>Patente</t>
  </si>
  <si>
    <t xml:space="preserve">Extracciòn efvo. </t>
  </si>
  <si>
    <t>Quesos Burgos</t>
  </si>
  <si>
    <t>Verduleria</t>
  </si>
  <si>
    <t>Extraccion</t>
  </si>
  <si>
    <t>Devolución Tincho x soda quiosco</t>
  </si>
  <si>
    <t>Deuda fel acumulada</t>
  </si>
  <si>
    <t>Ravioles la elbita</t>
  </si>
  <si>
    <t xml:space="preserve">Flor de aromo - productor de Córdoba </t>
  </si>
  <si>
    <t>Natalia - sesión 19-02-2021</t>
  </si>
  <si>
    <t>Mac</t>
  </si>
  <si>
    <t>Kiosko golosinas para trabajo</t>
  </si>
  <si>
    <t>Chino fel</t>
  </si>
  <si>
    <t>Sahumerios plaza pilar</t>
  </si>
  <si>
    <t>Zárate hielo + peajes</t>
  </si>
  <si>
    <t>Sushi cc TIN</t>
  </si>
  <si>
    <t>Trago Pau y martu</t>
  </si>
  <si>
    <t>Carne tucu + huevos</t>
  </si>
  <si>
    <t>Deuda fel a mí al 07-03-2021</t>
  </si>
  <si>
    <t>Gastos fijos acumulados 02/2021</t>
  </si>
  <si>
    <t>Deuda yo a fel al 07-03-2021</t>
  </si>
  <si>
    <t>Se lo di en efectivo el 07-03-2021</t>
  </si>
  <si>
    <t>Concentrado Pinolux feria Derqui</t>
  </si>
  <si>
    <t>Devolución Tin sushi</t>
  </si>
  <si>
    <t>Devolución Euge x collar Malta</t>
  </si>
  <si>
    <t>Regalo Martu - devolución Pau</t>
  </si>
  <si>
    <t>Regalo Martu - devolución Maru</t>
  </si>
  <si>
    <t>Retiro efvo. ICBC</t>
  </si>
  <si>
    <t>Ñoquis furatti flia</t>
  </si>
  <si>
    <t>Ñoquis furatti flia - devolución Maria</t>
  </si>
  <si>
    <t>Ñoquis furatti flia - devolución Tin</t>
  </si>
  <si>
    <t>Regalo Martu - Patio del Liceo</t>
  </si>
  <si>
    <t>Apoya vasos Patio del Liceo</t>
  </si>
  <si>
    <t>Riñonera regalo Félix x recibida</t>
  </si>
  <si>
    <t>Bar patio del liceo</t>
  </si>
  <si>
    <t>Expensas terrazas</t>
  </si>
  <si>
    <t>Fruta puente Paseo Pilar</t>
  </si>
  <si>
    <t>Huevos chinampas</t>
  </si>
  <si>
    <t>Papas y comida chatarra cierre</t>
  </si>
  <si>
    <t>Antiguedades Capilla del Señor</t>
  </si>
  <si>
    <t>Deuda para con Fel al 07-03-2021</t>
  </si>
  <si>
    <t>Chino del 14-03-2021</t>
  </si>
  <si>
    <t>Volta del 14-03-2021</t>
  </si>
  <si>
    <t>Deuda el para conmigo</t>
  </si>
  <si>
    <t>Felix x compra Fábrica de Pan laburo</t>
  </si>
  <si>
    <t>Retiro efvo. Galicia</t>
  </si>
  <si>
    <t>Retivo efvo. Galicia</t>
  </si>
  <si>
    <t>Impresiones Tao p/ mi y para el Topo</t>
  </si>
  <si>
    <t>Almacen Via Pilar</t>
  </si>
  <si>
    <t>Verduleria para comida chicas</t>
  </si>
  <si>
    <t>Mostaza cc agus</t>
  </si>
  <si>
    <t>Pistaccios comida chicas</t>
  </si>
  <si>
    <t>Piantao 18-03-2021</t>
  </si>
  <si>
    <t>Peron peron 19-03-2021</t>
  </si>
  <si>
    <t>Jumbo 20-03-2021</t>
  </si>
  <si>
    <t>Dado en efectivo el 20-03-2021</t>
  </si>
  <si>
    <t>Deuda para con Fel al 20-03-2021</t>
  </si>
  <si>
    <t>Botellita Sole</t>
  </si>
  <si>
    <t>Vivero (regalo Luis)</t>
  </si>
  <si>
    <t>Devolución nafta (x error cuenta)</t>
  </si>
  <si>
    <t>Devolución Maru x vivero</t>
  </si>
  <si>
    <t>Yerbas Pau - Santi</t>
  </si>
  <si>
    <t>Yerbas Pau Santi</t>
  </si>
  <si>
    <t>Sushi 24-03-2021</t>
  </si>
  <si>
    <t>Chinampas Fel 24-03-2021</t>
  </si>
  <si>
    <t>Comida a las brasas (Hambur y nuggets)</t>
  </si>
  <si>
    <t>Fel chino 22-03-2021</t>
  </si>
  <si>
    <t>Deuda el para conmigo al 25-03-2021</t>
  </si>
  <si>
    <t>Soda piantao</t>
  </si>
  <si>
    <t>Propina pedidos ya</t>
  </si>
  <si>
    <t>Intereses santandeer</t>
  </si>
  <si>
    <t>Sueldo Marzo 2021</t>
  </si>
  <si>
    <t>Antiguedades (platos holandeses)</t>
  </si>
  <si>
    <t>Fábrica de pan</t>
  </si>
  <si>
    <t>Sesión Natalia 02-04-2021</t>
  </si>
  <si>
    <t>Préstamo Maria</t>
  </si>
  <si>
    <t>Devolución Agus - Sushi</t>
  </si>
  <si>
    <t>Devolución Sole - Sushi</t>
  </si>
  <si>
    <t>Eco super</t>
  </si>
  <si>
    <t>Jumbo cosas de limpieza</t>
  </si>
  <si>
    <t>Extracción cajero Santander</t>
  </si>
  <si>
    <t>Extracción Banco Provincia</t>
  </si>
  <si>
    <t>Bazar Pilar</t>
  </si>
  <si>
    <t>Sueldo Marzo 2021 - bono</t>
  </si>
  <si>
    <t>Préstamo sushi oficina</t>
  </si>
  <si>
    <t>La T</t>
  </si>
  <si>
    <t>Asado 08-04-2021</t>
  </si>
  <si>
    <t>Café Capilla del Señor</t>
  </si>
  <si>
    <t>Chinampas varios Juana</t>
  </si>
  <si>
    <t>Piantao Juana pagó</t>
  </si>
  <si>
    <t>Ñoquis Jumbo 11-04-2021</t>
  </si>
  <si>
    <t>Felix deuda para conmigo 11-04-2021</t>
  </si>
  <si>
    <t>Deuda Juana para con Félix por gastos fijos</t>
  </si>
  <si>
    <t>Deuda para con Félix al 11-04-2021</t>
  </si>
  <si>
    <t>Seguro + patente papá 04/3021</t>
  </si>
  <si>
    <t>Yoga 04/2021</t>
  </si>
  <si>
    <t>Alicia sweater - seña</t>
  </si>
  <si>
    <t>Piantao cena Fel</t>
  </si>
  <si>
    <t>Extracción efectivo</t>
  </si>
  <si>
    <t>Jumbo fel mayonesa y ketchup</t>
  </si>
  <si>
    <t>Arregla heladera 16-04</t>
  </si>
  <si>
    <t>Pan de masa madre</t>
  </si>
  <si>
    <t>pan de papa</t>
  </si>
  <si>
    <t>eco hamburguesas</t>
  </si>
  <si>
    <t>chino carrot cake</t>
  </si>
  <si>
    <t>Colador + huevos</t>
  </si>
  <si>
    <t>Aguja mágica</t>
  </si>
  <si>
    <t>Sesión Natalia 23-04-2021</t>
  </si>
  <si>
    <t>Medio pan y un libro</t>
  </si>
  <si>
    <t>Junio</t>
  </si>
  <si>
    <t>Julio</t>
  </si>
  <si>
    <t>Agosto</t>
  </si>
  <si>
    <t>Rueditas quiosco</t>
  </si>
  <si>
    <t>Tela arpillera</t>
  </si>
  <si>
    <t>Chino Lomada</t>
  </si>
  <si>
    <t>Ivess al 21-04-2021</t>
  </si>
  <si>
    <t>él a mi al 21-04-2021</t>
  </si>
  <si>
    <t>Asado chicos en casa</t>
  </si>
  <si>
    <t>cargados celular</t>
  </si>
  <si>
    <t>chinampas 29/04/2021</t>
  </si>
  <si>
    <t>Empanadas Jorge</t>
  </si>
  <si>
    <t>Chino Los Cachorros</t>
  </si>
  <si>
    <t>Mostaza Agus</t>
  </si>
  <si>
    <t>Extracción efectivo Galicia Muni</t>
  </si>
  <si>
    <t>German sushi</t>
  </si>
  <si>
    <t>Lanas Dolly</t>
  </si>
  <si>
    <t>Devoluciòn chiques por asado casa</t>
  </si>
  <si>
    <t>mama</t>
  </si>
  <si>
    <t>Volta - deuda mamá</t>
  </si>
  <si>
    <t>Sandwich de miga - visita María</t>
  </si>
  <si>
    <t>Let it V 28-04-2021</t>
  </si>
  <si>
    <t>Transf. Hecha el 30-04-2021</t>
  </si>
  <si>
    <t>Sueldo Abril 2021</t>
  </si>
  <si>
    <t>Yoga 05/2021</t>
  </si>
  <si>
    <t>Deuda para con Félix al 30-04-2021</t>
  </si>
  <si>
    <t>Chino cumple Guli</t>
  </si>
  <si>
    <t>Quesoteca Burgos - camembert</t>
  </si>
  <si>
    <t>Gastos fijos</t>
  </si>
  <si>
    <t>Fel</t>
  </si>
  <si>
    <t>Naturgy 02, 03 y 04/2021</t>
  </si>
  <si>
    <t>Edenor 04</t>
  </si>
  <si>
    <t>Wifi 05</t>
  </si>
  <si>
    <t xml:space="preserve">Extracción efectivo </t>
  </si>
  <si>
    <t>Seguro + patente papá 05/2021</t>
  </si>
  <si>
    <t>Curso RT</t>
  </si>
  <si>
    <t>Sesión Natalia 07-05-2021</t>
  </si>
  <si>
    <t>Alojamiento Córdoba</t>
  </si>
  <si>
    <t>Juanchi 05/2021</t>
  </si>
  <si>
    <t>Félix - Juana</t>
  </si>
  <si>
    <t>Pizzas Dagos 02-05-2021</t>
  </si>
  <si>
    <t>Chino piedritas 04-05-2021</t>
  </si>
  <si>
    <t>Juanchi 05</t>
  </si>
  <si>
    <t>Expensas 05</t>
  </si>
  <si>
    <t>Juanchi 06</t>
  </si>
  <si>
    <t>Comida mediodia Agus - el encuentro</t>
  </si>
  <si>
    <t>El Encuentro - cc Agus</t>
  </si>
  <si>
    <t xml:space="preserve">Chinampas Del Viso </t>
  </si>
  <si>
    <t>neteado con la cena lunes 10-05-21 Fel</t>
  </si>
  <si>
    <t>Carnicería (maru)</t>
  </si>
  <si>
    <t>Viaje Córdoba Nafta</t>
  </si>
  <si>
    <t>Chino</t>
  </si>
  <si>
    <t>Chino Verdulerìa</t>
  </si>
  <si>
    <t>Córdoba - Paz y Flora</t>
  </si>
  <si>
    <t>Córdoba -  mediodía viaje vuelta</t>
  </si>
  <si>
    <t>Córdoba - taxi después Natalia</t>
  </si>
  <si>
    <t>Córdoba -  agua mediodía vuelta</t>
  </si>
  <si>
    <t>Mediodia Oficina</t>
  </si>
  <si>
    <t>Sushi despedida JC Córdoba</t>
  </si>
  <si>
    <t>Ivess al 12-05-2021</t>
  </si>
  <si>
    <t>Dif</t>
  </si>
  <si>
    <t>Dif/2</t>
  </si>
  <si>
    <t>Él a mi al 14-05-2021</t>
  </si>
  <si>
    <t>Transferido el 14-05-2021</t>
  </si>
  <si>
    <t>Deuda félix al 14-05-2021</t>
  </si>
  <si>
    <t>Yerba Almacen Martu</t>
  </si>
  <si>
    <t>Sushi Tin</t>
  </si>
  <si>
    <t>Lima velas</t>
  </si>
  <si>
    <t>Sesión Natalia 28-05-2021</t>
  </si>
  <si>
    <t>Devolución sushi tin 14-05-2021</t>
  </si>
  <si>
    <t>Pyjamada chicas - compras Jumbo</t>
  </si>
  <si>
    <t>Panadería F2</t>
  </si>
  <si>
    <t>Propina nafta</t>
  </si>
  <si>
    <t>Chino y veterinaria 18-05-2021</t>
  </si>
  <si>
    <t>Vivero planta maria</t>
  </si>
  <si>
    <t>Piantao limonada</t>
  </si>
  <si>
    <t>Tolteca yerbas Santi</t>
  </si>
  <si>
    <t xml:space="preserve">Chinampas </t>
  </si>
  <si>
    <t>Chinos vinos La Lomada</t>
  </si>
  <si>
    <t>Sushi Kanu 21-05-2021</t>
  </si>
  <si>
    <t>Piantao limonada + papas</t>
  </si>
  <si>
    <t>Cuatro mordiscos</t>
  </si>
  <si>
    <t>Arbanit</t>
  </si>
  <si>
    <t>Santa Elena Del Viso</t>
  </si>
  <si>
    <t>Pasta Mamma Nicoletta</t>
  </si>
  <si>
    <t>Chori Oficina</t>
  </si>
  <si>
    <t>Deuda fel para conmigo al 28-05-2021</t>
  </si>
  <si>
    <t>Quedamos neteados - al día mayo</t>
  </si>
  <si>
    <t>Sueldo Mayo 2021</t>
  </si>
  <si>
    <t>Día Pilar</t>
  </si>
  <si>
    <t>Comisiones banco</t>
  </si>
  <si>
    <t>Seguro + patente papá 06/2021</t>
  </si>
  <si>
    <t>Yoga 06/2021</t>
  </si>
  <si>
    <t>Hamburguesa 28-05-2021</t>
  </si>
  <si>
    <t>Jumbo 30-05-2021 (Pablo y Maria)</t>
  </si>
  <si>
    <t>Devolución yerbas Santi</t>
  </si>
  <si>
    <t>Bombilla juana</t>
  </si>
  <si>
    <t>Regalo Pablo - juntar familia</t>
  </si>
  <si>
    <t>Sushi Kanu 31-05-2021</t>
  </si>
  <si>
    <t>Mama y papá</t>
  </si>
  <si>
    <t>Medialunas + Ades cc Agus</t>
  </si>
  <si>
    <t>Feria - almohadones</t>
  </si>
  <si>
    <t>Feria - almohadita, tabaquera y pilufo</t>
  </si>
  <si>
    <t>Feria - préstamo Maria</t>
  </si>
  <si>
    <t>Feria - buzo Alicia</t>
  </si>
  <si>
    <t xml:space="preserve">Feria - vaso Agus </t>
  </si>
  <si>
    <t>Tolteca</t>
  </si>
  <si>
    <t>Sesión Natalia 11-06-2021</t>
  </si>
  <si>
    <t>Devolución Maria préstamo</t>
  </si>
  <si>
    <t>Almohadones turcos</t>
  </si>
  <si>
    <t>Pizza topos</t>
  </si>
  <si>
    <t>Verdulería chicas</t>
  </si>
  <si>
    <t>Tostados + juguito cc Agus</t>
  </si>
  <si>
    <t>Deuda él para conmigo al 09-06-2021</t>
  </si>
  <si>
    <t>Alimento pioji</t>
  </si>
  <si>
    <t>Cabana Juramento 13-06-2021</t>
  </si>
  <si>
    <t>Birras Bierhaus</t>
  </si>
  <si>
    <t>Verdulería Pilar (transf. Sole)</t>
  </si>
  <si>
    <t>Regalo Pablo - devolución Pedro</t>
  </si>
  <si>
    <t>Feria - velas</t>
  </si>
  <si>
    <t>Feria - yerba mamá</t>
  </si>
  <si>
    <t>Feria - tapa botella más mantelito</t>
  </si>
  <si>
    <t>Verdulería Divina Pacha</t>
  </si>
  <si>
    <t>Agus - comida viernes revuelto + Mac nuggets</t>
  </si>
  <si>
    <t>Expensas - aporte efectivo Félix</t>
  </si>
  <si>
    <t>Subtotal Félix</t>
  </si>
  <si>
    <t>Gastos fijos 06/2021</t>
  </si>
  <si>
    <t>Expensas 06</t>
  </si>
  <si>
    <t>Gastos fijos 05/2021</t>
  </si>
  <si>
    <t>Agua Ivess</t>
  </si>
  <si>
    <t>Deuda al 14-06-2021 - transferencia</t>
  </si>
  <si>
    <t>Deuda Félix al 14-06-2021</t>
  </si>
  <si>
    <t>Bazar chino: olla, vela, gotita</t>
  </si>
  <si>
    <t>Veterinaria - ratones Pioja</t>
  </si>
  <si>
    <t>Helado Iceland cena Jul</t>
  </si>
  <si>
    <t>Quiosco Juani</t>
  </si>
  <si>
    <t>Préstamo Fel (Ivess agua)</t>
  </si>
  <si>
    <t>Préstamo fel</t>
  </si>
  <si>
    <t>Juguetitos pioji Vet</t>
  </si>
  <si>
    <t>Prisma Natalia - ML</t>
  </si>
  <si>
    <t>Mate Piantao</t>
  </si>
  <si>
    <t>Jabón para la ropa esquina Chumpis</t>
  </si>
  <si>
    <t xml:space="preserve">Mac + deuda Agus </t>
  </si>
  <si>
    <t>Percheros</t>
  </si>
  <si>
    <t>Individuales</t>
  </si>
  <si>
    <t>Escarapelas</t>
  </si>
  <si>
    <t>Yo a tincho! - sushi</t>
  </si>
  <si>
    <t>Pachu pastelería tostadas</t>
  </si>
  <si>
    <t>Chino crema, papas, etc.</t>
  </si>
  <si>
    <t>Quiosco coca y pipas</t>
  </si>
  <si>
    <t>Retiro efectivo - Axion</t>
  </si>
  <si>
    <t>Ivess al 23-06-2021</t>
  </si>
  <si>
    <t>Parmegianno tarta JyQ</t>
  </si>
  <si>
    <t>Pochoclos cine</t>
  </si>
  <si>
    <t>Comida agus el Encuentro</t>
  </si>
  <si>
    <t>Comisiones 23/5 al 24/6 Santander</t>
  </si>
  <si>
    <t>Tincho devol.regalo Pablo + algo más…</t>
  </si>
  <si>
    <t>Intereses saldo cuenta</t>
  </si>
  <si>
    <t xml:space="preserve">Edenor </t>
  </si>
  <si>
    <t>Naturgy</t>
  </si>
  <si>
    <t>Chino Félix (cif, crema, vino, servilletas)</t>
  </si>
  <si>
    <t>SAC - nafta - plata reservada retiro</t>
  </si>
  <si>
    <t>Mantel regalo Tincho recibida</t>
  </si>
  <si>
    <t>Regalo Maria manteles</t>
  </si>
  <si>
    <t>Ravioles 29-06-2021 (sémola)</t>
  </si>
  <si>
    <t>Teléfono 06/2021</t>
  </si>
  <si>
    <t>Dif. neteada</t>
  </si>
  <si>
    <t>Regalo tian y luli sobre y fotos</t>
  </si>
  <si>
    <t>Deuda agus</t>
  </si>
  <si>
    <t>Labial casamiento</t>
  </si>
  <si>
    <t>Panadería del Pilar pre casamiento</t>
  </si>
  <si>
    <t>Neteado con estacionamiento Fel</t>
  </si>
  <si>
    <t>Chino sahumerios + resaltadores</t>
  </si>
  <si>
    <t>Yusti mediodia</t>
  </si>
  <si>
    <t>Dif. caja</t>
  </si>
  <si>
    <t>Facturas Jorge</t>
  </si>
  <si>
    <t>Deuda él para conmigo al 30-06-2021</t>
  </si>
  <si>
    <t>Deuda al 30-06-2021</t>
  </si>
  <si>
    <t>Sushi 30-06-2021</t>
  </si>
  <si>
    <t>Comida Yusti</t>
  </si>
  <si>
    <t>Sueldo Junio 2021</t>
  </si>
  <si>
    <t>Extracción efvo Santander</t>
  </si>
  <si>
    <t>Alquiler 07/2021</t>
  </si>
  <si>
    <t>Gin y tónicas</t>
  </si>
  <si>
    <t>Subtotal Juana</t>
  </si>
  <si>
    <t>Regalo Sole (chino)</t>
  </si>
  <si>
    <t xml:space="preserve">Parmegianno </t>
  </si>
  <si>
    <t>Panadería desayuno despedida Conta</t>
  </si>
  <si>
    <t>Pagado julio 2021</t>
  </si>
  <si>
    <t>Mantel recibida</t>
  </si>
  <si>
    <t>Yoga 07/2021</t>
  </si>
  <si>
    <t>Seguro + patente papá 07/2021</t>
  </si>
  <si>
    <t>Extracción efvo p/ expensas</t>
  </si>
  <si>
    <t>Efvo. Pablo</t>
  </si>
  <si>
    <t>Eco invitación casa</t>
  </si>
  <si>
    <t>Eco tincho</t>
  </si>
  <si>
    <t>Eco 04-07-2021</t>
  </si>
  <si>
    <t>Compras Emilio quiosco</t>
  </si>
  <si>
    <t>Transf. Pablo deuda</t>
  </si>
  <si>
    <t>Deuda agus para conmigo</t>
  </si>
  <si>
    <t>Rock and chips cc Agus</t>
  </si>
  <si>
    <t>Pizza jueves a la noche piantao</t>
  </si>
  <si>
    <t>Dev. Pizza blu</t>
  </si>
  <si>
    <t>Belu Charquito - dibujos cuento</t>
  </si>
  <si>
    <t>Comida Juventudes</t>
  </si>
  <si>
    <t>Expensas 07/2021 (pago Félix)</t>
  </si>
  <si>
    <t>Ivess agua al 07-07-2021</t>
  </si>
  <si>
    <t>Deuda él para conmigo 09-07-2021</t>
  </si>
  <si>
    <t>Préstamo tin</t>
  </si>
  <si>
    <t>Deuda al 11-07-2021 - transferido</t>
  </si>
  <si>
    <t>Remis vuelta Natalia</t>
  </si>
  <si>
    <t>Natalia sesión 16-07-2021</t>
  </si>
  <si>
    <t>Curso Roberto 07/2021</t>
  </si>
  <si>
    <t>Cena alojamiento Córdoba</t>
  </si>
  <si>
    <t>Sushi cc Fel despedida Córdoba</t>
  </si>
  <si>
    <t>Flora Nails</t>
  </si>
  <si>
    <t>China mediodia (cc Rosa)</t>
  </si>
  <si>
    <t>Almacen Natural frente a ayres</t>
  </si>
  <si>
    <t>Deuda tin al 11-07-2021</t>
  </si>
  <si>
    <t>Plata reservada Córdoba</t>
  </si>
  <si>
    <t xml:space="preserve">Extracción efvo </t>
  </si>
  <si>
    <t>Pilar Copy Center</t>
  </si>
  <si>
    <t>Córdoba - nafta</t>
  </si>
  <si>
    <t>Almacén Córdoba</t>
  </si>
  <si>
    <t>Córdoba - nafta (maru)</t>
  </si>
  <si>
    <t>Intereses por saldo en cuenta</t>
  </si>
  <si>
    <t>Comida mediodía panadería Pilar</t>
  </si>
  <si>
    <t>Regalo Maru (chino)</t>
  </si>
  <si>
    <t>Préstamo euge</t>
  </si>
  <si>
    <t>Yerbas Pau - Rochi</t>
  </si>
  <si>
    <t>Extracción efvo.</t>
  </si>
  <si>
    <t>Milanga cc Rochi/Bruno</t>
  </si>
  <si>
    <t>Bateria</t>
  </si>
  <si>
    <t>Chinampas 21-07-2021</t>
  </si>
  <si>
    <t>500 le debo a Ro</t>
  </si>
  <si>
    <t>Deuda Rochi conmigo</t>
  </si>
  <si>
    <t>Medialunas Cande viernes</t>
  </si>
  <si>
    <t>Medialunas viernes cc Cande</t>
  </si>
  <si>
    <t>Devolución préstamo Euge</t>
  </si>
  <si>
    <t>Deuda al 23-07-2021</t>
  </si>
  <si>
    <t>Devolución Fel (a partir de efectivo euge)</t>
  </si>
  <si>
    <t>Comision Santander</t>
  </si>
  <si>
    <t>Regalo Maru - devolución Tin</t>
  </si>
  <si>
    <t>Regalo Maru - devolución papá</t>
  </si>
  <si>
    <t>Birra cc Euge</t>
  </si>
  <si>
    <t>Feria - cosas teñidas</t>
  </si>
  <si>
    <t>Regalo Maru - devolución Pedro</t>
  </si>
  <si>
    <t>Bazar chino - regalo Uli + velas Vicky</t>
  </si>
  <si>
    <t>Sueldo Julio 2021</t>
  </si>
  <si>
    <t>Parmegianno Piantao fogón</t>
  </si>
  <si>
    <t>Telas banderines - error</t>
  </si>
  <si>
    <t>Santa Elena cc Bruno y Rochi</t>
  </si>
  <si>
    <t>Yoga 08/2021</t>
  </si>
  <si>
    <t>Natalia sesión 06/08/2021</t>
  </si>
  <si>
    <t>Seguro + patente papá 08/2021</t>
  </si>
  <si>
    <t>Lu Bianchi buzo plush negro</t>
  </si>
  <si>
    <t>Telas banderines - transf. Euge</t>
  </si>
  <si>
    <t>Paia - almacen orgánico</t>
  </si>
  <si>
    <t>Belu y Pipe - cumple topo</t>
  </si>
  <si>
    <t>Verduras mercado Tincho</t>
  </si>
  <si>
    <t>Dinero Banco Provincia guardado</t>
  </si>
  <si>
    <t>F Parmegianno 27-07-2021</t>
  </si>
  <si>
    <t>F Edenor 07/2021</t>
  </si>
  <si>
    <t>F Naturgy 06/2021</t>
  </si>
  <si>
    <t>F Pizza Cero</t>
  </si>
  <si>
    <t>J Cumple Tobi Mao</t>
  </si>
  <si>
    <t>J Feria agroecológica bolsón y vinos</t>
  </si>
  <si>
    <t>Verdulería miércoles de tacos cena</t>
  </si>
  <si>
    <t>Deuda al 01-08-2021</t>
  </si>
  <si>
    <t>Deuda al 08-08-2021 transferido a Fel</t>
  </si>
  <si>
    <t>Gastos agosto pagados por Juana</t>
  </si>
  <si>
    <t>DEUDA FINAL AL 08-08-2021</t>
  </si>
  <si>
    <t>Deuda Félix al 08-08-2021</t>
  </si>
  <si>
    <t>Teléfono 08/2021</t>
  </si>
  <si>
    <t>Ajuste Caja</t>
  </si>
  <si>
    <t>Deuda Rosa p/conmigo:</t>
  </si>
  <si>
    <t>Septiembre</t>
  </si>
  <si>
    <t>Naturgy 07/2021</t>
  </si>
  <si>
    <t>Wifi 08/2021</t>
  </si>
  <si>
    <t>Sushi cc Félix</t>
  </si>
  <si>
    <t>Santa Elena p/ comida topo</t>
  </si>
  <si>
    <t>China p/ inauguración Derqui</t>
  </si>
  <si>
    <t>Juanchi 08/2021</t>
  </si>
  <si>
    <t>Expensas 08/2021</t>
  </si>
  <si>
    <t>Perci cc Bruno y Cande</t>
  </si>
  <si>
    <t>Imprenta p/ inauguración Derqui</t>
  </si>
  <si>
    <t>Mi gusto empanadas</t>
  </si>
  <si>
    <t>Chinampas (q me compro maru)</t>
  </si>
  <si>
    <t>Olivia aritos y colita p/Rochi</t>
  </si>
  <si>
    <t>Devolución Rochi por diferentes compras</t>
  </si>
  <si>
    <t>Feria pajarito p/ maceta</t>
  </si>
  <si>
    <t>Feria verduleria agroecológica</t>
  </si>
  <si>
    <t>Feria velitas p/ hornito tira olor</t>
  </si>
  <si>
    <t>Feria - jabón y sahumerios</t>
  </si>
  <si>
    <t>Feria - grisines orgánicos</t>
  </si>
  <si>
    <t>Auto - lavado</t>
  </si>
  <si>
    <t>Quiosco cubanitos</t>
  </si>
  <si>
    <t>Vino almuerzo flia</t>
  </si>
  <si>
    <t>Despedida LyT - verdulería</t>
  </si>
  <si>
    <t>Despedida LyT - pan</t>
  </si>
  <si>
    <t>Despedida LyT - carne</t>
  </si>
  <si>
    <t>Choripan</t>
  </si>
  <si>
    <t>Deuda p/ con papá</t>
  </si>
  <si>
    <t>VTV auto mio</t>
  </si>
  <si>
    <t>Barbas cc Euge</t>
  </si>
  <si>
    <t>Olivia aritos</t>
  </si>
  <si>
    <t>Natalia sesión 25/08/2021</t>
  </si>
  <si>
    <t>Pachu pastelería</t>
  </si>
  <si>
    <t>Mamma Nicoleta domingo</t>
  </si>
  <si>
    <t>Chino lunes 23-08</t>
  </si>
  <si>
    <t>Chino Derqui</t>
  </si>
  <si>
    <t>Impresiones Derqui</t>
  </si>
  <si>
    <t>Choripan cc Rosa y Bruni</t>
  </si>
  <si>
    <t xml:space="preserve">Barbas cc Euge </t>
  </si>
  <si>
    <t>Almacen Pinazo</t>
  </si>
  <si>
    <t>Barbas propina</t>
  </si>
  <si>
    <t>Kansas propina</t>
  </si>
  <si>
    <t>Resultado</t>
  </si>
  <si>
    <t>Deuda él p/ conmigo</t>
  </si>
  <si>
    <t>Préstamo Fel</t>
  </si>
  <si>
    <t>Perci cc Bruno</t>
  </si>
  <si>
    <t>Service + taller auto</t>
  </si>
  <si>
    <t>Sueldo Agosto 2021</t>
  </si>
  <si>
    <t>Tigre cc amigas</t>
  </si>
  <si>
    <t>Chino Félix jueves cena pepi</t>
  </si>
  <si>
    <t>Efectivo Juanchi que se llevo él</t>
  </si>
  <si>
    <t>Galpon 50 cc euge nora</t>
  </si>
  <si>
    <t>Pasionaria orgánico Rosa</t>
  </si>
  <si>
    <t>Pasionaria orgánico casa</t>
  </si>
  <si>
    <t>Ñoquis - cc Fèlix</t>
  </si>
  <si>
    <t>Dende masch.</t>
  </si>
  <si>
    <t>Préstamo Félix (se usa como devolución)</t>
  </si>
  <si>
    <t>Agua yoga piantao</t>
  </si>
  <si>
    <t>Regalo Rochi</t>
  </si>
  <si>
    <t>Maceta + suculenta</t>
  </si>
  <si>
    <t>La maga</t>
  </si>
  <si>
    <t>Libro</t>
  </si>
  <si>
    <t>J</t>
  </si>
  <si>
    <t>B</t>
  </si>
  <si>
    <t>C/ Uno</t>
  </si>
  <si>
    <t>Devolución Félix deuda p/ con él</t>
  </si>
  <si>
    <t>$7000 efectivo y resto transferencia 30-08-2021</t>
  </si>
  <si>
    <t>Ramo flores</t>
  </si>
  <si>
    <t>Bruno</t>
  </si>
  <si>
    <t>Ropa cc Maru en Pilar Centro</t>
  </si>
  <si>
    <t>Deuda Maru p/ conmigo</t>
  </si>
  <si>
    <t>Cumple Ro</t>
  </si>
  <si>
    <t>Ropa</t>
  </si>
  <si>
    <t>Ropa II</t>
  </si>
  <si>
    <t>Bolsón verdus</t>
  </si>
  <si>
    <t>Ajuste caja - saldo inicial</t>
  </si>
  <si>
    <t>Sueldo Septiembre 2021</t>
  </si>
  <si>
    <t>VTV transf. Papá</t>
  </si>
  <si>
    <t>Deuda félix (compra verduras - gastos fijos)</t>
  </si>
  <si>
    <t xml:space="preserve">Gastos fijos </t>
  </si>
  <si>
    <t>Deuda él p/conmigo</t>
  </si>
  <si>
    <t>Me dio en efectivo lo que yo le había dado</t>
  </si>
  <si>
    <t xml:space="preserve">Compra verdura </t>
  </si>
  <si>
    <t>Rochi - tintura madre dieta</t>
  </si>
  <si>
    <t>Devolución Félix por compras verduras</t>
  </si>
  <si>
    <t>Préstamos</t>
  </si>
  <si>
    <t>Expensas (parte Félix)</t>
  </si>
  <si>
    <t>Devolución deuda Maria p/conm.</t>
  </si>
  <si>
    <t>Expensas 09/2021</t>
  </si>
  <si>
    <t>Devolución félix por comida dieta</t>
  </si>
  <si>
    <t>transf. 09/09/2021</t>
  </si>
  <si>
    <t>Juanchi 08, 09 y 10</t>
  </si>
  <si>
    <t>Piantao inauguración</t>
  </si>
  <si>
    <t>Vino asado cc Félix</t>
  </si>
  <si>
    <t xml:space="preserve">Ajuste caja    </t>
  </si>
  <si>
    <t>Peaje capilla</t>
  </si>
  <si>
    <t>Propina 1888 cc flia</t>
  </si>
  <si>
    <t>Mostaza</t>
  </si>
  <si>
    <t>Nafta cordoba</t>
  </si>
  <si>
    <t>Ivess al 28-09-2021</t>
  </si>
  <si>
    <t>Gas 09/2021</t>
  </si>
  <si>
    <t>Luz 09/2021</t>
  </si>
  <si>
    <t>Santa Elena vuelta cordoba</t>
  </si>
  <si>
    <t>Sandiwch y empanada</t>
  </si>
  <si>
    <t>Deuda p/ con felix</t>
  </si>
  <si>
    <t>transf. 03/10/2021</t>
  </si>
  <si>
    <t>Deuda papá</t>
  </si>
  <si>
    <t>Teléfono 09/2021</t>
  </si>
  <si>
    <t>Deuda p/con félix</t>
  </si>
  <si>
    <t>Efvo. a Pau</t>
  </si>
  <si>
    <t>Devolución Rochi x reunión PJ</t>
  </si>
  <si>
    <t>Patronales</t>
  </si>
  <si>
    <t>Natalia sesión 08/10/2021</t>
  </si>
  <si>
    <t>Panadería operativo llamado</t>
  </si>
  <si>
    <t>China almuerzo operativo llamado</t>
  </si>
  <si>
    <t>Chicas cena - vino</t>
  </si>
  <si>
    <t>Compras comunitarias</t>
  </si>
  <si>
    <t>Comida Piantao 08/10/2021</t>
  </si>
  <si>
    <t>Reunión PJ cc Rochi empanadas</t>
  </si>
  <si>
    <t>Reunión PJ cc Rochi empanadas a Euge míos</t>
  </si>
  <si>
    <t>Reunión PJ Rochi a Euge</t>
  </si>
  <si>
    <t>Reunión PJ Fel a Euge</t>
  </si>
  <si>
    <t>Jumbo + chino + Ivess</t>
  </si>
  <si>
    <t>Huerta</t>
  </si>
  <si>
    <t>Patronales - dev. Birras</t>
  </si>
  <si>
    <t>Sushi cc Euge</t>
  </si>
  <si>
    <t>Martu - regalo vela</t>
  </si>
  <si>
    <t>Olivia - aritos</t>
  </si>
  <si>
    <t>Expensas 10/2021</t>
  </si>
  <si>
    <t>Chinampas y pan</t>
  </si>
  <si>
    <t>Martu - devolución Maria</t>
  </si>
  <si>
    <t>Día de la madre - devolución Tin</t>
  </si>
  <si>
    <t>Martu regalo</t>
  </si>
  <si>
    <t>Día de la madre - regalo mamá</t>
  </si>
  <si>
    <t>Día de la madre - dev papá</t>
  </si>
  <si>
    <t>Piantao 20-10</t>
  </si>
  <si>
    <t>Barbas cc Euge y Mili</t>
  </si>
  <si>
    <t>Roca</t>
  </si>
  <si>
    <t>New garden (yerba y crack)</t>
  </si>
  <si>
    <t>Gourmeteando</t>
  </si>
  <si>
    <t>Kanses</t>
  </si>
  <si>
    <t>La Tablita dia de la lealtad</t>
  </si>
  <si>
    <t>Pioja comida</t>
  </si>
  <si>
    <t>Bruni empanada el encuentro</t>
  </si>
  <si>
    <t>TOTAL al 20-10</t>
  </si>
  <si>
    <t>transf. a fel desde el provincia</t>
  </si>
  <si>
    <t>Deuda para con Félix al 20-10</t>
  </si>
  <si>
    <t>Kansas 22/10/2021</t>
  </si>
  <si>
    <t>Chino jueves 21</t>
  </si>
  <si>
    <t>Propina kansas</t>
  </si>
  <si>
    <t>Natalia sesión 27/10/2021</t>
  </si>
  <si>
    <t>Chinampas 26/10</t>
  </si>
  <si>
    <t>Bon prix 26/10</t>
  </si>
  <si>
    <t>Chino 26/10</t>
  </si>
  <si>
    <t>Tincho cine</t>
  </si>
  <si>
    <t>Carne Alejandro 26/10</t>
  </si>
  <si>
    <t>Barbas</t>
  </si>
  <si>
    <t>Propina Barbas</t>
  </si>
  <si>
    <t>Le di a Félix</t>
  </si>
  <si>
    <t>Plata Rochi (a devolver)</t>
  </si>
  <si>
    <t>Día de la madre - devolución Pepi</t>
  </si>
  <si>
    <t>Sifón - cumple maru b</t>
  </si>
  <si>
    <t>Deuda Felix mes pasado</t>
  </si>
  <si>
    <t>Deuda Tin cine</t>
  </si>
  <si>
    <t>PJ Acto - papelera</t>
  </si>
  <si>
    <t>PJ Acto - impresiones</t>
  </si>
  <si>
    <t>Regalo Flor Ferrarazo</t>
  </si>
  <si>
    <t>Compras casa Santa Elena</t>
  </si>
  <si>
    <t>Sueldo Octubre 2021</t>
  </si>
  <si>
    <t>Bono municipal</t>
  </si>
  <si>
    <t>PJ Acto - grafitti y bla</t>
  </si>
  <si>
    <t>Bar Sangre Negra</t>
  </si>
  <si>
    <t>Chinampas 06-11</t>
  </si>
  <si>
    <t>Jumbo 6-11</t>
  </si>
  <si>
    <t>New Garden 6-11</t>
  </si>
  <si>
    <t>NAUM capital 28-11-2021</t>
  </si>
  <si>
    <t>Edenor 10/2021</t>
  </si>
  <si>
    <t>Naturgy 10/2021</t>
  </si>
  <si>
    <t>Natalia sesión 10/11/2021</t>
  </si>
  <si>
    <t>Seguro + patente papá 11/2021</t>
  </si>
  <si>
    <t>Teléfono 11/2021</t>
  </si>
  <si>
    <t>Yoga 11/2021</t>
  </si>
  <si>
    <t>Regalo Flor Ferrarazo - dev Rochi</t>
  </si>
  <si>
    <t>Expensas 11/2021</t>
  </si>
  <si>
    <t>Vet la pioji</t>
  </si>
  <si>
    <t>Carnicería</t>
  </si>
  <si>
    <t>Papas mostaza</t>
  </si>
  <si>
    <t>Seña retiro La Chimo</t>
  </si>
  <si>
    <t>Sushi cc PJ Equipo</t>
  </si>
  <si>
    <t>Sushi dev euge</t>
  </si>
  <si>
    <t>Acto Raverta fotocopias</t>
  </si>
  <si>
    <t>Regalo Flor Ferrarazo - dev Bruni</t>
  </si>
  <si>
    <t>Retiro efvo.</t>
  </si>
  <si>
    <t>Deuda él al 9/11/2021</t>
  </si>
  <si>
    <t>Felix - devolución deuda</t>
  </si>
  <si>
    <t xml:space="preserve"> </t>
  </si>
  <si>
    <t>Chino bazar</t>
  </si>
  <si>
    <t>Dietética Pilar</t>
  </si>
  <si>
    <t>Regalo Fel - fotos</t>
  </si>
  <si>
    <t>Regalo Fel - cotillón + fotos</t>
  </si>
  <si>
    <t>Regalo Fel - torta + panes de papá</t>
  </si>
  <si>
    <t>Oss café 16-11</t>
  </si>
  <si>
    <t>Deuda ya devuelta</t>
  </si>
  <si>
    <t>Deuda él al 16/11/2021</t>
  </si>
  <si>
    <t>Devolución deuda felix</t>
  </si>
  <si>
    <t>Dev deuda fel 16-11</t>
  </si>
  <si>
    <t>TOTAL al 17-11</t>
  </si>
  <si>
    <t>Fel chino + alfombras</t>
  </si>
  <si>
    <t>Regalo mike - devolución hnos por torta marce</t>
  </si>
  <si>
    <t xml:space="preserve">Córdoba - pago alojamiento </t>
  </si>
  <si>
    <t>Préstamo fel Córdoba</t>
  </si>
  <si>
    <t>Préstamo fel torta papá</t>
  </si>
  <si>
    <t>Intereses por plata en cuenta</t>
  </si>
  <si>
    <t>Galpón 50</t>
  </si>
  <si>
    <t>Mantel mio feria (marrón decolorido)</t>
  </si>
  <si>
    <t xml:space="preserve">Regalo tía </t>
  </si>
  <si>
    <t>Movieclub 11/2021 (transf. Papá)</t>
  </si>
  <si>
    <t>Agua ivess al 24/11</t>
  </si>
  <si>
    <t>TOTAL al 29-11</t>
  </si>
  <si>
    <t>La Juvenil</t>
  </si>
  <si>
    <t>Regalo facu - mecánico Muni</t>
  </si>
  <si>
    <t>Compras 29-11</t>
  </si>
  <si>
    <t>Sueldo noviembre 2021</t>
  </si>
  <si>
    <t>Extraccion efvo.</t>
  </si>
  <si>
    <t>New garden - para cordoba</t>
  </si>
  <si>
    <t>Nafta viaje Córdoba</t>
  </si>
  <si>
    <t>Regalo pau cumple</t>
  </si>
  <si>
    <t>Deuda para con Félix al 5/12</t>
  </si>
  <si>
    <t>Seguro + patente papá 12/2021</t>
  </si>
  <si>
    <t>Teléfono 12/2021</t>
  </si>
  <si>
    <t>Tawa - regalo maru</t>
  </si>
  <si>
    <t>Córdoba - comida mediodia</t>
  </si>
  <si>
    <t xml:space="preserve">Eco </t>
  </si>
  <si>
    <t>Yoga 12/2021</t>
  </si>
  <si>
    <t>Carne sábado cc Felix, Nacho e Iru</t>
  </si>
  <si>
    <t>Devolución Euge Regalo Marcusa</t>
  </si>
  <si>
    <t>Movieclub 12/2021</t>
  </si>
  <si>
    <t xml:space="preserve">Dev. Fel 14/12/2021 </t>
  </si>
  <si>
    <t>Super - jumbo paseo pilar</t>
  </si>
  <si>
    <t>Olivia</t>
  </si>
  <si>
    <t>Yerba + devolución Euge comida china</t>
  </si>
  <si>
    <t>Intereses en cuenta</t>
  </si>
  <si>
    <t>Natalia - sesión 22/12/2021</t>
  </si>
  <si>
    <t>SAC 2do</t>
  </si>
  <si>
    <t>Bono navidad</t>
  </si>
  <si>
    <t>Rock and fellers rochi y bruno</t>
  </si>
  <si>
    <t>La Tablita</t>
  </si>
  <si>
    <t>Libro pablo</t>
  </si>
  <si>
    <t>Deuda anterior</t>
  </si>
  <si>
    <t xml:space="preserve">Super - jumbo  </t>
  </si>
  <si>
    <t>Cuota 1 - chonas</t>
  </si>
  <si>
    <t>Deuda él al 22/12</t>
  </si>
  <si>
    <t>TOTAL 22/12</t>
  </si>
  <si>
    <t>Vinos compra 22/12</t>
  </si>
  <si>
    <t>transf. 22/12</t>
  </si>
  <si>
    <t>Deuda fel al 22/12/2021</t>
  </si>
  <si>
    <t>Bono extra (martin efvo)</t>
  </si>
  <si>
    <t>Nafta costa I</t>
  </si>
  <si>
    <t>Birra hermanos Fel</t>
  </si>
  <si>
    <t>Deuda Bruno</t>
  </si>
  <si>
    <t>Tin costa I - balance financiero</t>
  </si>
  <si>
    <t>Jumbo - tender</t>
  </si>
  <si>
    <t>Panadería chicas potenciar</t>
  </si>
  <si>
    <t>Barbas euge e isaac</t>
  </si>
  <si>
    <t>Barbas - devolución euge</t>
  </si>
  <si>
    <t>-</t>
  </si>
  <si>
    <t>Sueldo diciembre 2021</t>
  </si>
  <si>
    <t xml:space="preserve">Muelle al mar costa II </t>
  </si>
  <si>
    <t>Él para conmigo dic 2021</t>
  </si>
  <si>
    <t>Anafe hermanos</t>
  </si>
  <si>
    <t>Sushi pop</t>
  </si>
  <si>
    <t>Deuda Fel al 02/01/2022</t>
  </si>
  <si>
    <t>Marlene - mano cerámica</t>
  </si>
  <si>
    <t>Almuerzo cc Bruno y Rochi</t>
  </si>
  <si>
    <t>Maria - cambio efectivo</t>
  </si>
  <si>
    <t>Regalo Mamá</t>
  </si>
  <si>
    <t xml:space="preserve">Retiro efectivo </t>
  </si>
  <si>
    <t>.</t>
  </si>
  <si>
    <t>Ashu - cena chicas</t>
  </si>
  <si>
    <t>Ashu - cena chicas (dev. Mora)</t>
  </si>
  <si>
    <t>Saldo en cuenta</t>
  </si>
  <si>
    <t>Bonprix</t>
  </si>
  <si>
    <t>Sushi carmel 1-19</t>
  </si>
  <si>
    <t>Compras comunitarias Carmel</t>
  </si>
  <si>
    <t>Nafta Córdoba</t>
  </si>
  <si>
    <t>Ajedrez</t>
  </si>
  <si>
    <t>Crema + azucar Carmel</t>
  </si>
  <si>
    <t>Almuerzo COMER china</t>
  </si>
  <si>
    <t>Overo propina</t>
  </si>
  <si>
    <t xml:space="preserve">Overo  </t>
  </si>
  <si>
    <t>Expensas 01/2021</t>
  </si>
  <si>
    <t>Efectivo inicial</t>
  </si>
  <si>
    <t>Seguro + patente papá 01/2022</t>
  </si>
  <si>
    <t>Ashu - cena chicas (dev. Maca)</t>
  </si>
  <si>
    <t>Extracción efvo. RIPSA</t>
  </si>
  <si>
    <t>La Costa III - Mac viaje ida</t>
  </si>
  <si>
    <t>Sueldo enero 2021</t>
  </si>
  <si>
    <t>La Costa III - facturas</t>
  </si>
  <si>
    <t>La Costa III - Havanna</t>
  </si>
  <si>
    <t>Agenda Pez Encuadernación</t>
  </si>
  <si>
    <t>Devolución electron</t>
  </si>
  <si>
    <t>Yoga 02/2022</t>
  </si>
  <si>
    <t>Seguro + patente papá 02/2022</t>
  </si>
  <si>
    <t>PLATA MARIA (cuidado)</t>
  </si>
  <si>
    <t>Shopping - CROP</t>
  </si>
  <si>
    <t>Super - jumbo</t>
  </si>
  <si>
    <t>Extracción efvo</t>
  </si>
  <si>
    <t>Shopping - AYNOT</t>
  </si>
  <si>
    <t>San Telmo - BAR EL FEDERAL</t>
  </si>
  <si>
    <t>Rapanui</t>
  </si>
  <si>
    <t>Fika 05/02</t>
  </si>
  <si>
    <t>Fika 05/02 propina</t>
  </si>
  <si>
    <t>Compras comunitarias 01/02</t>
  </si>
  <si>
    <t>Panaderia felix</t>
  </si>
  <si>
    <t>Naturgy 01/2022</t>
  </si>
  <si>
    <t>Chino carmel fel</t>
  </si>
  <si>
    <t>Carrefour fel carmel</t>
  </si>
  <si>
    <t>Chino terrazas (nuggets)</t>
  </si>
  <si>
    <t>Fika fel</t>
  </si>
  <si>
    <t>Él para conmigo al 06/22</t>
  </si>
  <si>
    <t>Anillo Las Pepas</t>
  </si>
  <si>
    <t>CUOTAS PAPA MACRO</t>
  </si>
  <si>
    <t>Cine 06/02 Licore</t>
  </si>
  <si>
    <t>Movieclub 02/2022</t>
  </si>
  <si>
    <t>Ivess 26/01</t>
  </si>
  <si>
    <t>Cachacha 09/02</t>
  </si>
  <si>
    <t>Choripan 07/02</t>
  </si>
  <si>
    <t>Mac 09/02</t>
  </si>
  <si>
    <t>Compras comunitarias 09/02</t>
  </si>
  <si>
    <t>Ivess 09/02</t>
  </si>
  <si>
    <t>Carrefour</t>
  </si>
  <si>
    <t>Deuda Fel al 10/02/2022</t>
  </si>
  <si>
    <t>Carrefour champagnat</t>
  </si>
  <si>
    <t>Deuda saldada transferencia 10/02</t>
  </si>
  <si>
    <t>Deuda félix al 10/02/2022</t>
  </si>
  <si>
    <t>RIPSA</t>
  </si>
  <si>
    <t>L'Artisan cc Tin</t>
  </si>
  <si>
    <t>Devolución Maria (cartucheras)</t>
  </si>
  <si>
    <t>Maria (cartucheras)</t>
  </si>
  <si>
    <t>Cinepolis cc Tin y Félix</t>
  </si>
  <si>
    <t>L'Artisan cc Félix (día de los ena)</t>
  </si>
  <si>
    <t>Martín deuda al momento</t>
  </si>
  <si>
    <t>Super - Eco</t>
  </si>
  <si>
    <t>Condensador ML</t>
  </si>
  <si>
    <t>Préstamos Felix</t>
  </si>
  <si>
    <t>Devolución Pedro año nuevo</t>
  </si>
  <si>
    <t>Almuerzo - empanadas</t>
  </si>
  <si>
    <t>PLATA MARIA (devolución)</t>
  </si>
  <si>
    <t>EXtracción efvo</t>
  </si>
  <si>
    <t>Almuerzo - alma natura</t>
  </si>
  <si>
    <t>Préstamo Felix plata</t>
  </si>
  <si>
    <t>Barrio Chino</t>
  </si>
  <si>
    <t>Sueldo 02/2022</t>
  </si>
  <si>
    <t>Super - Dia cc Reni FINES</t>
  </si>
  <si>
    <t xml:space="preserve">Almuerzo. </t>
  </si>
  <si>
    <t>Ceramica 03/2022 (cc tin)</t>
  </si>
  <si>
    <t>Anafe cc tin</t>
  </si>
  <si>
    <t>Compras comunitarias 23-02</t>
  </si>
  <si>
    <t>Mishka</t>
  </si>
  <si>
    <t>Complot</t>
  </si>
  <si>
    <t>Chinampas 23/02</t>
  </si>
  <si>
    <t xml:space="preserve">La tablita </t>
  </si>
  <si>
    <t>Bono municipal 02/2022</t>
  </si>
  <si>
    <t>Fika cc Euge y Felix</t>
  </si>
  <si>
    <t>Galpón 50 - asunción Manu</t>
  </si>
  <si>
    <t xml:space="preserve">San Telmo - taller </t>
  </si>
  <si>
    <t>Fika cc Rochi</t>
  </si>
  <si>
    <t>Fika casa chicas</t>
  </si>
  <si>
    <t>Barbas cc Félix</t>
  </si>
  <si>
    <t>Santa Elena</t>
  </si>
  <si>
    <t>Natalia - sesión 10/03/2022</t>
  </si>
  <si>
    <t>Santa Elena (dev. Bruno)</t>
  </si>
  <si>
    <t>Chungo (rocosos)</t>
  </si>
  <si>
    <t>Ravioles - la juvenil</t>
  </si>
  <si>
    <t>Supermercado - Jumbo</t>
  </si>
  <si>
    <t>Deuda p/conmigo 02</t>
  </si>
  <si>
    <t>Yoga 03/2022</t>
  </si>
  <si>
    <t>Seguro + patente papá 03/2022</t>
  </si>
  <si>
    <t>Cuotas 1 y 2 Macro</t>
  </si>
  <si>
    <t>Asado 13/02</t>
  </si>
  <si>
    <t>Asado 13/02 (chino y verdu)</t>
  </si>
  <si>
    <t>Asado 13/02 (BONPRIX)</t>
  </si>
  <si>
    <t>Expensas terrazas 03/2022</t>
  </si>
  <si>
    <t>Naturgy 02/2022</t>
  </si>
  <si>
    <t>TOTAL AL 13</t>
  </si>
  <si>
    <t>Deuda p/conmigo al 13/02</t>
  </si>
  <si>
    <t>Medias euge</t>
  </si>
  <si>
    <t>Natalia - sesión 23/03/2022</t>
  </si>
  <si>
    <t>Chino vacio</t>
  </si>
  <si>
    <t>Supermercado - chino lomada</t>
  </si>
  <si>
    <t>Supermercado - eco (flia)</t>
  </si>
  <si>
    <t>Supermercado - Jumbo (superclasico)</t>
  </si>
  <si>
    <t>Empanadas shell CJ</t>
  </si>
  <si>
    <t>Regalo facu</t>
  </si>
  <si>
    <t>Felix la tablita 20/03</t>
  </si>
  <si>
    <t>Pizza cc ashu</t>
  </si>
  <si>
    <t>Juanchis 03/2022</t>
  </si>
  <si>
    <t>Préstamos a mi</t>
  </si>
  <si>
    <t>Barbas lunes 14/03</t>
  </si>
  <si>
    <t>Deuda p/conmigo al 20/03</t>
  </si>
  <si>
    <t>TOTAL AL 20</t>
  </si>
  <si>
    <t>Casa nueza</t>
  </si>
  <si>
    <t>Casa nueza compra casa cc fel</t>
  </si>
  <si>
    <t>Remeras día de la memoria</t>
  </si>
  <si>
    <t>CJ - en su tinta</t>
  </si>
  <si>
    <t>Día de la memoria - Santa Evita</t>
  </si>
  <si>
    <t>Ivess 23/03</t>
  </si>
  <si>
    <t>Compras comunitarias 22-03</t>
  </si>
  <si>
    <t>Barbas + empanadas mias e iñaki</t>
  </si>
  <si>
    <t>TOTAL AL 26</t>
  </si>
  <si>
    <t>Edenor 01, 02 y 03/2022</t>
  </si>
  <si>
    <t>Deuda Félix al 26/03/2022</t>
  </si>
  <si>
    <t>Transferido 26/03</t>
  </si>
  <si>
    <t>Ceramica 04/2022</t>
  </si>
  <si>
    <t>Cinepolis - pochoclos cc tin</t>
  </si>
  <si>
    <t>Comida afuera - mc cc tin</t>
  </si>
  <si>
    <t>Belleza - manos y pies</t>
  </si>
  <si>
    <t>Sueldo marzo 2022</t>
  </si>
  <si>
    <t>Comida mediodia - Flora chino</t>
  </si>
  <si>
    <t>Comida mediodia - Juan chiringuito</t>
  </si>
  <si>
    <t>Viaje Córdoba - fika para el viaje</t>
  </si>
  <si>
    <t>Comida afuera - l'artisan antes del viaje a Córdoba</t>
  </si>
  <si>
    <t>Viaje Córdoba - nafta</t>
  </si>
  <si>
    <t>Compras - sahumerios Buddhi</t>
  </si>
  <si>
    <t>Viaje Córdoba - comida sábado noche martu</t>
  </si>
  <si>
    <t>Viaje Córdoba - compras super vuelta</t>
  </si>
  <si>
    <t>Viaje Córdoba - buddhi almuerzo domingo</t>
  </si>
  <si>
    <t>Viaje Córdoba - compras vinos para casa</t>
  </si>
  <si>
    <t>Comida mediodia - flora chino</t>
  </si>
  <si>
    <t>Cuota 3 Macro</t>
  </si>
  <si>
    <t>Yoga 04/2022</t>
  </si>
  <si>
    <t>Viaje Córdoba (NAFTA)</t>
  </si>
  <si>
    <t>Transf 13/03</t>
  </si>
  <si>
    <t>Transf 5/4</t>
  </si>
  <si>
    <t>Veterinaria pioji 31/03</t>
  </si>
  <si>
    <t>Nuggets chino</t>
  </si>
  <si>
    <t>Verdu asado vegeta</t>
  </si>
  <si>
    <t>Chino asado vegeta</t>
  </si>
  <si>
    <t>Tortilla mediodia CJ</t>
  </si>
  <si>
    <t>Córdoba mediodia viernes rio</t>
  </si>
  <si>
    <t>Córdoba buddhi viernes noche</t>
  </si>
  <si>
    <t>Viaje Córdoba - devolución nafta ucky</t>
  </si>
  <si>
    <t>Salidas - cine tu devolución</t>
  </si>
  <si>
    <t>Ropa (transferencia Euge)</t>
  </si>
  <si>
    <t>Compras - supermercado</t>
  </si>
  <si>
    <t>Préstamo mamá</t>
  </si>
  <si>
    <t>Félix - rocoso chungo</t>
  </si>
  <si>
    <t>Compras - new garden</t>
  </si>
  <si>
    <t>Devolución euge morfi</t>
  </si>
  <si>
    <t>Terrazas - deuda Muni Pilar TSG</t>
  </si>
  <si>
    <t>Devolución tincho</t>
  </si>
  <si>
    <t>Compras - mac</t>
  </si>
  <si>
    <t>Compras - fika cerámica</t>
  </si>
  <si>
    <t>Nafta félix</t>
  </si>
  <si>
    <t>Devolución plata controles CJ</t>
  </si>
  <si>
    <t>Deuda euge</t>
  </si>
  <si>
    <t>CJ por controles TV y HDMI</t>
  </si>
  <si>
    <t>Compras - eco Lagartos sola</t>
  </si>
  <si>
    <t>Compras - almuerzo Pizza Cero + yerba euge</t>
  </si>
  <si>
    <t>Vino restarle a Félix</t>
  </si>
  <si>
    <t>Changu chiringuito viernes 22/04</t>
  </si>
  <si>
    <t>Préstamos efvo. félix sábado 23/04</t>
  </si>
  <si>
    <t>Cheddar juana hamburguesas</t>
  </si>
  <si>
    <t>Chino El Siglo</t>
  </si>
  <si>
    <t>Gomería</t>
  </si>
  <si>
    <t>Compras comunitarias 20/04</t>
  </si>
  <si>
    <t>Carbón asado chimo</t>
  </si>
  <si>
    <t>Naturgy 04/2022</t>
  </si>
  <si>
    <t>Carne asado chimo</t>
  </si>
  <si>
    <t>Bonprix chimo</t>
  </si>
  <si>
    <t>Compras comunitarias 13/04</t>
  </si>
  <si>
    <t>Helado shell felix</t>
  </si>
  <si>
    <t>Picada flia cartier</t>
  </si>
  <si>
    <t>Expensas 04/2022</t>
  </si>
  <si>
    <t>Compras comunitarias 06/04</t>
  </si>
  <si>
    <t>Juanchis 04/2022</t>
  </si>
  <si>
    <t>Ferretería</t>
  </si>
  <si>
    <t>Deuda para conmigo al 26/04</t>
  </si>
  <si>
    <t>TOTAL AL 26/04</t>
  </si>
  <si>
    <t>Deuda mamá</t>
  </si>
  <si>
    <t>Deuda mia</t>
  </si>
  <si>
    <t>EXPENSAS</t>
  </si>
  <si>
    <t>Edenor</t>
  </si>
  <si>
    <t>SERVICE</t>
  </si>
  <si>
    <t>Zérum</t>
  </si>
  <si>
    <t>Supuestamente tiene un 50%</t>
  </si>
  <si>
    <t>En 6 cuotas</t>
  </si>
  <si>
    <t>Deuda félix para conmigo al 26/04</t>
  </si>
  <si>
    <t>Paga 26/04</t>
  </si>
  <si>
    <t>Deuda iñaki y juan por almuerzo</t>
  </si>
  <si>
    <t>Sueldo 04/2022</t>
  </si>
  <si>
    <t>Juanchi's</t>
  </si>
  <si>
    <t>Seguro y patente</t>
  </si>
  <si>
    <t>Terapia</t>
  </si>
  <si>
    <t>Cerámica</t>
  </si>
  <si>
    <t>Deudas</t>
  </si>
  <si>
    <t>CONCEPTO / MES</t>
  </si>
  <si>
    <t>Tarjeta</t>
  </si>
  <si>
    <t>Fecha gasto</t>
  </si>
  <si>
    <t>Importe</t>
  </si>
  <si>
    <t>Cuotas</t>
  </si>
  <si>
    <t>Descripción gasto</t>
  </si>
  <si>
    <t>Santander women</t>
  </si>
  <si>
    <t>Estado</t>
  </si>
  <si>
    <t>Peluquería + gel rulos</t>
  </si>
  <si>
    <t>Papá</t>
  </si>
  <si>
    <t>Service</t>
  </si>
  <si>
    <t>Valor cuota</t>
  </si>
  <si>
    <t>Empieza…</t>
  </si>
  <si>
    <t>Broche Las Pepas</t>
  </si>
  <si>
    <t>Movieclub</t>
  </si>
  <si>
    <t>Termina…</t>
  </si>
  <si>
    <t xml:space="preserve">Santander </t>
  </si>
  <si>
    <t>Campera parca</t>
  </si>
  <si>
    <t>Campera 47 street</t>
  </si>
  <si>
    <t>Salidas - cine pochoclos</t>
  </si>
  <si>
    <t>Deuda flora - auto lavado</t>
  </si>
  <si>
    <t>Extras - ropa boli (maría me debe algo)</t>
  </si>
  <si>
    <t>Salidas - la tablita cc lu taranto</t>
  </si>
  <si>
    <t>Extras - bombachas (devolución euge)</t>
  </si>
  <si>
    <t>Extras - bombachas (devolución angie)</t>
  </si>
  <si>
    <t>Extras - bombachas Sophie Gerbasi</t>
  </si>
  <si>
    <t>Deuda p/conmigo - préstamo maru</t>
  </si>
  <si>
    <t>Super - new garden p/ viaje Córdoba</t>
  </si>
  <si>
    <t>Deuda flora - almuerzo comidas caseras</t>
  </si>
  <si>
    <t>Deuda juan - almuerzo comidas caseras</t>
  </si>
  <si>
    <t>Natalia - sesión 04/05/2022</t>
  </si>
  <si>
    <t>Natalia - sesión 19/05/2022</t>
  </si>
  <si>
    <t>Cuotas 05/2022 - Miguel Macro</t>
  </si>
  <si>
    <t>Extracción efvo. (tin)</t>
  </si>
  <si>
    <t>Extras - libro Abelardo Castillo</t>
  </si>
  <si>
    <t>Deuda p/conmigo - maru devolución</t>
  </si>
  <si>
    <t>Extracción efvo. (euge)</t>
  </si>
  <si>
    <t>Deuda p/conmigo - félix devolución</t>
  </si>
  <si>
    <t>Salidas - Lardo y Rosemary felix</t>
  </si>
  <si>
    <t>Córdoba - Nono Chichin</t>
  </si>
  <si>
    <t>Pedro</t>
  </si>
  <si>
    <t>Córdoba - dev. Maru B</t>
  </si>
  <si>
    <t>Córdoba - dev. Martu</t>
  </si>
  <si>
    <t>Córdoba - vino cc Euge</t>
  </si>
  <si>
    <t>Córdoba - almuerzo la Cumbre</t>
  </si>
  <si>
    <t>Córdoba - helado la Cumbre</t>
  </si>
  <si>
    <t>Córdoba - viaje de vuelta panadería</t>
  </si>
  <si>
    <t>Córdoba - YPF almuerzo</t>
  </si>
  <si>
    <t>Salidas - la juvenil ravioles</t>
  </si>
  <si>
    <t>Extras - ropa chaleco 1 Mari</t>
  </si>
  <si>
    <t>Super - gourmeteando</t>
  </si>
  <si>
    <t>Salidas - piantao</t>
  </si>
  <si>
    <t>Sueldo 05/2022</t>
  </si>
  <si>
    <t>Salidas - kansas cc Euge</t>
  </si>
  <si>
    <t>Salidas - fika desayuno cc Fel</t>
  </si>
  <si>
    <t>Salidas - panadería roca viernes CJ</t>
  </si>
  <si>
    <t>Salidas - PAIA lentejas de chocolate</t>
  </si>
  <si>
    <t>Recordar teatro que pague por todes</t>
  </si>
  <si>
    <t>Salidas - teatro + morfi tomi y maru</t>
  </si>
  <si>
    <t>Super - yerba Tolteca</t>
  </si>
  <si>
    <t>Cerámica 06/2022</t>
  </si>
  <si>
    <t>Seguro + patente papá 06/2022</t>
  </si>
  <si>
    <t>Cuotas tarjeta 06/2022 (a Miguel Macro)</t>
  </si>
  <si>
    <t>Natalia - sesión 09/06/2022</t>
  </si>
  <si>
    <t>Deuda p/conmigo - Maru regalo anto Córdoba</t>
  </si>
  <si>
    <t>Deuda p/conmigo - Flor almuerzo CJ</t>
  </si>
  <si>
    <t>Cumpleañito - Marlene empanadas</t>
  </si>
  <si>
    <t>Super - mercado de bebidas maru</t>
  </si>
  <si>
    <t>Me pagó 450 en efectivo, netea esto</t>
  </si>
  <si>
    <t xml:space="preserve">Super - mercado de bebidas </t>
  </si>
  <si>
    <t>Salidas - picada cena estudio marub</t>
  </si>
  <si>
    <t>Super - compras vinos MP drinks (tin)</t>
  </si>
  <si>
    <t>Extras - make up casamiento</t>
  </si>
  <si>
    <t>Juanchis 06/2022</t>
  </si>
  <si>
    <t>Expensas 06/2022</t>
  </si>
  <si>
    <t>Ivess al 08/05</t>
  </si>
  <si>
    <t>Regalo pablo flia</t>
  </si>
  <si>
    <t>Parillas los locos</t>
  </si>
  <si>
    <t>Verduleria 07/06</t>
  </si>
  <si>
    <t>Chino 07/06</t>
  </si>
  <si>
    <t>Mc domingo</t>
  </si>
  <si>
    <t>Cumple euge Rey de Copas</t>
  </si>
  <si>
    <t>Cumple euge estacionamiento</t>
  </si>
  <si>
    <t>Cumple euge makena</t>
  </si>
  <si>
    <t>Almuerzo 01/06</t>
  </si>
  <si>
    <t>Belcros easy</t>
  </si>
  <si>
    <t>CC 31/05</t>
  </si>
  <si>
    <t>Pianta jueves 02/06</t>
  </si>
  <si>
    <t>Alimento piojo 02/06</t>
  </si>
  <si>
    <t xml:space="preserve">Verduleria   </t>
  </si>
  <si>
    <t>Salida teatro tragos muher</t>
  </si>
  <si>
    <t>Entrada teatro</t>
  </si>
  <si>
    <t>Reserva DH</t>
  </si>
  <si>
    <t>REGALO PAPÁ</t>
  </si>
  <si>
    <t>LISTO</t>
  </si>
  <si>
    <t>Deuda él p/ conmigo al 10/06</t>
  </si>
  <si>
    <t>Maquilladora Lucila</t>
  </si>
  <si>
    <t>New garden 11/6</t>
  </si>
  <si>
    <t>Parmegianno 11/6</t>
  </si>
  <si>
    <t>Paltas 11/6</t>
  </si>
  <si>
    <t>Empanadas chiringuito 10/6</t>
  </si>
  <si>
    <t>Extras - café Lions martin y rochi</t>
  </si>
  <si>
    <t>Deuda p/conmigo - Martín regalo Pablo + helado Chungo</t>
  </si>
  <si>
    <t>Salidas - chungo viernes flia</t>
  </si>
  <si>
    <t>Deuda p/conmigo - Martín Mesa Lions</t>
  </si>
  <si>
    <t>Deuda p/conmigo - Martín eco lagartos</t>
  </si>
  <si>
    <t>Super - eco lagartos boludeces</t>
  </si>
  <si>
    <t>Sushi 12/6</t>
  </si>
  <si>
    <t>SAC 1/2 2022</t>
  </si>
  <si>
    <t>Super - parmegiano</t>
  </si>
  <si>
    <t xml:space="preserve">Extras - furatti </t>
  </si>
  <si>
    <t>Super - Casa China</t>
  </si>
  <si>
    <t>Bonprix birras antares + 2 vinos 19/6</t>
  </si>
  <si>
    <t>Deuda p/ con Tin (día del padre)</t>
  </si>
  <si>
    <t>Pianta sábado 18/6</t>
  </si>
  <si>
    <t>Piloto (regalo Fel)</t>
  </si>
  <si>
    <t>Yesica (pagué yo efectivo 16/6)</t>
  </si>
  <si>
    <t>Huevos (fel le pagó a ucky)</t>
  </si>
  <si>
    <t>CC 14/06</t>
  </si>
  <si>
    <t>Deuda él p/ conmigo del 10/06 al 19/06</t>
  </si>
  <si>
    <t>TOTAL AL 09/06/2022</t>
  </si>
  <si>
    <t>TOTAL AL 19/06/2022</t>
  </si>
  <si>
    <t>Transf. Fel 19/06 al Bapro</t>
  </si>
  <si>
    <t>Deuda p/ con Félix al 19/06</t>
  </si>
  <si>
    <t>Farmacia corte mio</t>
  </si>
  <si>
    <t>Deuda devolución - mamá</t>
  </si>
  <si>
    <t xml:space="preserve">Super - bonprix </t>
  </si>
  <si>
    <t>Deuda p/conmigo - almuerzo CJ</t>
  </si>
  <si>
    <t>Extras - juntada CJ por plenario uni (reni oh)</t>
  </si>
  <si>
    <t>Extras - panadería roca</t>
  </si>
  <si>
    <t>Extras - bazar vasos cortitos x 6</t>
  </si>
  <si>
    <t>Almuerzo (a Sebas Z - ensalada de mar)</t>
  </si>
  <si>
    <t>Sueldo 06/2022</t>
  </si>
  <si>
    <t>Deuda devolución - flora f</t>
  </si>
  <si>
    <t>Deuda él para conmigo de junio</t>
  </si>
  <si>
    <t>Salidas</t>
  </si>
  <si>
    <t>Super -</t>
  </si>
  <si>
    <t>Deuda p/conmigo -</t>
  </si>
  <si>
    <t>Extras - salida Euge Q</t>
  </si>
  <si>
    <t>MariaC?</t>
  </si>
  <si>
    <t>Super - eco lagartos</t>
  </si>
  <si>
    <t>Extras - chalecos Mari mujer Nico</t>
  </si>
  <si>
    <t>Natalia - sesión 07/07/2022</t>
  </si>
  <si>
    <t>Super - jumbo (chocolates)</t>
  </si>
  <si>
    <t>Devolución $ - félix efvo. + chocolate</t>
  </si>
  <si>
    <t>Seguro + patente papá 07/2022</t>
  </si>
  <si>
    <t>Cerámica 07/2022</t>
  </si>
  <si>
    <t>Yoga 07/2022</t>
  </si>
  <si>
    <t>Salidas - desayuno felix FIKA</t>
  </si>
  <si>
    <t>Salidas - bocha (tragos)</t>
  </si>
  <si>
    <t>Extras - vino rt</t>
  </si>
  <si>
    <t>Super - bonprix</t>
  </si>
  <si>
    <t>Salidas - teatro Colón (entradas todos)</t>
  </si>
  <si>
    <t>Devolución $ - teatro Colón (Manu, Lauti, Nikito x2)</t>
  </si>
  <si>
    <t>Expensas 07/2022 (mitad a Fel)</t>
  </si>
  <si>
    <t>Devolución $ - teatro Colón (LuT)</t>
  </si>
  <si>
    <t>Devolución $ - teatro Colón (Rochi)</t>
  </si>
  <si>
    <t>Devolución $ - teatro Colón (SebasZ x 2)</t>
  </si>
  <si>
    <t>Devolución $ - teatro Colón (Rena)</t>
  </si>
  <si>
    <t>Devolución $ - teatro Colón p/ Juan que compró otra tanda de entradas</t>
  </si>
  <si>
    <t>Extras - farmacia Paseo Pilar</t>
  </si>
  <si>
    <t>Extras - almuerzo Shell Ayres</t>
  </si>
  <si>
    <t>Salidas - Quiquia Tin (pago yo)</t>
  </si>
  <si>
    <t>Salidas - FIKA invitación Flor</t>
  </si>
  <si>
    <t>Devolución $ - teatro Colón (Iña)</t>
  </si>
  <si>
    <t>Devolución $ - mariab deuda vieja</t>
  </si>
  <si>
    <t xml:space="preserve">Hamburguesa </t>
  </si>
  <si>
    <t>Caja</t>
  </si>
  <si>
    <t xml:space="preserve">Pizzas y empanadas </t>
  </si>
  <si>
    <t>Chulengo Cj</t>
  </si>
  <si>
    <t>Negroni</t>
  </si>
  <si>
    <t>Compras comunitarias Fel</t>
  </si>
  <si>
    <t>Juanchis 07/2022</t>
  </si>
  <si>
    <t>Ivess Juanita</t>
  </si>
  <si>
    <t>Chino la lomada</t>
  </si>
  <si>
    <t>Bocha langostino</t>
  </si>
  <si>
    <t>Bocha - pizza Juana</t>
  </si>
  <si>
    <t>Bocha - armenio Fel</t>
  </si>
  <si>
    <t>Bocha - apunena Fel</t>
  </si>
  <si>
    <t>Cuotas tarjeta XX/2022 (a Miguel Macro)</t>
  </si>
  <si>
    <t>Natalia - sesión XX/XX/2022</t>
  </si>
  <si>
    <t>Cerámica XX/2022</t>
  </si>
  <si>
    <t>Seguro + patente papá XX/2022</t>
  </si>
  <si>
    <t>Índice</t>
  </si>
  <si>
    <t>Chino empanadas Fel</t>
  </si>
  <si>
    <t>Deuda él para conmigo al 20/07</t>
  </si>
  <si>
    <t>SUBTOTAL AL 20/07</t>
  </si>
  <si>
    <t>Pañuelos Maria Cher</t>
  </si>
  <si>
    <t>Peluquería</t>
  </si>
  <si>
    <t>Galerna (regalo MDW + poesia)</t>
  </si>
  <si>
    <t>Chino Fel</t>
  </si>
  <si>
    <t>Devolución $ - teatro Colón (Flora)</t>
  </si>
  <si>
    <t>Asado 24/7</t>
  </si>
  <si>
    <t>Carbón 24/7</t>
  </si>
  <si>
    <t>Chino 24/7</t>
  </si>
  <si>
    <t>Extras - la Juvenil</t>
  </si>
  <si>
    <t>Extras - revuelto tinto y soda</t>
  </si>
  <si>
    <t>SUBTOTAL AL 24/07</t>
  </si>
  <si>
    <t>Womanly</t>
  </si>
  <si>
    <t>Levis (cc Felix)</t>
  </si>
  <si>
    <t>Recordar que Fel hasta dic22 me debe esa plata del jean Levis</t>
  </si>
  <si>
    <t>Gastos fijos 07/2022</t>
  </si>
  <si>
    <t>transf. 24/07 desde el Santander</t>
  </si>
  <si>
    <t>Dev. Cuota 1/6 - Felix Levis</t>
  </si>
  <si>
    <t>Deuda p/ con Félix al 24/07</t>
  </si>
  <si>
    <t>Extras - prismas Vero</t>
  </si>
  <si>
    <t xml:space="preserve">Super - jumbo   </t>
  </si>
  <si>
    <t>Deuda p/conmigo al 07/2022</t>
  </si>
  <si>
    <t>Tarjeta Santander</t>
  </si>
  <si>
    <t>Tarjeta Macro</t>
  </si>
  <si>
    <t>Peajes</t>
  </si>
  <si>
    <t>Sueldo 07/2022</t>
  </si>
  <si>
    <t>Ropa - medias womanly</t>
  </si>
  <si>
    <t>Super - carrefour (extras viaje C)</t>
  </si>
  <si>
    <t>Córdoba - almuerzo YPF</t>
  </si>
  <si>
    <t>Devolución deuda mamá</t>
  </si>
  <si>
    <t>Almuerzo mediodía Shell cc Fel</t>
  </si>
  <si>
    <t>Devolución $ María (x darle efvo)</t>
  </si>
  <si>
    <t>Edenor 07/2022</t>
  </si>
  <si>
    <t>Naturgy 07/2022</t>
  </si>
  <si>
    <t>Deuda p/conmigo al 05/08</t>
  </si>
  <si>
    <t>Andrea 29/07 $1000 a Fel efvo.</t>
  </si>
  <si>
    <t>Lowells 02/08 efvo Chimo</t>
  </si>
  <si>
    <t>Chino 01/08 Fel</t>
  </si>
  <si>
    <t>Alimento Pioji 07/2022</t>
  </si>
  <si>
    <t>Cuota 2/6 - Levis (08/2022)</t>
  </si>
  <si>
    <t>Seguro + patente papá 08/2022</t>
  </si>
  <si>
    <t>Tarjeta Santander 07 y 08/2022</t>
  </si>
  <si>
    <t>Tarjeta Macro 07 y 08/2022</t>
  </si>
  <si>
    <t>Natalia - sesión 08/08/2022</t>
  </si>
  <si>
    <t>Yoga 08/2022</t>
  </si>
  <si>
    <t>CUOTA 3/6</t>
  </si>
  <si>
    <t>CUOTA 2/6</t>
  </si>
  <si>
    <t>Just</t>
  </si>
  <si>
    <t>Las pepas</t>
  </si>
  <si>
    <t>Compras c 09/08</t>
  </si>
  <si>
    <t>Efvo. préstamo Fel</t>
  </si>
  <si>
    <t xml:space="preserve">Andrea 12/08 </t>
  </si>
  <si>
    <t>Hambur mi barrio</t>
  </si>
  <si>
    <t>Chino 06/08 (tobis)</t>
  </si>
  <si>
    <t>Chino 06/08 (juana efvo)</t>
  </si>
  <si>
    <t>Chino 06/08 (felix efvo)</t>
  </si>
  <si>
    <t>Compras - yerba Euge 1kg</t>
  </si>
  <si>
    <t>Compras - yerba Euge 2kg</t>
  </si>
  <si>
    <t>Chino 12/08</t>
  </si>
  <si>
    <t>Extras - sushi cc Euge</t>
  </si>
  <si>
    <t>Almuerzo mediodía Mi Gusto</t>
  </si>
  <si>
    <t>Préstamo maria</t>
  </si>
  <si>
    <t>Extras - Piantao</t>
  </si>
  <si>
    <t>Expensas 08/2022</t>
  </si>
  <si>
    <t>Juanchis 08/2022</t>
  </si>
  <si>
    <t>Wifi 08/2022</t>
  </si>
  <si>
    <t>Fika 14/08</t>
  </si>
  <si>
    <t>Natalia - sesión 25/08/2022</t>
  </si>
  <si>
    <t>DEUDA PARA CON FEL 14/08</t>
  </si>
  <si>
    <t>VM Flybondi</t>
  </si>
  <si>
    <t>Perfumes (farmacia)</t>
  </si>
  <si>
    <t>Saldada con efectivo el jueves 18/08</t>
  </si>
  <si>
    <t>Deuda p/conmigo flor almuerzo</t>
  </si>
  <si>
    <t>Extras - regalo Juan</t>
  </si>
  <si>
    <t>Extras - piantao percu cc reni</t>
  </si>
  <si>
    <t>Extras - mostaza Cristina (me dieron efvo)</t>
  </si>
  <si>
    <t>Devolución $ Dani por mostaza</t>
  </si>
  <si>
    <t>Naturgy 08/2022</t>
  </si>
  <si>
    <t>Mostaza 22/08</t>
  </si>
  <si>
    <t>Conjunto tienda (polera y camisita)</t>
  </si>
  <si>
    <t>Devolución $ María préstamos</t>
  </si>
  <si>
    <t>Parme 24/08</t>
  </si>
  <si>
    <t>Extras - anillo Olivia</t>
  </si>
  <si>
    <t>Sueldo 08/2022</t>
  </si>
  <si>
    <t>Andrea 26/08</t>
  </si>
  <si>
    <t>Empanadas 26/08 La Rústica</t>
  </si>
  <si>
    <t>Compras comunitarias 24/08</t>
  </si>
  <si>
    <t>Queso camembert 28/08</t>
  </si>
  <si>
    <t>TOTAL CAJA AL 29/08</t>
  </si>
  <si>
    <t>Fika cc fel y topo</t>
  </si>
  <si>
    <t>Trasladada la deuda al 09/2022</t>
  </si>
  <si>
    <t>Deuda 08/2022 Félix p/conmigo</t>
  </si>
  <si>
    <t>Expensas 09/2022</t>
  </si>
  <si>
    <t>Juanchis 09/2022</t>
  </si>
  <si>
    <t>Wifi 09/2022</t>
  </si>
  <si>
    <t>CUOTA 3/6 levis</t>
  </si>
  <si>
    <t>Mercado de bebidas</t>
  </si>
  <si>
    <t>Devolución $ - regalo rochi</t>
  </si>
  <si>
    <t>MariaB 09/2022</t>
  </si>
  <si>
    <t>Regalo rochi</t>
  </si>
  <si>
    <t>Chino 02/09</t>
  </si>
  <si>
    <t>Estacionamiento marcha</t>
  </si>
  <si>
    <t>Asado carmel cc nachof</t>
  </si>
  <si>
    <t>Lavado auto (me pagó él)</t>
  </si>
  <si>
    <t>&gt; Transf. 03/09/2022</t>
  </si>
  <si>
    <t>Extras - comida movilización</t>
  </si>
  <si>
    <t>Extras</t>
  </si>
  <si>
    <t>VM - alojamiento</t>
  </si>
  <si>
    <t xml:space="preserve">Super </t>
  </si>
  <si>
    <t>Ceramica 09/2022</t>
  </si>
  <si>
    <t>Devolución $ - piantao euge</t>
  </si>
  <si>
    <t>Deuda p/cn felix</t>
  </si>
  <si>
    <t>Bono 09/2022</t>
  </si>
  <si>
    <t xml:space="preserve">Jumbo </t>
  </si>
  <si>
    <t>El siglo lunes 20/09</t>
  </si>
  <si>
    <t>Adelanto devolución deuda</t>
  </si>
  <si>
    <t>Compras comunitarias 21/09</t>
  </si>
  <si>
    <t>Jardinero enredadera</t>
  </si>
  <si>
    <t>Vacio Lu Taranto</t>
  </si>
  <si>
    <t>Huevos ucky 18/09</t>
  </si>
  <si>
    <t>Piantao 18/09</t>
  </si>
  <si>
    <t>Andrea 17/09</t>
  </si>
  <si>
    <t>Carrefour (cdo estabamos en Carmel)</t>
  </si>
  <si>
    <t>Hambur Mene + serenito</t>
  </si>
  <si>
    <t>Compras comunitarias 14/09</t>
  </si>
  <si>
    <t>Efectivo fel</t>
  </si>
  <si>
    <t>Supers 12/09</t>
  </si>
  <si>
    <t>Jumbo (19/09 pague con macro)</t>
  </si>
  <si>
    <t>&gt; Transf. 21/09/2022</t>
  </si>
  <si>
    <t>Comida almuerzo flor</t>
  </si>
  <si>
    <t>Comida medialunas flor</t>
  </si>
  <si>
    <t>Extras fika fel</t>
  </si>
  <si>
    <t>Sueldo 09/2022</t>
  </si>
  <si>
    <t>Extras - esmalte fortificador</t>
  </si>
  <si>
    <t>Natalia - sesión 30/09</t>
  </si>
  <si>
    <t>Extras - programadores y córdoba</t>
  </si>
  <si>
    <t>Córdoba - nafta (ida)</t>
  </si>
  <si>
    <t>Córdoba - nafta (vuelta)</t>
  </si>
  <si>
    <t xml:space="preserve">Teléfono </t>
  </si>
  <si>
    <t>Natalia - sesión 11/10</t>
  </si>
  <si>
    <t>Tarjeta macro 10/2022</t>
  </si>
  <si>
    <t>Tarjeta santander 10/2022</t>
  </si>
  <si>
    <t>Deuda mamá del 09/2022</t>
  </si>
  <si>
    <t>Seguro + patente papá 10/2022</t>
  </si>
  <si>
    <t>Carniceria 07/10</t>
  </si>
  <si>
    <t>Verdulería 07/10</t>
  </si>
  <si>
    <t>Chino 07/10</t>
  </si>
  <si>
    <t>Grido Casa Joven</t>
  </si>
  <si>
    <t>Hamburs caseras fel</t>
  </si>
  <si>
    <t>Parque pilar joven efvo que fel me dio</t>
  </si>
  <si>
    <t>Expensas 10/2022</t>
  </si>
  <si>
    <t>Limpieza</t>
  </si>
  <si>
    <t>Fika - pan casa</t>
  </si>
  <si>
    <t>Yerba Tolteca</t>
  </si>
  <si>
    <t>Almuerzo laburo</t>
  </si>
  <si>
    <t>Préstamo Tin para mi</t>
  </si>
  <si>
    <t>Bonprix para cumple de nachoF</t>
  </si>
  <si>
    <t>Compras comunitarias 18/10</t>
  </si>
  <si>
    <t>Cena Juancho Compañero Diaz Roig</t>
  </si>
  <si>
    <t>Cabaña Juramento Juana</t>
  </si>
  <si>
    <t>Chino y verdulería 11/10</t>
  </si>
  <si>
    <t>Chinampas Juana 11/10</t>
  </si>
  <si>
    <t>Chinampas Félix 11/10</t>
  </si>
  <si>
    <t>Chino 10/10</t>
  </si>
  <si>
    <t>Juani efvo a fel patronales</t>
  </si>
  <si>
    <t>Chino 09/10</t>
  </si>
  <si>
    <t>Jumbo 18/10</t>
  </si>
  <si>
    <t>Andrea 14/10</t>
  </si>
  <si>
    <t>Fika y bonprix nacho</t>
  </si>
  <si>
    <t>Ivess al 19/10</t>
  </si>
  <si>
    <t>Deuda félix p/conmigo</t>
  </si>
  <si>
    <t>Almuerzo laburo - empanadas (dev. Candi y Juan)</t>
  </si>
  <si>
    <t>Teatro Colón</t>
  </si>
  <si>
    <t>Me hizo la transf el 19/10</t>
  </si>
  <si>
    <t>Comida topo y pipe</t>
  </si>
  <si>
    <t>Eco 21/10</t>
  </si>
  <si>
    <t>Regalo aimé</t>
  </si>
  <si>
    <t>Almuerzo laburo - empanadas (dev. Meli)</t>
  </si>
  <si>
    <t>Super - eco</t>
  </si>
  <si>
    <t>Sueldo 10/2022</t>
  </si>
  <si>
    <t>Tinto y soda 31/10</t>
  </si>
  <si>
    <t xml:space="preserve">Colon cumple maru </t>
  </si>
  <si>
    <t>Préstamos efectivo felix</t>
  </si>
  <si>
    <t>Ravioles ucky 29/10</t>
  </si>
  <si>
    <t>Andrea 29/10</t>
  </si>
  <si>
    <t>Chino 28/10</t>
  </si>
  <si>
    <t>Regalo ucky</t>
  </si>
  <si>
    <t>Anillo pie</t>
  </si>
  <si>
    <t>Extras - salida Colón cumple maru</t>
  </si>
  <si>
    <t>Devolución - préstamo tin</t>
  </si>
  <si>
    <t>Regalo aimé (dev. Maru)</t>
  </si>
  <si>
    <t>Tarjeta Santander + teléfono (mamá)</t>
  </si>
  <si>
    <t>Tarjeta Macro + segpat (papá)</t>
  </si>
  <si>
    <t>Wifi 11/2022</t>
  </si>
  <si>
    <t>CUOTA 5/6 levis</t>
  </si>
  <si>
    <t>CUOTA 5/6</t>
  </si>
  <si>
    <t>CUOTA 2/3</t>
  </si>
  <si>
    <t xml:space="preserve">New garden </t>
  </si>
  <si>
    <t>Juanchis y marias 11/2022</t>
  </si>
  <si>
    <t>Carrefour 02/11</t>
  </si>
  <si>
    <t>Expensas 11/2022</t>
  </si>
  <si>
    <t>Compras comunitarias 02/11</t>
  </si>
  <si>
    <t>Efectivo para mí</t>
  </si>
  <si>
    <t>Felix al 02/11</t>
  </si>
  <si>
    <t>Felix al 02/11 transf. desde el Provincia</t>
  </si>
  <si>
    <t>Provincia</t>
  </si>
  <si>
    <t>Efectivo</t>
  </si>
  <si>
    <t>TOTAL CAJA</t>
  </si>
  <si>
    <t>Regalo flora (euge)</t>
  </si>
  <si>
    <t>Extras - calzas yoga</t>
  </si>
  <si>
    <t>Regalo Fel - fotolibro</t>
  </si>
  <si>
    <t>Flora - anteojos</t>
  </si>
  <si>
    <t>Farmacia Paseo Pilar</t>
  </si>
  <si>
    <t>Extras - Edelweiss</t>
  </si>
  <si>
    <t>Regalo Fel - Barbas</t>
  </si>
  <si>
    <t>Natalia - sesión 16/11/2022</t>
  </si>
  <si>
    <t>CAJAS</t>
  </si>
  <si>
    <t>Gastos fijos - Tel viso 10 y 11/2022</t>
  </si>
  <si>
    <t>Wifi 10 y 11 que fel no había pagado</t>
  </si>
  <si>
    <t>Fika jueves 17/11</t>
  </si>
  <si>
    <t>Empanadas mi gusto</t>
  </si>
  <si>
    <t>Piantao 11/11</t>
  </si>
  <si>
    <t>Andrea 11/11</t>
  </si>
  <si>
    <t>Andrea 18/11</t>
  </si>
  <si>
    <t>Asado CJ 4/44</t>
  </si>
  <si>
    <t>Hielo</t>
  </si>
  <si>
    <t>Regalo flora</t>
  </si>
  <si>
    <t>Piantao 06/11</t>
  </si>
  <si>
    <t>Panaderia 06/11</t>
  </si>
  <si>
    <t>Ucky huevos 03/11</t>
  </si>
  <si>
    <t>Ivess 03/11</t>
  </si>
  <si>
    <t>Bono nov2022</t>
  </si>
  <si>
    <t>Regalo Fel - torta</t>
  </si>
  <si>
    <t>Deuda fel del 3/11 al 15/11</t>
  </si>
  <si>
    <t>TOTAL AL 17/11</t>
  </si>
  <si>
    <t>Felix al 17/11 efvo. en el sillón</t>
  </si>
  <si>
    <t>Super - Parmeggiano</t>
  </si>
  <si>
    <t>Super - Eco Lagartos</t>
  </si>
  <si>
    <t>Ivess al 18/11</t>
  </si>
  <si>
    <t>Chino queso tarta etc 22/11</t>
  </si>
  <si>
    <t>Gastos JC al 23/11</t>
  </si>
  <si>
    <t>Félix hasta 17/11</t>
  </si>
  <si>
    <t>Andrea 25/11</t>
  </si>
  <si>
    <t>Regalo mio - Pepe</t>
  </si>
  <si>
    <t>Regalo papá - dev. Pepe</t>
  </si>
  <si>
    <t>Extras - Tinto y Soda (nat y eu)</t>
  </si>
  <si>
    <t>Regalo mio - Maru</t>
  </si>
  <si>
    <t>Super - chino capital (mio solo)</t>
  </si>
  <si>
    <t>Super - La Eco</t>
  </si>
  <si>
    <t>Regalo Papá + regalito Fel</t>
  </si>
  <si>
    <t>Regalo papá - torta</t>
  </si>
  <si>
    <t>Andrea 02/12 + mac domingo 03/12</t>
  </si>
  <si>
    <t>Pipeta + pizzas (CJ Uni)</t>
  </si>
  <si>
    <t>Compras comunitarias 29/11</t>
  </si>
  <si>
    <t>Luz y gas al 11/2022</t>
  </si>
  <si>
    <t>Efvo. Juan que me prestó</t>
  </si>
  <si>
    <t>Sueldo 11/2022</t>
  </si>
  <si>
    <t>Super - eco Caamaño</t>
  </si>
  <si>
    <t>Extras - Cena maruB</t>
  </si>
  <si>
    <t>Regalo mio - Tin</t>
  </si>
  <si>
    <t>Extras - de Tanos Galpón 50</t>
  </si>
  <si>
    <t>Deuda p/conmigo al 2/12</t>
  </si>
  <si>
    <t>Félix del 17/11 al 02/12</t>
  </si>
  <si>
    <t>Porto Pizza 02/12</t>
  </si>
  <si>
    <t>Maria Rivolta</t>
  </si>
  <si>
    <t>Bikinis Las Titas</t>
  </si>
  <si>
    <t>CUOTA 6/6 levis</t>
  </si>
  <si>
    <t>Wifi 12/2022</t>
  </si>
  <si>
    <t>TOTAL AL 02/12</t>
  </si>
  <si>
    <t>Félix al 02/12 efvo. en el sillón</t>
  </si>
  <si>
    <t>Mudanza - reserva</t>
  </si>
  <si>
    <t>Córdoba - curso</t>
  </si>
  <si>
    <t>Córdoba - alojamiento</t>
  </si>
  <si>
    <t>Juanchis 12/2022 (falta transferir)</t>
  </si>
  <si>
    <t>Córdoba - Buddhi</t>
  </si>
  <si>
    <t>Extras - farmacia esmaltes</t>
  </si>
  <si>
    <t>Gastos fijos mamá</t>
  </si>
  <si>
    <t>Gastos fijos papá</t>
  </si>
  <si>
    <t>Juanchis 12/2022 (transf completa)</t>
  </si>
  <si>
    <t>Córdoba - Paz y Flora (dev martu)</t>
  </si>
  <si>
    <t>Córdoba - dev. MaruB</t>
  </si>
  <si>
    <t>Venta dólares (300) a Tin</t>
  </si>
  <si>
    <t>Préstamo Maru dólares (100)</t>
  </si>
  <si>
    <t>Maru 200 dol</t>
  </si>
  <si>
    <t>Regalo Tin (billetera Posco)</t>
  </si>
  <si>
    <t>Paltas pop up</t>
  </si>
  <si>
    <t>Limas pop up</t>
  </si>
  <si>
    <t>Albahaca verdu 12-12</t>
  </si>
  <si>
    <t>Sandía + almacén natural 12-12</t>
  </si>
  <si>
    <t>TOTAL AL 13/12</t>
  </si>
  <si>
    <t>Regalo Tin - dev. Pepi</t>
  </si>
  <si>
    <t>Córdoba - dev. Juan + otros</t>
  </si>
  <si>
    <t>Aguinaldo 2/2 2022</t>
  </si>
  <si>
    <t>Flora</t>
  </si>
  <si>
    <t>Expensas 12/2022</t>
  </si>
  <si>
    <t>Oisly</t>
  </si>
  <si>
    <t>Venta dólares (300) a Tin (faltaba este puchito)</t>
  </si>
  <si>
    <t>Extras - sushi pop</t>
  </si>
  <si>
    <t>Dev. Maru (regalo tin 15000)</t>
  </si>
  <si>
    <t>Ropa Bendito Pie</t>
  </si>
  <si>
    <t>Regalo Remera Fel</t>
  </si>
  <si>
    <t>Agenda 2023 mia</t>
  </si>
  <si>
    <t>Euge</t>
  </si>
  <si>
    <t>Bono 12/2022</t>
  </si>
  <si>
    <t>Kansas euge</t>
  </si>
  <si>
    <t>Dev. Euge Kansas</t>
  </si>
  <si>
    <t>Vela Tronco Mili</t>
  </si>
  <si>
    <t>Super El Siglo</t>
  </si>
  <si>
    <t>Super la espiga de oro</t>
  </si>
  <si>
    <t>Natalia - sesión 28/12/2022</t>
  </si>
  <si>
    <t>Cena Tin y Agus La Isla</t>
  </si>
  <si>
    <t>Regalo mamá navidad</t>
  </si>
  <si>
    <t>Sueldo 12/2022</t>
  </si>
  <si>
    <t>Verdu 20/12</t>
  </si>
  <si>
    <t>Ivess al 28/12</t>
  </si>
  <si>
    <t>Compras comunitarias 20/12</t>
  </si>
  <si>
    <t>Andre</t>
  </si>
  <si>
    <t>Foderone</t>
  </si>
  <si>
    <t>Edenor al 12/2022</t>
  </si>
  <si>
    <t>Alfombra limpia</t>
  </si>
  <si>
    <t>Naturgy al 12/2022</t>
  </si>
  <si>
    <t>Impuesto municipal al 12/2022</t>
  </si>
  <si>
    <t>Fel al 12/2022</t>
  </si>
  <si>
    <t>Male cel</t>
  </si>
  <si>
    <t>Transferido Provincia 01/01/2023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</si>
</sst>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mmm\-yy;@"/>
  </numFmts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ED2AAF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ED2AAF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Open Sans"/>
    </font>
    <font>
      <sz val="11"/>
      <color rgb="FF000000"/>
      <name val="Arial"/>
      <family val="2"/>
    </font>
    <font>
      <sz val="12"/>
      <color theme="9" tint="0.39997558519241921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4"/>
      <color theme="1"/>
      <name val="Open Sans"/>
    </font>
    <font>
      <sz val="12"/>
      <color theme="0" tint="-0.49998474074526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color rgb="FFFFC000"/>
      <name val="Calibri"/>
      <family val="2"/>
      <scheme val="minor"/>
    </font>
    <font>
      <sz val="18"/>
      <color rgb="FF000000"/>
      <name val="Calibri"/>
      <family val="2"/>
    </font>
    <font>
      <sz val="14"/>
      <color theme="6" tint="-0.24997711111789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14"/>
      <color theme="1"/>
      <name val="Open Sans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DEC9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BFFE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6">
    <xf numFmtId="0" fontId="0" fillId="0" borderId="0" xfId="0"/>
    <xf numFmtId="0" fontId="0" fillId="0" borderId="1" xfId="0" applyBorder="1"/>
    <xf numFmtId="16" fontId="0" fillId="0" borderId="1" xfId="0" applyNumberFormat="1" applyBorder="1"/>
    <xf numFmtId="44" fontId="0" fillId="0" borderId="1" xfId="1" applyFont="1" applyBorder="1"/>
    <xf numFmtId="44" fontId="0" fillId="0" borderId="0" xfId="1" applyFont="1"/>
    <xf numFmtId="44" fontId="0" fillId="0" borderId="1" xfId="0" applyNumberFormat="1" applyBorder="1"/>
    <xf numFmtId="0" fontId="0" fillId="0" borderId="1" xfId="0" applyFill="1" applyBorder="1"/>
    <xf numFmtId="16" fontId="0" fillId="0" borderId="0" xfId="0" applyNumberFormat="1"/>
    <xf numFmtId="0" fontId="0" fillId="0" borderId="2" xfId="0" applyFill="1" applyBorder="1"/>
    <xf numFmtId="16" fontId="0" fillId="0" borderId="1" xfId="0" quotePrefix="1" applyNumberFormat="1" applyBorder="1"/>
    <xf numFmtId="44" fontId="0" fillId="0" borderId="1" xfId="1" applyFont="1" applyFill="1" applyBorder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16" fontId="0" fillId="3" borderId="3" xfId="0" applyNumberFormat="1" applyFill="1" applyBorder="1"/>
    <xf numFmtId="0" fontId="0" fillId="3" borderId="3" xfId="0" applyFill="1" applyBorder="1"/>
    <xf numFmtId="44" fontId="0" fillId="3" borderId="3" xfId="1" applyFont="1" applyFill="1" applyBorder="1"/>
    <xf numFmtId="16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0" fontId="0" fillId="3" borderId="0" xfId="0" applyFill="1"/>
    <xf numFmtId="0" fontId="0" fillId="0" borderId="0" xfId="0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44" fontId="0" fillId="0" borderId="0" xfId="0" applyNumberFormat="1" applyFill="1" applyBorder="1"/>
    <xf numFmtId="16" fontId="3" fillId="0" borderId="0" xfId="0" applyNumberFormat="1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0" fontId="0" fillId="0" borderId="3" xfId="0" applyBorder="1"/>
    <xf numFmtId="0" fontId="0" fillId="0" borderId="5" xfId="0" applyBorder="1"/>
    <xf numFmtId="0" fontId="4" fillId="4" borderId="1" xfId="0" applyFont="1" applyFill="1" applyBorder="1"/>
    <xf numFmtId="44" fontId="4" fillId="4" borderId="1" xfId="0" applyNumberFormat="1" applyFont="1" applyFill="1" applyBorder="1"/>
    <xf numFmtId="44" fontId="0" fillId="0" borderId="5" xfId="1" applyFont="1" applyBorder="1"/>
    <xf numFmtId="0" fontId="4" fillId="0" borderId="1" xfId="0" applyFont="1" applyFill="1" applyBorder="1"/>
    <xf numFmtId="16" fontId="0" fillId="0" borderId="1" xfId="0" applyNumberFormat="1" applyFont="1" applyBorder="1"/>
    <xf numFmtId="0" fontId="3" fillId="0" borderId="1" xfId="0" applyFont="1" applyFill="1" applyBorder="1"/>
    <xf numFmtId="44" fontId="3" fillId="0" borderId="1" xfId="1" applyFont="1" applyFill="1" applyBorder="1"/>
    <xf numFmtId="16" fontId="2" fillId="0" borderId="1" xfId="0" applyNumberFormat="1" applyFont="1" applyBorder="1"/>
    <xf numFmtId="0" fontId="4" fillId="7" borderId="0" xfId="0" applyFont="1" applyFill="1" applyAlignment="1">
      <alignment horizontal="center"/>
    </xf>
    <xf numFmtId="44" fontId="4" fillId="7" borderId="0" xfId="0" applyNumberFormat="1" applyFont="1" applyFill="1" applyAlignment="1">
      <alignment horizontal="center"/>
    </xf>
    <xf numFmtId="44" fontId="0" fillId="0" borderId="0" xfId="0" applyNumberFormat="1"/>
    <xf numFmtId="0" fontId="4" fillId="8" borderId="5" xfId="0" applyFont="1" applyFill="1" applyBorder="1"/>
    <xf numFmtId="44" fontId="4" fillId="8" borderId="0" xfId="0" applyNumberFormat="1" applyFont="1" applyFill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44" fontId="7" fillId="0" borderId="1" xfId="1" applyFont="1" applyBorder="1"/>
    <xf numFmtId="44" fontId="0" fillId="3" borderId="5" xfId="1" applyFont="1" applyFill="1" applyBorder="1"/>
    <xf numFmtId="44" fontId="0" fillId="3" borderId="0" xfId="1" applyFont="1" applyFill="1"/>
    <xf numFmtId="0" fontId="4" fillId="0" borderId="1" xfId="0" applyFont="1" applyBorder="1"/>
    <xf numFmtId="44" fontId="4" fillId="9" borderId="1" xfId="1" applyFont="1" applyFill="1" applyBorder="1"/>
    <xf numFmtId="16" fontId="8" fillId="0" borderId="1" xfId="0" applyNumberFormat="1" applyFont="1" applyBorder="1"/>
    <xf numFmtId="0" fontId="8" fillId="0" borderId="1" xfId="0" applyFont="1" applyBorder="1"/>
    <xf numFmtId="44" fontId="8" fillId="0" borderId="1" xfId="1" applyFont="1" applyBorder="1"/>
    <xf numFmtId="44" fontId="4" fillId="8" borderId="1" xfId="0" applyNumberFormat="1" applyFont="1" applyFill="1" applyBorder="1"/>
    <xf numFmtId="44" fontId="4" fillId="7" borderId="5" xfId="0" applyNumberFormat="1" applyFont="1" applyFill="1" applyBorder="1" applyAlignment="1">
      <alignment horizontal="center"/>
    </xf>
    <xf numFmtId="0" fontId="5" fillId="0" borderId="0" xfId="0" applyFont="1"/>
    <xf numFmtId="16" fontId="3" fillId="0" borderId="1" xfId="0" applyNumberFormat="1" applyFont="1" applyBorder="1"/>
    <xf numFmtId="0" fontId="3" fillId="0" borderId="1" xfId="0" applyFont="1" applyBorder="1"/>
    <xf numFmtId="44" fontId="3" fillId="0" borderId="1" xfId="1" applyFont="1" applyBorder="1"/>
    <xf numFmtId="0" fontId="4" fillId="5" borderId="1" xfId="0" applyFont="1" applyFill="1" applyBorder="1"/>
    <xf numFmtId="44" fontId="4" fillId="5" borderId="4" xfId="0" applyNumberFormat="1" applyFont="1" applyFill="1" applyBorder="1"/>
    <xf numFmtId="16" fontId="0" fillId="0" borderId="1" xfId="0" applyNumberFormat="1" applyFill="1" applyBorder="1"/>
    <xf numFmtId="44" fontId="5" fillId="0" borderId="1" xfId="0" applyNumberFormat="1" applyFont="1" applyBorder="1"/>
    <xf numFmtId="0" fontId="9" fillId="0" borderId="1" xfId="0" applyFont="1" applyBorder="1"/>
    <xf numFmtId="0" fontId="0" fillId="0" borderId="0" xfId="0" applyFill="1"/>
    <xf numFmtId="44" fontId="0" fillId="0" borderId="0" xfId="1" applyFont="1" applyFill="1"/>
    <xf numFmtId="0" fontId="5" fillId="0" borderId="1" xfId="0" applyFont="1" applyFill="1" applyBorder="1"/>
    <xf numFmtId="16" fontId="5" fillId="0" borderId="1" xfId="0" applyNumberFormat="1" applyFont="1" applyBorder="1"/>
    <xf numFmtId="0" fontId="5" fillId="3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44" fontId="2" fillId="0" borderId="1" xfId="0" applyNumberFormat="1" applyFont="1" applyBorder="1"/>
    <xf numFmtId="16" fontId="2" fillId="0" borderId="0" xfId="0" applyNumberFormat="1" applyFont="1"/>
    <xf numFmtId="44" fontId="5" fillId="0" borderId="1" xfId="1" applyFont="1" applyBorder="1"/>
    <xf numFmtId="0" fontId="4" fillId="8" borderId="1" xfId="0" applyFont="1" applyFill="1" applyBorder="1" applyAlignment="1">
      <alignment horizontal="center"/>
    </xf>
    <xf numFmtId="16" fontId="4" fillId="8" borderId="1" xfId="0" applyNumberFormat="1" applyFont="1" applyFill="1" applyBorder="1" applyAlignment="1">
      <alignment horizontal="center"/>
    </xf>
    <xf numFmtId="0" fontId="4" fillId="10" borderId="1" xfId="0" applyFont="1" applyFill="1" applyBorder="1"/>
    <xf numFmtId="44" fontId="4" fillId="8" borderId="1" xfId="1" applyFont="1" applyFill="1" applyBorder="1"/>
    <xf numFmtId="44" fontId="4" fillId="10" borderId="1" xfId="1" applyFont="1" applyFill="1" applyBorder="1"/>
    <xf numFmtId="0" fontId="10" fillId="0" borderId="0" xfId="0" applyFont="1"/>
    <xf numFmtId="44" fontId="5" fillId="0" borderId="0" xfId="0" applyNumberFormat="1" applyFont="1"/>
    <xf numFmtId="0" fontId="0" fillId="0" borderId="0" xfId="0" applyAlignment="1"/>
    <xf numFmtId="44" fontId="5" fillId="0" borderId="5" xfId="1" applyFont="1" applyBorder="1"/>
    <xf numFmtId="44" fontId="11" fillId="0" borderId="1" xfId="0" applyNumberFormat="1" applyFont="1" applyBorder="1"/>
    <xf numFmtId="44" fontId="0" fillId="11" borderId="1" xfId="1" applyFont="1" applyFill="1" applyBorder="1"/>
    <xf numFmtId="0" fontId="4" fillId="0" borderId="0" xfId="0" applyFont="1" applyBorder="1"/>
    <xf numFmtId="44" fontId="12" fillId="0" borderId="1" xfId="0" applyNumberFormat="1" applyFont="1" applyBorder="1"/>
    <xf numFmtId="0" fontId="12" fillId="0" borderId="0" xfId="0" applyFont="1"/>
    <xf numFmtId="0" fontId="8" fillId="0" borderId="1" xfId="0" applyFont="1" applyFill="1" applyBorder="1"/>
    <xf numFmtId="0" fontId="3" fillId="0" borderId="0" xfId="0" applyFont="1"/>
    <xf numFmtId="44" fontId="3" fillId="0" borderId="0" xfId="1" applyFont="1"/>
    <xf numFmtId="44" fontId="3" fillId="0" borderId="0" xfId="0" applyNumberFormat="1" applyFont="1"/>
    <xf numFmtId="44" fontId="3" fillId="0" borderId="5" xfId="1" applyFont="1" applyBorder="1"/>
    <xf numFmtId="44" fontId="3" fillId="0" borderId="1" xfId="0" applyNumberFormat="1" applyFont="1" applyBorder="1"/>
    <xf numFmtId="44" fontId="5" fillId="0" borderId="0" xfId="1" applyFont="1"/>
    <xf numFmtId="16" fontId="0" fillId="0" borderId="6" xfId="0" applyNumberFormat="1" applyBorder="1" applyAlignment="1"/>
    <xf numFmtId="16" fontId="3" fillId="0" borderId="6" xfId="0" applyNumberFormat="1" applyFont="1" applyBorder="1" applyAlignment="1">
      <alignment wrapText="1"/>
    </xf>
    <xf numFmtId="16" fontId="3" fillId="0" borderId="4" xfId="0" applyNumberFormat="1" applyFont="1" applyBorder="1" applyAlignment="1">
      <alignment wrapText="1"/>
    </xf>
    <xf numFmtId="44" fontId="0" fillId="0" borderId="0" xfId="0" applyNumberFormat="1" applyFont="1"/>
    <xf numFmtId="0" fontId="0" fillId="0" borderId="0" xfId="0" applyFont="1"/>
    <xf numFmtId="44" fontId="0" fillId="0" borderId="1" xfId="0" applyNumberFormat="1" applyFont="1" applyBorder="1"/>
    <xf numFmtId="0" fontId="0" fillId="0" borderId="1" xfId="0" applyFont="1" applyBorder="1"/>
    <xf numFmtId="44" fontId="1" fillId="0" borderId="1" xfId="1" applyFont="1" applyBorder="1"/>
    <xf numFmtId="44" fontId="1" fillId="0" borderId="1" xfId="0" applyNumberFormat="1" applyFont="1" applyBorder="1"/>
    <xf numFmtId="16" fontId="3" fillId="3" borderId="1" xfId="0" applyNumberFormat="1" applyFont="1" applyFill="1" applyBorder="1"/>
    <xf numFmtId="0" fontId="3" fillId="0" borderId="0" xfId="0" applyFont="1" applyBorder="1"/>
    <xf numFmtId="16" fontId="3" fillId="0" borderId="1" xfId="0" applyNumberFormat="1" applyFont="1" applyBorder="1" applyAlignment="1">
      <alignment wrapText="1"/>
    </xf>
    <xf numFmtId="16" fontId="14" fillId="0" borderId="1" xfId="0" applyNumberFormat="1" applyFont="1" applyBorder="1"/>
    <xf numFmtId="0" fontId="14" fillId="0" borderId="1" xfId="0" applyFont="1" applyFill="1" applyBorder="1"/>
    <xf numFmtId="44" fontId="14" fillId="0" borderId="1" xfId="1" applyFont="1" applyFill="1" applyBorder="1"/>
    <xf numFmtId="44" fontId="12" fillId="0" borderId="1" xfId="1" applyFont="1" applyBorder="1"/>
    <xf numFmtId="16" fontId="15" fillId="0" borderId="1" xfId="0" applyNumberFormat="1" applyFont="1" applyBorder="1"/>
    <xf numFmtId="44" fontId="16" fillId="0" borderId="1" xfId="1" applyFont="1" applyBorder="1"/>
    <xf numFmtId="16" fontId="3" fillId="0" borderId="0" xfId="0" applyNumberFormat="1" applyFont="1"/>
    <xf numFmtId="44" fontId="3" fillId="0" borderId="0" xfId="1" applyFont="1" applyAlignment="1">
      <alignment horizontal="right"/>
    </xf>
    <xf numFmtId="44" fontId="5" fillId="0" borderId="1" xfId="1" applyFont="1" applyFill="1" applyBorder="1"/>
    <xf numFmtId="164" fontId="0" fillId="0" borderId="0" xfId="0" applyNumberFormat="1"/>
    <xf numFmtId="164" fontId="0" fillId="12" borderId="9" xfId="0" applyNumberFormat="1" applyFill="1" applyBorder="1"/>
    <xf numFmtId="44" fontId="0" fillId="12" borderId="10" xfId="0" applyNumberFormat="1" applyFill="1" applyBorder="1"/>
    <xf numFmtId="164" fontId="0" fillId="12" borderId="8" xfId="0" applyNumberFormat="1" applyFill="1" applyBorder="1"/>
    <xf numFmtId="44" fontId="0" fillId="12" borderId="11" xfId="0" applyNumberFormat="1" applyFill="1" applyBorder="1"/>
    <xf numFmtId="164" fontId="0" fillId="12" borderId="12" xfId="0" applyNumberFormat="1" applyFill="1" applyBorder="1"/>
    <xf numFmtId="44" fontId="0" fillId="12" borderId="13" xfId="0" applyNumberFormat="1" applyFill="1" applyBorder="1"/>
    <xf numFmtId="44" fontId="8" fillId="0" borderId="1" xfId="0" applyNumberFormat="1" applyFont="1" applyBorder="1"/>
    <xf numFmtId="44" fontId="8" fillId="0" borderId="1" xfId="0" applyNumberFormat="1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3" xfId="0" applyBorder="1"/>
    <xf numFmtId="44" fontId="3" fillId="0" borderId="9" xfId="1" applyFont="1" applyBorder="1"/>
    <xf numFmtId="0" fontId="3" fillId="0" borderId="15" xfId="0" applyFont="1" applyBorder="1"/>
    <xf numFmtId="0" fontId="3" fillId="0" borderId="10" xfId="0" applyFont="1" applyBorder="1"/>
    <xf numFmtId="44" fontId="3" fillId="0" borderId="8" xfId="1" applyFont="1" applyBorder="1"/>
    <xf numFmtId="0" fontId="3" fillId="0" borderId="11" xfId="0" applyFont="1" applyBorder="1"/>
    <xf numFmtId="44" fontId="3" fillId="0" borderId="12" xfId="1" applyFont="1" applyBorder="1"/>
    <xf numFmtId="0" fontId="3" fillId="0" borderId="14" xfId="0" applyFont="1" applyBorder="1"/>
    <xf numFmtId="0" fontId="3" fillId="0" borderId="13" xfId="0" applyFont="1" applyBorder="1"/>
    <xf numFmtId="44" fontId="17" fillId="0" borderId="12" xfId="1" applyFont="1" applyBorder="1"/>
    <xf numFmtId="0" fontId="17" fillId="0" borderId="14" xfId="0" applyFont="1" applyBorder="1"/>
    <xf numFmtId="0" fontId="17" fillId="0" borderId="13" xfId="0" applyFont="1" applyBorder="1"/>
    <xf numFmtId="44" fontId="3" fillId="0" borderId="9" xfId="1" applyFont="1" applyFill="1" applyBorder="1"/>
    <xf numFmtId="0" fontId="3" fillId="0" borderId="15" xfId="0" applyFont="1" applyFill="1" applyBorder="1"/>
    <xf numFmtId="44" fontId="0" fillId="0" borderId="12" xfId="0" applyNumberFormat="1" applyBorder="1"/>
    <xf numFmtId="0" fontId="3" fillId="0" borderId="5" xfId="0" applyFont="1" applyBorder="1"/>
    <xf numFmtId="44" fontId="8" fillId="0" borderId="1" xfId="1" applyFont="1" applyFill="1" applyBorder="1"/>
    <xf numFmtId="44" fontId="3" fillId="0" borderId="1" xfId="1" applyFont="1" applyBorder="1" applyAlignment="1">
      <alignment horizontal="right"/>
    </xf>
    <xf numFmtId="0" fontId="0" fillId="0" borderId="11" xfId="0" applyBorder="1"/>
    <xf numFmtId="44" fontId="3" fillId="0" borderId="8" xfId="0" applyNumberFormat="1" applyFont="1" applyBorder="1"/>
    <xf numFmtId="44" fontId="17" fillId="0" borderId="8" xfId="0" applyNumberFormat="1" applyFont="1" applyBorder="1"/>
    <xf numFmtId="0" fontId="4" fillId="0" borderId="12" xfId="0" applyFont="1" applyBorder="1"/>
    <xf numFmtId="44" fontId="0" fillId="0" borderId="8" xfId="1" applyFont="1" applyFill="1" applyBorder="1"/>
    <xf numFmtId="12" fontId="0" fillId="0" borderId="1" xfId="1" applyNumberFormat="1" applyFont="1" applyBorder="1"/>
    <xf numFmtId="44" fontId="3" fillId="0" borderId="0" xfId="1" applyFont="1" applyFill="1" applyBorder="1"/>
    <xf numFmtId="44" fontId="0" fillId="0" borderId="8" xfId="1" applyFont="1" applyBorder="1"/>
    <xf numFmtId="44" fontId="0" fillId="0" borderId="12" xfId="1" applyFont="1" applyBorder="1"/>
    <xf numFmtId="0" fontId="14" fillId="0" borderId="1" xfId="0" applyFont="1" applyBorder="1"/>
    <xf numFmtId="44" fontId="14" fillId="0" borderId="1" xfId="1" applyFont="1" applyBorder="1"/>
    <xf numFmtId="0" fontId="16" fillId="0" borderId="1" xfId="0" applyFont="1" applyBorder="1"/>
    <xf numFmtId="44" fontId="3" fillId="0" borderId="14" xfId="0" applyNumberFormat="1" applyFont="1" applyBorder="1"/>
    <xf numFmtId="0" fontId="8" fillId="0" borderId="1" xfId="0" applyFont="1" applyBorder="1" applyAlignment="1">
      <alignment horizontal="right"/>
    </xf>
    <xf numFmtId="44" fontId="3" fillId="0" borderId="15" xfId="1" applyFont="1" applyFill="1" applyBorder="1"/>
    <xf numFmtId="0" fontId="3" fillId="0" borderId="8" xfId="0" applyFont="1" applyBorder="1"/>
    <xf numFmtId="0" fontId="3" fillId="0" borderId="8" xfId="0" applyFont="1" applyFill="1" applyBorder="1"/>
    <xf numFmtId="44" fontId="3" fillId="0" borderId="0" xfId="0" applyNumberFormat="1" applyFont="1" applyBorder="1"/>
    <xf numFmtId="0" fontId="5" fillId="0" borderId="8" xfId="0" applyFont="1" applyFill="1" applyBorder="1"/>
    <xf numFmtId="44" fontId="5" fillId="0" borderId="0" xfId="0" applyNumberFormat="1" applyFont="1" applyBorder="1"/>
    <xf numFmtId="0" fontId="5" fillId="0" borderId="11" xfId="0" applyFont="1" applyBorder="1"/>
    <xf numFmtId="0" fontId="0" fillId="0" borderId="8" xfId="0" applyBorder="1"/>
    <xf numFmtId="44" fontId="0" fillId="0" borderId="0" xfId="0" applyNumberFormat="1" applyBorder="1"/>
    <xf numFmtId="0" fontId="0" fillId="0" borderId="12" xfId="0" applyBorder="1"/>
    <xf numFmtId="44" fontId="4" fillId="0" borderId="14" xfId="1" applyFont="1" applyBorder="1"/>
    <xf numFmtId="0" fontId="17" fillId="0" borderId="9" xfId="0" applyFont="1" applyBorder="1"/>
    <xf numFmtId="44" fontId="5" fillId="0" borderId="8" xfId="0" applyNumberFormat="1" applyFont="1" applyBorder="1"/>
    <xf numFmtId="44" fontId="0" fillId="0" borderId="8" xfId="0" applyNumberFormat="1" applyBorder="1"/>
    <xf numFmtId="44" fontId="0" fillId="0" borderId="11" xfId="0" applyNumberFormat="1" applyBorder="1"/>
    <xf numFmtId="44" fontId="3" fillId="0" borderId="6" xfId="1" applyFont="1" applyBorder="1"/>
    <xf numFmtId="0" fontId="3" fillId="0" borderId="7" xfId="0" applyFont="1" applyBorder="1"/>
    <xf numFmtId="0" fontId="3" fillId="0" borderId="4" xfId="0" applyFont="1" applyBorder="1"/>
    <xf numFmtId="44" fontId="17" fillId="0" borderId="6" xfId="0" applyNumberFormat="1" applyFont="1" applyBorder="1"/>
    <xf numFmtId="0" fontId="17" fillId="0" borderId="7" xfId="0" applyFont="1" applyBorder="1"/>
    <xf numFmtId="0" fontId="18" fillId="0" borderId="8" xfId="0" applyFont="1" applyFill="1" applyBorder="1"/>
    <xf numFmtId="44" fontId="18" fillId="0" borderId="0" xfId="0" applyNumberFormat="1" applyFont="1" applyBorder="1"/>
    <xf numFmtId="0" fontId="18" fillId="0" borderId="11" xfId="0" applyFont="1" applyBorder="1"/>
    <xf numFmtId="44" fontId="3" fillId="0" borderId="9" xfId="1" applyFont="1" applyBorder="1" applyAlignment="1">
      <alignment horizontal="right"/>
    </xf>
    <xf numFmtId="44" fontId="3" fillId="0" borderId="8" xfId="1" applyFont="1" applyBorder="1" applyAlignment="1">
      <alignment horizontal="right"/>
    </xf>
    <xf numFmtId="44" fontId="3" fillId="0" borderId="12" xfId="0" applyNumberFormat="1" applyFont="1" applyBorder="1"/>
    <xf numFmtId="0" fontId="11" fillId="0" borderId="0" xfId="0" applyFont="1" applyBorder="1"/>
    <xf numFmtId="44" fontId="11" fillId="0" borderId="0" xfId="1" applyFont="1" applyBorder="1" applyAlignment="1"/>
    <xf numFmtId="0" fontId="3" fillId="0" borderId="12" xfId="0" applyFont="1" applyBorder="1"/>
    <xf numFmtId="44" fontId="3" fillId="0" borderId="0" xfId="1" applyFont="1" applyBorder="1"/>
    <xf numFmtId="44" fontId="19" fillId="0" borderId="1" xfId="1" applyFont="1" applyBorder="1"/>
    <xf numFmtId="44" fontId="3" fillId="0" borderId="1" xfId="1" applyFont="1" applyBorder="1" applyAlignment="1">
      <alignment horizontal="left"/>
    </xf>
    <xf numFmtId="0" fontId="20" fillId="0" borderId="0" xfId="0" applyFont="1" applyBorder="1"/>
    <xf numFmtId="16" fontId="3" fillId="0" borderId="1" xfId="0" applyNumberFormat="1" applyFont="1" applyFill="1" applyBorder="1"/>
    <xf numFmtId="44" fontId="3" fillId="0" borderId="1" xfId="1" applyFont="1" applyBorder="1" applyAlignment="1"/>
    <xf numFmtId="0" fontId="3" fillId="0" borderId="1" xfId="0" applyFont="1" applyBorder="1" applyAlignment="1">
      <alignment horizontal="right"/>
    </xf>
    <xf numFmtId="16" fontId="0" fillId="0" borderId="3" xfId="0" applyNumberFormat="1" applyBorder="1"/>
    <xf numFmtId="0" fontId="0" fillId="0" borderId="3" xfId="0" applyFill="1" applyBorder="1"/>
    <xf numFmtId="44" fontId="0" fillId="0" borderId="3" xfId="1" applyFont="1" applyBorder="1"/>
    <xf numFmtId="0" fontId="0" fillId="0" borderId="16" xfId="0" applyBorder="1"/>
    <xf numFmtId="44" fontId="0" fillId="0" borderId="16" xfId="1" applyFont="1" applyBorder="1"/>
    <xf numFmtId="44" fontId="20" fillId="0" borderId="16" xfId="1" applyFont="1" applyBorder="1"/>
    <xf numFmtId="44" fontId="3" fillId="0" borderId="16" xfId="1" applyFont="1" applyBorder="1"/>
    <xf numFmtId="44" fontId="3" fillId="0" borderId="16" xfId="0" applyNumberFormat="1" applyFont="1" applyBorder="1"/>
    <xf numFmtId="44" fontId="0" fillId="0" borderId="16" xfId="0" applyNumberFormat="1" applyBorder="1"/>
    <xf numFmtId="16" fontId="0" fillId="0" borderId="16" xfId="0" applyNumberFormat="1" applyBorder="1"/>
    <xf numFmtId="0" fontId="0" fillId="3" borderId="16" xfId="0" applyFill="1" applyBorder="1"/>
    <xf numFmtId="44" fontId="0" fillId="3" borderId="16" xfId="1" applyFont="1" applyFill="1" applyBorder="1"/>
    <xf numFmtId="44" fontId="20" fillId="3" borderId="16" xfId="1" applyFont="1" applyFill="1" applyBorder="1"/>
    <xf numFmtId="16" fontId="15" fillId="3" borderId="1" xfId="0" applyNumberFormat="1" applyFont="1" applyFill="1" applyBorder="1"/>
    <xf numFmtId="44" fontId="5" fillId="3" borderId="1" xfId="1" applyFont="1" applyFill="1" applyBorder="1"/>
    <xf numFmtId="0" fontId="3" fillId="3" borderId="1" xfId="0" applyFont="1" applyFill="1" applyBorder="1"/>
    <xf numFmtId="44" fontId="3" fillId="3" borderId="1" xfId="1" applyFont="1" applyFill="1" applyBorder="1"/>
    <xf numFmtId="0" fontId="20" fillId="0" borderId="1" xfId="0" applyFont="1" applyBorder="1"/>
    <xf numFmtId="44" fontId="20" fillId="0" borderId="1" xfId="1" applyFont="1" applyBorder="1"/>
    <xf numFmtId="44" fontId="3" fillId="0" borderId="17" xfId="1" applyFont="1" applyBorder="1"/>
    <xf numFmtId="0" fontId="3" fillId="0" borderId="18" xfId="0" applyFont="1" applyBorder="1"/>
    <xf numFmtId="0" fontId="0" fillId="0" borderId="19" xfId="0" applyBorder="1"/>
    <xf numFmtId="44" fontId="3" fillId="0" borderId="20" xfId="1" applyFont="1" applyBorder="1"/>
    <xf numFmtId="0" fontId="0" fillId="0" borderId="21" xfId="0" applyBorder="1"/>
    <xf numFmtId="44" fontId="0" fillId="0" borderId="20" xfId="1" applyFont="1" applyBorder="1"/>
    <xf numFmtId="44" fontId="21" fillId="0" borderId="20" xfId="1" applyFont="1" applyBorder="1"/>
    <xf numFmtId="44" fontId="0" fillId="2" borderId="25" xfId="1" applyFont="1" applyFill="1" applyBorder="1"/>
    <xf numFmtId="0" fontId="3" fillId="2" borderId="26" xfId="0" applyFont="1" applyFill="1" applyBorder="1"/>
    <xf numFmtId="0" fontId="0" fillId="2" borderId="26" xfId="0" applyFill="1" applyBorder="1"/>
    <xf numFmtId="0" fontId="0" fillId="2" borderId="27" xfId="0" applyFill="1" applyBorder="1"/>
    <xf numFmtId="44" fontId="3" fillId="0" borderId="20" xfId="1" applyFont="1" applyBorder="1" applyAlignment="1">
      <alignment horizontal="right"/>
    </xf>
    <xf numFmtId="44" fontId="0" fillId="0" borderId="22" xfId="1" applyFont="1" applyBorder="1"/>
    <xf numFmtId="0" fontId="3" fillId="0" borderId="23" xfId="0" applyFont="1" applyFill="1" applyBorder="1"/>
    <xf numFmtId="0" fontId="0" fillId="0" borderId="23" xfId="0" applyBorder="1"/>
    <xf numFmtId="0" fontId="0" fillId="0" borderId="24" xfId="0" applyBorder="1"/>
    <xf numFmtId="0" fontId="20" fillId="0" borderId="19" xfId="0" applyFont="1" applyBorder="1"/>
    <xf numFmtId="44" fontId="20" fillId="0" borderId="20" xfId="1" applyFont="1" applyBorder="1"/>
    <xf numFmtId="44" fontId="20" fillId="0" borderId="22" xfId="1" applyFont="1" applyBorder="1"/>
    <xf numFmtId="44" fontId="20" fillId="0" borderId="21" xfId="1" applyFont="1" applyBorder="1"/>
    <xf numFmtId="44" fontId="20" fillId="0" borderId="24" xfId="1" applyFont="1" applyBorder="1"/>
    <xf numFmtId="0" fontId="22" fillId="0" borderId="17" xfId="0" applyFont="1" applyBorder="1"/>
    <xf numFmtId="44" fontId="22" fillId="0" borderId="24" xfId="1" applyFont="1" applyBorder="1"/>
    <xf numFmtId="44" fontId="22" fillId="0" borderId="22" xfId="1" applyFont="1" applyBorder="1" applyAlignment="1">
      <alignment horizontal="right"/>
    </xf>
    <xf numFmtId="44" fontId="4" fillId="0" borderId="0" xfId="1" applyFont="1"/>
    <xf numFmtId="44" fontId="1" fillId="0" borderId="1" xfId="1" applyFont="1" applyFill="1" applyBorder="1"/>
    <xf numFmtId="44" fontId="3" fillId="11" borderId="1" xfId="1" applyFont="1" applyFill="1" applyBorder="1"/>
    <xf numFmtId="0" fontId="3" fillId="0" borderId="3" xfId="0" applyFont="1" applyBorder="1"/>
    <xf numFmtId="44" fontId="0" fillId="0" borderId="9" xfId="1" applyFont="1" applyBorder="1"/>
    <xf numFmtId="44" fontId="0" fillId="0" borderId="10" xfId="0" applyNumberFormat="1" applyBorder="1"/>
    <xf numFmtId="44" fontId="0" fillId="0" borderId="13" xfId="1" applyFont="1" applyBorder="1"/>
    <xf numFmtId="0" fontId="0" fillId="0" borderId="9" xfId="0" applyBorder="1"/>
    <xf numFmtId="44" fontId="0" fillId="0" borderId="10" xfId="1" applyFont="1" applyBorder="1"/>
    <xf numFmtId="44" fontId="0" fillId="0" borderId="11" xfId="1" applyFont="1" applyBorder="1"/>
    <xf numFmtId="44" fontId="0" fillId="0" borderId="8" xfId="1" applyFont="1" applyBorder="1" applyAlignment="1">
      <alignment horizontal="left"/>
    </xf>
    <xf numFmtId="0" fontId="20" fillId="0" borderId="16" xfId="0" applyFont="1" applyBorder="1"/>
    <xf numFmtId="0" fontId="3" fillId="0" borderId="16" xfId="0" applyFont="1" applyBorder="1"/>
    <xf numFmtId="44" fontId="4" fillId="2" borderId="9" xfId="1" applyFont="1" applyFill="1" applyBorder="1"/>
    <xf numFmtId="0" fontId="0" fillId="2" borderId="10" xfId="0" applyFill="1" applyBorder="1"/>
    <xf numFmtId="44" fontId="4" fillId="2" borderId="12" xfId="1" applyFont="1" applyFill="1" applyBorder="1"/>
    <xf numFmtId="44" fontId="4" fillId="2" borderId="13" xfId="0" applyNumberFormat="1" applyFont="1" applyFill="1" applyBorder="1"/>
    <xf numFmtId="0" fontId="0" fillId="2" borderId="0" xfId="0" applyFill="1"/>
    <xf numFmtId="0" fontId="0" fillId="2" borderId="15" xfId="0" applyFill="1" applyBorder="1"/>
    <xf numFmtId="44" fontId="0" fillId="2" borderId="8" xfId="1" applyFont="1" applyFill="1" applyBorder="1"/>
    <xf numFmtId="44" fontId="0" fillId="2" borderId="0" xfId="1" applyFont="1" applyFill="1" applyBorder="1"/>
    <xf numFmtId="0" fontId="0" fillId="2" borderId="0" xfId="0" applyFill="1" applyBorder="1"/>
    <xf numFmtId="0" fontId="0" fillId="2" borderId="11" xfId="0" applyFill="1" applyBorder="1"/>
    <xf numFmtId="44" fontId="0" fillId="2" borderId="8" xfId="1" applyFont="1" applyFill="1" applyBorder="1" applyAlignment="1">
      <alignment horizontal="right"/>
    </xf>
    <xf numFmtId="44" fontId="0" fillId="2" borderId="0" xfId="0" applyNumberFormat="1" applyFill="1" applyBorder="1"/>
    <xf numFmtId="44" fontId="0" fillId="2" borderId="11" xfId="0" applyNumberFormat="1" applyFill="1" applyBorder="1"/>
    <xf numFmtId="44" fontId="0" fillId="2" borderId="12" xfId="1" applyFont="1" applyFill="1" applyBorder="1"/>
    <xf numFmtId="44" fontId="0" fillId="2" borderId="14" xfId="0" applyNumberFormat="1" applyFill="1" applyBorder="1"/>
    <xf numFmtId="44" fontId="0" fillId="2" borderId="13" xfId="0" applyNumberFormat="1" applyFill="1" applyBorder="1"/>
    <xf numFmtId="0" fontId="4" fillId="7" borderId="3" xfId="0" applyFont="1" applyFill="1" applyBorder="1" applyAlignment="1">
      <alignment horizontal="center"/>
    </xf>
    <xf numFmtId="44" fontId="0" fillId="3" borderId="16" xfId="0" applyNumberFormat="1" applyFill="1" applyBorder="1"/>
    <xf numFmtId="0" fontId="0" fillId="0" borderId="0" xfId="0" applyAlignment="1">
      <alignment horizontal="right"/>
    </xf>
    <xf numFmtId="44" fontId="0" fillId="0" borderId="9" xfId="1" applyFont="1" applyBorder="1" applyAlignment="1">
      <alignment horizontal="left"/>
    </xf>
    <xf numFmtId="44" fontId="0" fillId="0" borderId="12" xfId="1" applyFont="1" applyBorder="1" applyAlignment="1">
      <alignment horizontal="left"/>
    </xf>
    <xf numFmtId="44" fontId="0" fillId="13" borderId="13" xfId="0" applyNumberFormat="1" applyFill="1" applyBorder="1"/>
    <xf numFmtId="0" fontId="0" fillId="13" borderId="0" xfId="0" applyFill="1"/>
    <xf numFmtId="44" fontId="4" fillId="0" borderId="9" xfId="1" applyFont="1" applyBorder="1"/>
    <xf numFmtId="44" fontId="0" fillId="13" borderId="13" xfId="1" applyFont="1" applyFill="1" applyBorder="1"/>
    <xf numFmtId="44" fontId="0" fillId="0" borderId="6" xfId="1" applyFont="1" applyBorder="1"/>
    <xf numFmtId="44" fontId="0" fillId="13" borderId="4" xfId="1" applyFont="1" applyFill="1" applyBorder="1"/>
    <xf numFmtId="0" fontId="0" fillId="0" borderId="6" xfId="0" applyBorder="1" applyAlignment="1"/>
    <xf numFmtId="0" fontId="0" fillId="0" borderId="1" xfId="0" applyBorder="1" applyAlignment="1"/>
    <xf numFmtId="0" fontId="0" fillId="0" borderId="6" xfId="0" applyBorder="1"/>
    <xf numFmtId="0" fontId="3" fillId="0" borderId="6" xfId="0" applyFont="1" applyFill="1" applyBorder="1"/>
    <xf numFmtId="0" fontId="3" fillId="0" borderId="6" xfId="0" applyFont="1" applyBorder="1"/>
    <xf numFmtId="44" fontId="0" fillId="0" borderId="1" xfId="1" applyFont="1" applyBorder="1" applyAlignment="1"/>
    <xf numFmtId="44" fontId="12" fillId="0" borderId="0" xfId="1" applyFont="1"/>
    <xf numFmtId="0" fontId="12" fillId="0" borderId="0" xfId="0" applyFont="1" applyBorder="1"/>
    <xf numFmtId="44" fontId="4" fillId="0" borderId="6" xfId="1" applyFont="1" applyBorder="1"/>
    <xf numFmtId="44" fontId="4" fillId="2" borderId="6" xfId="1" applyFont="1" applyFill="1" applyBorder="1"/>
    <xf numFmtId="44" fontId="4" fillId="2" borderId="4" xfId="0" applyNumberFormat="1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44" fontId="0" fillId="0" borderId="4" xfId="0" applyNumberFormat="1" applyBorder="1"/>
    <xf numFmtId="0" fontId="5" fillId="0" borderId="0" xfId="0" applyFont="1" applyAlignment="1">
      <alignment horizontal="left"/>
    </xf>
    <xf numFmtId="44" fontId="5" fillId="0" borderId="0" xfId="1" applyFont="1" applyAlignment="1">
      <alignment horizontal="left"/>
    </xf>
    <xf numFmtId="0" fontId="8" fillId="0" borderId="0" xfId="0" applyFont="1"/>
    <xf numFmtId="0" fontId="4" fillId="0" borderId="0" xfId="0" applyFont="1" applyFill="1" applyBorder="1"/>
    <xf numFmtId="0" fontId="3" fillId="0" borderId="0" xfId="0" applyFont="1" applyAlignment="1">
      <alignment horizontal="left"/>
    </xf>
    <xf numFmtId="44" fontId="3" fillId="0" borderId="0" xfId="1" applyFont="1" applyAlignment="1">
      <alignment horizontal="left"/>
    </xf>
    <xf numFmtId="44" fontId="17" fillId="0" borderId="0" xfId="1" applyFont="1" applyFill="1" applyBorder="1"/>
    <xf numFmtId="44" fontId="4" fillId="0" borderId="0" xfId="0" applyNumberFormat="1" applyFont="1"/>
    <xf numFmtId="0" fontId="17" fillId="0" borderId="0" xfId="0" applyFont="1" applyBorder="1"/>
    <xf numFmtId="44" fontId="17" fillId="0" borderId="0" xfId="1" applyFont="1"/>
    <xf numFmtId="44" fontId="17" fillId="0" borderId="0" xfId="0" applyNumberFormat="1" applyFont="1"/>
    <xf numFmtId="0" fontId="28" fillId="0" borderId="0" xfId="0" applyFont="1"/>
    <xf numFmtId="0" fontId="29" fillId="0" borderId="0" xfId="0" applyFont="1"/>
    <xf numFmtId="44" fontId="3" fillId="0" borderId="0" xfId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44" fontId="4" fillId="0" borderId="0" xfId="1" applyFont="1" applyBorder="1"/>
    <xf numFmtId="12" fontId="3" fillId="0" borderId="0" xfId="1" applyNumberFormat="1" applyFont="1" applyFill="1" applyBorder="1"/>
    <xf numFmtId="44" fontId="17" fillId="2" borderId="0" xfId="1" applyFont="1" applyFill="1" applyBorder="1"/>
    <xf numFmtId="44" fontId="30" fillId="0" borderId="1" xfId="1" applyFont="1" applyBorder="1"/>
    <xf numFmtId="44" fontId="3" fillId="3" borderId="1" xfId="0" applyNumberFormat="1" applyFont="1" applyFill="1" applyBorder="1"/>
    <xf numFmtId="44" fontId="3" fillId="0" borderId="0" xfId="1" applyFont="1" applyFill="1" applyAlignment="1">
      <alignment horizontal="left"/>
    </xf>
    <xf numFmtId="44" fontId="3" fillId="0" borderId="0" xfId="1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44" fontId="4" fillId="0" borderId="0" xfId="1" applyFont="1" applyFill="1"/>
    <xf numFmtId="44" fontId="3" fillId="0" borderId="0" xfId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" xfId="0" applyFont="1" applyBorder="1"/>
    <xf numFmtId="44" fontId="17" fillId="0" borderId="0" xfId="1" applyFont="1" applyFill="1" applyBorder="1" applyAlignment="1">
      <alignment horizontal="left"/>
    </xf>
    <xf numFmtId="44" fontId="17" fillId="0" borderId="0" xfId="1" applyNumberFormat="1" applyFont="1" applyFill="1" applyBorder="1"/>
    <xf numFmtId="0" fontId="17" fillId="0" borderId="0" xfId="0" applyFont="1" applyFill="1" applyBorder="1" applyAlignment="1">
      <alignment horizontal="left"/>
    </xf>
    <xf numFmtId="44" fontId="31" fillId="0" borderId="0" xfId="1" applyFont="1" applyFill="1"/>
    <xf numFmtId="0" fontId="32" fillId="0" borderId="0" xfId="0" applyFont="1"/>
    <xf numFmtId="44" fontId="33" fillId="0" borderId="0" xfId="1" applyFont="1" applyFill="1"/>
    <xf numFmtId="44" fontId="34" fillId="0" borderId="0" xfId="1" applyFont="1" applyFill="1" applyBorder="1"/>
    <xf numFmtId="44" fontId="34" fillId="0" borderId="0" xfId="1" applyFont="1" applyFill="1"/>
    <xf numFmtId="44" fontId="0" fillId="0" borderId="9" xfId="1" applyFont="1" applyFill="1" applyBorder="1"/>
    <xf numFmtId="44" fontId="0" fillId="0" borderId="10" xfId="1" applyFont="1" applyFill="1" applyBorder="1"/>
    <xf numFmtId="44" fontId="3" fillId="0" borderId="11" xfId="1" applyFont="1" applyFill="1" applyBorder="1"/>
    <xf numFmtId="44" fontId="0" fillId="0" borderId="11" xfId="1" applyFont="1" applyFill="1" applyBorder="1"/>
    <xf numFmtId="44" fontId="4" fillId="2" borderId="0" xfId="1" applyFont="1" applyFill="1"/>
    <xf numFmtId="44" fontId="17" fillId="0" borderId="0" xfId="1" applyFont="1" applyFill="1"/>
    <xf numFmtId="17" fontId="0" fillId="11" borderId="8" xfId="0" applyNumberFormat="1" applyFont="1" applyFill="1" applyBorder="1"/>
    <xf numFmtId="44" fontId="3" fillId="11" borderId="11" xfId="1" applyFont="1" applyFill="1" applyBorder="1"/>
    <xf numFmtId="0" fontId="0" fillId="11" borderId="0" xfId="0" applyFill="1" applyBorder="1"/>
    <xf numFmtId="44" fontId="8" fillId="0" borderId="0" xfId="1" applyFont="1" applyFill="1"/>
    <xf numFmtId="44" fontId="4" fillId="13" borderId="0" xfId="1" applyFont="1" applyFill="1"/>
    <xf numFmtId="44" fontId="17" fillId="13" borderId="0" xfId="1" applyFont="1" applyFill="1"/>
    <xf numFmtId="44" fontId="34" fillId="13" borderId="0" xfId="1" applyFont="1" applyFill="1"/>
    <xf numFmtId="44" fontId="0" fillId="13" borderId="0" xfId="1" applyFont="1" applyFill="1"/>
    <xf numFmtId="44" fontId="3" fillId="13" borderId="0" xfId="1" applyFont="1" applyFill="1"/>
    <xf numFmtId="0" fontId="29" fillId="13" borderId="0" xfId="0" applyFont="1" applyFill="1"/>
    <xf numFmtId="44" fontId="3" fillId="13" borderId="0" xfId="1" applyFont="1" applyFill="1" applyBorder="1"/>
    <xf numFmtId="44" fontId="0" fillId="13" borderId="0" xfId="0" applyNumberFormat="1" applyFill="1" applyBorder="1"/>
    <xf numFmtId="44" fontId="0" fillId="13" borderId="0" xfId="1" applyFont="1" applyFill="1" applyBorder="1"/>
    <xf numFmtId="44" fontId="17" fillId="13" borderId="0" xfId="1" applyFont="1" applyFill="1" applyBorder="1"/>
    <xf numFmtId="44" fontId="0" fillId="13" borderId="0" xfId="0" applyNumberFormat="1" applyFill="1"/>
    <xf numFmtId="44" fontId="4" fillId="13" borderId="0" xfId="0" applyNumberFormat="1" applyFont="1" applyFill="1"/>
    <xf numFmtId="17" fontId="0" fillId="11" borderId="12" xfId="0" applyNumberFormat="1" applyFont="1" applyFill="1" applyBorder="1"/>
    <xf numFmtId="44" fontId="3" fillId="11" borderId="13" xfId="1" applyNumberFormat="1" applyFont="1" applyFill="1" applyBorder="1"/>
    <xf numFmtId="44" fontId="3" fillId="0" borderId="0" xfId="1" applyFont="1" applyAlignment="1"/>
    <xf numFmtId="0" fontId="3" fillId="0" borderId="0" xfId="0" applyFont="1" applyAlignment="1"/>
    <xf numFmtId="0" fontId="17" fillId="14" borderId="0" xfId="0" applyFont="1" applyFill="1" applyAlignment="1"/>
    <xf numFmtId="44" fontId="3" fillId="14" borderId="0" xfId="1" applyFont="1" applyFill="1"/>
    <xf numFmtId="0" fontId="3" fillId="14" borderId="0" xfId="0" applyFont="1" applyFill="1" applyAlignment="1"/>
    <xf numFmtId="44" fontId="17" fillId="2" borderId="0" xfId="1" applyFont="1" applyFill="1" applyAlignment="1"/>
    <xf numFmtId="44" fontId="17" fillId="2" borderId="0" xfId="1" applyFont="1" applyFill="1"/>
    <xf numFmtId="44" fontId="3" fillId="2" borderId="0" xfId="1" applyFont="1" applyFill="1"/>
    <xf numFmtId="44" fontId="3" fillId="2" borderId="0" xfId="1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29" fillId="2" borderId="0" xfId="0" applyFont="1" applyFill="1"/>
    <xf numFmtId="44" fontId="29" fillId="2" borderId="0" xfId="1" applyFont="1" applyFill="1"/>
    <xf numFmtId="0" fontId="35" fillId="0" borderId="0" xfId="0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16" fontId="37" fillId="16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horizontal="left"/>
    </xf>
    <xf numFmtId="0" fontId="35" fillId="16" borderId="1" xfId="0" applyFont="1" applyFill="1" applyBorder="1"/>
    <xf numFmtId="44" fontId="35" fillId="16" borderId="1" xfId="0" applyNumberFormat="1" applyFont="1" applyFill="1" applyBorder="1" applyAlignment="1">
      <alignment horizontal="center" vertical="center"/>
    </xf>
    <xf numFmtId="44" fontId="36" fillId="17" borderId="1" xfId="1" applyFont="1" applyFill="1" applyBorder="1" applyAlignment="1">
      <alignment horizontal="center" vertical="center"/>
    </xf>
    <xf numFmtId="44" fontId="38" fillId="17" borderId="1" xfId="1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5" fillId="18" borderId="1" xfId="0" applyFont="1" applyFill="1" applyBorder="1" applyAlignment="1">
      <alignment horizontal="center"/>
    </xf>
    <xf numFmtId="0" fontId="36" fillId="14" borderId="1" xfId="0" applyFont="1" applyFill="1" applyBorder="1" applyAlignment="1">
      <alignment horizontal="left"/>
    </xf>
    <xf numFmtId="16" fontId="36" fillId="14" borderId="1" xfId="0" applyNumberFormat="1" applyFont="1" applyFill="1" applyBorder="1" applyAlignment="1">
      <alignment horizontal="center"/>
    </xf>
    <xf numFmtId="0" fontId="36" fillId="14" borderId="1" xfId="0" applyFont="1" applyFill="1" applyBorder="1" applyAlignment="1">
      <alignment horizontal="center"/>
    </xf>
    <xf numFmtId="17" fontId="36" fillId="14" borderId="1" xfId="0" applyNumberFormat="1" applyFont="1" applyFill="1" applyBorder="1" applyAlignment="1">
      <alignment horizontal="center"/>
    </xf>
    <xf numFmtId="44" fontId="35" fillId="18" borderId="1" xfId="1" applyFont="1" applyFill="1" applyBorder="1" applyAlignment="1">
      <alignment horizontal="center"/>
    </xf>
    <xf numFmtId="44" fontId="36" fillId="14" borderId="1" xfId="1" applyFont="1" applyFill="1" applyBorder="1" applyAlignment="1">
      <alignment horizontal="center"/>
    </xf>
    <xf numFmtId="44" fontId="36" fillId="0" borderId="0" xfId="1" applyFont="1" applyAlignment="1">
      <alignment horizontal="center"/>
    </xf>
    <xf numFmtId="44" fontId="28" fillId="0" borderId="0" xfId="0" applyNumberFormat="1" applyFont="1"/>
    <xf numFmtId="0" fontId="17" fillId="0" borderId="0" xfId="0" applyFont="1" applyAlignment="1"/>
    <xf numFmtId="44" fontId="4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6" fontId="0" fillId="9" borderId="1" xfId="0" applyNumberFormat="1" applyFill="1" applyBorder="1"/>
    <xf numFmtId="0" fontId="3" fillId="9" borderId="1" xfId="0" applyFont="1" applyFill="1" applyBorder="1"/>
    <xf numFmtId="44" fontId="3" fillId="9" borderId="1" xfId="1" applyFont="1" applyFill="1" applyBorder="1"/>
    <xf numFmtId="44" fontId="0" fillId="9" borderId="1" xfId="1" applyFont="1" applyFill="1" applyBorder="1"/>
    <xf numFmtId="44" fontId="3" fillId="0" borderId="1" xfId="0" applyNumberFormat="1" applyFont="1" applyFill="1" applyBorder="1"/>
    <xf numFmtId="44" fontId="0" fillId="3" borderId="1" xfId="0" applyNumberFormat="1" applyFill="1" applyBorder="1"/>
    <xf numFmtId="44" fontId="0" fillId="0" borderId="1" xfId="0" applyNumberFormat="1" applyFill="1" applyBorder="1"/>
    <xf numFmtId="44" fontId="39" fillId="0" borderId="1" xfId="1" applyFont="1" applyBorder="1"/>
    <xf numFmtId="44" fontId="17" fillId="13" borderId="0" xfId="1" applyFont="1" applyFill="1" applyAlignment="1"/>
    <xf numFmtId="0" fontId="17" fillId="13" borderId="0" xfId="0" applyFont="1" applyFill="1" applyAlignment="1"/>
    <xf numFmtId="0" fontId="0" fillId="13" borderId="0" xfId="0" applyFill="1" applyBorder="1" applyAlignment="1">
      <alignment horizontal="left"/>
    </xf>
    <xf numFmtId="44" fontId="3" fillId="13" borderId="0" xfId="1" applyFont="1" applyFill="1" applyAlignment="1">
      <alignment horizontal="left"/>
    </xf>
    <xf numFmtId="0" fontId="3" fillId="13" borderId="0" xfId="0" applyFont="1" applyFill="1" applyAlignment="1">
      <alignment horizontal="left"/>
    </xf>
    <xf numFmtId="0" fontId="29" fillId="13" borderId="0" xfId="0" applyFont="1" applyFill="1" applyAlignment="1">
      <alignment horizontal="left"/>
    </xf>
    <xf numFmtId="44" fontId="3" fillId="13" borderId="0" xfId="1" applyFont="1" applyFill="1" applyAlignment="1"/>
    <xf numFmtId="44" fontId="3" fillId="0" borderId="0" xfId="1" applyFont="1" applyFill="1" applyAlignment="1"/>
    <xf numFmtId="0" fontId="4" fillId="0" borderId="0" xfId="0" applyFont="1" applyFill="1" applyBorder="1" applyAlignment="1">
      <alignment horizontal="center"/>
    </xf>
    <xf numFmtId="44" fontId="4" fillId="0" borderId="0" xfId="0" applyNumberFormat="1" applyFont="1" applyFill="1" applyBorder="1" applyAlignment="1">
      <alignment horizontal="center"/>
    </xf>
    <xf numFmtId="44" fontId="31" fillId="0" borderId="0" xfId="1" applyFont="1" applyAlignment="1"/>
    <xf numFmtId="44" fontId="31" fillId="0" borderId="0" xfId="1" applyFont="1"/>
    <xf numFmtId="0" fontId="10" fillId="0" borderId="0" xfId="0" applyFont="1" applyBorder="1"/>
    <xf numFmtId="0" fontId="34" fillId="0" borderId="0" xfId="0" applyFont="1" applyBorder="1"/>
    <xf numFmtId="0" fontId="34" fillId="0" borderId="0" xfId="0" applyFont="1" applyFill="1" applyBorder="1"/>
    <xf numFmtId="0" fontId="10" fillId="0" borderId="0" xfId="0" applyFont="1" applyFill="1" applyBorder="1"/>
    <xf numFmtId="0" fontId="4" fillId="0" borderId="0" xfId="0" applyFont="1"/>
    <xf numFmtId="44" fontId="41" fillId="0" borderId="0" xfId="1" applyFont="1" applyAlignment="1">
      <alignment horizontal="left" vertical="center"/>
    </xf>
    <xf numFmtId="44" fontId="3" fillId="13" borderId="0" xfId="1" applyFont="1" applyFill="1" applyBorder="1" applyAlignment="1"/>
    <xf numFmtId="0" fontId="42" fillId="0" borderId="0" xfId="0" applyFont="1" applyAlignment="1">
      <alignment horizontal="right" vertical="center"/>
    </xf>
    <xf numFmtId="0" fontId="29" fillId="0" borderId="0" xfId="0" applyFont="1" applyFill="1"/>
    <xf numFmtId="44" fontId="36" fillId="0" borderId="0" xfId="0" applyNumberFormat="1" applyFont="1"/>
    <xf numFmtId="0" fontId="36" fillId="13" borderId="1" xfId="0" applyFont="1" applyFill="1" applyBorder="1" applyAlignment="1">
      <alignment horizontal="left"/>
    </xf>
    <xf numFmtId="16" fontId="36" fillId="13" borderId="1" xfId="0" applyNumberFormat="1" applyFont="1" applyFill="1" applyBorder="1" applyAlignment="1">
      <alignment horizontal="center"/>
    </xf>
    <xf numFmtId="44" fontId="36" fillId="13" borderId="1" xfId="1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17" fontId="36" fillId="13" borderId="1" xfId="0" applyNumberFormat="1" applyFont="1" applyFill="1" applyBorder="1" applyAlignment="1">
      <alignment horizontal="center"/>
    </xf>
    <xf numFmtId="0" fontId="17" fillId="0" borderId="28" xfId="0" applyFont="1" applyFill="1" applyBorder="1" applyAlignment="1"/>
    <xf numFmtId="44" fontId="3" fillId="0" borderId="29" xfId="1" applyFont="1" applyFill="1" applyBorder="1"/>
    <xf numFmtId="44" fontId="3" fillId="0" borderId="30" xfId="1" applyFont="1" applyFill="1" applyBorder="1" applyAlignment="1"/>
    <xf numFmtId="44" fontId="3" fillId="0" borderId="31" xfId="1" applyFont="1" applyFill="1" applyBorder="1"/>
    <xf numFmtId="44" fontId="17" fillId="13" borderId="32" xfId="1" applyFont="1" applyFill="1" applyBorder="1" applyAlignment="1"/>
    <xf numFmtId="44" fontId="17" fillId="13" borderId="33" xfId="1" applyFont="1" applyFill="1" applyBorder="1"/>
    <xf numFmtId="0" fontId="17" fillId="13" borderId="28" xfId="0" applyFont="1" applyFill="1" applyBorder="1" applyAlignment="1"/>
    <xf numFmtId="44" fontId="3" fillId="13" borderId="29" xfId="1" applyFont="1" applyFill="1" applyBorder="1"/>
    <xf numFmtId="44" fontId="3" fillId="13" borderId="30" xfId="1" applyFont="1" applyFill="1" applyBorder="1" applyAlignment="1"/>
    <xf numFmtId="44" fontId="3" fillId="13" borderId="31" xfId="1" applyFont="1" applyFill="1" applyBorder="1"/>
    <xf numFmtId="0" fontId="38" fillId="14" borderId="1" xfId="0" applyFont="1" applyFill="1" applyBorder="1" applyAlignment="1">
      <alignment horizontal="left"/>
    </xf>
    <xf numFmtId="44" fontId="3" fillId="0" borderId="30" xfId="1" applyFont="1" applyBorder="1" applyAlignment="1"/>
    <xf numFmtId="44" fontId="3" fillId="0" borderId="31" xfId="1" applyFont="1" applyBorder="1"/>
    <xf numFmtId="44" fontId="17" fillId="0" borderId="32" xfId="1" applyFont="1" applyBorder="1" applyAlignment="1"/>
    <xf numFmtId="44" fontId="17" fillId="0" borderId="33" xfId="1" applyFont="1" applyBorder="1"/>
    <xf numFmtId="44" fontId="0" fillId="0" borderId="0" xfId="0" applyNumberFormat="1" applyFill="1"/>
    <xf numFmtId="44" fontId="36" fillId="0" borderId="0" xfId="0" applyNumberFormat="1" applyFont="1" applyAlignment="1">
      <alignment horizontal="center" vertical="center"/>
    </xf>
    <xf numFmtId="44" fontId="36" fillId="19" borderId="1" xfId="1" applyFont="1" applyFill="1" applyBorder="1" applyAlignment="1">
      <alignment horizontal="center"/>
    </xf>
    <xf numFmtId="44" fontId="36" fillId="20" borderId="1" xfId="1" applyFont="1" applyFill="1" applyBorder="1" applyAlignment="1">
      <alignment horizontal="center"/>
    </xf>
    <xf numFmtId="44" fontId="3" fillId="0" borderId="0" xfId="1" applyFont="1" applyFill="1" applyBorder="1" applyAlignment="1"/>
    <xf numFmtId="0" fontId="3" fillId="13" borderId="30" xfId="0" applyFont="1" applyFill="1" applyBorder="1"/>
    <xf numFmtId="44" fontId="0" fillId="13" borderId="31" xfId="1" applyFont="1" applyFill="1" applyBorder="1"/>
    <xf numFmtId="44" fontId="4" fillId="13" borderId="31" xfId="1" applyFont="1" applyFill="1" applyBorder="1"/>
    <xf numFmtId="44" fontId="3" fillId="13" borderId="32" xfId="1" applyFont="1" applyFill="1" applyBorder="1" applyAlignment="1"/>
    <xf numFmtId="0" fontId="0" fillId="0" borderId="0" xfId="0" applyFont="1" applyFill="1" applyBorder="1"/>
    <xf numFmtId="0" fontId="4" fillId="13" borderId="0" xfId="0" applyFont="1" applyFill="1"/>
    <xf numFmtId="0" fontId="8" fillId="0" borderId="0" xfId="0" applyFont="1" applyFill="1"/>
    <xf numFmtId="0" fontId="4" fillId="0" borderId="0" xfId="0" applyFont="1" applyFill="1"/>
    <xf numFmtId="0" fontId="3" fillId="0" borderId="2" xfId="0" applyFont="1" applyFill="1" applyBorder="1"/>
    <xf numFmtId="44" fontId="17" fillId="0" borderId="0" xfId="1" applyFont="1" applyFill="1" applyBorder="1" applyAlignment="1"/>
    <xf numFmtId="0" fontId="17" fillId="13" borderId="9" xfId="0" applyFont="1" applyFill="1" applyBorder="1" applyAlignment="1"/>
    <xf numFmtId="44" fontId="3" fillId="13" borderId="10" xfId="1" applyFont="1" applyFill="1" applyBorder="1"/>
    <xf numFmtId="44" fontId="3" fillId="13" borderId="8" xfId="1" applyFont="1" applyFill="1" applyBorder="1" applyAlignment="1"/>
    <xf numFmtId="44" fontId="3" fillId="13" borderId="11" xfId="1" applyFont="1" applyFill="1" applyBorder="1"/>
    <xf numFmtId="44" fontId="3" fillId="13" borderId="12" xfId="1" applyFont="1" applyFill="1" applyBorder="1" applyAlignment="1"/>
    <xf numFmtId="44" fontId="3" fillId="13" borderId="13" xfId="1" applyFont="1" applyFill="1" applyBorder="1"/>
    <xf numFmtId="0" fontId="43" fillId="0" borderId="0" xfId="0" applyFont="1"/>
    <xf numFmtId="44" fontId="17" fillId="13" borderId="13" xfId="1" applyFont="1" applyFill="1" applyBorder="1"/>
    <xf numFmtId="44" fontId="17" fillId="13" borderId="12" xfId="1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16" fontId="3" fillId="0" borderId="6" xfId="0" applyNumberFormat="1" applyFont="1" applyBorder="1" applyAlignment="1">
      <alignment horizontal="center" wrapText="1"/>
    </xf>
    <xf numFmtId="16" fontId="3" fillId="0" borderId="4" xfId="0" applyNumberFormat="1" applyFont="1" applyBorder="1" applyAlignment="1">
      <alignment horizontal="center" wrapText="1"/>
    </xf>
    <xf numFmtId="16" fontId="0" fillId="0" borderId="6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44" fontId="4" fillId="2" borderId="9" xfId="1" applyFont="1" applyFill="1" applyBorder="1" applyAlignment="1"/>
    <xf numFmtId="44" fontId="4" fillId="2" borderId="15" xfId="1" applyFont="1" applyFill="1" applyBorder="1" applyAlignment="1"/>
    <xf numFmtId="44" fontId="0" fillId="2" borderId="1" xfId="1" applyFont="1" applyFill="1" applyBorder="1"/>
    <xf numFmtId="44" fontId="3" fillId="2" borderId="1" xfId="1" applyFont="1" applyFill="1" applyBorder="1"/>
    <xf numFmtId="0" fontId="4" fillId="2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BFFE0"/>
      <color rgb="FFCDEC9C"/>
      <color rgb="FFFF8AD8"/>
      <color rgb="FFFFD3F3"/>
      <color rgb="FFFFEBF2"/>
      <color rgb="FFED2AAF"/>
      <color rgb="FFAAEA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864782</xdr:colOff>
      <xdr:row>14</xdr:row>
      <xdr:rowOff>30480</xdr:rowOff>
    </xdr:from>
    <xdr:to>
      <xdr:col>11</xdr:col>
      <xdr:colOff>817880</xdr:colOff>
      <xdr:row>18</xdr:row>
      <xdr:rowOff>7619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1889F1-8E2F-914E-B39B-FA140F213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262" y="2915920"/>
          <a:ext cx="1212938" cy="7899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16</xdr:row>
      <xdr:rowOff>127000</xdr:rowOff>
    </xdr:from>
    <xdr:to>
      <xdr:col>4</xdr:col>
      <xdr:colOff>825500</xdr:colOff>
      <xdr:row>21</xdr:row>
      <xdr:rowOff>101600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DE873779-5183-6645-B7C1-9790E2151AEE}"/>
            </a:ext>
          </a:extLst>
        </xdr:cNvPr>
        <xdr:cNvCxnSpPr/>
      </xdr:nvCxnSpPr>
      <xdr:spPr>
        <a:xfrm flipV="1">
          <a:off x="2451100" y="3378200"/>
          <a:ext cx="13716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572066C1-E019-5F43-87E2-43FC83DBCCB7}" userId="Microsoft Office User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11-03T23:07:53.99" personId="{572066C1-E019-5F43-87E2-43FC83DBCCB7}" id="{DC8E213C-05C0-1447-898F-28AAC0212D75}">
    <text>Hubo aumento</text>
  </threadedComment>
  <threadedComment ref="J42" dT="2020-11-23T16:27:05.68" personId="{572066C1-E019-5F43-87E2-43FC83DBCCB7}" id="{176BA9FF-E599-7A4E-9719-8A7C4DA57715}">
    <text>La otra parte se saldo por todos los gastos que hice yo en el mes, hicimos balance y Félix me debía $3125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0-10-27T02:30:32.22" personId="{572066C1-E019-5F43-87E2-43FC83DBCCB7}" id="{D7EF5778-E750-5049-BEA5-549E097C19C1}">
    <text xml:space="preserve">Lo pago Fel x adelantado en octubre
</text>
  </threadedComment>
  <threadedComment ref="D3" dT="2020-10-27T02:30:40.14" personId="{572066C1-E019-5F43-87E2-43FC83DBCCB7}" id="{2234C273-262F-7F4A-8869-0089C2BF9A51}">
    <text>Lo pago Fel x adelantado en octubre</text>
  </threadedComment>
  <threadedComment ref="E3" dT="2020-12-23T00:21:26.84" personId="{572066C1-E019-5F43-87E2-43FC83DBCCB7}" id="{D6904D52-10C7-B94C-814C-3B7C82BCB1B0}">
    <text>Félix depósito 22-12-2020</text>
  </threadedComment>
  <threadedComment ref="F3" dT="2021-01-31T00:44:04.91" personId="{572066C1-E019-5F43-87E2-43FC83DBCCB7}" id="{84F5377C-7401-404B-B9CE-41858ED1418A}">
    <text>Depositó Fel 29-01-2021</text>
  </threadedComment>
  <threadedComment ref="I3" dT="2021-04-12T00:56:48.97" personId="{572066C1-E019-5F43-87E2-43FC83DBCCB7}" id="{83BBD266-D193-AB4E-88EE-5240EF070F3D}">
    <text xml:space="preserve">Pagas JC el 09-04-2021
</text>
  </threadedComment>
  <threadedComment ref="J3" dT="2021-05-14T15:07:56.46" personId="{572066C1-E019-5F43-87E2-43FC83DBCCB7}" id="{B865B2F6-D458-1648-B05E-2CA2C0A5601A}">
    <text>Fel pagó 05 y 06 juntos el 13-05-2021</text>
  </threadedComment>
  <threadedComment ref="K3" dT="2021-05-14T15:08:02.65" personId="{572066C1-E019-5F43-87E2-43FC83DBCCB7}" id="{FA83EBF3-8B86-D94C-996B-D49BA86D3823}">
    <text>Fel pagó 05 y 06 juntos el 13-05-2021</text>
  </threadedComment>
  <threadedComment ref="L3" dT="2021-07-01T22:18:44.02" personId="{572066C1-E019-5F43-87E2-43FC83DBCCB7}" id="{9012E626-7C74-9943-98DC-31DD649B0252}">
    <text>Depósito 01-07-2021</text>
  </threadedComment>
  <threadedComment ref="D4" dT="2020-11-27T19:58:45.52" personId="{572066C1-E019-5F43-87E2-43FC83DBCCB7}" id="{C849CCDA-792C-2D43-99F8-ADBC423F02EE}">
    <text xml:space="preserve">Pagado por fel el día 25-11-2020. Mandó comprobante por el mes anterior porque se había olvidado y figuraba que debíamos el pasado. </text>
  </threadedComment>
  <threadedComment ref="E4" dT="2020-12-23T00:21:35.92" personId="{572066C1-E019-5F43-87E2-43FC83DBCCB7}" id="{67B4AA13-D225-3647-9769-4C1EBF9AC5D6}">
    <text>Félix depósito 22-12-2020</text>
  </threadedComment>
  <threadedComment ref="F4" dT="2021-01-31T00:44:12.00" personId="{572066C1-E019-5F43-87E2-43FC83DBCCB7}" id="{5D953998-2AFA-D745-9032-476B46A52952}">
    <text>Depositó Fel 29-01-2021</text>
  </threadedComment>
  <threadedComment ref="G4" dT="2021-02-17T01:32:11.77" personId="{572066C1-E019-5F43-87E2-43FC83DBCCB7}" id="{20C69E3C-762D-4944-95AA-D78F7F2B84B8}">
    <text>JC depositó en ICBC esquina Pilar</text>
  </threadedComment>
  <threadedComment ref="I4" dT="2021-04-12T00:57:13.13" personId="{572066C1-E019-5F43-87E2-43FC83DBCCB7}" id="{F0918D88-D21A-DA47-9D84-DBAA47E9F12A}">
    <text xml:space="preserve">Pagas Fel 09-04-2021
</text>
  </threadedComment>
  <threadedComment ref="J4" dT="2021-05-14T15:08:24.05" personId="{572066C1-E019-5F43-87E2-43FC83DBCCB7}" id="{E2D5B19A-D8B3-144C-8A69-78C12D44EE7C}">
    <text>Fel pagó 05 el 13-05-2021</text>
  </threadedComment>
  <threadedComment ref="K4" dT="2021-06-15T01:50:01.07" personId="{572066C1-E019-5F43-87E2-43FC83DBCCB7}" id="{546B88C4-EA60-974C-BC8D-A1CD0F2E98E4}">
    <text>Depósito 14-06-2021
$5000 juana
Resto Félix</text>
  </threadedComment>
  <threadedComment ref="L4" dT="2021-08-08T19:34:40.38" personId="{572066C1-E019-5F43-87E2-43FC83DBCCB7}" id="{7AD9C323-D524-FE43-9FFC-A4409EE60564}">
    <text>Pagó Félix 08-07-2021</text>
  </threadedComment>
  <threadedComment ref="C5" dT="2020-11-03T23:51:16.00" personId="{572066C1-E019-5F43-87E2-43FC83DBCCB7}" id="{F296E4C8-0EEE-FB44-9EA7-4F426738F1E5}">
    <text>MP Fel 03-11-2020</text>
  </threadedComment>
  <threadedComment ref="D5" dT="2020-12-23T00:21:50.79" personId="{572066C1-E019-5F43-87E2-43FC83DBCCB7}" id="{73F58481-A473-9148-9A5D-0EBC50615C7D}">
    <text>Félix RIPSA 22-12-2020 con factura vencida</text>
  </threadedComment>
  <threadedComment ref="F5" dT="2021-01-31T00:44:48.02" personId="{572066C1-E019-5F43-87E2-43FC83DBCCB7}" id="{F7EC12F6-3A24-5A49-9952-22D762445541}">
    <text>MP Fel 30-01-2021</text>
  </threadedComment>
  <threadedComment ref="G5" dT="2021-03-02T23:58:01.24" personId="{572066C1-E019-5F43-87E2-43FC83DBCCB7}" id="{D2AE845D-1953-074A-B932-377600AACC4F}">
    <text>MP fel 02-03-2021</text>
  </threadedComment>
  <threadedComment ref="I5" dT="2021-05-02T23:42:28.40" personId="{572066C1-E019-5F43-87E2-43FC83DBCCB7}" id="{49E4BC3D-98F8-194A-8482-97CA936BCF20}">
    <text>Pago MP Fel 02-05-2021</text>
  </threadedComment>
  <threadedComment ref="J5" dT="2021-06-30T00:36:30.08" personId="{572066C1-E019-5F43-87E2-43FC83DBCCB7}" id="{CF9DA268-8632-3949-8C3C-087A1842B69D}">
    <text>Pago Fel atrasado MP 29/06/2021</text>
  </threadedComment>
  <threadedComment ref="K5" dT="2021-06-30T00:36:41.23" personId="{572066C1-E019-5F43-87E2-43FC83DBCCB7}" id="{9A750A2D-9FFF-084B-818C-DFD4C81B4280}">
    <text>Pago Fel MP 29/06/2021</text>
  </threadedComment>
  <threadedComment ref="C6" dT="2020-11-03T23:51:23.14" personId="{572066C1-E019-5F43-87E2-43FC83DBCCB7}" id="{68B28A9E-21F5-3C4F-817F-798E24B9AA58}">
    <text>MP Fel 03-11-2020</text>
  </threadedComment>
  <threadedComment ref="D6" dT="2020-12-22T01:03:54.37" personId="{572066C1-E019-5F43-87E2-43FC83DBCCB7}" id="{39B195FF-C109-1047-9DB5-60BDE83C4633}">
    <text>Pago MP Félix 20-12-2020: plata ya devuelta en transf.</text>
  </threadedComment>
  <threadedComment ref="E6" dT="2020-12-22T01:04:11.67" personId="{572066C1-E019-5F43-87E2-43FC83DBCCB7}" id="{A5201B10-D15B-5E4C-A740-2C32545AA80A}">
    <text>Pago MP Félix 20-12-2020: plata ya devuelta en transf.</text>
  </threadedComment>
  <threadedComment ref="F6" dT="2021-02-02T23:04:39.47" personId="{572066C1-E019-5F43-87E2-43FC83DBCCB7}" id="{2302F8ED-1E59-634F-9254-0A7D15887F84}">
    <text xml:space="preserve">MP Fel 01-02-2021
</text>
  </threadedComment>
  <threadedComment ref="G6" dT="2021-05-02T23:38:30.37" personId="{572066C1-E019-5F43-87E2-43FC83DBCCB7}" id="{D9FD2BBB-F549-1C4C-ABBB-AA0B6C1BE2C4}">
    <text>Pago MP Fel 02-05-2021</text>
  </threadedComment>
  <threadedComment ref="H6" dT="2021-05-02T23:38:24.68" personId="{572066C1-E019-5F43-87E2-43FC83DBCCB7}" id="{FC452DCC-9F3E-A547-A64B-C049879A4E40}">
    <text>Pago MP Fel 02-05-2021</text>
  </threadedComment>
  <threadedComment ref="I6" dT="2021-05-02T23:38:14.74" personId="{572066C1-E019-5F43-87E2-43FC83DBCCB7}" id="{1F0B577C-1246-A943-819F-301F4BF0D6ED}">
    <text>Pago MP Fel 02-05-2021</text>
  </threadedComment>
  <threadedComment ref="L6" dT="2021-08-08T19:52:50.06" personId="{572066C1-E019-5F43-87E2-43FC83DBCCB7}" id="{599F71EE-2CB6-F247-9B54-190620703C35}">
    <text>08-08 MP Fel</text>
  </threadedComment>
  <threadedComment ref="C7" dT="2020-11-03T23:51:32.67" personId="{572066C1-E019-5F43-87E2-43FC83DBCCB7}" id="{C7FB3ED9-E144-C04F-A7D7-980BF38E4597}">
    <text>DA Fel</text>
  </threadedComment>
  <threadedComment ref="H9" dT="2021-03-02T02:52:10.10" personId="{572066C1-E019-5F43-87E2-43FC83DBCCB7}" id="{3D51659D-81EC-4C4C-9F9E-81AECE87FCA0}">
    <text>JC transf papà 27-02-2021</text>
  </threadedComment>
  <threadedComment ref="I9" dT="2021-04-20T23:38:31.37" personId="{572066C1-E019-5F43-87E2-43FC83DBCCB7}" id="{F104F2F7-EAFD-4A4D-B6B1-0A385FA8C134}">
    <text>11-04-2021 Papá transferencia</text>
  </threadedComment>
  <threadedComment ref="J9" dT="2021-05-05T01:07:50.41" personId="{572066C1-E019-5F43-87E2-43FC83DBCCB7}" id="{E0BF7B1F-E0F2-3844-8901-508A293B3368}">
    <text>Transf. Papá 04-05-2021</text>
  </threadedComment>
  <threadedComment ref="K9" dT="2021-06-05T20:48:57.85" personId="{572066C1-E019-5F43-87E2-43FC83DBCCB7}" id="{CBA77018-2E1E-994B-ACE2-419922BCC388}">
    <text>Transf. 03-06-2021 papá</text>
  </threadedComment>
  <threadedComment ref="M9" dT="2021-08-08T19:53:30.45" personId="{572066C1-E019-5F43-87E2-43FC83DBCCB7}" id="{5D3154FD-9B51-F542-B4E1-BDD007700687}">
    <text>03-08-2021 Transf. papá</text>
  </threadedComment>
  <threadedComment ref="I10" dT="2021-04-20T23:38:55.24" personId="{572066C1-E019-5F43-87E2-43FC83DBCCB7}" id="{5CCE5AD5-4191-C649-81FB-DB03A4E12493}">
    <text>11-04-2021 Papá transferencia</text>
  </threadedComment>
  <threadedComment ref="J10" dT="2021-05-05T01:07:20.72" personId="{572066C1-E019-5F43-87E2-43FC83DBCCB7}" id="{31D71B5E-A911-894C-B683-2E53B93E33C2}">
    <text>Mamá me debía plata por la compra del helado de Volta que yo hice</text>
  </threadedComment>
  <threadedComment ref="K10" dT="2021-06-05T20:48:43.01" personId="{572066C1-E019-5F43-87E2-43FC83DBCCB7}" id="{588CFD83-9846-4C4A-B655-5A320B1FDB55}">
    <text>Efectivo mamá en casa 05-06-2021</text>
  </threadedComment>
  <threadedComment ref="L10" dT="2021-06-30T00:38:01.58" personId="{572066C1-E019-5F43-87E2-43FC83DBCCB7}" id="{52FF7FC4-F0B1-6043-9920-11F04FE1ECB1}">
    <text xml:space="preserve">Neteado porque mamá me debía del regalo de Pablo menos unos ravioles. Quedaba esta plata que me neta el teléfono que lo paga mamá.
</text>
  </threadedComment>
  <threadedComment ref="M10" dT="2021-08-08T19:53:50.09" personId="{572066C1-E019-5F43-87E2-43FC83DBCCB7}" id="{05A4FEC8-6631-0545-A5D2-8D2D79B8CDA3}">
    <text>08-08-2021 Transf. Mamá</text>
  </threadedComment>
  <threadedComment ref="F11" dT="2021-02-08T02:16:44.53" personId="{572066C1-E019-5F43-87E2-43FC83DBCCB7}" id="{1ED287CD-9DD4-6D47-B5E6-B7B386A042C0}">
    <text>JC - Santander - transf. papá 06/02/2021</text>
  </threadedComment>
  <threadedComment ref="G11" dT="2021-02-08T02:16:52.97" personId="{572066C1-E019-5F43-87E2-43FC83DBCCB7}" id="{71D98918-4F77-7B42-81C9-8D160860AE07}">
    <text>JC - Santander - transf. papá 06/02/2021</text>
  </threadedComment>
  <threadedComment ref="I11" dT="2021-04-20T23:39:04.34" personId="{572066C1-E019-5F43-87E2-43FC83DBCCB7}" id="{D80891F2-C7FB-8E4A-8D53-05B1CC567529}">
    <text>11-04-2021 Papá transferencia</text>
  </threadedComment>
  <threadedComment ref="J11" dT="2021-05-05T01:07:54.51" personId="{572066C1-E019-5F43-87E2-43FC83DBCCB7}" id="{DA2DD510-1F63-414B-B3D5-7E75CB997EC6}">
    <text>Transf. Papá 04-05-2021</text>
  </threadedComment>
  <threadedComment ref="K11" dT="2021-06-05T20:49:09.44" personId="{572066C1-E019-5F43-87E2-43FC83DBCCB7}" id="{CA5D448F-9958-CE4C-BA21-DAE4F21B52C0}">
    <text>Transf. 03-06-2021 papá</text>
  </threadedComment>
  <threadedComment ref="M11" dT="2021-08-08T19:53:38.64" personId="{572066C1-E019-5F43-87E2-43FC83DBCCB7}" id="{43035B5A-070D-6148-B813-94F3C946B4CA}">
    <text>03-08-2021 Transf. papá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1772-87F3-FA4B-950E-7615519B464F}">
  <dimension ref="A1:Q849"/>
  <sheetViews>
    <sheetView topLeftCell="A42" zoomScale="116" workbookViewId="0">
      <selection activeCell="I67" sqref="I67"/>
    </sheetView>
  </sheetViews>
  <sheetFormatPr baseColWidth="10" defaultRowHeight="16"/>
  <cols>
    <col min="2" max="2" width="26.1640625" bestFit="1" customWidth="1"/>
    <col min="3" max="3" width="12.5" style="4" bestFit="1" customWidth="1"/>
    <col min="4" max="4" width="11.5" style="4" bestFit="1" customWidth="1"/>
    <col min="5" max="5" width="11.6640625" style="4" bestFit="1" customWidth="1"/>
    <col min="6" max="6" width="55" customWidth="1"/>
    <col min="7" max="7" width="6" customWidth="1"/>
    <col min="8" max="8" width="7.83203125" bestFit="1" customWidth="1"/>
    <col min="9" max="9" width="12.5" bestFit="1" customWidth="1"/>
    <col min="10" max="10" width="11.5" bestFit="1" customWidth="1"/>
    <col min="12" max="12" width="11.5" bestFit="1" customWidth="1"/>
    <col min="14" max="14" width="39.5" bestFit="1" customWidth="1"/>
    <col min="15" max="15" width="17.6640625" bestFit="1" customWidth="1"/>
    <col min="16" max="16" width="11.5" style="4" bestFit="1" customWidth="1"/>
    <col min="17" max="17" width="11.5" bestFit="1" customWidth="1"/>
  </cols>
  <sheetData>
    <row r="1" spans="1:17">
      <c r="A1" s="1" t="s">
        <v>0</v>
      </c>
      <c r="B1" s="1" t="s">
        <v>1</v>
      </c>
      <c r="C1" s="3" t="s">
        <v>5</v>
      </c>
      <c r="D1" s="3" t="s">
        <v>6</v>
      </c>
      <c r="E1" s="3" t="s">
        <v>2</v>
      </c>
      <c r="F1" s="1" t="s">
        <v>3</v>
      </c>
      <c r="H1" s="468"/>
      <c r="I1" s="468"/>
      <c r="J1" s="468"/>
      <c r="K1" s="468"/>
      <c r="L1" s="468"/>
      <c r="M1" s="468"/>
      <c r="N1" s="21"/>
      <c r="O1" s="21"/>
      <c r="P1" s="23"/>
      <c r="Q1" s="21"/>
    </row>
    <row r="2" spans="1:17">
      <c r="A2" s="2">
        <v>43770</v>
      </c>
      <c r="B2" s="1" t="s">
        <v>4</v>
      </c>
      <c r="C2" s="3"/>
      <c r="D2" s="3">
        <v>44890</v>
      </c>
      <c r="E2" s="3">
        <f>D2</f>
        <v>44890</v>
      </c>
      <c r="F2" s="1"/>
      <c r="H2" s="21"/>
      <c r="I2" s="21"/>
      <c r="J2" s="21"/>
      <c r="K2" s="21"/>
      <c r="L2" s="21"/>
      <c r="M2" s="21"/>
      <c r="N2" s="21"/>
      <c r="O2" s="27"/>
      <c r="P2" s="28"/>
      <c r="Q2" s="470"/>
    </row>
    <row r="3" spans="1:17">
      <c r="A3" s="2">
        <v>43770</v>
      </c>
      <c r="B3" s="1" t="s">
        <v>9</v>
      </c>
      <c r="C3" s="3">
        <v>10000</v>
      </c>
      <c r="D3" s="3"/>
      <c r="E3" s="3">
        <f>E2+D3-C3</f>
        <v>34890</v>
      </c>
      <c r="F3" s="1" t="s">
        <v>10</v>
      </c>
      <c r="H3" s="22"/>
      <c r="I3" s="21"/>
      <c r="J3" s="23"/>
      <c r="K3" s="21"/>
      <c r="L3" s="24"/>
      <c r="M3" s="469"/>
      <c r="N3" s="21"/>
      <c r="O3" s="27"/>
      <c r="P3" s="28"/>
      <c r="Q3" s="470"/>
    </row>
    <row r="4" spans="1:17">
      <c r="A4" s="2">
        <v>43770</v>
      </c>
      <c r="B4" s="1" t="s">
        <v>7</v>
      </c>
      <c r="C4" s="3">
        <f>260+1572.48</f>
        <v>1832.48</v>
      </c>
      <c r="D4" s="3"/>
      <c r="E4" s="3">
        <f t="shared" ref="E4:E67" si="0">E3+D4-C4</f>
        <v>33057.519999999997</v>
      </c>
      <c r="F4" s="1" t="s">
        <v>8</v>
      </c>
      <c r="H4" s="22"/>
      <c r="I4" s="21"/>
      <c r="J4" s="23"/>
      <c r="K4" s="21"/>
      <c r="L4" s="24"/>
      <c r="M4" s="469"/>
      <c r="N4" s="21"/>
      <c r="O4" s="27"/>
      <c r="P4" s="28"/>
      <c r="Q4" s="470"/>
    </row>
    <row r="5" spans="1:17">
      <c r="A5" s="2">
        <v>43770</v>
      </c>
      <c r="B5" s="1" t="s">
        <v>11</v>
      </c>
      <c r="C5" s="3">
        <f>1491.62+1453.6</f>
        <v>2945.22</v>
      </c>
      <c r="D5" s="3"/>
      <c r="E5" s="3">
        <f t="shared" si="0"/>
        <v>30112.299999999996</v>
      </c>
      <c r="F5" s="1" t="s">
        <v>12</v>
      </c>
      <c r="H5" s="22"/>
      <c r="I5" s="21"/>
      <c r="J5" s="23"/>
      <c r="K5" s="21"/>
      <c r="L5" s="24"/>
      <c r="M5" s="469"/>
      <c r="N5" s="21"/>
      <c r="O5" s="27"/>
      <c r="P5" s="28"/>
      <c r="Q5" s="470"/>
    </row>
    <row r="6" spans="1:17">
      <c r="A6" s="2">
        <v>43770</v>
      </c>
      <c r="B6" s="1" t="s">
        <v>13</v>
      </c>
      <c r="C6" s="3">
        <v>559</v>
      </c>
      <c r="D6" s="3"/>
      <c r="E6" s="3">
        <f t="shared" si="0"/>
        <v>29553.299999999996</v>
      </c>
      <c r="F6" s="1" t="s">
        <v>14</v>
      </c>
      <c r="H6" s="21"/>
      <c r="I6" s="21"/>
      <c r="J6" s="23"/>
      <c r="K6" s="21"/>
      <c r="L6" s="24"/>
      <c r="M6" s="469"/>
      <c r="N6" s="21"/>
      <c r="O6" s="27"/>
      <c r="P6" s="28"/>
      <c r="Q6" s="28"/>
    </row>
    <row r="7" spans="1:17">
      <c r="A7" s="2">
        <v>43770</v>
      </c>
      <c r="B7" s="1" t="s">
        <v>15</v>
      </c>
      <c r="C7" s="3">
        <v>200</v>
      </c>
      <c r="D7" s="3"/>
      <c r="E7" s="3">
        <f t="shared" si="0"/>
        <v>29353.299999999996</v>
      </c>
      <c r="F7" s="1" t="s">
        <v>16</v>
      </c>
      <c r="H7" s="21"/>
      <c r="I7" s="21"/>
      <c r="J7" s="23"/>
      <c r="K7" s="21"/>
      <c r="L7" s="24"/>
      <c r="M7" s="469"/>
      <c r="N7" s="21"/>
      <c r="O7" s="27"/>
      <c r="P7" s="28"/>
      <c r="Q7" s="24"/>
    </row>
    <row r="8" spans="1:17">
      <c r="A8" s="2">
        <v>43770</v>
      </c>
      <c r="B8" s="1" t="s">
        <v>17</v>
      </c>
      <c r="C8" s="3">
        <v>1353.3</v>
      </c>
      <c r="D8" s="3"/>
      <c r="E8" s="3">
        <f t="shared" si="0"/>
        <v>27999.999999999996</v>
      </c>
      <c r="F8" s="1"/>
      <c r="H8" s="21"/>
      <c r="I8" s="21"/>
      <c r="J8" s="23"/>
      <c r="K8" s="21"/>
      <c r="L8" s="24"/>
      <c r="M8" s="469"/>
      <c r="N8" s="21"/>
      <c r="O8" s="21"/>
      <c r="P8" s="23"/>
      <c r="Q8" s="21"/>
    </row>
    <row r="9" spans="1:17">
      <c r="A9" s="2">
        <v>43770</v>
      </c>
      <c r="B9" s="1" t="s">
        <v>18</v>
      </c>
      <c r="C9" s="3">
        <v>10000</v>
      </c>
      <c r="D9" s="3"/>
      <c r="E9" s="3">
        <f t="shared" si="0"/>
        <v>17999.999999999996</v>
      </c>
      <c r="F9" s="1" t="s">
        <v>19</v>
      </c>
      <c r="H9" s="21"/>
      <c r="I9" s="21"/>
      <c r="J9" s="23"/>
      <c r="K9" s="21"/>
      <c r="L9" s="24"/>
      <c r="M9" s="469"/>
      <c r="N9" s="21"/>
      <c r="O9" s="21"/>
      <c r="P9" s="23"/>
      <c r="Q9" s="21"/>
    </row>
    <row r="10" spans="1:17">
      <c r="A10" s="2">
        <v>43771</v>
      </c>
      <c r="B10" s="1" t="s">
        <v>20</v>
      </c>
      <c r="C10" s="3">
        <v>10000</v>
      </c>
      <c r="D10" s="3"/>
      <c r="E10" s="3">
        <f t="shared" si="0"/>
        <v>7999.9999999999964</v>
      </c>
      <c r="F10" s="1" t="s">
        <v>21</v>
      </c>
      <c r="H10" s="22"/>
      <c r="I10" s="21"/>
      <c r="J10" s="23"/>
      <c r="K10" s="21"/>
      <c r="L10" s="24"/>
      <c r="M10" s="21"/>
      <c r="N10" s="21"/>
      <c r="O10" s="21"/>
      <c r="P10" s="23"/>
      <c r="Q10" s="21"/>
    </row>
    <row r="11" spans="1:17">
      <c r="A11" s="2">
        <v>43772</v>
      </c>
      <c r="B11" s="1" t="s">
        <v>17</v>
      </c>
      <c r="C11" s="3">
        <v>2500</v>
      </c>
      <c r="D11" s="3"/>
      <c r="E11" s="3">
        <f t="shared" si="0"/>
        <v>5499.9999999999964</v>
      </c>
      <c r="F11" s="1" t="s">
        <v>26</v>
      </c>
      <c r="H11" s="22"/>
      <c r="I11" s="21"/>
      <c r="J11" s="23"/>
      <c r="K11" s="21"/>
      <c r="L11" s="24"/>
      <c r="M11" s="468"/>
      <c r="N11" s="21"/>
      <c r="O11" s="21"/>
      <c r="P11" s="23"/>
      <c r="Q11" s="21"/>
    </row>
    <row r="12" spans="1:17">
      <c r="A12" s="2">
        <v>43775</v>
      </c>
      <c r="B12" s="1" t="s">
        <v>22</v>
      </c>
      <c r="C12" s="3">
        <v>2000</v>
      </c>
      <c r="D12" s="3"/>
      <c r="E12" s="3">
        <f t="shared" si="0"/>
        <v>3499.9999999999964</v>
      </c>
      <c r="F12" s="1"/>
      <c r="H12" s="22"/>
      <c r="I12" s="21"/>
      <c r="J12" s="23"/>
      <c r="K12" s="21"/>
      <c r="L12" s="24"/>
      <c r="M12" s="468"/>
      <c r="N12" s="21"/>
      <c r="O12" s="21"/>
      <c r="P12" s="23"/>
      <c r="Q12" s="21"/>
    </row>
    <row r="13" spans="1:17">
      <c r="A13" s="2">
        <v>43775</v>
      </c>
      <c r="B13" s="1" t="s">
        <v>23</v>
      </c>
      <c r="C13" s="3">
        <v>1000</v>
      </c>
      <c r="D13" s="3"/>
      <c r="E13" s="3">
        <f t="shared" si="0"/>
        <v>2499.9999999999964</v>
      </c>
      <c r="F13" s="1"/>
      <c r="H13" s="22"/>
      <c r="I13" s="21"/>
      <c r="J13" s="23"/>
      <c r="K13" s="21"/>
      <c r="L13" s="24"/>
      <c r="M13" s="468"/>
      <c r="N13" s="21"/>
      <c r="O13" s="21"/>
      <c r="P13" s="23"/>
      <c r="Q13" s="21"/>
    </row>
    <row r="14" spans="1:17">
      <c r="A14" s="2">
        <v>43774</v>
      </c>
      <c r="B14" s="1" t="s">
        <v>25</v>
      </c>
      <c r="C14" s="3"/>
      <c r="D14" s="3">
        <v>700</v>
      </c>
      <c r="E14" s="3">
        <f t="shared" si="0"/>
        <v>3199.9999999999964</v>
      </c>
      <c r="F14" s="1"/>
      <c r="H14" s="22"/>
      <c r="I14" s="21"/>
      <c r="J14" s="23"/>
      <c r="K14" s="21"/>
      <c r="L14" s="24"/>
      <c r="M14" s="468"/>
      <c r="N14" s="21"/>
      <c r="O14" s="21"/>
      <c r="P14" s="23"/>
      <c r="Q14" s="21"/>
    </row>
    <row r="15" spans="1:17">
      <c r="A15" s="2">
        <v>43778</v>
      </c>
      <c r="B15" s="1" t="s">
        <v>25</v>
      </c>
      <c r="C15" s="3"/>
      <c r="D15" s="3">
        <v>700</v>
      </c>
      <c r="E15" s="3">
        <f t="shared" si="0"/>
        <v>3899.9999999999964</v>
      </c>
      <c r="F15" s="1"/>
      <c r="H15" s="22"/>
      <c r="I15" s="21"/>
      <c r="J15" s="23"/>
      <c r="K15" s="21"/>
      <c r="L15" s="24"/>
      <c r="M15" s="468"/>
      <c r="N15" s="21"/>
      <c r="O15" s="21"/>
      <c r="P15" s="23"/>
      <c r="Q15" s="21"/>
    </row>
    <row r="16" spans="1:17">
      <c r="A16" s="2">
        <v>43780</v>
      </c>
      <c r="B16" s="1" t="s">
        <v>25</v>
      </c>
      <c r="C16" s="3"/>
      <c r="D16" s="3">
        <v>700</v>
      </c>
      <c r="E16" s="3">
        <f t="shared" si="0"/>
        <v>4599.9999999999964</v>
      </c>
      <c r="F16" s="1"/>
      <c r="H16" s="22"/>
      <c r="I16" s="21"/>
      <c r="J16" s="23"/>
      <c r="K16" s="21"/>
      <c r="L16" s="24"/>
      <c r="M16" s="21"/>
      <c r="N16" s="21"/>
      <c r="O16" s="21"/>
      <c r="P16" s="23"/>
      <c r="Q16" s="21"/>
    </row>
    <row r="17" spans="1:17">
      <c r="A17" s="2">
        <v>43783</v>
      </c>
      <c r="B17" s="1" t="s">
        <v>27</v>
      </c>
      <c r="C17" s="3"/>
      <c r="D17" s="3">
        <v>500</v>
      </c>
      <c r="E17" s="3">
        <f t="shared" si="0"/>
        <v>5099.9999999999964</v>
      </c>
      <c r="F17" s="1"/>
      <c r="H17" s="22"/>
      <c r="I17" s="21"/>
      <c r="J17" s="23"/>
      <c r="K17" s="21"/>
      <c r="L17" s="24"/>
      <c r="M17" s="21"/>
      <c r="N17" s="21"/>
      <c r="O17" s="21"/>
      <c r="P17" s="23"/>
      <c r="Q17" s="21"/>
    </row>
    <row r="18" spans="1:17">
      <c r="A18" s="2">
        <v>43784</v>
      </c>
      <c r="B18" s="1" t="s">
        <v>17</v>
      </c>
      <c r="C18" s="3">
        <v>1100</v>
      </c>
      <c r="D18" s="3"/>
      <c r="E18" s="3">
        <f t="shared" si="0"/>
        <v>3999.9999999999964</v>
      </c>
      <c r="F18" s="1"/>
      <c r="H18" s="22"/>
      <c r="I18" s="21"/>
      <c r="J18" s="23"/>
      <c r="K18" s="21"/>
      <c r="L18" s="24"/>
      <c r="M18" s="21"/>
      <c r="N18" s="21"/>
      <c r="O18" s="21"/>
      <c r="P18" s="23"/>
      <c r="Q18" s="21"/>
    </row>
    <row r="19" spans="1:17">
      <c r="A19" s="2">
        <v>43785</v>
      </c>
      <c r="B19" s="1" t="s">
        <v>25</v>
      </c>
      <c r="C19" s="3"/>
      <c r="D19" s="3">
        <v>700</v>
      </c>
      <c r="E19" s="3">
        <f t="shared" si="0"/>
        <v>4699.9999999999964</v>
      </c>
      <c r="F19" s="1"/>
      <c r="H19" s="22"/>
      <c r="I19" s="21"/>
      <c r="J19" s="23"/>
      <c r="K19" s="21"/>
      <c r="L19" s="24"/>
      <c r="M19" s="21"/>
      <c r="N19" s="21"/>
      <c r="O19" s="21"/>
      <c r="P19" s="23"/>
      <c r="Q19" s="21"/>
    </row>
    <row r="20" spans="1:17">
      <c r="A20" s="2">
        <v>43786</v>
      </c>
      <c r="B20" s="6" t="s">
        <v>25</v>
      </c>
      <c r="C20" s="3"/>
      <c r="D20" s="3">
        <v>700</v>
      </c>
      <c r="E20" s="3">
        <f t="shared" si="0"/>
        <v>5399.9999999999964</v>
      </c>
      <c r="F20" s="1"/>
      <c r="H20" s="22"/>
      <c r="I20" s="21"/>
      <c r="J20" s="23"/>
      <c r="K20" s="21"/>
      <c r="L20" s="24"/>
      <c r="M20" s="21"/>
      <c r="N20" s="21"/>
    </row>
    <row r="21" spans="1:17">
      <c r="A21" s="2">
        <v>43787</v>
      </c>
      <c r="B21" s="6" t="s">
        <v>25</v>
      </c>
      <c r="C21" s="3"/>
      <c r="D21" s="3">
        <v>700</v>
      </c>
      <c r="E21" s="3">
        <f t="shared" si="0"/>
        <v>6099.9999999999964</v>
      </c>
      <c r="F21" s="1"/>
      <c r="H21" s="22"/>
      <c r="I21" s="21"/>
      <c r="J21" s="23"/>
      <c r="K21" s="21"/>
      <c r="L21" s="24"/>
      <c r="M21" s="21"/>
      <c r="N21" s="21"/>
    </row>
    <row r="22" spans="1:17">
      <c r="A22" s="2">
        <v>43787</v>
      </c>
      <c r="B22" s="6" t="s">
        <v>20</v>
      </c>
      <c r="C22" s="3">
        <v>2200</v>
      </c>
      <c r="D22" s="3"/>
      <c r="E22" s="3">
        <f t="shared" si="0"/>
        <v>3899.9999999999964</v>
      </c>
      <c r="F22" s="1" t="s">
        <v>31</v>
      </c>
      <c r="H22" s="22"/>
      <c r="I22" s="21"/>
      <c r="J22" s="23"/>
      <c r="K22" s="21"/>
      <c r="L22" s="24"/>
      <c r="M22" s="21"/>
      <c r="N22" s="21"/>
    </row>
    <row r="23" spans="1:17">
      <c r="A23" s="2">
        <v>43788</v>
      </c>
      <c r="B23" s="6" t="s">
        <v>22</v>
      </c>
      <c r="C23" s="3">
        <v>2000</v>
      </c>
      <c r="D23" s="3"/>
      <c r="E23" s="3">
        <f t="shared" si="0"/>
        <v>1899.9999999999964</v>
      </c>
      <c r="F23" s="1"/>
      <c r="H23" s="22"/>
      <c r="I23" s="21"/>
      <c r="J23" s="23"/>
      <c r="K23" s="21"/>
      <c r="L23" s="24"/>
      <c r="M23" s="21"/>
      <c r="N23" s="21"/>
    </row>
    <row r="24" spans="1:17">
      <c r="A24" s="2">
        <v>43789</v>
      </c>
      <c r="B24" s="1" t="s">
        <v>17</v>
      </c>
      <c r="C24" s="3">
        <v>1150</v>
      </c>
      <c r="D24" s="3"/>
      <c r="E24" s="3">
        <f t="shared" si="0"/>
        <v>749.99999999999636</v>
      </c>
      <c r="F24" s="1"/>
      <c r="H24" s="22"/>
      <c r="I24" s="21"/>
      <c r="J24" s="23"/>
      <c r="K24" s="21"/>
      <c r="L24" s="24"/>
      <c r="M24" s="21"/>
      <c r="N24" s="21"/>
    </row>
    <row r="25" spans="1:17">
      <c r="A25" s="2">
        <v>43791</v>
      </c>
      <c r="B25" s="1" t="s">
        <v>30</v>
      </c>
      <c r="C25" s="3">
        <v>750</v>
      </c>
      <c r="D25" s="3"/>
      <c r="E25" s="3">
        <f t="shared" si="0"/>
        <v>-3.637978807091713E-12</v>
      </c>
      <c r="F25" s="1"/>
      <c r="H25" s="22"/>
      <c r="I25" s="21"/>
      <c r="J25" s="23"/>
      <c r="K25" s="21"/>
      <c r="L25" s="24"/>
      <c r="M25" s="21"/>
      <c r="N25" s="21"/>
    </row>
    <row r="26" spans="1:17">
      <c r="A26" s="2">
        <v>43798</v>
      </c>
      <c r="B26" s="1" t="s">
        <v>32</v>
      </c>
      <c r="C26" s="3"/>
      <c r="D26" s="3">
        <v>10000</v>
      </c>
      <c r="E26" s="3">
        <f t="shared" si="0"/>
        <v>9999.9999999999964</v>
      </c>
      <c r="F26" s="1"/>
      <c r="H26" s="22"/>
      <c r="I26" s="21"/>
      <c r="J26" s="21"/>
      <c r="K26" s="21"/>
      <c r="L26" s="24"/>
      <c r="M26" s="21"/>
      <c r="N26" s="21"/>
    </row>
    <row r="27" spans="1:17">
      <c r="A27" s="2">
        <v>43799</v>
      </c>
      <c r="B27" s="1" t="s">
        <v>33</v>
      </c>
      <c r="C27" s="3">
        <v>8400</v>
      </c>
      <c r="D27" s="3"/>
      <c r="E27" s="3">
        <f t="shared" si="0"/>
        <v>1599.9999999999964</v>
      </c>
      <c r="F27" s="1"/>
      <c r="H27" s="22"/>
      <c r="I27" s="21"/>
      <c r="J27" s="23"/>
      <c r="K27" s="21"/>
      <c r="L27" s="24"/>
      <c r="M27" s="21"/>
      <c r="N27" s="21"/>
    </row>
    <row r="28" spans="1:17">
      <c r="A28" s="2">
        <v>43799</v>
      </c>
      <c r="B28" s="1" t="s">
        <v>34</v>
      </c>
      <c r="C28" s="3">
        <v>200</v>
      </c>
      <c r="D28" s="3"/>
      <c r="E28" s="3">
        <f t="shared" si="0"/>
        <v>1399.9999999999964</v>
      </c>
      <c r="F28" s="1"/>
      <c r="H28" s="22"/>
      <c r="I28" s="21"/>
      <c r="J28" s="23"/>
      <c r="K28" s="21"/>
      <c r="L28" s="24"/>
      <c r="M28" s="21"/>
      <c r="N28" s="21"/>
    </row>
    <row r="29" spans="1:17">
      <c r="A29" s="2">
        <v>43799</v>
      </c>
      <c r="B29" s="1" t="s">
        <v>35</v>
      </c>
      <c r="C29" s="3">
        <v>200</v>
      </c>
      <c r="D29" s="3"/>
      <c r="E29" s="3">
        <f t="shared" si="0"/>
        <v>1199.9999999999964</v>
      </c>
      <c r="F29" s="1"/>
      <c r="H29" s="25"/>
      <c r="I29" s="26"/>
      <c r="J29" s="23"/>
      <c r="K29" s="21"/>
      <c r="L29" s="24"/>
      <c r="M29" s="21"/>
      <c r="N29" s="21"/>
    </row>
    <row r="30" spans="1:17">
      <c r="A30" s="2">
        <v>43799</v>
      </c>
      <c r="B30" s="1" t="s">
        <v>17</v>
      </c>
      <c r="C30" s="3">
        <v>1200</v>
      </c>
      <c r="D30" s="3"/>
      <c r="E30" s="3">
        <f t="shared" si="0"/>
        <v>-3.637978807091713E-12</v>
      </c>
      <c r="F30" s="1"/>
      <c r="H30" s="22"/>
      <c r="I30" s="21"/>
      <c r="J30" s="23"/>
      <c r="K30" s="21"/>
      <c r="L30" s="24"/>
      <c r="M30" s="21"/>
      <c r="N30" s="21"/>
    </row>
    <row r="31" spans="1:17">
      <c r="A31" s="2">
        <v>43801</v>
      </c>
      <c r="B31" s="1" t="s">
        <v>36</v>
      </c>
      <c r="C31" s="3"/>
      <c r="D31" s="3">
        <v>19300</v>
      </c>
      <c r="E31" s="3">
        <f t="shared" si="0"/>
        <v>19299.999999999996</v>
      </c>
      <c r="F31" s="1"/>
      <c r="H31" s="22"/>
      <c r="I31" s="21"/>
      <c r="J31" s="23"/>
      <c r="K31" s="21"/>
      <c r="L31" s="24"/>
      <c r="M31" s="21"/>
      <c r="N31" s="21"/>
    </row>
    <row r="32" spans="1:17">
      <c r="A32" s="2">
        <v>43801</v>
      </c>
      <c r="B32" s="1" t="s">
        <v>37</v>
      </c>
      <c r="C32" s="3">
        <v>500</v>
      </c>
      <c r="D32" s="3"/>
      <c r="E32" s="3">
        <f t="shared" si="0"/>
        <v>18799.999999999996</v>
      </c>
      <c r="F32" s="1"/>
      <c r="H32" s="21"/>
      <c r="I32" s="21"/>
      <c r="J32" s="23"/>
      <c r="K32" s="21"/>
      <c r="L32" s="24"/>
      <c r="M32" s="21"/>
      <c r="N32" s="21"/>
    </row>
    <row r="33" spans="1:14">
      <c r="A33" s="2">
        <v>43801</v>
      </c>
      <c r="B33" s="1" t="s">
        <v>17</v>
      </c>
      <c r="C33" s="3">
        <v>1800</v>
      </c>
      <c r="D33" s="3"/>
      <c r="E33" s="3">
        <f t="shared" si="0"/>
        <v>16999.999999999996</v>
      </c>
      <c r="F33" s="1"/>
      <c r="H33" s="21"/>
      <c r="I33" s="21"/>
      <c r="J33" s="23"/>
      <c r="K33" s="21"/>
      <c r="L33" s="24"/>
      <c r="M33" s="21"/>
      <c r="N33" s="21"/>
    </row>
    <row r="34" spans="1:14">
      <c r="A34" s="2">
        <v>43804</v>
      </c>
      <c r="B34" s="1" t="s">
        <v>38</v>
      </c>
      <c r="C34" s="3">
        <v>1500</v>
      </c>
      <c r="D34" s="3"/>
      <c r="E34" s="3">
        <f t="shared" si="0"/>
        <v>15499.999999999996</v>
      </c>
      <c r="F34" s="1" t="s">
        <v>39</v>
      </c>
      <c r="H34" s="21"/>
      <c r="I34" s="21"/>
      <c r="J34" s="23"/>
      <c r="K34" s="21"/>
      <c r="L34" s="24"/>
      <c r="M34" s="21"/>
      <c r="N34" s="21"/>
    </row>
    <row r="35" spans="1:14">
      <c r="A35" s="2">
        <v>43805</v>
      </c>
      <c r="B35" s="1" t="s">
        <v>40</v>
      </c>
      <c r="C35" s="3"/>
      <c r="D35" s="3">
        <v>2000</v>
      </c>
      <c r="E35" s="3">
        <f t="shared" si="0"/>
        <v>17499.999999999996</v>
      </c>
      <c r="F35" s="1" t="s">
        <v>41</v>
      </c>
      <c r="H35" s="21"/>
      <c r="I35" s="21"/>
      <c r="J35" s="23"/>
      <c r="K35" s="21"/>
      <c r="L35" s="24"/>
      <c r="M35" s="21"/>
      <c r="N35" s="21"/>
    </row>
    <row r="36" spans="1:14">
      <c r="A36" s="2">
        <v>43805</v>
      </c>
      <c r="B36" s="1" t="s">
        <v>25</v>
      </c>
      <c r="C36" s="3"/>
      <c r="D36" s="3">
        <v>700</v>
      </c>
      <c r="E36" s="3">
        <f t="shared" si="0"/>
        <v>18199.999999999996</v>
      </c>
      <c r="F36" s="1"/>
      <c r="H36" s="21"/>
      <c r="I36" s="21"/>
      <c r="J36" s="23"/>
      <c r="K36" s="21"/>
      <c r="L36" s="24"/>
      <c r="M36" s="21"/>
      <c r="N36" s="21"/>
    </row>
    <row r="37" spans="1:14">
      <c r="A37" s="2">
        <v>43805</v>
      </c>
      <c r="B37" s="1" t="s">
        <v>17</v>
      </c>
      <c r="C37" s="3">
        <v>700</v>
      </c>
      <c r="D37" s="3"/>
      <c r="E37" s="3">
        <f t="shared" si="0"/>
        <v>17499.999999999996</v>
      </c>
      <c r="F37" s="1"/>
      <c r="H37" s="21"/>
      <c r="I37" s="21"/>
      <c r="J37" s="23"/>
      <c r="K37" s="21"/>
      <c r="L37" s="24"/>
      <c r="M37" s="21"/>
      <c r="N37" s="21"/>
    </row>
    <row r="38" spans="1:14">
      <c r="A38" s="2">
        <v>43807</v>
      </c>
      <c r="B38" s="1" t="s">
        <v>43</v>
      </c>
      <c r="C38" s="3">
        <v>300</v>
      </c>
      <c r="D38" s="3"/>
      <c r="E38" s="3">
        <f t="shared" si="0"/>
        <v>17199.999999999996</v>
      </c>
      <c r="F38" s="1"/>
      <c r="H38" s="21"/>
      <c r="I38" s="21"/>
      <c r="J38" s="23"/>
      <c r="K38" s="21"/>
      <c r="L38" s="24"/>
      <c r="M38" s="21"/>
      <c r="N38" s="21"/>
    </row>
    <row r="39" spans="1:14">
      <c r="A39" s="2">
        <v>43807</v>
      </c>
      <c r="B39" s="1" t="s">
        <v>42</v>
      </c>
      <c r="C39" s="3">
        <v>2000</v>
      </c>
      <c r="D39" s="3"/>
      <c r="E39" s="3">
        <f t="shared" si="0"/>
        <v>15199.999999999996</v>
      </c>
      <c r="F39" s="1" t="s">
        <v>50</v>
      </c>
      <c r="H39" s="21"/>
      <c r="I39" s="21"/>
      <c r="J39" s="23"/>
      <c r="K39" s="21"/>
      <c r="L39" s="24"/>
      <c r="M39" s="21"/>
      <c r="N39" s="21"/>
    </row>
    <row r="40" spans="1:14">
      <c r="A40" s="2">
        <v>43807</v>
      </c>
      <c r="B40" s="1" t="s">
        <v>44</v>
      </c>
      <c r="C40" s="3">
        <v>550</v>
      </c>
      <c r="D40" s="3"/>
      <c r="E40" s="3">
        <f t="shared" si="0"/>
        <v>14649.999999999996</v>
      </c>
      <c r="F40" s="1"/>
      <c r="H40" s="21"/>
      <c r="I40" s="21"/>
      <c r="J40" s="21"/>
      <c r="K40" s="21"/>
      <c r="L40" s="24"/>
      <c r="M40" s="21"/>
      <c r="N40" s="21"/>
    </row>
    <row r="41" spans="1:14">
      <c r="A41" s="2">
        <v>43808</v>
      </c>
      <c r="B41" s="1" t="s">
        <v>45</v>
      </c>
      <c r="C41" s="3">
        <v>1800</v>
      </c>
      <c r="D41" s="3"/>
      <c r="E41" s="3">
        <f t="shared" si="0"/>
        <v>12849.999999999996</v>
      </c>
      <c r="F41" s="1"/>
      <c r="H41" s="21"/>
      <c r="I41" s="21"/>
      <c r="J41" s="21"/>
      <c r="K41" s="21"/>
      <c r="L41" s="24"/>
      <c r="M41" s="21"/>
      <c r="N41" s="21"/>
    </row>
    <row r="42" spans="1:14">
      <c r="A42" s="2">
        <v>43808</v>
      </c>
      <c r="B42" s="1" t="s">
        <v>25</v>
      </c>
      <c r="C42" s="3"/>
      <c r="D42" s="3">
        <v>1400</v>
      </c>
      <c r="E42" s="3">
        <f t="shared" si="0"/>
        <v>14249.999999999996</v>
      </c>
      <c r="F42" s="1"/>
      <c r="H42" s="21"/>
      <c r="I42" s="21"/>
      <c r="J42" s="21"/>
      <c r="K42" s="21"/>
      <c r="L42" s="24"/>
      <c r="M42" s="21"/>
      <c r="N42" s="21"/>
    </row>
    <row r="43" spans="1:14">
      <c r="A43" s="2">
        <v>43808</v>
      </c>
      <c r="B43" s="1" t="s">
        <v>22</v>
      </c>
      <c r="C43" s="3">
        <v>2000</v>
      </c>
      <c r="D43" s="3"/>
      <c r="E43" s="3">
        <f t="shared" si="0"/>
        <v>12249.999999999996</v>
      </c>
      <c r="F43" s="1"/>
      <c r="H43" s="21"/>
      <c r="I43" s="21"/>
      <c r="J43" s="21"/>
      <c r="K43" s="21"/>
      <c r="L43" s="24"/>
      <c r="M43" s="21"/>
      <c r="N43" s="21"/>
    </row>
    <row r="44" spans="1:14">
      <c r="A44" s="2">
        <v>43808</v>
      </c>
      <c r="B44" s="1" t="s">
        <v>48</v>
      </c>
      <c r="C44" s="3">
        <v>1550</v>
      </c>
      <c r="D44" s="3"/>
      <c r="E44" s="3">
        <f t="shared" si="0"/>
        <v>10699.999999999996</v>
      </c>
      <c r="F44" s="1"/>
      <c r="H44" s="21"/>
      <c r="I44" s="21"/>
      <c r="J44" s="21"/>
      <c r="K44" s="21"/>
      <c r="L44" s="24"/>
      <c r="M44" s="21"/>
      <c r="N44" s="21"/>
    </row>
    <row r="45" spans="1:14">
      <c r="A45" s="2">
        <v>43808</v>
      </c>
      <c r="B45" s="1" t="s">
        <v>49</v>
      </c>
      <c r="C45" s="3"/>
      <c r="D45" s="3">
        <v>2000</v>
      </c>
      <c r="E45" s="3">
        <f t="shared" si="0"/>
        <v>12699.999999999996</v>
      </c>
      <c r="F45" s="1"/>
      <c r="H45" s="21"/>
      <c r="I45" s="21"/>
      <c r="J45" s="21"/>
      <c r="K45" s="21"/>
      <c r="L45" s="24"/>
      <c r="M45" s="21"/>
      <c r="N45" s="21"/>
    </row>
    <row r="46" spans="1:14">
      <c r="A46" s="2">
        <v>43808</v>
      </c>
      <c r="B46" s="1" t="s">
        <v>51</v>
      </c>
      <c r="C46" s="3">
        <v>1500</v>
      </c>
      <c r="D46" s="3"/>
      <c r="E46" s="3">
        <f t="shared" si="0"/>
        <v>11199.999999999996</v>
      </c>
      <c r="F46" s="1" t="s">
        <v>54</v>
      </c>
      <c r="H46" s="21"/>
      <c r="I46" s="21"/>
      <c r="J46" s="21"/>
      <c r="K46" s="21"/>
      <c r="L46" s="24"/>
      <c r="M46" s="21"/>
      <c r="N46" s="21"/>
    </row>
    <row r="47" spans="1:14">
      <c r="A47" s="2">
        <v>43810</v>
      </c>
      <c r="B47" s="1" t="s">
        <v>52</v>
      </c>
      <c r="C47" s="3">
        <v>1500</v>
      </c>
      <c r="D47" s="3"/>
      <c r="E47" s="3">
        <f t="shared" si="0"/>
        <v>9699.9999999999964</v>
      </c>
      <c r="F47" s="1" t="s">
        <v>53</v>
      </c>
      <c r="H47" s="21"/>
      <c r="I47" s="21"/>
      <c r="J47" s="21"/>
      <c r="K47" s="21"/>
      <c r="L47" s="24"/>
      <c r="M47" s="21"/>
      <c r="N47" s="21"/>
    </row>
    <row r="48" spans="1:14">
      <c r="A48" s="2">
        <v>43812</v>
      </c>
      <c r="B48" s="1" t="s">
        <v>56</v>
      </c>
      <c r="C48" s="3"/>
      <c r="D48" s="3">
        <v>8000</v>
      </c>
      <c r="E48" s="3">
        <f t="shared" si="0"/>
        <v>17699.999999999996</v>
      </c>
      <c r="F48" s="1" t="s">
        <v>55</v>
      </c>
      <c r="H48" s="21"/>
      <c r="I48" s="21"/>
      <c r="J48" s="21"/>
      <c r="K48" s="21"/>
      <c r="L48" s="24"/>
      <c r="M48" s="21"/>
      <c r="N48" s="21"/>
    </row>
    <row r="49" spans="1:14">
      <c r="A49" s="2">
        <v>43816</v>
      </c>
      <c r="B49" s="1" t="s">
        <v>57</v>
      </c>
      <c r="C49" s="3">
        <v>2000</v>
      </c>
      <c r="D49" s="3"/>
      <c r="E49" s="3">
        <f t="shared" si="0"/>
        <v>15699.999999999996</v>
      </c>
      <c r="F49" s="1" t="s">
        <v>58</v>
      </c>
      <c r="H49" s="21"/>
      <c r="I49" s="21"/>
      <c r="J49" s="21"/>
      <c r="K49" s="21"/>
      <c r="L49" s="24"/>
      <c r="M49" s="21"/>
      <c r="N49" s="21"/>
    </row>
    <row r="50" spans="1:14">
      <c r="A50" s="2">
        <v>43816</v>
      </c>
      <c r="B50" s="1" t="s">
        <v>59</v>
      </c>
      <c r="C50" s="3">
        <v>500</v>
      </c>
      <c r="D50" s="3"/>
      <c r="E50" s="3">
        <f t="shared" si="0"/>
        <v>15199.999999999996</v>
      </c>
      <c r="F50" s="1"/>
      <c r="H50" s="21"/>
      <c r="I50" s="21"/>
      <c r="J50" s="21"/>
      <c r="K50" s="21"/>
      <c r="L50" s="24"/>
      <c r="M50" s="21"/>
      <c r="N50" s="21"/>
    </row>
    <row r="51" spans="1:14">
      <c r="A51" s="2">
        <v>43817</v>
      </c>
      <c r="B51" s="1" t="s">
        <v>30</v>
      </c>
      <c r="C51" s="3">
        <v>1000</v>
      </c>
      <c r="D51" s="3"/>
      <c r="E51" s="3">
        <f t="shared" si="0"/>
        <v>14199.999999999996</v>
      </c>
      <c r="F51" s="1" t="s">
        <v>60</v>
      </c>
      <c r="H51" s="21"/>
      <c r="I51" s="21"/>
      <c r="J51" s="21"/>
      <c r="K51" s="21"/>
      <c r="L51" s="24"/>
      <c r="M51" s="21"/>
      <c r="N51" s="21"/>
    </row>
    <row r="52" spans="1:14">
      <c r="A52" s="2">
        <v>43818</v>
      </c>
      <c r="B52" s="6" t="s">
        <v>22</v>
      </c>
      <c r="C52" s="3">
        <v>2000</v>
      </c>
      <c r="D52" s="3"/>
      <c r="E52" s="3">
        <f t="shared" si="0"/>
        <v>12199.999999999996</v>
      </c>
      <c r="F52" s="1"/>
      <c r="H52" s="21"/>
      <c r="I52" s="21"/>
      <c r="J52" s="21"/>
      <c r="K52" s="21"/>
      <c r="L52" s="24"/>
      <c r="M52" s="21"/>
      <c r="N52" s="21"/>
    </row>
    <row r="53" spans="1:14">
      <c r="A53" s="2">
        <v>43818</v>
      </c>
      <c r="B53" s="1" t="s">
        <v>61</v>
      </c>
      <c r="C53" s="3"/>
      <c r="D53" s="3">
        <v>800</v>
      </c>
      <c r="E53" s="3">
        <f t="shared" si="0"/>
        <v>12999.999999999996</v>
      </c>
      <c r="F53" s="1"/>
      <c r="H53" s="21"/>
      <c r="I53" s="21"/>
      <c r="J53" s="21"/>
      <c r="K53" s="21"/>
      <c r="L53" s="24"/>
      <c r="M53" s="21"/>
      <c r="N53" s="21"/>
    </row>
    <row r="54" spans="1:14">
      <c r="A54" s="2">
        <v>43819</v>
      </c>
      <c r="B54" s="1" t="s">
        <v>62</v>
      </c>
      <c r="C54" s="3">
        <v>500</v>
      </c>
      <c r="D54" s="3"/>
      <c r="E54" s="3">
        <f t="shared" si="0"/>
        <v>12499.999999999996</v>
      </c>
      <c r="F54" s="1" t="s">
        <v>63</v>
      </c>
      <c r="H54" s="21"/>
      <c r="I54" s="21"/>
      <c r="J54" s="21"/>
      <c r="K54" s="21"/>
      <c r="L54" s="24"/>
      <c r="M54" s="21"/>
      <c r="N54" s="21"/>
    </row>
    <row r="55" spans="1:14">
      <c r="A55" s="7">
        <v>43819</v>
      </c>
      <c r="B55" s="8" t="s">
        <v>65</v>
      </c>
      <c r="D55" s="3">
        <v>15000</v>
      </c>
      <c r="E55" s="3">
        <f t="shared" si="0"/>
        <v>27499.999999999996</v>
      </c>
      <c r="F55" s="1"/>
      <c r="H55" s="21"/>
      <c r="I55" s="21"/>
      <c r="J55" s="21"/>
      <c r="K55" s="21"/>
      <c r="L55" s="24"/>
      <c r="M55" s="21"/>
      <c r="N55" s="21"/>
    </row>
    <row r="56" spans="1:14">
      <c r="A56" s="2">
        <v>43821</v>
      </c>
      <c r="B56" s="1" t="s">
        <v>64</v>
      </c>
      <c r="C56" s="3">
        <v>2000</v>
      </c>
      <c r="D56" s="3"/>
      <c r="E56" s="3">
        <f t="shared" si="0"/>
        <v>25499.999999999996</v>
      </c>
      <c r="F56" s="1"/>
      <c r="H56" s="21"/>
      <c r="I56" s="21"/>
      <c r="J56" s="21"/>
      <c r="K56" s="21"/>
      <c r="L56" s="24"/>
      <c r="M56" s="21"/>
      <c r="N56" s="21"/>
    </row>
    <row r="57" spans="1:14">
      <c r="A57" s="2">
        <v>43821</v>
      </c>
      <c r="B57" s="1" t="s">
        <v>66</v>
      </c>
      <c r="C57" s="3">
        <v>1300</v>
      </c>
      <c r="D57" s="3"/>
      <c r="E57" s="3">
        <f t="shared" si="0"/>
        <v>24199.999999999996</v>
      </c>
      <c r="F57" s="1"/>
      <c r="H57" s="21"/>
      <c r="I57" s="21"/>
      <c r="J57" s="21"/>
      <c r="K57" s="21"/>
      <c r="L57" s="24"/>
      <c r="M57" s="21"/>
      <c r="N57" s="21"/>
    </row>
    <row r="58" spans="1:14">
      <c r="A58" s="2">
        <v>43821</v>
      </c>
      <c r="B58" s="1" t="s">
        <v>67</v>
      </c>
      <c r="C58" s="3">
        <v>1200</v>
      </c>
      <c r="D58" s="3"/>
      <c r="E58" s="3">
        <f t="shared" si="0"/>
        <v>22999.999999999996</v>
      </c>
      <c r="F58" s="1"/>
      <c r="H58" s="21"/>
      <c r="I58" s="21"/>
      <c r="J58" s="21"/>
      <c r="K58" s="21"/>
      <c r="L58" s="24"/>
      <c r="M58" s="21"/>
      <c r="N58" s="21"/>
    </row>
    <row r="59" spans="1:14">
      <c r="A59" s="2">
        <v>43822</v>
      </c>
      <c r="B59" s="1" t="s">
        <v>68</v>
      </c>
      <c r="C59" s="3"/>
      <c r="D59" s="3">
        <v>17000</v>
      </c>
      <c r="E59" s="3">
        <f t="shared" si="0"/>
        <v>40000</v>
      </c>
      <c r="F59" s="1"/>
      <c r="H59" s="21"/>
      <c r="I59" s="21"/>
      <c r="J59" s="21"/>
      <c r="K59" s="21"/>
      <c r="L59" s="24"/>
      <c r="M59" s="21"/>
      <c r="N59" s="21"/>
    </row>
    <row r="60" spans="1:14">
      <c r="A60" s="2">
        <v>43825</v>
      </c>
      <c r="B60" s="1" t="s">
        <v>59</v>
      </c>
      <c r="C60" s="3">
        <v>600</v>
      </c>
      <c r="D60" s="3"/>
      <c r="E60" s="3">
        <f t="shared" si="0"/>
        <v>39400</v>
      </c>
      <c r="F60" s="1"/>
      <c r="H60" s="21"/>
      <c r="I60" s="21"/>
      <c r="J60" s="21"/>
      <c r="K60" s="21"/>
      <c r="L60" s="24"/>
      <c r="M60" s="21"/>
      <c r="N60" s="21"/>
    </row>
    <row r="61" spans="1:14">
      <c r="A61" s="2">
        <v>43825</v>
      </c>
      <c r="B61" s="1" t="s">
        <v>69</v>
      </c>
      <c r="C61" s="3"/>
      <c r="D61" s="3">
        <v>900</v>
      </c>
      <c r="E61" s="3">
        <f t="shared" si="0"/>
        <v>40300</v>
      </c>
      <c r="F61" s="1"/>
      <c r="H61" s="21"/>
      <c r="I61" s="21"/>
      <c r="J61" s="21"/>
      <c r="K61" s="21"/>
      <c r="L61" s="24"/>
      <c r="M61" s="21"/>
      <c r="N61" s="21"/>
    </row>
    <row r="62" spans="1:14">
      <c r="A62" s="2">
        <v>43825</v>
      </c>
      <c r="B62" s="1" t="s">
        <v>70</v>
      </c>
      <c r="C62" s="3"/>
      <c r="D62" s="3">
        <v>1000</v>
      </c>
      <c r="E62" s="3">
        <f t="shared" si="0"/>
        <v>41300</v>
      </c>
      <c r="F62" s="1"/>
      <c r="H62" s="21"/>
      <c r="I62" s="21"/>
      <c r="J62" s="21"/>
      <c r="K62" s="21"/>
      <c r="L62" s="24"/>
      <c r="M62" s="21"/>
      <c r="N62" s="21"/>
    </row>
    <row r="63" spans="1:14">
      <c r="A63" s="2">
        <v>43826</v>
      </c>
      <c r="B63" s="1" t="s">
        <v>71</v>
      </c>
      <c r="C63" s="3"/>
      <c r="D63" s="3">
        <f>23500+300</f>
        <v>23800</v>
      </c>
      <c r="E63" s="3">
        <f t="shared" si="0"/>
        <v>65100</v>
      </c>
      <c r="F63" s="1"/>
      <c r="H63" s="21"/>
      <c r="I63" s="21"/>
      <c r="J63" s="21"/>
      <c r="K63" s="21"/>
      <c r="L63" s="24"/>
      <c r="M63" s="21"/>
      <c r="N63" s="21"/>
    </row>
    <row r="64" spans="1:14">
      <c r="A64" s="2">
        <v>43826</v>
      </c>
      <c r="B64" s="1" t="s">
        <v>72</v>
      </c>
      <c r="C64" s="3">
        <v>16800</v>
      </c>
      <c r="D64" s="3"/>
      <c r="E64" s="3">
        <f t="shared" si="0"/>
        <v>48300</v>
      </c>
      <c r="F64" s="1"/>
      <c r="H64" s="21"/>
      <c r="I64" s="21"/>
      <c r="J64" s="21"/>
      <c r="K64" s="21"/>
      <c r="L64" s="24"/>
      <c r="M64" s="21"/>
      <c r="N64" s="21"/>
    </row>
    <row r="65" spans="1:14">
      <c r="A65" s="2">
        <v>43826</v>
      </c>
      <c r="B65" s="1" t="s">
        <v>33</v>
      </c>
      <c r="C65" s="3">
        <v>8000</v>
      </c>
      <c r="D65" s="3"/>
      <c r="E65" s="3">
        <f t="shared" si="0"/>
        <v>40300</v>
      </c>
      <c r="F65" s="1"/>
      <c r="H65" s="21"/>
      <c r="I65" s="21"/>
      <c r="J65" s="21"/>
      <c r="K65" s="21"/>
      <c r="L65" s="24"/>
      <c r="M65" s="21"/>
      <c r="N65" s="21"/>
    </row>
    <row r="66" spans="1:14">
      <c r="A66" s="2">
        <v>43826</v>
      </c>
      <c r="B66" s="1" t="s">
        <v>17</v>
      </c>
      <c r="C66" s="3">
        <v>1300</v>
      </c>
      <c r="D66" s="3"/>
      <c r="E66" s="3">
        <f t="shared" si="0"/>
        <v>39000</v>
      </c>
      <c r="F66" s="1"/>
      <c r="H66" s="21"/>
      <c r="I66" s="21"/>
      <c r="J66" s="21"/>
      <c r="K66" s="21"/>
      <c r="L66" s="21"/>
      <c r="M66" s="21"/>
      <c r="N66" s="21"/>
    </row>
    <row r="67" spans="1:14">
      <c r="A67" s="2">
        <v>43826</v>
      </c>
      <c r="B67" s="1" t="s">
        <v>73</v>
      </c>
      <c r="C67" s="3">
        <v>20000</v>
      </c>
      <c r="D67" s="3"/>
      <c r="E67" s="3">
        <f t="shared" si="0"/>
        <v>19000</v>
      </c>
      <c r="F67" s="1"/>
      <c r="H67" s="21"/>
      <c r="I67" s="21"/>
      <c r="J67" s="21"/>
      <c r="K67" s="21"/>
      <c r="L67" s="21"/>
      <c r="M67" s="21"/>
      <c r="N67" s="21"/>
    </row>
    <row r="68" spans="1:14">
      <c r="A68" s="2">
        <v>44196</v>
      </c>
      <c r="B68" s="1" t="s">
        <v>74</v>
      </c>
      <c r="C68" s="3">
        <v>1000</v>
      </c>
      <c r="D68" s="3"/>
      <c r="E68" s="3">
        <f t="shared" ref="E68:E100" si="1">E67+D68-C68</f>
        <v>18000</v>
      </c>
      <c r="F68" s="1"/>
      <c r="H68" s="21"/>
      <c r="I68" s="21"/>
      <c r="J68" s="21"/>
      <c r="K68" s="21"/>
      <c r="L68" s="21"/>
      <c r="M68" s="21"/>
      <c r="N68" s="21"/>
    </row>
    <row r="69" spans="1:14">
      <c r="A69" s="2">
        <v>44196</v>
      </c>
      <c r="B69" s="1" t="s">
        <v>75</v>
      </c>
      <c r="C69" s="3">
        <v>1000</v>
      </c>
      <c r="D69" s="3"/>
      <c r="E69" s="3">
        <f t="shared" si="1"/>
        <v>17000</v>
      </c>
      <c r="F69" s="1"/>
      <c r="H69" s="21"/>
      <c r="I69" s="21"/>
      <c r="J69" s="21"/>
      <c r="K69" s="21"/>
      <c r="L69" s="21"/>
      <c r="M69" s="21"/>
      <c r="N69" s="21"/>
    </row>
    <row r="70" spans="1:14">
      <c r="A70" s="2">
        <v>43834</v>
      </c>
      <c r="B70" s="1" t="s">
        <v>17</v>
      </c>
      <c r="C70" s="3">
        <v>1000</v>
      </c>
      <c r="D70" s="3"/>
      <c r="E70" s="3">
        <f t="shared" si="1"/>
        <v>16000</v>
      </c>
      <c r="F70" s="1"/>
      <c r="H70" s="120">
        <v>43831</v>
      </c>
      <c r="I70" s="121">
        <f>+D80+D83+D88</f>
        <v>34200</v>
      </c>
      <c r="J70" s="21"/>
      <c r="K70" s="21"/>
      <c r="L70" s="21"/>
      <c r="M70" s="21"/>
      <c r="N70" s="21"/>
    </row>
    <row r="71" spans="1:14">
      <c r="A71" s="2">
        <v>43836</v>
      </c>
      <c r="B71" s="1" t="s">
        <v>45</v>
      </c>
      <c r="C71" s="3">
        <v>2000</v>
      </c>
      <c r="D71" s="3"/>
      <c r="E71" s="3">
        <f t="shared" si="1"/>
        <v>14000</v>
      </c>
      <c r="F71" s="1"/>
      <c r="H71" s="122">
        <v>43862</v>
      </c>
      <c r="I71" s="123">
        <f>+I70</f>
        <v>34200</v>
      </c>
      <c r="J71" s="21"/>
      <c r="K71" s="21"/>
      <c r="L71" s="21"/>
      <c r="M71" s="21"/>
      <c r="N71" s="21"/>
    </row>
    <row r="72" spans="1:14">
      <c r="A72" s="2">
        <v>43837</v>
      </c>
      <c r="B72" s="1" t="s">
        <v>22</v>
      </c>
      <c r="C72" s="3">
        <v>2000</v>
      </c>
      <c r="D72" s="3"/>
      <c r="E72" s="3">
        <f t="shared" si="1"/>
        <v>12000</v>
      </c>
      <c r="F72" s="1" t="s">
        <v>76</v>
      </c>
      <c r="H72" s="122">
        <v>43891</v>
      </c>
      <c r="I72" s="123">
        <f>+'CoVid - Abril 2020'!D3+'CoVid - Abril 2020'!D6</f>
        <v>36270.78</v>
      </c>
      <c r="J72" s="21"/>
      <c r="K72" s="21"/>
      <c r="L72" s="21"/>
      <c r="M72" s="21"/>
      <c r="N72" s="21"/>
    </row>
    <row r="73" spans="1:14">
      <c r="A73" s="2">
        <v>43837</v>
      </c>
      <c r="B73" s="1" t="s">
        <v>77</v>
      </c>
      <c r="C73" s="3">
        <v>2000</v>
      </c>
      <c r="D73" s="3"/>
      <c r="E73" s="3">
        <f t="shared" si="1"/>
        <v>10000</v>
      </c>
      <c r="F73" s="1" t="s">
        <v>76</v>
      </c>
      <c r="H73" s="122">
        <v>43922</v>
      </c>
      <c r="I73" s="123">
        <f>+'CoVid - Abril 2020'!D11+'Mayo 2020'!D9</f>
        <v>35713.68</v>
      </c>
      <c r="J73" s="21"/>
      <c r="K73" s="21"/>
      <c r="L73" s="21"/>
      <c r="M73" s="21"/>
      <c r="N73" s="21"/>
    </row>
    <row r="74" spans="1:14">
      <c r="A74" s="2">
        <v>43838</v>
      </c>
      <c r="B74" s="1" t="s">
        <v>79</v>
      </c>
      <c r="C74" s="3">
        <v>1400</v>
      </c>
      <c r="D74" s="3"/>
      <c r="E74" s="3">
        <f t="shared" si="1"/>
        <v>8600</v>
      </c>
      <c r="F74" s="1"/>
      <c r="H74" s="122">
        <v>43952</v>
      </c>
      <c r="I74" s="123">
        <f>+'Junio 2020'!G3</f>
        <v>36690.230000000003</v>
      </c>
    </row>
    <row r="75" spans="1:14">
      <c r="A75" s="2">
        <v>43841</v>
      </c>
      <c r="B75" s="1" t="s">
        <v>59</v>
      </c>
      <c r="C75" s="3">
        <v>1500</v>
      </c>
      <c r="D75" s="3"/>
      <c r="E75" s="3">
        <f t="shared" si="1"/>
        <v>7100</v>
      </c>
      <c r="F75" s="1"/>
      <c r="H75" s="122">
        <v>43983</v>
      </c>
      <c r="I75" s="123">
        <f>+'Julio 2020'!G3</f>
        <v>44642.1</v>
      </c>
    </row>
    <row r="76" spans="1:14">
      <c r="A76" s="2">
        <v>43841</v>
      </c>
      <c r="B76" s="1" t="s">
        <v>17</v>
      </c>
      <c r="C76" s="3">
        <v>1100</v>
      </c>
      <c r="D76" s="3"/>
      <c r="E76" s="3">
        <f t="shared" si="1"/>
        <v>6000</v>
      </c>
      <c r="F76" s="1"/>
      <c r="H76" s="122">
        <v>44013</v>
      </c>
      <c r="I76" s="123">
        <f>+'Agosto 2020'!G3</f>
        <v>45339.630000000005</v>
      </c>
    </row>
    <row r="77" spans="1:14">
      <c r="A77" s="2">
        <v>43844</v>
      </c>
      <c r="B77" s="1" t="s">
        <v>17</v>
      </c>
      <c r="C77" s="3">
        <v>2000</v>
      </c>
      <c r="D77" s="3"/>
      <c r="E77" s="3">
        <f t="shared" si="1"/>
        <v>4000</v>
      </c>
      <c r="F77" s="1"/>
      <c r="H77" s="122">
        <v>44044</v>
      </c>
      <c r="I77" s="123">
        <f>+'Octubre 2020'!D5+'Septiembre 2020'!D4</f>
        <v>41226.869999999995</v>
      </c>
    </row>
    <row r="78" spans="1:14">
      <c r="A78" s="2">
        <v>43846</v>
      </c>
      <c r="B78" s="1" t="s">
        <v>80</v>
      </c>
      <c r="C78" s="3">
        <v>2000</v>
      </c>
      <c r="D78" s="3"/>
      <c r="E78" s="3">
        <f t="shared" si="1"/>
        <v>2000</v>
      </c>
      <c r="F78" s="1"/>
      <c r="H78" s="122">
        <v>44075</v>
      </c>
      <c r="I78" s="123">
        <f>+'Octubre 2020'!G3</f>
        <v>50005</v>
      </c>
    </row>
    <row r="79" spans="1:14">
      <c r="A79" s="2">
        <v>43846</v>
      </c>
      <c r="B79" s="1" t="s">
        <v>81</v>
      </c>
      <c r="C79" s="3">
        <v>1300</v>
      </c>
      <c r="D79" s="3"/>
      <c r="E79" s="3">
        <f t="shared" si="1"/>
        <v>700</v>
      </c>
      <c r="F79" s="1"/>
      <c r="H79" s="122">
        <v>44105</v>
      </c>
      <c r="I79" s="123">
        <f>+'Nov. 2020'!D4+'Nov. 2020'!D7+'Nov. 2020'!D15</f>
        <v>58540</v>
      </c>
    </row>
    <row r="80" spans="1:14">
      <c r="A80" s="2">
        <v>43859</v>
      </c>
      <c r="B80" s="1" t="s">
        <v>82</v>
      </c>
      <c r="C80" s="3"/>
      <c r="D80" s="3">
        <v>15000</v>
      </c>
      <c r="E80" s="3">
        <f t="shared" si="1"/>
        <v>15700</v>
      </c>
      <c r="F80" s="1"/>
      <c r="H80" s="122">
        <v>44136</v>
      </c>
      <c r="I80" s="123">
        <f>+I79</f>
        <v>58540</v>
      </c>
    </row>
    <row r="81" spans="1:9">
      <c r="A81" s="2">
        <v>43861</v>
      </c>
      <c r="B81" s="1" t="s">
        <v>83</v>
      </c>
      <c r="C81" s="3">
        <v>2000</v>
      </c>
      <c r="D81" s="3"/>
      <c r="E81" s="3">
        <f t="shared" si="1"/>
        <v>13700</v>
      </c>
      <c r="F81" s="1"/>
      <c r="H81" s="124"/>
      <c r="I81" s="125">
        <f>+SUM(I70:I80)</f>
        <v>475368.29000000004</v>
      </c>
    </row>
    <row r="82" spans="1:9">
      <c r="A82" s="2">
        <v>43862</v>
      </c>
      <c r="B82" s="1" t="s">
        <v>33</v>
      </c>
      <c r="C82" s="3">
        <v>8500</v>
      </c>
      <c r="D82" s="3"/>
      <c r="E82" s="3">
        <f t="shared" si="1"/>
        <v>5200</v>
      </c>
      <c r="F82" s="1"/>
      <c r="H82" s="119"/>
    </row>
    <row r="83" spans="1:9">
      <c r="A83" s="2">
        <v>43864</v>
      </c>
      <c r="B83" s="1" t="s">
        <v>84</v>
      </c>
      <c r="C83" s="3"/>
      <c r="D83" s="3">
        <v>17200</v>
      </c>
      <c r="E83" s="3">
        <f t="shared" si="1"/>
        <v>22400</v>
      </c>
      <c r="F83" s="1"/>
    </row>
    <row r="84" spans="1:9">
      <c r="A84" s="2">
        <v>43864</v>
      </c>
      <c r="B84" s="1" t="s">
        <v>85</v>
      </c>
      <c r="C84" s="3">
        <v>2000</v>
      </c>
      <c r="D84" s="3"/>
      <c r="E84" s="3">
        <f t="shared" si="1"/>
        <v>20400</v>
      </c>
      <c r="F84" s="1"/>
    </row>
    <row r="85" spans="1:9">
      <c r="A85" s="2">
        <v>43864</v>
      </c>
      <c r="B85" s="1" t="s">
        <v>86</v>
      </c>
      <c r="C85" s="3">
        <v>350</v>
      </c>
      <c r="D85" s="3"/>
      <c r="E85" s="3">
        <f t="shared" si="1"/>
        <v>20050</v>
      </c>
      <c r="F85" s="1"/>
    </row>
    <row r="86" spans="1:9">
      <c r="A86" s="2">
        <v>43864</v>
      </c>
      <c r="B86" s="1" t="s">
        <v>35</v>
      </c>
      <c r="C86" s="3">
        <v>2850</v>
      </c>
      <c r="D86" s="3"/>
      <c r="E86" s="3">
        <f t="shared" si="1"/>
        <v>17200</v>
      </c>
      <c r="F86" s="1"/>
    </row>
    <row r="87" spans="1:9">
      <c r="A87" s="2">
        <v>43868</v>
      </c>
      <c r="B87" s="1" t="s">
        <v>87</v>
      </c>
      <c r="C87" s="3">
        <v>400</v>
      </c>
      <c r="D87" s="3"/>
      <c r="E87" s="3">
        <f t="shared" si="1"/>
        <v>16800</v>
      </c>
      <c r="F87" s="1"/>
    </row>
    <row r="88" spans="1:9">
      <c r="A88" s="2">
        <v>43868</v>
      </c>
      <c r="B88" s="1" t="s">
        <v>88</v>
      </c>
      <c r="C88" s="3"/>
      <c r="D88" s="3">
        <v>2000</v>
      </c>
      <c r="E88" s="3">
        <f t="shared" si="1"/>
        <v>18800</v>
      </c>
      <c r="F88" s="1"/>
    </row>
    <row r="89" spans="1:9">
      <c r="A89" s="2">
        <v>43874</v>
      </c>
      <c r="B89" s="1" t="s">
        <v>35</v>
      </c>
      <c r="C89" s="3">
        <v>1500</v>
      </c>
      <c r="D89" s="3"/>
      <c r="E89" s="3">
        <f t="shared" si="1"/>
        <v>17300</v>
      </c>
      <c r="F89" s="1"/>
    </row>
    <row r="90" spans="1:9">
      <c r="A90" s="2">
        <v>43876</v>
      </c>
      <c r="B90" s="1" t="s">
        <v>89</v>
      </c>
      <c r="C90" s="3">
        <v>1300</v>
      </c>
      <c r="D90" s="3"/>
      <c r="E90" s="3">
        <f t="shared" si="1"/>
        <v>16000</v>
      </c>
      <c r="F90" s="1"/>
    </row>
    <row r="91" spans="1:9">
      <c r="A91" s="2">
        <v>43876</v>
      </c>
      <c r="B91" s="1" t="s">
        <v>90</v>
      </c>
      <c r="C91" s="3">
        <v>1000</v>
      </c>
      <c r="D91" s="3"/>
      <c r="E91" s="3">
        <f t="shared" si="1"/>
        <v>15000</v>
      </c>
      <c r="F91" s="1"/>
    </row>
    <row r="92" spans="1:9">
      <c r="A92" s="2">
        <v>43879</v>
      </c>
      <c r="B92" s="1" t="s">
        <v>22</v>
      </c>
      <c r="C92" s="3">
        <v>2000</v>
      </c>
      <c r="D92" s="3"/>
      <c r="E92" s="3">
        <f t="shared" si="1"/>
        <v>13000</v>
      </c>
      <c r="F92" s="1" t="s">
        <v>91</v>
      </c>
    </row>
    <row r="93" spans="1:9">
      <c r="A93" s="9">
        <v>43882</v>
      </c>
      <c r="B93" s="1" t="s">
        <v>92</v>
      </c>
      <c r="C93" s="3">
        <v>4200</v>
      </c>
      <c r="D93" s="3"/>
      <c r="E93" s="3">
        <f t="shared" si="1"/>
        <v>8800</v>
      </c>
      <c r="F93" s="1"/>
    </row>
    <row r="94" spans="1:9">
      <c r="A94" s="2">
        <v>43882</v>
      </c>
      <c r="B94" s="1" t="s">
        <v>93</v>
      </c>
      <c r="C94" s="3">
        <v>3800</v>
      </c>
      <c r="D94" s="3"/>
      <c r="E94" s="3">
        <f t="shared" si="1"/>
        <v>5000</v>
      </c>
      <c r="F94" s="1"/>
    </row>
    <row r="95" spans="1:9">
      <c r="A95" s="2">
        <v>43882</v>
      </c>
      <c r="B95" s="1" t="s">
        <v>94</v>
      </c>
      <c r="C95" s="3">
        <v>500</v>
      </c>
      <c r="D95" s="3"/>
      <c r="E95" s="3">
        <f t="shared" si="1"/>
        <v>4500</v>
      </c>
      <c r="F95" s="1"/>
    </row>
    <row r="96" spans="1:9">
      <c r="A96" s="2">
        <v>43882</v>
      </c>
      <c r="B96" s="1" t="s">
        <v>95</v>
      </c>
      <c r="C96" s="3">
        <v>700</v>
      </c>
      <c r="D96" s="3"/>
      <c r="E96" s="3">
        <f t="shared" si="1"/>
        <v>3800</v>
      </c>
      <c r="F96" s="1"/>
    </row>
    <row r="97" spans="1:6">
      <c r="A97" s="2">
        <v>43882</v>
      </c>
      <c r="B97" s="1" t="s">
        <v>17</v>
      </c>
      <c r="C97" s="3">
        <v>300</v>
      </c>
      <c r="D97" s="3"/>
      <c r="E97" s="3">
        <f t="shared" si="1"/>
        <v>3500</v>
      </c>
      <c r="F97" s="1"/>
    </row>
    <row r="98" spans="1:6">
      <c r="A98" s="2">
        <v>43889</v>
      </c>
      <c r="B98" s="1" t="s">
        <v>96</v>
      </c>
      <c r="C98" s="3"/>
      <c r="D98" s="3">
        <v>15000</v>
      </c>
      <c r="E98" s="3">
        <f t="shared" si="1"/>
        <v>18500</v>
      </c>
      <c r="F98" s="1"/>
    </row>
    <row r="99" spans="1:6">
      <c r="A99" s="2">
        <v>43890</v>
      </c>
      <c r="B99" s="1" t="s">
        <v>97</v>
      </c>
      <c r="C99" s="3">
        <v>1500</v>
      </c>
      <c r="D99" s="3"/>
      <c r="E99" s="3">
        <f t="shared" si="1"/>
        <v>17000</v>
      </c>
      <c r="F99" s="1"/>
    </row>
    <row r="100" spans="1:6">
      <c r="A100" s="2">
        <v>43890</v>
      </c>
      <c r="B100" s="1" t="s">
        <v>98</v>
      </c>
      <c r="C100" s="3">
        <v>100</v>
      </c>
      <c r="D100" s="3"/>
      <c r="E100" s="3">
        <f t="shared" si="1"/>
        <v>16900</v>
      </c>
      <c r="F100" s="1"/>
    </row>
    <row r="101" spans="1:6">
      <c r="A101" s="11"/>
      <c r="B101" s="12"/>
      <c r="C101" s="13"/>
      <c r="D101" s="13"/>
      <c r="E101" s="13"/>
      <c r="F101" s="20"/>
    </row>
    <row r="102" spans="1:6">
      <c r="A102" s="14"/>
      <c r="B102" s="15"/>
      <c r="C102" s="16"/>
      <c r="D102" s="16"/>
      <c r="E102" s="16"/>
      <c r="F102" s="20"/>
    </row>
    <row r="103" spans="1:6">
      <c r="A103" s="17"/>
      <c r="B103" s="18"/>
      <c r="C103" s="19"/>
      <c r="D103" s="19"/>
      <c r="E103" s="19"/>
      <c r="F103" s="18"/>
    </row>
    <row r="104" spans="1:6">
      <c r="A104" s="17"/>
      <c r="B104" s="18"/>
      <c r="C104" s="19"/>
      <c r="D104" s="19"/>
      <c r="E104" s="19"/>
      <c r="F104" s="18"/>
    </row>
    <row r="105" spans="1:6">
      <c r="A105" s="17"/>
      <c r="B105" s="18"/>
      <c r="C105" s="19"/>
      <c r="D105" s="19"/>
      <c r="E105" s="19"/>
      <c r="F105" s="18"/>
    </row>
    <row r="106" spans="1:6">
      <c r="A106" s="17"/>
      <c r="B106" s="18"/>
      <c r="C106" s="19"/>
      <c r="D106" s="19"/>
      <c r="E106" s="19"/>
      <c r="F106" s="18"/>
    </row>
    <row r="107" spans="1:6">
      <c r="A107" s="17"/>
      <c r="B107" s="18"/>
      <c r="C107" s="19"/>
      <c r="D107" s="19"/>
      <c r="E107" s="19"/>
      <c r="F107" s="18"/>
    </row>
    <row r="108" spans="1:6">
      <c r="A108" s="17"/>
      <c r="B108" s="18"/>
      <c r="C108" s="19"/>
      <c r="D108" s="19"/>
      <c r="E108" s="19"/>
      <c r="F108" s="18"/>
    </row>
    <row r="109" spans="1:6">
      <c r="A109" s="17"/>
      <c r="B109" s="18"/>
      <c r="C109" s="19"/>
      <c r="D109" s="19"/>
      <c r="E109" s="19"/>
      <c r="F109" s="18"/>
    </row>
    <row r="110" spans="1:6">
      <c r="A110" s="17"/>
      <c r="B110" s="18"/>
      <c r="C110" s="19"/>
      <c r="D110" s="19"/>
      <c r="E110" s="19"/>
      <c r="F110" s="18"/>
    </row>
    <row r="111" spans="1:6">
      <c r="A111" s="17"/>
      <c r="B111" s="18"/>
      <c r="C111" s="19"/>
      <c r="D111" s="19"/>
      <c r="E111" s="19"/>
      <c r="F111" s="18"/>
    </row>
    <row r="112" spans="1:6">
      <c r="A112" s="17"/>
      <c r="B112" s="18"/>
      <c r="C112" s="19"/>
      <c r="D112" s="19"/>
      <c r="E112" s="19"/>
      <c r="F112" s="18"/>
    </row>
    <row r="113" spans="1:6">
      <c r="A113" s="17"/>
      <c r="B113" s="18"/>
      <c r="C113" s="19"/>
      <c r="D113" s="19"/>
      <c r="E113" s="19"/>
      <c r="F113" s="18"/>
    </row>
    <row r="114" spans="1:6">
      <c r="A114" s="17"/>
      <c r="B114" s="18"/>
      <c r="C114" s="19"/>
      <c r="D114" s="19"/>
      <c r="E114" s="19"/>
      <c r="F114" s="18"/>
    </row>
    <row r="115" spans="1:6">
      <c r="A115" s="17"/>
      <c r="B115" s="18"/>
      <c r="C115" s="19"/>
      <c r="D115" s="19"/>
      <c r="E115" s="19"/>
      <c r="F115" s="18"/>
    </row>
    <row r="116" spans="1:6">
      <c r="A116" s="17"/>
      <c r="B116" s="18"/>
      <c r="C116" s="19"/>
      <c r="D116" s="19"/>
      <c r="E116" s="19"/>
      <c r="F116" s="18"/>
    </row>
    <row r="117" spans="1:6">
      <c r="A117" s="17"/>
      <c r="B117" s="18"/>
      <c r="C117" s="19"/>
      <c r="D117" s="19"/>
      <c r="E117" s="19"/>
      <c r="F117" s="18"/>
    </row>
    <row r="118" spans="1:6">
      <c r="A118" s="18"/>
      <c r="B118" s="18"/>
      <c r="C118" s="19"/>
      <c r="D118" s="19"/>
      <c r="E118" s="19"/>
      <c r="F118" s="18"/>
    </row>
    <row r="119" spans="1:6">
      <c r="A119" s="18"/>
      <c r="B119" s="18"/>
      <c r="C119" s="19"/>
      <c r="D119" s="19"/>
      <c r="E119" s="19"/>
      <c r="F119" s="18"/>
    </row>
    <row r="120" spans="1:6">
      <c r="A120" s="18"/>
      <c r="B120" s="18"/>
      <c r="C120" s="19"/>
      <c r="D120" s="19"/>
      <c r="E120" s="19"/>
      <c r="F120" s="18"/>
    </row>
    <row r="121" spans="1:6">
      <c r="A121" s="18"/>
      <c r="B121" s="18"/>
      <c r="C121" s="19"/>
      <c r="D121" s="19"/>
      <c r="E121" s="19"/>
      <c r="F121" s="18"/>
    </row>
    <row r="122" spans="1:6">
      <c r="A122" s="18"/>
      <c r="B122" s="18"/>
      <c r="C122" s="19"/>
      <c r="D122" s="19"/>
      <c r="E122" s="19"/>
      <c r="F122" s="18"/>
    </row>
    <row r="123" spans="1:6">
      <c r="A123" s="18"/>
      <c r="B123" s="18"/>
      <c r="C123" s="19"/>
      <c r="D123" s="19"/>
      <c r="E123" s="19"/>
      <c r="F123" s="18"/>
    </row>
    <row r="124" spans="1:6">
      <c r="A124" s="18"/>
      <c r="B124" s="18"/>
      <c r="C124" s="19"/>
      <c r="D124" s="19"/>
      <c r="E124" s="19"/>
      <c r="F124" s="18"/>
    </row>
    <row r="125" spans="1:6">
      <c r="A125" s="18"/>
      <c r="B125" s="18"/>
      <c r="C125" s="19"/>
      <c r="D125" s="19"/>
      <c r="E125" s="19"/>
      <c r="F125" s="18"/>
    </row>
    <row r="126" spans="1:6">
      <c r="A126" s="18"/>
      <c r="B126" s="18"/>
      <c r="C126" s="19"/>
      <c r="D126" s="19"/>
      <c r="E126" s="19"/>
      <c r="F126" s="18"/>
    </row>
    <row r="127" spans="1:6">
      <c r="A127" s="18"/>
      <c r="B127" s="18"/>
      <c r="C127" s="19"/>
      <c r="D127" s="19"/>
      <c r="E127" s="19"/>
      <c r="F127" s="18"/>
    </row>
    <row r="128" spans="1:6">
      <c r="A128" s="18"/>
      <c r="B128" s="18"/>
      <c r="C128" s="19"/>
      <c r="D128" s="19"/>
      <c r="E128" s="19"/>
      <c r="F128" s="18"/>
    </row>
    <row r="129" spans="1:6">
      <c r="A129" s="18"/>
      <c r="B129" s="18"/>
      <c r="C129" s="19"/>
      <c r="D129" s="19"/>
      <c r="E129" s="19"/>
      <c r="F129" s="18"/>
    </row>
    <row r="130" spans="1:6">
      <c r="A130" s="18"/>
      <c r="B130" s="18"/>
      <c r="C130" s="19"/>
      <c r="D130" s="19"/>
      <c r="E130" s="19"/>
      <c r="F130" s="18"/>
    </row>
    <row r="131" spans="1:6">
      <c r="A131" s="18"/>
      <c r="B131" s="18"/>
      <c r="C131" s="19"/>
      <c r="D131" s="19"/>
      <c r="E131" s="19"/>
      <c r="F131" s="18"/>
    </row>
    <row r="132" spans="1:6">
      <c r="A132" s="18"/>
      <c r="B132" s="18"/>
      <c r="C132" s="19"/>
      <c r="D132" s="19"/>
      <c r="E132" s="19"/>
      <c r="F132" s="18"/>
    </row>
    <row r="133" spans="1:6">
      <c r="A133" s="18"/>
      <c r="B133" s="18"/>
      <c r="C133" s="19"/>
      <c r="D133" s="19"/>
      <c r="E133" s="19"/>
      <c r="F133" s="18"/>
    </row>
    <row r="134" spans="1:6">
      <c r="A134" s="18"/>
      <c r="B134" s="18"/>
      <c r="C134" s="19"/>
      <c r="D134" s="19"/>
      <c r="E134" s="19"/>
      <c r="F134" s="18"/>
    </row>
    <row r="135" spans="1:6">
      <c r="A135" s="18"/>
      <c r="B135" s="18"/>
      <c r="C135" s="19"/>
      <c r="D135" s="19"/>
      <c r="E135" s="19"/>
      <c r="F135" s="18"/>
    </row>
    <row r="136" spans="1:6">
      <c r="A136" s="18"/>
      <c r="B136" s="18"/>
      <c r="C136" s="19"/>
      <c r="D136" s="19"/>
      <c r="E136" s="19"/>
      <c r="F136" s="18"/>
    </row>
    <row r="137" spans="1:6">
      <c r="A137" s="18"/>
      <c r="B137" s="18"/>
      <c r="C137" s="19"/>
      <c r="D137" s="19"/>
      <c r="E137" s="19"/>
      <c r="F137" s="18"/>
    </row>
    <row r="138" spans="1:6">
      <c r="A138" s="18"/>
      <c r="B138" s="18"/>
      <c r="C138" s="19"/>
      <c r="D138" s="19"/>
      <c r="E138" s="19"/>
      <c r="F138" s="18"/>
    </row>
    <row r="139" spans="1:6">
      <c r="A139" s="18"/>
      <c r="B139" s="18"/>
      <c r="C139" s="19"/>
      <c r="D139" s="19"/>
      <c r="E139" s="19"/>
      <c r="F139" s="18"/>
    </row>
    <row r="140" spans="1:6">
      <c r="A140" s="18"/>
      <c r="B140" s="18"/>
      <c r="C140" s="19"/>
      <c r="D140" s="19"/>
      <c r="E140" s="19"/>
      <c r="F140" s="18"/>
    </row>
    <row r="141" spans="1:6">
      <c r="A141" s="18"/>
      <c r="B141" s="18"/>
      <c r="C141" s="19"/>
      <c r="D141" s="19"/>
      <c r="E141" s="19"/>
      <c r="F141" s="18"/>
    </row>
    <row r="142" spans="1:6">
      <c r="A142" s="18"/>
      <c r="B142" s="18"/>
      <c r="C142" s="19"/>
      <c r="D142" s="19"/>
      <c r="E142" s="19"/>
      <c r="F142" s="18"/>
    </row>
    <row r="143" spans="1:6">
      <c r="A143" s="18"/>
      <c r="B143" s="18"/>
      <c r="C143" s="19"/>
      <c r="D143" s="19"/>
      <c r="E143" s="19"/>
      <c r="F143" s="18"/>
    </row>
    <row r="144" spans="1:6">
      <c r="A144" s="18"/>
      <c r="B144" s="18"/>
      <c r="C144" s="19"/>
      <c r="D144" s="19"/>
      <c r="E144" s="19"/>
      <c r="F144" s="18"/>
    </row>
    <row r="145" spans="1:6">
      <c r="A145" s="18"/>
      <c r="B145" s="18"/>
      <c r="C145" s="19"/>
      <c r="D145" s="19"/>
      <c r="E145" s="19"/>
      <c r="F145" s="18"/>
    </row>
    <row r="146" spans="1:6">
      <c r="A146" s="18"/>
      <c r="B146" s="18"/>
      <c r="C146" s="19"/>
      <c r="D146" s="19"/>
      <c r="E146" s="19"/>
      <c r="F146" s="18"/>
    </row>
    <row r="147" spans="1:6">
      <c r="A147" s="18"/>
      <c r="B147" s="18"/>
      <c r="C147" s="19"/>
      <c r="D147" s="19"/>
      <c r="E147" s="19"/>
      <c r="F147" s="18"/>
    </row>
    <row r="148" spans="1:6">
      <c r="A148" s="18"/>
      <c r="B148" s="18"/>
      <c r="C148" s="19"/>
      <c r="D148" s="19"/>
      <c r="E148" s="19"/>
      <c r="F148" s="18"/>
    </row>
    <row r="149" spans="1:6">
      <c r="A149" s="18"/>
      <c r="B149" s="18"/>
      <c r="C149" s="19"/>
      <c r="D149" s="19"/>
      <c r="E149" s="19"/>
      <c r="F149" s="18"/>
    </row>
    <row r="150" spans="1:6">
      <c r="A150" s="18"/>
      <c r="B150" s="18"/>
      <c r="C150" s="19"/>
      <c r="D150" s="19"/>
      <c r="E150" s="19"/>
      <c r="F150" s="18"/>
    </row>
    <row r="151" spans="1:6">
      <c r="A151" s="18"/>
      <c r="B151" s="18"/>
      <c r="C151" s="19"/>
      <c r="D151" s="19"/>
      <c r="E151" s="19"/>
      <c r="F151" s="18"/>
    </row>
    <row r="152" spans="1:6">
      <c r="A152" s="18"/>
      <c r="B152" s="18"/>
      <c r="C152" s="19"/>
      <c r="D152" s="19"/>
      <c r="E152" s="19"/>
      <c r="F152" s="18"/>
    </row>
    <row r="153" spans="1:6">
      <c r="A153" s="18"/>
      <c r="B153" s="18"/>
      <c r="C153" s="19"/>
      <c r="D153" s="19"/>
      <c r="E153" s="19"/>
      <c r="F153" s="18"/>
    </row>
    <row r="154" spans="1:6">
      <c r="A154" s="18"/>
      <c r="B154" s="18"/>
      <c r="C154" s="19"/>
      <c r="D154" s="19"/>
      <c r="E154" s="19"/>
      <c r="F154" s="18"/>
    </row>
    <row r="155" spans="1:6">
      <c r="A155" s="18"/>
      <c r="B155" s="18"/>
      <c r="C155" s="19"/>
      <c r="D155" s="19"/>
      <c r="E155" s="19"/>
      <c r="F155" s="18"/>
    </row>
    <row r="156" spans="1:6">
      <c r="A156" s="18"/>
      <c r="B156" s="18"/>
      <c r="C156" s="19"/>
      <c r="D156" s="19"/>
      <c r="E156" s="19"/>
      <c r="F156" s="18"/>
    </row>
    <row r="157" spans="1:6">
      <c r="A157" s="18"/>
      <c r="B157" s="18"/>
      <c r="C157" s="19"/>
      <c r="D157" s="19"/>
      <c r="E157" s="19"/>
      <c r="F157" s="18"/>
    </row>
    <row r="158" spans="1:6">
      <c r="A158" s="18"/>
      <c r="B158" s="18"/>
      <c r="C158" s="19"/>
      <c r="D158" s="19"/>
      <c r="E158" s="19"/>
      <c r="F158" s="18"/>
    </row>
    <row r="159" spans="1:6">
      <c r="A159" s="18"/>
      <c r="B159" s="18"/>
      <c r="C159" s="19"/>
      <c r="D159" s="19"/>
      <c r="E159" s="19"/>
      <c r="F159" s="18"/>
    </row>
    <row r="160" spans="1:6">
      <c r="A160" s="18"/>
      <c r="B160" s="18"/>
      <c r="C160" s="19"/>
      <c r="D160" s="19"/>
      <c r="E160" s="19"/>
      <c r="F160" s="18"/>
    </row>
    <row r="161" spans="1:6">
      <c r="A161" s="18"/>
      <c r="B161" s="18"/>
      <c r="C161" s="19"/>
      <c r="D161" s="19"/>
      <c r="E161" s="19"/>
      <c r="F161" s="18"/>
    </row>
    <row r="162" spans="1:6">
      <c r="A162" s="18"/>
      <c r="B162" s="18"/>
      <c r="C162" s="19"/>
      <c r="D162" s="19"/>
      <c r="E162" s="19"/>
      <c r="F162" s="18"/>
    </row>
    <row r="163" spans="1:6">
      <c r="A163" s="18"/>
      <c r="B163" s="18"/>
      <c r="C163" s="19"/>
      <c r="D163" s="19"/>
      <c r="E163" s="19"/>
      <c r="F163" s="18"/>
    </row>
    <row r="164" spans="1:6">
      <c r="A164" s="18"/>
      <c r="B164" s="18"/>
      <c r="C164" s="19"/>
      <c r="D164" s="19"/>
      <c r="E164" s="19"/>
      <c r="F164" s="18"/>
    </row>
    <row r="165" spans="1:6">
      <c r="A165" s="18"/>
      <c r="B165" s="18"/>
      <c r="C165" s="19"/>
      <c r="D165" s="19"/>
      <c r="E165" s="19"/>
      <c r="F165" s="18"/>
    </row>
    <row r="166" spans="1:6">
      <c r="A166" s="18"/>
      <c r="B166" s="18"/>
      <c r="C166" s="19"/>
      <c r="D166" s="19"/>
      <c r="E166" s="19"/>
      <c r="F166" s="18"/>
    </row>
    <row r="167" spans="1:6">
      <c r="A167" s="18"/>
      <c r="B167" s="18"/>
      <c r="C167" s="19"/>
      <c r="D167" s="19"/>
      <c r="E167" s="19"/>
      <c r="F167" s="18"/>
    </row>
    <row r="168" spans="1:6">
      <c r="A168" s="18"/>
      <c r="B168" s="18"/>
      <c r="C168" s="19"/>
      <c r="D168" s="19"/>
      <c r="E168" s="19"/>
      <c r="F168" s="18"/>
    </row>
    <row r="169" spans="1:6">
      <c r="A169" s="18"/>
      <c r="B169" s="18"/>
      <c r="C169" s="19"/>
      <c r="D169" s="19"/>
      <c r="E169" s="19"/>
      <c r="F169" s="18"/>
    </row>
    <row r="170" spans="1:6">
      <c r="A170" s="18"/>
      <c r="B170" s="18"/>
      <c r="C170" s="19"/>
      <c r="D170" s="19"/>
      <c r="E170" s="19"/>
      <c r="F170" s="18"/>
    </row>
    <row r="171" spans="1:6">
      <c r="A171" s="18"/>
      <c r="B171" s="18"/>
      <c r="C171" s="19"/>
      <c r="D171" s="19"/>
      <c r="E171" s="19"/>
      <c r="F171" s="18"/>
    </row>
    <row r="172" spans="1:6">
      <c r="A172" s="18"/>
      <c r="B172" s="18"/>
      <c r="C172" s="19"/>
      <c r="D172" s="19"/>
      <c r="E172" s="19"/>
      <c r="F172" s="18"/>
    </row>
    <row r="173" spans="1:6">
      <c r="A173" s="18"/>
      <c r="B173" s="18"/>
      <c r="C173" s="19"/>
      <c r="D173" s="19"/>
      <c r="E173" s="19"/>
      <c r="F173" s="18"/>
    </row>
    <row r="174" spans="1:6">
      <c r="A174" s="18"/>
      <c r="B174" s="18"/>
      <c r="C174" s="19"/>
      <c r="D174" s="19"/>
      <c r="E174" s="19"/>
      <c r="F174" s="18"/>
    </row>
    <row r="175" spans="1:6">
      <c r="A175" s="18"/>
      <c r="B175" s="18"/>
      <c r="C175" s="19"/>
      <c r="D175" s="19"/>
      <c r="E175" s="19"/>
      <c r="F175" s="18"/>
    </row>
    <row r="176" spans="1:6">
      <c r="A176" s="18"/>
      <c r="B176" s="18"/>
      <c r="C176" s="19"/>
      <c r="D176" s="19"/>
      <c r="E176" s="19"/>
      <c r="F176" s="18"/>
    </row>
    <row r="177" spans="1:6">
      <c r="A177" s="18"/>
      <c r="B177" s="18"/>
      <c r="C177" s="19"/>
      <c r="D177" s="19"/>
      <c r="E177" s="19"/>
      <c r="F177" s="18"/>
    </row>
    <row r="178" spans="1:6">
      <c r="A178" s="18"/>
      <c r="B178" s="18"/>
      <c r="C178" s="19"/>
      <c r="D178" s="19"/>
      <c r="E178" s="19"/>
      <c r="F178" s="18"/>
    </row>
    <row r="179" spans="1:6">
      <c r="A179" s="18"/>
      <c r="B179" s="18"/>
      <c r="C179" s="19"/>
      <c r="D179" s="19"/>
      <c r="E179" s="19"/>
      <c r="F179" s="18"/>
    </row>
    <row r="180" spans="1:6">
      <c r="A180" s="18"/>
      <c r="B180" s="18"/>
      <c r="C180" s="19"/>
      <c r="D180" s="19"/>
      <c r="E180" s="19"/>
      <c r="F180" s="18"/>
    </row>
    <row r="181" spans="1:6">
      <c r="A181" s="18"/>
      <c r="B181" s="18"/>
      <c r="C181" s="19"/>
      <c r="D181" s="19"/>
      <c r="E181" s="19"/>
      <c r="F181" s="18"/>
    </row>
    <row r="182" spans="1:6">
      <c r="A182" s="18"/>
      <c r="B182" s="18"/>
      <c r="C182" s="19"/>
      <c r="D182" s="19"/>
      <c r="E182" s="19"/>
      <c r="F182" s="18"/>
    </row>
    <row r="183" spans="1:6">
      <c r="A183" s="18"/>
      <c r="B183" s="18"/>
      <c r="C183" s="19"/>
      <c r="D183" s="19"/>
      <c r="E183" s="19"/>
      <c r="F183" s="18"/>
    </row>
    <row r="184" spans="1:6">
      <c r="A184" s="18"/>
      <c r="B184" s="18"/>
      <c r="C184" s="19"/>
      <c r="D184" s="19"/>
      <c r="E184" s="19"/>
      <c r="F184" s="18"/>
    </row>
    <row r="185" spans="1:6">
      <c r="A185" s="18"/>
      <c r="B185" s="18"/>
      <c r="C185" s="19"/>
      <c r="D185" s="19"/>
      <c r="E185" s="19"/>
      <c r="F185" s="18"/>
    </row>
    <row r="186" spans="1:6">
      <c r="A186" s="18"/>
      <c r="B186" s="18"/>
      <c r="C186" s="19"/>
      <c r="D186" s="19"/>
      <c r="E186" s="19"/>
      <c r="F186" s="18"/>
    </row>
    <row r="187" spans="1:6">
      <c r="A187" s="18"/>
      <c r="B187" s="18"/>
      <c r="C187" s="19"/>
      <c r="D187" s="19"/>
      <c r="E187" s="19"/>
      <c r="F187" s="18"/>
    </row>
    <row r="188" spans="1:6">
      <c r="A188" s="18"/>
      <c r="B188" s="18"/>
      <c r="C188" s="19"/>
      <c r="D188" s="19"/>
      <c r="E188" s="19"/>
      <c r="F188" s="18"/>
    </row>
    <row r="189" spans="1:6">
      <c r="A189" s="18"/>
      <c r="B189" s="18"/>
      <c r="C189" s="19"/>
      <c r="D189" s="19"/>
      <c r="E189" s="19"/>
      <c r="F189" s="18"/>
    </row>
    <row r="190" spans="1:6">
      <c r="A190" s="18"/>
      <c r="B190" s="18"/>
      <c r="C190" s="19"/>
      <c r="D190" s="19"/>
      <c r="E190" s="19"/>
      <c r="F190" s="18"/>
    </row>
    <row r="191" spans="1:6">
      <c r="A191" s="18"/>
      <c r="B191" s="18"/>
      <c r="C191" s="19"/>
      <c r="D191" s="19"/>
      <c r="E191" s="19"/>
      <c r="F191" s="18"/>
    </row>
    <row r="192" spans="1:6">
      <c r="A192" s="18"/>
      <c r="B192" s="18"/>
      <c r="C192" s="19"/>
      <c r="D192" s="19"/>
      <c r="E192" s="19"/>
      <c r="F192" s="18"/>
    </row>
    <row r="193" spans="1:6">
      <c r="A193" s="18"/>
      <c r="B193" s="18"/>
      <c r="C193" s="19"/>
      <c r="D193" s="19"/>
      <c r="E193" s="19"/>
      <c r="F193" s="18"/>
    </row>
    <row r="194" spans="1:6">
      <c r="A194" s="18"/>
      <c r="B194" s="18"/>
      <c r="C194" s="19"/>
      <c r="D194" s="19"/>
      <c r="E194" s="19"/>
      <c r="F194" s="18"/>
    </row>
    <row r="195" spans="1:6">
      <c r="A195" s="18"/>
      <c r="B195" s="18"/>
      <c r="C195" s="19"/>
      <c r="D195" s="19"/>
      <c r="E195" s="19"/>
      <c r="F195" s="18"/>
    </row>
    <row r="196" spans="1:6">
      <c r="A196" s="18"/>
      <c r="B196" s="18"/>
      <c r="C196" s="19"/>
      <c r="D196" s="19"/>
      <c r="E196" s="19"/>
      <c r="F196" s="18"/>
    </row>
    <row r="197" spans="1:6">
      <c r="A197" s="18"/>
      <c r="B197" s="18"/>
      <c r="C197" s="19"/>
      <c r="D197" s="19"/>
      <c r="E197" s="19"/>
      <c r="F197" s="18"/>
    </row>
    <row r="198" spans="1:6">
      <c r="A198" s="18"/>
      <c r="B198" s="18"/>
      <c r="C198" s="19"/>
      <c r="D198" s="19"/>
      <c r="E198" s="19"/>
      <c r="F198" s="18"/>
    </row>
    <row r="199" spans="1:6">
      <c r="A199" s="18"/>
      <c r="B199" s="18"/>
      <c r="C199" s="19"/>
      <c r="D199" s="19"/>
      <c r="E199" s="19"/>
      <c r="F199" s="18"/>
    </row>
    <row r="200" spans="1:6">
      <c r="A200" s="18"/>
      <c r="B200" s="18"/>
      <c r="C200" s="19"/>
      <c r="D200" s="19"/>
      <c r="E200" s="19"/>
      <c r="F200" s="18"/>
    </row>
    <row r="201" spans="1:6">
      <c r="A201" s="18"/>
      <c r="B201" s="18"/>
      <c r="C201" s="19"/>
      <c r="D201" s="19"/>
      <c r="E201" s="19"/>
      <c r="F201" s="18"/>
    </row>
    <row r="202" spans="1:6">
      <c r="A202" s="18"/>
      <c r="B202" s="18"/>
      <c r="C202" s="19"/>
      <c r="D202" s="19"/>
      <c r="E202" s="19"/>
      <c r="F202" s="18"/>
    </row>
    <row r="203" spans="1:6">
      <c r="A203" s="18"/>
      <c r="B203" s="18"/>
      <c r="C203" s="19"/>
      <c r="D203" s="19"/>
      <c r="E203" s="19"/>
      <c r="F203" s="18"/>
    </row>
    <row r="204" spans="1:6">
      <c r="A204" s="18"/>
      <c r="B204" s="18"/>
      <c r="C204" s="19"/>
      <c r="D204" s="19"/>
      <c r="E204" s="19"/>
      <c r="F204" s="18"/>
    </row>
    <row r="205" spans="1:6">
      <c r="A205" s="18"/>
      <c r="B205" s="18"/>
      <c r="C205" s="19"/>
      <c r="D205" s="19"/>
      <c r="E205" s="19"/>
      <c r="F205" s="18"/>
    </row>
    <row r="206" spans="1:6">
      <c r="A206" s="18"/>
      <c r="B206" s="18"/>
      <c r="C206" s="19"/>
      <c r="D206" s="19"/>
      <c r="E206" s="19"/>
      <c r="F206" s="18"/>
    </row>
    <row r="207" spans="1:6">
      <c r="A207" s="18"/>
      <c r="B207" s="18"/>
      <c r="C207" s="19"/>
      <c r="D207" s="19"/>
      <c r="E207" s="19"/>
      <c r="F207" s="18"/>
    </row>
    <row r="208" spans="1:6">
      <c r="A208" s="18"/>
      <c r="B208" s="18"/>
      <c r="C208" s="19"/>
      <c r="D208" s="19"/>
      <c r="E208" s="19"/>
      <c r="F208" s="18"/>
    </row>
    <row r="209" spans="1:6">
      <c r="A209" s="18"/>
      <c r="B209" s="18"/>
      <c r="C209" s="19"/>
      <c r="D209" s="19"/>
      <c r="E209" s="19"/>
      <c r="F209" s="18"/>
    </row>
    <row r="210" spans="1:6">
      <c r="A210" s="18"/>
      <c r="B210" s="18"/>
      <c r="C210" s="19"/>
      <c r="D210" s="19"/>
      <c r="E210" s="19"/>
      <c r="F210" s="18"/>
    </row>
    <row r="211" spans="1:6">
      <c r="A211" s="18"/>
      <c r="B211" s="18"/>
      <c r="C211" s="19"/>
      <c r="D211" s="19"/>
      <c r="E211" s="19"/>
      <c r="F211" s="18"/>
    </row>
    <row r="212" spans="1:6">
      <c r="A212" s="18"/>
      <c r="B212" s="18"/>
      <c r="C212" s="19"/>
      <c r="D212" s="19"/>
      <c r="E212" s="19"/>
      <c r="F212" s="18"/>
    </row>
    <row r="213" spans="1:6">
      <c r="A213" s="18"/>
      <c r="B213" s="18"/>
      <c r="C213" s="19"/>
      <c r="D213" s="19"/>
      <c r="E213" s="19"/>
      <c r="F213" s="18"/>
    </row>
    <row r="214" spans="1:6">
      <c r="A214" s="18"/>
      <c r="B214" s="18"/>
      <c r="C214" s="19"/>
      <c r="D214" s="19"/>
      <c r="E214" s="19"/>
      <c r="F214" s="18"/>
    </row>
    <row r="215" spans="1:6">
      <c r="A215" s="18"/>
      <c r="B215" s="18"/>
      <c r="C215" s="19"/>
      <c r="D215" s="19"/>
      <c r="E215" s="19"/>
      <c r="F215" s="18"/>
    </row>
    <row r="216" spans="1:6">
      <c r="A216" s="18"/>
      <c r="B216" s="18"/>
      <c r="C216" s="19"/>
      <c r="D216" s="19"/>
      <c r="E216" s="19"/>
      <c r="F216" s="18"/>
    </row>
    <row r="217" spans="1:6">
      <c r="A217" s="18"/>
      <c r="B217" s="18"/>
      <c r="C217" s="19"/>
      <c r="D217" s="19"/>
      <c r="E217" s="19"/>
      <c r="F217" s="18"/>
    </row>
    <row r="218" spans="1:6">
      <c r="A218" s="18"/>
      <c r="B218" s="18"/>
      <c r="C218" s="19"/>
      <c r="D218" s="19"/>
      <c r="E218" s="19"/>
      <c r="F218" s="18"/>
    </row>
    <row r="219" spans="1:6">
      <c r="A219" s="18"/>
      <c r="B219" s="18"/>
      <c r="C219" s="19"/>
      <c r="D219" s="19"/>
      <c r="E219" s="19"/>
      <c r="F219" s="18"/>
    </row>
    <row r="220" spans="1:6">
      <c r="A220" s="18"/>
      <c r="B220" s="18"/>
      <c r="C220" s="19"/>
      <c r="D220" s="19"/>
      <c r="E220" s="19"/>
      <c r="F220" s="18"/>
    </row>
    <row r="221" spans="1:6">
      <c r="A221" s="18"/>
      <c r="B221" s="18"/>
      <c r="C221" s="19"/>
      <c r="D221" s="19"/>
      <c r="E221" s="19"/>
      <c r="F221" s="18"/>
    </row>
    <row r="222" spans="1:6">
      <c r="A222" s="18"/>
      <c r="B222" s="18"/>
      <c r="C222" s="19"/>
      <c r="D222" s="19"/>
      <c r="E222" s="19"/>
      <c r="F222" s="18"/>
    </row>
    <row r="223" spans="1:6">
      <c r="A223" s="18"/>
      <c r="B223" s="18"/>
      <c r="C223" s="19"/>
      <c r="D223" s="19"/>
      <c r="E223" s="19"/>
      <c r="F223" s="18"/>
    </row>
    <row r="224" spans="1:6">
      <c r="A224" s="18"/>
      <c r="B224" s="18"/>
      <c r="C224" s="19"/>
      <c r="D224" s="19"/>
      <c r="E224" s="19"/>
      <c r="F224" s="18"/>
    </row>
    <row r="225" spans="1:6">
      <c r="A225" s="18"/>
      <c r="B225" s="18"/>
      <c r="C225" s="19"/>
      <c r="D225" s="19"/>
      <c r="E225" s="19"/>
      <c r="F225" s="18"/>
    </row>
    <row r="226" spans="1:6">
      <c r="A226" s="18"/>
      <c r="B226" s="18"/>
      <c r="C226" s="19"/>
      <c r="D226" s="19"/>
      <c r="E226" s="19"/>
      <c r="F226" s="18"/>
    </row>
    <row r="227" spans="1:6">
      <c r="A227" s="18"/>
      <c r="B227" s="18"/>
      <c r="C227" s="19"/>
      <c r="D227" s="19"/>
      <c r="E227" s="19"/>
      <c r="F227" s="18"/>
    </row>
    <row r="228" spans="1:6">
      <c r="A228" s="18"/>
      <c r="B228" s="18"/>
      <c r="C228" s="19"/>
      <c r="D228" s="19"/>
      <c r="E228" s="19"/>
      <c r="F228" s="18"/>
    </row>
    <row r="229" spans="1:6">
      <c r="A229" s="18"/>
      <c r="B229" s="18"/>
      <c r="C229" s="19"/>
      <c r="D229" s="19"/>
      <c r="E229" s="19"/>
      <c r="F229" s="18"/>
    </row>
    <row r="230" spans="1:6">
      <c r="A230" s="18"/>
      <c r="B230" s="18"/>
      <c r="C230" s="19"/>
      <c r="D230" s="19"/>
      <c r="E230" s="19"/>
      <c r="F230" s="18"/>
    </row>
    <row r="231" spans="1:6">
      <c r="A231" s="18"/>
      <c r="B231" s="18"/>
      <c r="C231" s="19"/>
      <c r="D231" s="19"/>
      <c r="E231" s="19"/>
      <c r="F231" s="18"/>
    </row>
    <row r="232" spans="1:6">
      <c r="A232" s="18"/>
      <c r="B232" s="18"/>
      <c r="C232" s="19"/>
      <c r="D232" s="19"/>
      <c r="E232" s="19"/>
      <c r="F232" s="18"/>
    </row>
    <row r="233" spans="1:6">
      <c r="A233" s="18"/>
      <c r="B233" s="18"/>
      <c r="C233" s="19"/>
      <c r="D233" s="19"/>
      <c r="E233" s="19"/>
      <c r="F233" s="18"/>
    </row>
    <row r="234" spans="1:6">
      <c r="A234" s="18"/>
      <c r="B234" s="18"/>
      <c r="C234" s="19"/>
      <c r="D234" s="19"/>
      <c r="E234" s="19"/>
      <c r="F234" s="18"/>
    </row>
    <row r="235" spans="1:6">
      <c r="A235" s="18"/>
      <c r="B235" s="18"/>
      <c r="C235" s="19"/>
      <c r="D235" s="19"/>
      <c r="E235" s="19"/>
      <c r="F235" s="18"/>
    </row>
    <row r="236" spans="1:6">
      <c r="A236" s="18"/>
      <c r="B236" s="18"/>
      <c r="C236" s="19"/>
      <c r="D236" s="19"/>
      <c r="E236" s="19"/>
      <c r="F236" s="18"/>
    </row>
    <row r="237" spans="1:6">
      <c r="A237" s="18"/>
      <c r="B237" s="18"/>
      <c r="C237" s="19"/>
      <c r="D237" s="19"/>
      <c r="E237" s="19"/>
      <c r="F237" s="18"/>
    </row>
    <row r="238" spans="1:6">
      <c r="A238" s="18"/>
      <c r="B238" s="18"/>
      <c r="C238" s="19"/>
      <c r="D238" s="19"/>
      <c r="E238" s="19"/>
      <c r="F238" s="18"/>
    </row>
    <row r="239" spans="1:6">
      <c r="A239" s="18"/>
      <c r="B239" s="18"/>
      <c r="C239" s="19"/>
      <c r="D239" s="19"/>
      <c r="E239" s="19"/>
      <c r="F239" s="18"/>
    </row>
    <row r="240" spans="1:6">
      <c r="A240" s="18"/>
      <c r="B240" s="18"/>
      <c r="C240" s="19"/>
      <c r="D240" s="19"/>
      <c r="E240" s="19"/>
      <c r="F240" s="18"/>
    </row>
    <row r="241" spans="1:6">
      <c r="A241" s="18"/>
      <c r="B241" s="18"/>
      <c r="C241" s="19"/>
      <c r="D241" s="19"/>
      <c r="E241" s="19"/>
      <c r="F241" s="18"/>
    </row>
    <row r="242" spans="1:6">
      <c r="A242" s="18"/>
      <c r="B242" s="18"/>
      <c r="C242" s="19"/>
      <c r="D242" s="19"/>
      <c r="E242" s="19"/>
      <c r="F242" s="18"/>
    </row>
    <row r="243" spans="1:6">
      <c r="A243" s="18"/>
      <c r="B243" s="18"/>
      <c r="C243" s="19"/>
      <c r="D243" s="19"/>
      <c r="E243" s="19"/>
      <c r="F243" s="18"/>
    </row>
    <row r="244" spans="1:6">
      <c r="A244" s="18"/>
      <c r="B244" s="18"/>
      <c r="C244" s="19"/>
      <c r="D244" s="19"/>
      <c r="E244" s="19"/>
      <c r="F244" s="18"/>
    </row>
    <row r="245" spans="1:6">
      <c r="A245" s="18"/>
      <c r="B245" s="18"/>
      <c r="C245" s="19"/>
      <c r="D245" s="19"/>
      <c r="E245" s="19"/>
      <c r="F245" s="18"/>
    </row>
    <row r="246" spans="1:6">
      <c r="A246" s="18"/>
      <c r="B246" s="18"/>
      <c r="C246" s="19"/>
      <c r="D246" s="19"/>
      <c r="E246" s="19"/>
      <c r="F246" s="18"/>
    </row>
    <row r="247" spans="1:6">
      <c r="A247" s="18"/>
      <c r="B247" s="18"/>
      <c r="C247" s="19"/>
      <c r="D247" s="19"/>
      <c r="E247" s="19"/>
      <c r="F247" s="18"/>
    </row>
    <row r="248" spans="1:6">
      <c r="A248" s="18"/>
      <c r="B248" s="18"/>
      <c r="C248" s="19"/>
      <c r="D248" s="19"/>
      <c r="E248" s="19"/>
      <c r="F248" s="18"/>
    </row>
    <row r="249" spans="1:6">
      <c r="A249" s="18"/>
      <c r="B249" s="18"/>
      <c r="C249" s="19"/>
      <c r="D249" s="19"/>
      <c r="E249" s="19"/>
      <c r="F249" s="18"/>
    </row>
    <row r="250" spans="1:6">
      <c r="A250" s="18"/>
      <c r="B250" s="18"/>
      <c r="C250" s="19"/>
      <c r="D250" s="19"/>
      <c r="E250" s="19"/>
      <c r="F250" s="18"/>
    </row>
    <row r="251" spans="1:6">
      <c r="A251" s="18"/>
      <c r="B251" s="18"/>
      <c r="C251" s="19"/>
      <c r="D251" s="19"/>
      <c r="E251" s="19"/>
      <c r="F251" s="18"/>
    </row>
    <row r="252" spans="1:6">
      <c r="A252" s="18"/>
      <c r="B252" s="18"/>
      <c r="C252" s="19"/>
      <c r="D252" s="19"/>
      <c r="E252" s="19"/>
      <c r="F252" s="18"/>
    </row>
    <row r="253" spans="1:6">
      <c r="A253" s="18"/>
      <c r="B253" s="18"/>
      <c r="C253" s="19"/>
      <c r="D253" s="19"/>
      <c r="E253" s="19"/>
      <c r="F253" s="18"/>
    </row>
    <row r="254" spans="1:6">
      <c r="A254" s="18"/>
      <c r="B254" s="18"/>
      <c r="C254" s="19"/>
      <c r="D254" s="19"/>
      <c r="E254" s="19"/>
      <c r="F254" s="18"/>
    </row>
    <row r="255" spans="1:6">
      <c r="A255" s="18"/>
      <c r="B255" s="18"/>
      <c r="C255" s="19"/>
      <c r="D255" s="19"/>
      <c r="E255" s="19"/>
      <c r="F255" s="18"/>
    </row>
    <row r="256" spans="1:6">
      <c r="A256" s="18"/>
      <c r="B256" s="18"/>
      <c r="C256" s="19"/>
      <c r="D256" s="19"/>
      <c r="E256" s="19"/>
      <c r="F256" s="18"/>
    </row>
    <row r="257" spans="1:6">
      <c r="A257" s="18"/>
      <c r="B257" s="18"/>
      <c r="C257" s="19"/>
      <c r="D257" s="19"/>
      <c r="E257" s="19"/>
      <c r="F257" s="18"/>
    </row>
    <row r="258" spans="1:6">
      <c r="A258" s="18"/>
      <c r="B258" s="18"/>
      <c r="C258" s="19"/>
      <c r="D258" s="19"/>
      <c r="E258" s="19"/>
      <c r="F258" s="18"/>
    </row>
    <row r="259" spans="1:6">
      <c r="A259" s="18"/>
      <c r="B259" s="18"/>
      <c r="C259" s="19"/>
      <c r="D259" s="19"/>
      <c r="E259" s="19"/>
      <c r="F259" s="18"/>
    </row>
    <row r="260" spans="1:6">
      <c r="A260" s="18"/>
      <c r="B260" s="18"/>
      <c r="C260" s="19"/>
      <c r="D260" s="19"/>
      <c r="E260" s="19"/>
      <c r="F260" s="18"/>
    </row>
    <row r="261" spans="1:6">
      <c r="A261" s="18"/>
      <c r="B261" s="18"/>
      <c r="C261" s="19"/>
      <c r="D261" s="19"/>
      <c r="E261" s="19"/>
      <c r="F261" s="18"/>
    </row>
    <row r="262" spans="1:6">
      <c r="A262" s="18"/>
      <c r="B262" s="18"/>
      <c r="C262" s="19"/>
      <c r="D262" s="19"/>
      <c r="E262" s="19"/>
      <c r="F262" s="18"/>
    </row>
    <row r="263" spans="1:6">
      <c r="A263" s="18"/>
      <c r="B263" s="18"/>
      <c r="C263" s="19"/>
      <c r="D263" s="19"/>
      <c r="E263" s="19"/>
      <c r="F263" s="18"/>
    </row>
    <row r="264" spans="1:6">
      <c r="A264" s="18"/>
      <c r="B264" s="18"/>
      <c r="C264" s="19"/>
      <c r="D264" s="19"/>
      <c r="E264" s="19"/>
      <c r="F264" s="18"/>
    </row>
    <row r="265" spans="1:6">
      <c r="A265" s="18"/>
      <c r="B265" s="18"/>
      <c r="C265" s="19"/>
      <c r="D265" s="19"/>
      <c r="E265" s="19"/>
      <c r="F265" s="18"/>
    </row>
    <row r="266" spans="1:6">
      <c r="A266" s="18"/>
      <c r="B266" s="18"/>
      <c r="C266" s="19"/>
      <c r="D266" s="19"/>
      <c r="E266" s="19"/>
      <c r="F266" s="18"/>
    </row>
    <row r="267" spans="1:6">
      <c r="A267" s="18"/>
      <c r="B267" s="18"/>
      <c r="C267" s="19"/>
      <c r="D267" s="19"/>
      <c r="E267" s="19"/>
      <c r="F267" s="18"/>
    </row>
    <row r="268" spans="1:6">
      <c r="A268" s="18"/>
      <c r="B268" s="18"/>
      <c r="C268" s="19"/>
      <c r="D268" s="19"/>
      <c r="E268" s="19"/>
      <c r="F268" s="18"/>
    </row>
    <row r="269" spans="1:6">
      <c r="A269" s="18"/>
      <c r="B269" s="18"/>
      <c r="C269" s="19"/>
      <c r="D269" s="19"/>
      <c r="E269" s="19"/>
      <c r="F269" s="18"/>
    </row>
    <row r="270" spans="1:6">
      <c r="A270" s="18"/>
      <c r="B270" s="18"/>
      <c r="C270" s="19"/>
      <c r="D270" s="19"/>
      <c r="E270" s="19"/>
      <c r="F270" s="18"/>
    </row>
    <row r="271" spans="1:6">
      <c r="A271" s="18"/>
      <c r="B271" s="18"/>
      <c r="C271" s="19"/>
      <c r="D271" s="19"/>
      <c r="E271" s="19"/>
      <c r="F271" s="18"/>
    </row>
    <row r="272" spans="1:6">
      <c r="A272" s="18"/>
      <c r="B272" s="18"/>
      <c r="C272" s="19"/>
      <c r="D272" s="19"/>
      <c r="E272" s="19"/>
      <c r="F272" s="18"/>
    </row>
    <row r="273" spans="1:6">
      <c r="A273" s="18"/>
      <c r="B273" s="18"/>
      <c r="C273" s="19"/>
      <c r="D273" s="19"/>
      <c r="E273" s="19"/>
      <c r="F273" s="18"/>
    </row>
    <row r="274" spans="1:6">
      <c r="A274" s="18"/>
      <c r="B274" s="18"/>
      <c r="C274" s="19"/>
      <c r="D274" s="19"/>
      <c r="E274" s="19"/>
      <c r="F274" s="18"/>
    </row>
    <row r="275" spans="1:6">
      <c r="A275" s="18"/>
      <c r="B275" s="18"/>
      <c r="C275" s="19"/>
      <c r="D275" s="19"/>
      <c r="E275" s="19"/>
      <c r="F275" s="18"/>
    </row>
    <row r="276" spans="1:6">
      <c r="A276" s="18"/>
      <c r="B276" s="18"/>
      <c r="C276" s="19"/>
      <c r="D276" s="19"/>
      <c r="E276" s="19"/>
      <c r="F276" s="18"/>
    </row>
    <row r="277" spans="1:6">
      <c r="A277" s="18"/>
      <c r="B277" s="18"/>
      <c r="C277" s="19"/>
      <c r="D277" s="19"/>
      <c r="E277" s="19"/>
      <c r="F277" s="18"/>
    </row>
    <row r="278" spans="1:6">
      <c r="A278" s="18"/>
      <c r="B278" s="18"/>
      <c r="C278" s="19"/>
      <c r="D278" s="19"/>
      <c r="E278" s="19"/>
      <c r="F278" s="18"/>
    </row>
    <row r="279" spans="1:6">
      <c r="A279" s="18"/>
      <c r="B279" s="18"/>
      <c r="C279" s="19"/>
      <c r="D279" s="19"/>
      <c r="E279" s="19"/>
      <c r="F279" s="18"/>
    </row>
    <row r="280" spans="1:6">
      <c r="A280" s="18"/>
      <c r="B280" s="18"/>
      <c r="C280" s="19"/>
      <c r="D280" s="19"/>
      <c r="E280" s="19"/>
      <c r="F280" s="18"/>
    </row>
    <row r="281" spans="1:6">
      <c r="A281" s="18"/>
      <c r="B281" s="18"/>
      <c r="C281" s="19"/>
      <c r="D281" s="19"/>
      <c r="E281" s="19"/>
      <c r="F281" s="18"/>
    </row>
    <row r="282" spans="1:6">
      <c r="A282" s="18"/>
      <c r="B282" s="18"/>
      <c r="C282" s="19"/>
      <c r="D282" s="19"/>
      <c r="E282" s="19"/>
      <c r="F282" s="18"/>
    </row>
    <row r="283" spans="1:6">
      <c r="A283" s="18"/>
      <c r="B283" s="18"/>
      <c r="C283" s="19"/>
      <c r="D283" s="19"/>
      <c r="E283" s="19"/>
      <c r="F283" s="18"/>
    </row>
    <row r="284" spans="1:6">
      <c r="A284" s="18"/>
      <c r="B284" s="18"/>
      <c r="C284" s="19"/>
      <c r="D284" s="19"/>
      <c r="E284" s="19"/>
      <c r="F284" s="18"/>
    </row>
    <row r="285" spans="1:6">
      <c r="A285" s="18"/>
      <c r="B285" s="18"/>
      <c r="C285" s="19"/>
      <c r="D285" s="19"/>
      <c r="E285" s="19"/>
      <c r="F285" s="18"/>
    </row>
    <row r="286" spans="1:6">
      <c r="A286" s="18"/>
      <c r="B286" s="18"/>
      <c r="C286" s="19"/>
      <c r="D286" s="19"/>
      <c r="E286" s="19"/>
      <c r="F286" s="18"/>
    </row>
    <row r="287" spans="1:6">
      <c r="A287" s="18"/>
      <c r="B287" s="18"/>
      <c r="C287" s="19"/>
      <c r="D287" s="19"/>
      <c r="E287" s="19"/>
      <c r="F287" s="18"/>
    </row>
    <row r="288" spans="1:6">
      <c r="A288" s="18"/>
      <c r="B288" s="18"/>
      <c r="C288" s="19"/>
      <c r="D288" s="19"/>
      <c r="E288" s="19"/>
      <c r="F288" s="18"/>
    </row>
    <row r="289" spans="1:6">
      <c r="A289" s="18"/>
      <c r="B289" s="18"/>
      <c r="C289" s="19"/>
      <c r="D289" s="19"/>
      <c r="E289" s="19"/>
      <c r="F289" s="18"/>
    </row>
    <row r="290" spans="1:6">
      <c r="A290" s="18"/>
      <c r="B290" s="18"/>
      <c r="C290" s="19"/>
      <c r="D290" s="19"/>
      <c r="E290" s="19"/>
      <c r="F290" s="18"/>
    </row>
    <row r="291" spans="1:6">
      <c r="A291" s="18"/>
      <c r="B291" s="18"/>
      <c r="C291" s="19"/>
      <c r="D291" s="19"/>
      <c r="E291" s="19"/>
      <c r="F291" s="18"/>
    </row>
    <row r="292" spans="1:6">
      <c r="A292" s="18"/>
      <c r="B292" s="18"/>
      <c r="C292" s="19"/>
      <c r="D292" s="19"/>
      <c r="E292" s="19"/>
      <c r="F292" s="18"/>
    </row>
    <row r="293" spans="1:6">
      <c r="A293" s="18"/>
      <c r="B293" s="18"/>
      <c r="C293" s="19"/>
      <c r="D293" s="19"/>
      <c r="E293" s="19"/>
      <c r="F293" s="18"/>
    </row>
    <row r="294" spans="1:6">
      <c r="A294" s="18"/>
      <c r="B294" s="18"/>
      <c r="C294" s="19"/>
      <c r="D294" s="19"/>
      <c r="E294" s="19"/>
      <c r="F294" s="18"/>
    </row>
    <row r="295" spans="1:6">
      <c r="A295" s="18"/>
      <c r="B295" s="18"/>
      <c r="C295" s="19"/>
      <c r="D295" s="19"/>
      <c r="E295" s="19"/>
      <c r="F295" s="18"/>
    </row>
    <row r="296" spans="1:6">
      <c r="A296" s="18"/>
      <c r="B296" s="18"/>
      <c r="C296" s="19"/>
      <c r="D296" s="19"/>
      <c r="E296" s="19"/>
      <c r="F296" s="18"/>
    </row>
    <row r="297" spans="1:6">
      <c r="A297" s="18"/>
      <c r="B297" s="18"/>
      <c r="C297" s="19"/>
      <c r="D297" s="19"/>
      <c r="E297" s="19"/>
      <c r="F297" s="18"/>
    </row>
    <row r="298" spans="1:6">
      <c r="A298" s="18"/>
      <c r="B298" s="18"/>
      <c r="C298" s="19"/>
      <c r="D298" s="19"/>
      <c r="E298" s="19"/>
      <c r="F298" s="18"/>
    </row>
    <row r="299" spans="1:6">
      <c r="A299" s="18"/>
      <c r="B299" s="18"/>
      <c r="C299" s="19"/>
      <c r="D299" s="19"/>
      <c r="E299" s="19"/>
      <c r="F299" s="18"/>
    </row>
    <row r="300" spans="1:6">
      <c r="A300" s="18"/>
      <c r="B300" s="18"/>
      <c r="C300" s="19"/>
      <c r="D300" s="19"/>
      <c r="E300" s="19"/>
      <c r="F300" s="18"/>
    </row>
    <row r="301" spans="1:6">
      <c r="A301" s="18"/>
      <c r="B301" s="18"/>
      <c r="C301" s="19"/>
      <c r="D301" s="19"/>
      <c r="E301" s="19"/>
      <c r="F301" s="18"/>
    </row>
    <row r="302" spans="1:6">
      <c r="A302" s="18"/>
      <c r="B302" s="18"/>
      <c r="C302" s="19"/>
      <c r="D302" s="19"/>
      <c r="E302" s="19"/>
      <c r="F302" s="18"/>
    </row>
    <row r="303" spans="1:6">
      <c r="A303" s="18"/>
      <c r="B303" s="18"/>
      <c r="C303" s="19"/>
      <c r="D303" s="19"/>
      <c r="E303" s="19"/>
      <c r="F303" s="18"/>
    </row>
    <row r="304" spans="1:6">
      <c r="A304" s="18"/>
      <c r="B304" s="18"/>
      <c r="C304" s="19"/>
      <c r="D304" s="19"/>
      <c r="E304" s="19"/>
      <c r="F304" s="18"/>
    </row>
    <row r="305" spans="1:6">
      <c r="A305" s="18"/>
      <c r="B305" s="18"/>
      <c r="C305" s="19"/>
      <c r="D305" s="19"/>
      <c r="E305" s="19"/>
      <c r="F305" s="18"/>
    </row>
    <row r="306" spans="1:6">
      <c r="A306" s="18"/>
      <c r="B306" s="18"/>
      <c r="C306" s="19"/>
      <c r="D306" s="19"/>
      <c r="E306" s="19"/>
      <c r="F306" s="18"/>
    </row>
    <row r="307" spans="1:6">
      <c r="A307" s="18"/>
      <c r="B307" s="18"/>
      <c r="C307" s="19"/>
      <c r="D307" s="19"/>
      <c r="E307" s="19"/>
      <c r="F307" s="18"/>
    </row>
    <row r="308" spans="1:6">
      <c r="A308" s="18"/>
      <c r="B308" s="18"/>
      <c r="C308" s="19"/>
      <c r="D308" s="19"/>
      <c r="E308" s="19"/>
      <c r="F308" s="18"/>
    </row>
    <row r="309" spans="1:6">
      <c r="A309" s="18"/>
      <c r="B309" s="18"/>
      <c r="C309" s="19"/>
      <c r="D309" s="19"/>
      <c r="E309" s="19"/>
      <c r="F309" s="18"/>
    </row>
    <row r="310" spans="1:6">
      <c r="A310" s="18"/>
      <c r="B310" s="18"/>
      <c r="C310" s="19"/>
      <c r="D310" s="19"/>
      <c r="E310" s="19"/>
      <c r="F310" s="18"/>
    </row>
    <row r="311" spans="1:6">
      <c r="A311" s="18"/>
      <c r="B311" s="18"/>
      <c r="C311" s="19"/>
      <c r="D311" s="19"/>
      <c r="E311" s="19"/>
      <c r="F311" s="18"/>
    </row>
    <row r="312" spans="1:6">
      <c r="A312" s="18"/>
      <c r="B312" s="18"/>
      <c r="C312" s="19"/>
      <c r="D312" s="19"/>
      <c r="E312" s="19"/>
      <c r="F312" s="18"/>
    </row>
    <row r="313" spans="1:6">
      <c r="A313" s="18"/>
      <c r="B313" s="18"/>
      <c r="C313" s="19"/>
      <c r="D313" s="19"/>
      <c r="E313" s="19"/>
      <c r="F313" s="18"/>
    </row>
    <row r="314" spans="1:6">
      <c r="A314" s="18"/>
      <c r="B314" s="18"/>
      <c r="C314" s="19"/>
      <c r="D314" s="19"/>
      <c r="E314" s="19"/>
      <c r="F314" s="18"/>
    </row>
    <row r="315" spans="1:6">
      <c r="A315" s="18"/>
      <c r="B315" s="18"/>
      <c r="C315" s="19"/>
      <c r="D315" s="19"/>
      <c r="E315" s="19"/>
      <c r="F315" s="18"/>
    </row>
    <row r="316" spans="1:6">
      <c r="A316" s="18"/>
      <c r="B316" s="18"/>
      <c r="C316" s="19"/>
      <c r="D316" s="19"/>
      <c r="E316" s="19"/>
      <c r="F316" s="18"/>
    </row>
    <row r="317" spans="1:6">
      <c r="A317" s="18"/>
      <c r="B317" s="18"/>
      <c r="C317" s="19"/>
      <c r="D317" s="19"/>
      <c r="E317" s="19"/>
      <c r="F317" s="18"/>
    </row>
    <row r="318" spans="1:6">
      <c r="A318" s="18"/>
      <c r="B318" s="18"/>
      <c r="C318" s="19"/>
      <c r="D318" s="19"/>
      <c r="E318" s="19"/>
      <c r="F318" s="18"/>
    </row>
    <row r="319" spans="1:6">
      <c r="A319" s="18"/>
      <c r="B319" s="18"/>
      <c r="C319" s="19"/>
      <c r="D319" s="19"/>
      <c r="E319" s="19"/>
      <c r="F319" s="18"/>
    </row>
    <row r="320" spans="1:6">
      <c r="A320" s="18"/>
      <c r="B320" s="18"/>
      <c r="C320" s="19"/>
      <c r="D320" s="19"/>
      <c r="E320" s="19"/>
      <c r="F320" s="18"/>
    </row>
    <row r="321" spans="1:6">
      <c r="A321" s="18"/>
      <c r="B321" s="18"/>
      <c r="C321" s="19"/>
      <c r="D321" s="19"/>
      <c r="E321" s="19"/>
      <c r="F321" s="18"/>
    </row>
    <row r="322" spans="1:6">
      <c r="A322" s="18"/>
      <c r="B322" s="18"/>
      <c r="C322" s="19"/>
      <c r="D322" s="19"/>
      <c r="E322" s="19"/>
      <c r="F322" s="18"/>
    </row>
    <row r="323" spans="1:6">
      <c r="A323" s="18"/>
      <c r="B323" s="18"/>
      <c r="C323" s="19"/>
      <c r="D323" s="19"/>
      <c r="E323" s="19"/>
      <c r="F323" s="18"/>
    </row>
    <row r="324" spans="1:6">
      <c r="A324" s="18"/>
      <c r="B324" s="18"/>
      <c r="C324" s="19"/>
      <c r="D324" s="19"/>
      <c r="E324" s="19"/>
      <c r="F324" s="18"/>
    </row>
    <row r="325" spans="1:6">
      <c r="A325" s="18"/>
      <c r="B325" s="18"/>
      <c r="C325" s="19"/>
      <c r="D325" s="19"/>
      <c r="E325" s="19"/>
      <c r="F325" s="18"/>
    </row>
    <row r="326" spans="1:6">
      <c r="A326" s="18"/>
      <c r="B326" s="18"/>
      <c r="C326" s="19"/>
      <c r="D326" s="19"/>
      <c r="E326" s="19"/>
      <c r="F326" s="18"/>
    </row>
    <row r="327" spans="1:6">
      <c r="A327" s="18"/>
      <c r="B327" s="18"/>
      <c r="C327" s="19"/>
      <c r="D327" s="19"/>
      <c r="E327" s="19"/>
      <c r="F327" s="18"/>
    </row>
    <row r="328" spans="1:6">
      <c r="A328" s="18"/>
      <c r="B328" s="18"/>
      <c r="C328" s="19"/>
      <c r="D328" s="19"/>
      <c r="E328" s="19"/>
      <c r="F328" s="18"/>
    </row>
    <row r="329" spans="1:6">
      <c r="A329" s="18"/>
      <c r="B329" s="18"/>
      <c r="C329" s="19"/>
      <c r="D329" s="19"/>
      <c r="E329" s="19"/>
      <c r="F329" s="18"/>
    </row>
    <row r="330" spans="1:6">
      <c r="A330" s="18"/>
      <c r="B330" s="18"/>
      <c r="C330" s="19"/>
      <c r="D330" s="19"/>
      <c r="E330" s="19"/>
      <c r="F330" s="18"/>
    </row>
    <row r="331" spans="1:6">
      <c r="A331" s="18"/>
      <c r="B331" s="18"/>
      <c r="C331" s="19"/>
      <c r="D331" s="19"/>
      <c r="E331" s="19"/>
      <c r="F331" s="18"/>
    </row>
    <row r="332" spans="1:6">
      <c r="A332" s="18"/>
      <c r="B332" s="18"/>
      <c r="C332" s="19"/>
      <c r="D332" s="19"/>
      <c r="E332" s="19"/>
      <c r="F332" s="18"/>
    </row>
    <row r="333" spans="1:6">
      <c r="A333" s="18"/>
      <c r="B333" s="18"/>
      <c r="C333" s="19"/>
      <c r="D333" s="19"/>
      <c r="E333" s="19"/>
      <c r="F333" s="18"/>
    </row>
    <row r="334" spans="1:6">
      <c r="A334" s="18"/>
      <c r="B334" s="18"/>
      <c r="C334" s="19"/>
      <c r="D334" s="19"/>
      <c r="E334" s="19"/>
      <c r="F334" s="18"/>
    </row>
    <row r="335" spans="1:6">
      <c r="A335" s="18"/>
      <c r="B335" s="18"/>
      <c r="C335" s="19"/>
      <c r="D335" s="19"/>
      <c r="E335" s="19"/>
      <c r="F335" s="18"/>
    </row>
    <row r="336" spans="1:6">
      <c r="A336" s="18"/>
      <c r="B336" s="18"/>
      <c r="C336" s="19"/>
      <c r="D336" s="19"/>
      <c r="E336" s="19"/>
      <c r="F336" s="18"/>
    </row>
    <row r="337" spans="1:6">
      <c r="A337" s="18"/>
      <c r="B337" s="18"/>
      <c r="C337" s="19"/>
      <c r="D337" s="19"/>
      <c r="E337" s="19"/>
      <c r="F337" s="18"/>
    </row>
    <row r="338" spans="1:6">
      <c r="A338" s="18"/>
      <c r="B338" s="18"/>
      <c r="C338" s="19"/>
      <c r="D338" s="19"/>
      <c r="E338" s="19"/>
      <c r="F338" s="18"/>
    </row>
    <row r="339" spans="1:6">
      <c r="A339" s="18"/>
      <c r="B339" s="18"/>
      <c r="C339" s="19"/>
      <c r="D339" s="19"/>
      <c r="E339" s="19"/>
      <c r="F339" s="18"/>
    </row>
    <row r="340" spans="1:6">
      <c r="A340" s="18"/>
      <c r="B340" s="18"/>
      <c r="C340" s="19"/>
      <c r="D340" s="19"/>
      <c r="E340" s="19"/>
      <c r="F340" s="18"/>
    </row>
    <row r="341" spans="1:6">
      <c r="A341" s="18"/>
      <c r="B341" s="18"/>
      <c r="C341" s="19"/>
      <c r="D341" s="19"/>
      <c r="E341" s="19"/>
      <c r="F341" s="18"/>
    </row>
    <row r="342" spans="1:6">
      <c r="A342" s="18"/>
      <c r="B342" s="18"/>
      <c r="C342" s="19"/>
      <c r="D342" s="19"/>
      <c r="E342" s="19"/>
      <c r="F342" s="18"/>
    </row>
    <row r="343" spans="1:6">
      <c r="A343" s="18"/>
      <c r="B343" s="18"/>
      <c r="C343" s="19"/>
      <c r="D343" s="19"/>
      <c r="E343" s="19"/>
      <c r="F343" s="18"/>
    </row>
    <row r="344" spans="1:6">
      <c r="A344" s="18"/>
      <c r="B344" s="18"/>
      <c r="C344" s="19"/>
      <c r="D344" s="19"/>
      <c r="E344" s="19"/>
      <c r="F344" s="18"/>
    </row>
    <row r="345" spans="1:6">
      <c r="A345" s="18"/>
      <c r="B345" s="18"/>
      <c r="C345" s="19"/>
      <c r="D345" s="19"/>
      <c r="E345" s="19"/>
      <c r="F345" s="18"/>
    </row>
    <row r="346" spans="1:6">
      <c r="A346" s="18"/>
      <c r="B346" s="18"/>
      <c r="C346" s="19"/>
      <c r="D346" s="19"/>
      <c r="E346" s="19"/>
      <c r="F346" s="18"/>
    </row>
    <row r="347" spans="1:6">
      <c r="A347" s="18"/>
      <c r="B347" s="18"/>
      <c r="C347" s="19"/>
      <c r="D347" s="19"/>
      <c r="E347" s="19"/>
      <c r="F347" s="18"/>
    </row>
    <row r="348" spans="1:6">
      <c r="A348" s="18"/>
      <c r="B348" s="18"/>
      <c r="C348" s="19"/>
      <c r="D348" s="19"/>
      <c r="E348" s="19"/>
      <c r="F348" s="18"/>
    </row>
    <row r="349" spans="1:6">
      <c r="A349" s="18"/>
      <c r="B349" s="18"/>
      <c r="C349" s="19"/>
      <c r="D349" s="19"/>
      <c r="E349" s="19"/>
      <c r="F349" s="18"/>
    </row>
    <row r="350" spans="1:6">
      <c r="A350" s="18"/>
      <c r="B350" s="18"/>
      <c r="C350" s="19"/>
      <c r="D350" s="19"/>
      <c r="E350" s="19"/>
      <c r="F350" s="18"/>
    </row>
    <row r="351" spans="1:6">
      <c r="A351" s="18"/>
      <c r="B351" s="18"/>
      <c r="C351" s="19"/>
      <c r="D351" s="19"/>
      <c r="E351" s="19"/>
      <c r="F351" s="18"/>
    </row>
    <row r="352" spans="1:6">
      <c r="A352" s="18"/>
      <c r="B352" s="18"/>
      <c r="C352" s="19"/>
      <c r="D352" s="19"/>
      <c r="E352" s="19"/>
      <c r="F352" s="18"/>
    </row>
    <row r="353" spans="1:6">
      <c r="A353" s="18"/>
      <c r="B353" s="18"/>
      <c r="C353" s="19"/>
      <c r="D353" s="19"/>
      <c r="E353" s="19"/>
      <c r="F353" s="18"/>
    </row>
    <row r="354" spans="1:6">
      <c r="A354" s="18"/>
      <c r="B354" s="18"/>
      <c r="C354" s="19"/>
      <c r="D354" s="19"/>
      <c r="E354" s="19"/>
      <c r="F354" s="18"/>
    </row>
    <row r="355" spans="1:6">
      <c r="A355" s="18"/>
      <c r="B355" s="18"/>
      <c r="C355" s="19"/>
      <c r="D355" s="19"/>
      <c r="E355" s="19"/>
      <c r="F355" s="18"/>
    </row>
    <row r="356" spans="1:6">
      <c r="A356" s="18"/>
      <c r="B356" s="18"/>
      <c r="C356" s="19"/>
      <c r="D356" s="19"/>
      <c r="E356" s="19"/>
      <c r="F356" s="18"/>
    </row>
    <row r="357" spans="1:6">
      <c r="A357" s="18"/>
      <c r="B357" s="18"/>
      <c r="C357" s="19"/>
      <c r="D357" s="19"/>
      <c r="E357" s="19"/>
      <c r="F357" s="18"/>
    </row>
    <row r="358" spans="1:6">
      <c r="A358" s="18"/>
      <c r="B358" s="18"/>
      <c r="C358" s="19"/>
      <c r="D358" s="19"/>
      <c r="E358" s="19"/>
      <c r="F358" s="18"/>
    </row>
    <row r="359" spans="1:6">
      <c r="A359" s="18"/>
      <c r="B359" s="18"/>
      <c r="C359" s="19"/>
      <c r="D359" s="19"/>
      <c r="E359" s="19"/>
      <c r="F359" s="18"/>
    </row>
    <row r="360" spans="1:6">
      <c r="A360" s="18"/>
      <c r="B360" s="18"/>
      <c r="C360" s="19"/>
      <c r="D360" s="19"/>
      <c r="E360" s="19"/>
      <c r="F360" s="18"/>
    </row>
    <row r="361" spans="1:6">
      <c r="A361" s="18"/>
      <c r="B361" s="18"/>
      <c r="C361" s="19"/>
      <c r="D361" s="19"/>
      <c r="E361" s="19"/>
      <c r="F361" s="18"/>
    </row>
    <row r="362" spans="1:6">
      <c r="A362" s="18"/>
      <c r="B362" s="18"/>
      <c r="C362" s="19"/>
      <c r="D362" s="19"/>
      <c r="E362" s="19"/>
      <c r="F362" s="18"/>
    </row>
    <row r="363" spans="1:6">
      <c r="A363" s="18"/>
      <c r="B363" s="18"/>
      <c r="C363" s="19"/>
      <c r="D363" s="19"/>
      <c r="E363" s="19"/>
      <c r="F363" s="18"/>
    </row>
    <row r="364" spans="1:6">
      <c r="A364" s="18"/>
      <c r="B364" s="18"/>
      <c r="C364" s="19"/>
      <c r="D364" s="19"/>
      <c r="E364" s="19"/>
      <c r="F364" s="18"/>
    </row>
    <row r="365" spans="1:6">
      <c r="A365" s="18"/>
      <c r="B365" s="18"/>
      <c r="C365" s="19"/>
      <c r="D365" s="19"/>
      <c r="E365" s="19"/>
      <c r="F365" s="18"/>
    </row>
    <row r="366" spans="1:6">
      <c r="A366" s="18"/>
      <c r="B366" s="18"/>
      <c r="C366" s="19"/>
      <c r="D366" s="19"/>
      <c r="E366" s="19"/>
      <c r="F366" s="18"/>
    </row>
    <row r="367" spans="1:6">
      <c r="A367" s="18"/>
      <c r="B367" s="18"/>
      <c r="C367" s="19"/>
      <c r="D367" s="19"/>
      <c r="E367" s="19"/>
      <c r="F367" s="18"/>
    </row>
    <row r="368" spans="1:6">
      <c r="A368" s="18"/>
      <c r="B368" s="18"/>
      <c r="C368" s="19"/>
      <c r="D368" s="19"/>
      <c r="E368" s="19"/>
      <c r="F368" s="18"/>
    </row>
    <row r="369" spans="1:6">
      <c r="A369" s="18"/>
      <c r="B369" s="18"/>
      <c r="C369" s="19"/>
      <c r="D369" s="19"/>
      <c r="E369" s="19"/>
      <c r="F369" s="18"/>
    </row>
    <row r="370" spans="1:6">
      <c r="A370" s="18"/>
      <c r="B370" s="18"/>
      <c r="C370" s="19"/>
      <c r="D370" s="19"/>
      <c r="E370" s="19"/>
      <c r="F370" s="18"/>
    </row>
    <row r="371" spans="1:6">
      <c r="A371" s="18"/>
      <c r="B371" s="18"/>
      <c r="C371" s="19"/>
      <c r="D371" s="19"/>
      <c r="E371" s="19"/>
      <c r="F371" s="18"/>
    </row>
    <row r="372" spans="1:6">
      <c r="A372" s="18"/>
      <c r="B372" s="18"/>
      <c r="C372" s="19"/>
      <c r="D372" s="19"/>
      <c r="E372" s="19"/>
      <c r="F372" s="18"/>
    </row>
    <row r="373" spans="1:6">
      <c r="A373" s="18"/>
      <c r="B373" s="18"/>
      <c r="C373" s="19"/>
      <c r="D373" s="19"/>
      <c r="E373" s="19"/>
      <c r="F373" s="18"/>
    </row>
    <row r="374" spans="1:6">
      <c r="A374" s="18"/>
      <c r="B374" s="18"/>
      <c r="C374" s="19"/>
      <c r="D374" s="19"/>
      <c r="E374" s="19"/>
      <c r="F374" s="18"/>
    </row>
    <row r="375" spans="1:6">
      <c r="A375" s="18"/>
      <c r="B375" s="18"/>
      <c r="C375" s="19"/>
      <c r="D375" s="19"/>
      <c r="E375" s="19"/>
      <c r="F375" s="18"/>
    </row>
    <row r="376" spans="1:6">
      <c r="A376" s="18"/>
      <c r="B376" s="18"/>
      <c r="C376" s="19"/>
      <c r="D376" s="19"/>
      <c r="E376" s="19"/>
      <c r="F376" s="18"/>
    </row>
    <row r="377" spans="1:6">
      <c r="A377" s="18"/>
      <c r="B377" s="18"/>
      <c r="C377" s="19"/>
      <c r="D377" s="19"/>
      <c r="E377" s="19"/>
      <c r="F377" s="18"/>
    </row>
    <row r="378" spans="1:6">
      <c r="A378" s="18"/>
      <c r="B378" s="18"/>
      <c r="C378" s="19"/>
      <c r="D378" s="19"/>
      <c r="E378" s="19"/>
      <c r="F378" s="18"/>
    </row>
    <row r="379" spans="1:6">
      <c r="A379" s="18"/>
      <c r="B379" s="18"/>
      <c r="C379" s="19"/>
      <c r="D379" s="19"/>
      <c r="E379" s="19"/>
      <c r="F379" s="18"/>
    </row>
    <row r="380" spans="1:6">
      <c r="A380" s="18"/>
      <c r="B380" s="18"/>
      <c r="C380" s="19"/>
      <c r="D380" s="19"/>
      <c r="E380" s="19"/>
      <c r="F380" s="18"/>
    </row>
    <row r="381" spans="1:6">
      <c r="A381" s="18"/>
      <c r="B381" s="18"/>
      <c r="C381" s="19"/>
      <c r="D381" s="19"/>
      <c r="E381" s="19"/>
      <c r="F381" s="18"/>
    </row>
    <row r="382" spans="1:6">
      <c r="A382" s="18"/>
      <c r="B382" s="18"/>
      <c r="C382" s="19"/>
      <c r="D382" s="19"/>
      <c r="E382" s="19"/>
      <c r="F382" s="18"/>
    </row>
    <row r="383" spans="1:6">
      <c r="A383" s="18"/>
      <c r="B383" s="18"/>
      <c r="C383" s="19"/>
      <c r="D383" s="19"/>
      <c r="E383" s="19"/>
      <c r="F383" s="18"/>
    </row>
    <row r="384" spans="1:6">
      <c r="A384" s="18"/>
      <c r="B384" s="18"/>
      <c r="C384" s="19"/>
      <c r="D384" s="19"/>
      <c r="E384" s="19"/>
      <c r="F384" s="18"/>
    </row>
    <row r="385" spans="1:6">
      <c r="A385" s="18"/>
      <c r="B385" s="18"/>
      <c r="C385" s="19"/>
      <c r="D385" s="19"/>
      <c r="E385" s="19"/>
      <c r="F385" s="18"/>
    </row>
    <row r="386" spans="1:6">
      <c r="A386" s="18"/>
      <c r="B386" s="18"/>
      <c r="C386" s="19"/>
      <c r="D386" s="19"/>
      <c r="E386" s="19"/>
      <c r="F386" s="18"/>
    </row>
    <row r="387" spans="1:6">
      <c r="A387" s="18"/>
      <c r="B387" s="18"/>
      <c r="C387" s="19"/>
      <c r="D387" s="19"/>
      <c r="E387" s="19"/>
      <c r="F387" s="18"/>
    </row>
    <row r="388" spans="1:6">
      <c r="A388" s="18"/>
      <c r="B388" s="18"/>
      <c r="C388" s="19"/>
      <c r="D388" s="19"/>
      <c r="E388" s="19"/>
      <c r="F388" s="18"/>
    </row>
    <row r="389" spans="1:6">
      <c r="A389" s="18"/>
      <c r="B389" s="18"/>
      <c r="C389" s="19"/>
      <c r="D389" s="19"/>
      <c r="E389" s="19"/>
      <c r="F389" s="18"/>
    </row>
    <row r="390" spans="1:6">
      <c r="A390" s="18"/>
      <c r="B390" s="18"/>
      <c r="C390" s="19"/>
      <c r="D390" s="19"/>
      <c r="E390" s="19"/>
      <c r="F390" s="18"/>
    </row>
    <row r="391" spans="1:6">
      <c r="A391" s="18"/>
      <c r="B391" s="18"/>
      <c r="C391" s="19"/>
      <c r="D391" s="19"/>
      <c r="E391" s="19"/>
      <c r="F391" s="18"/>
    </row>
    <row r="392" spans="1:6">
      <c r="A392" s="18"/>
      <c r="B392" s="18"/>
      <c r="C392" s="19"/>
      <c r="D392" s="19"/>
      <c r="E392" s="19"/>
      <c r="F392" s="18"/>
    </row>
    <row r="393" spans="1:6">
      <c r="A393" s="18"/>
      <c r="B393" s="18"/>
      <c r="C393" s="19"/>
      <c r="D393" s="19"/>
      <c r="E393" s="19"/>
      <c r="F393" s="18"/>
    </row>
    <row r="394" spans="1:6">
      <c r="A394" s="18"/>
      <c r="B394" s="18"/>
      <c r="C394" s="19"/>
      <c r="D394" s="19"/>
      <c r="E394" s="19"/>
      <c r="F394" s="18"/>
    </row>
    <row r="395" spans="1:6">
      <c r="A395" s="18"/>
      <c r="B395" s="18"/>
      <c r="C395" s="19"/>
      <c r="D395" s="19"/>
      <c r="E395" s="19"/>
      <c r="F395" s="18"/>
    </row>
    <row r="396" spans="1:6">
      <c r="A396" s="18"/>
      <c r="B396" s="18"/>
      <c r="C396" s="19"/>
      <c r="D396" s="19"/>
      <c r="E396" s="19"/>
      <c r="F396" s="18"/>
    </row>
    <row r="397" spans="1:6">
      <c r="A397" s="18"/>
      <c r="B397" s="18"/>
      <c r="C397" s="19"/>
      <c r="D397" s="19"/>
      <c r="E397" s="19"/>
      <c r="F397" s="18"/>
    </row>
    <row r="398" spans="1:6">
      <c r="A398" s="18"/>
      <c r="B398" s="18"/>
      <c r="C398" s="19"/>
      <c r="D398" s="19"/>
      <c r="E398" s="19"/>
      <c r="F398" s="18"/>
    </row>
    <row r="399" spans="1:6">
      <c r="A399" s="18"/>
      <c r="B399" s="18"/>
      <c r="C399" s="19"/>
      <c r="D399" s="19"/>
      <c r="E399" s="19"/>
      <c r="F399" s="18"/>
    </row>
    <row r="400" spans="1:6">
      <c r="A400" s="18"/>
      <c r="B400" s="18"/>
      <c r="C400" s="19"/>
      <c r="D400" s="19"/>
      <c r="E400" s="19"/>
      <c r="F400" s="18"/>
    </row>
    <row r="401" spans="1:6">
      <c r="A401" s="18"/>
      <c r="B401" s="18"/>
      <c r="C401" s="19"/>
      <c r="D401" s="19"/>
      <c r="E401" s="19"/>
      <c r="F401" s="18"/>
    </row>
    <row r="402" spans="1:6">
      <c r="A402" s="18"/>
      <c r="B402" s="18"/>
      <c r="C402" s="19"/>
      <c r="D402" s="19"/>
      <c r="E402" s="19"/>
      <c r="F402" s="18"/>
    </row>
    <row r="403" spans="1:6">
      <c r="A403" s="18"/>
      <c r="B403" s="18"/>
      <c r="C403" s="19"/>
      <c r="D403" s="19"/>
      <c r="E403" s="19"/>
      <c r="F403" s="18"/>
    </row>
    <row r="404" spans="1:6">
      <c r="A404" s="18"/>
      <c r="B404" s="18"/>
      <c r="C404" s="19"/>
      <c r="D404" s="19"/>
      <c r="E404" s="19"/>
      <c r="F404" s="18"/>
    </row>
    <row r="405" spans="1:6">
      <c r="A405" s="18"/>
      <c r="B405" s="18"/>
      <c r="C405" s="19"/>
      <c r="D405" s="19"/>
      <c r="E405" s="19"/>
      <c r="F405" s="18"/>
    </row>
    <row r="406" spans="1:6">
      <c r="A406" s="18"/>
      <c r="B406" s="18"/>
      <c r="C406" s="19"/>
      <c r="D406" s="19"/>
      <c r="E406" s="19"/>
      <c r="F406" s="18"/>
    </row>
    <row r="407" spans="1:6">
      <c r="A407" s="18"/>
      <c r="B407" s="18"/>
      <c r="C407" s="19"/>
      <c r="D407" s="19"/>
      <c r="E407" s="19"/>
      <c r="F407" s="18"/>
    </row>
    <row r="408" spans="1:6">
      <c r="A408" s="18"/>
      <c r="B408" s="18"/>
      <c r="C408" s="19"/>
      <c r="D408" s="19"/>
      <c r="E408" s="19"/>
      <c r="F408" s="18"/>
    </row>
    <row r="409" spans="1:6">
      <c r="A409" s="18"/>
      <c r="B409" s="18"/>
      <c r="C409" s="19"/>
      <c r="D409" s="19"/>
      <c r="E409" s="19"/>
      <c r="F409" s="18"/>
    </row>
    <row r="410" spans="1:6">
      <c r="A410" s="18"/>
      <c r="B410" s="18"/>
      <c r="C410" s="19"/>
      <c r="D410" s="19"/>
      <c r="E410" s="19"/>
      <c r="F410" s="18"/>
    </row>
    <row r="411" spans="1:6">
      <c r="A411" s="18"/>
      <c r="B411" s="18"/>
      <c r="C411" s="19"/>
      <c r="D411" s="19"/>
      <c r="E411" s="19"/>
      <c r="F411" s="18"/>
    </row>
    <row r="412" spans="1:6">
      <c r="A412" s="18"/>
      <c r="B412" s="18"/>
      <c r="C412" s="19"/>
      <c r="D412" s="19"/>
      <c r="E412" s="19"/>
      <c r="F412" s="18"/>
    </row>
    <row r="413" spans="1:6">
      <c r="A413" s="18"/>
      <c r="B413" s="18"/>
      <c r="C413" s="19"/>
      <c r="D413" s="19"/>
      <c r="E413" s="19"/>
      <c r="F413" s="18"/>
    </row>
    <row r="414" spans="1:6">
      <c r="A414" s="18"/>
      <c r="B414" s="18"/>
      <c r="C414" s="19"/>
      <c r="D414" s="19"/>
      <c r="E414" s="19"/>
      <c r="F414" s="18"/>
    </row>
    <row r="415" spans="1:6">
      <c r="A415" s="18"/>
      <c r="B415" s="18"/>
      <c r="C415" s="19"/>
      <c r="D415" s="19"/>
      <c r="E415" s="19"/>
      <c r="F415" s="18"/>
    </row>
    <row r="416" spans="1:6">
      <c r="A416" s="18"/>
      <c r="B416" s="18"/>
      <c r="C416" s="19"/>
      <c r="D416" s="19"/>
      <c r="E416" s="19"/>
      <c r="F416" s="18"/>
    </row>
    <row r="417" spans="1:6">
      <c r="A417" s="18"/>
      <c r="B417" s="18"/>
      <c r="C417" s="19"/>
      <c r="D417" s="19"/>
      <c r="E417" s="19"/>
      <c r="F417" s="18"/>
    </row>
    <row r="418" spans="1:6">
      <c r="A418" s="18"/>
      <c r="B418" s="18"/>
      <c r="C418" s="19"/>
      <c r="D418" s="19"/>
      <c r="E418" s="19"/>
      <c r="F418" s="18"/>
    </row>
    <row r="419" spans="1:6">
      <c r="A419" s="18"/>
      <c r="B419" s="18"/>
      <c r="C419" s="19"/>
      <c r="D419" s="19"/>
      <c r="E419" s="19"/>
      <c r="F419" s="18"/>
    </row>
    <row r="420" spans="1:6">
      <c r="A420" s="18"/>
      <c r="B420" s="18"/>
      <c r="C420" s="19"/>
      <c r="D420" s="19"/>
      <c r="E420" s="19"/>
      <c r="F420" s="18"/>
    </row>
    <row r="421" spans="1:6">
      <c r="A421" s="18"/>
      <c r="B421" s="18"/>
      <c r="C421" s="19"/>
      <c r="D421" s="19"/>
      <c r="E421" s="19"/>
      <c r="F421" s="18"/>
    </row>
    <row r="422" spans="1:6">
      <c r="A422" s="18"/>
      <c r="B422" s="18"/>
      <c r="C422" s="19"/>
      <c r="D422" s="19"/>
      <c r="E422" s="19"/>
      <c r="F422" s="18"/>
    </row>
    <row r="423" spans="1:6">
      <c r="A423" s="18"/>
      <c r="B423" s="18"/>
      <c r="C423" s="19"/>
      <c r="D423" s="19"/>
      <c r="E423" s="19"/>
      <c r="F423" s="18"/>
    </row>
    <row r="424" spans="1:6">
      <c r="A424" s="18"/>
      <c r="B424" s="18"/>
      <c r="C424" s="19"/>
      <c r="D424" s="19"/>
      <c r="E424" s="19"/>
      <c r="F424" s="18"/>
    </row>
    <row r="425" spans="1:6">
      <c r="A425" s="18"/>
      <c r="B425" s="18"/>
      <c r="C425" s="19"/>
      <c r="D425" s="19"/>
      <c r="E425" s="19"/>
      <c r="F425" s="18"/>
    </row>
    <row r="426" spans="1:6">
      <c r="A426" s="18"/>
      <c r="B426" s="18"/>
      <c r="C426" s="19"/>
      <c r="D426" s="19"/>
      <c r="E426" s="19"/>
      <c r="F426" s="18"/>
    </row>
    <row r="427" spans="1:6">
      <c r="A427" s="18"/>
      <c r="B427" s="18"/>
      <c r="C427" s="19"/>
      <c r="D427" s="19"/>
      <c r="E427" s="19"/>
      <c r="F427" s="18"/>
    </row>
    <row r="428" spans="1:6">
      <c r="A428" s="18"/>
      <c r="B428" s="18"/>
      <c r="C428" s="19"/>
      <c r="D428" s="19"/>
      <c r="E428" s="19"/>
      <c r="F428" s="18"/>
    </row>
    <row r="429" spans="1:6">
      <c r="A429" s="18"/>
      <c r="B429" s="18"/>
      <c r="C429" s="19"/>
      <c r="D429" s="19"/>
      <c r="E429" s="19"/>
      <c r="F429" s="18"/>
    </row>
    <row r="430" spans="1:6">
      <c r="A430" s="18"/>
      <c r="B430" s="18"/>
      <c r="C430" s="19"/>
      <c r="D430" s="19"/>
      <c r="E430" s="19"/>
      <c r="F430" s="18"/>
    </row>
    <row r="431" spans="1:6">
      <c r="A431" s="18"/>
      <c r="B431" s="18"/>
      <c r="C431" s="19"/>
      <c r="D431" s="19"/>
      <c r="E431" s="19"/>
      <c r="F431" s="18"/>
    </row>
    <row r="432" spans="1:6">
      <c r="A432" s="18"/>
      <c r="B432" s="18"/>
      <c r="C432" s="19"/>
      <c r="D432" s="19"/>
      <c r="E432" s="19"/>
      <c r="F432" s="18"/>
    </row>
    <row r="433" spans="1:6">
      <c r="A433" s="18"/>
      <c r="B433" s="18"/>
      <c r="C433" s="19"/>
      <c r="D433" s="19"/>
      <c r="E433" s="19"/>
      <c r="F433" s="18"/>
    </row>
    <row r="434" spans="1:6">
      <c r="A434" s="18"/>
      <c r="B434" s="18"/>
      <c r="C434" s="19"/>
      <c r="D434" s="19"/>
      <c r="E434" s="19"/>
      <c r="F434" s="18"/>
    </row>
    <row r="435" spans="1:6">
      <c r="A435" s="18"/>
      <c r="B435" s="18"/>
      <c r="C435" s="19"/>
      <c r="D435" s="19"/>
      <c r="E435" s="19"/>
      <c r="F435" s="18"/>
    </row>
    <row r="436" spans="1:6">
      <c r="A436" s="18"/>
      <c r="B436" s="18"/>
      <c r="C436" s="19"/>
      <c r="D436" s="19"/>
      <c r="E436" s="19"/>
      <c r="F436" s="18"/>
    </row>
    <row r="437" spans="1:6">
      <c r="A437" s="18"/>
      <c r="B437" s="18"/>
      <c r="C437" s="19"/>
      <c r="D437" s="19"/>
      <c r="E437" s="19"/>
      <c r="F437" s="18"/>
    </row>
    <row r="438" spans="1:6">
      <c r="A438" s="18"/>
      <c r="B438" s="18"/>
      <c r="C438" s="19"/>
      <c r="D438" s="19"/>
      <c r="E438" s="19"/>
      <c r="F438" s="18"/>
    </row>
    <row r="439" spans="1:6">
      <c r="A439" s="18"/>
      <c r="B439" s="18"/>
      <c r="C439" s="19"/>
      <c r="D439" s="19"/>
      <c r="E439" s="19"/>
      <c r="F439" s="18"/>
    </row>
    <row r="440" spans="1:6">
      <c r="A440" s="18"/>
      <c r="B440" s="18"/>
      <c r="C440" s="19"/>
      <c r="D440" s="19"/>
      <c r="E440" s="19"/>
      <c r="F440" s="18"/>
    </row>
    <row r="441" spans="1:6">
      <c r="A441" s="18"/>
      <c r="B441" s="18"/>
      <c r="C441" s="19"/>
      <c r="D441" s="19"/>
      <c r="E441" s="19"/>
      <c r="F441" s="18"/>
    </row>
    <row r="442" spans="1:6">
      <c r="A442" s="18"/>
      <c r="B442" s="18"/>
      <c r="C442" s="19"/>
      <c r="D442" s="19"/>
      <c r="E442" s="19"/>
      <c r="F442" s="18"/>
    </row>
    <row r="443" spans="1:6">
      <c r="A443" s="18"/>
      <c r="B443" s="18"/>
      <c r="C443" s="19"/>
      <c r="D443" s="19"/>
      <c r="E443" s="19"/>
      <c r="F443" s="18"/>
    </row>
    <row r="444" spans="1:6">
      <c r="A444" s="18"/>
      <c r="B444" s="18"/>
      <c r="C444" s="19"/>
      <c r="D444" s="19"/>
      <c r="E444" s="19"/>
      <c r="F444" s="18"/>
    </row>
    <row r="445" spans="1:6">
      <c r="A445" s="18"/>
      <c r="B445" s="18"/>
      <c r="C445" s="19"/>
      <c r="D445" s="19"/>
      <c r="E445" s="19"/>
      <c r="F445" s="18"/>
    </row>
    <row r="446" spans="1:6">
      <c r="A446" s="18"/>
      <c r="B446" s="18"/>
      <c r="C446" s="19"/>
      <c r="D446" s="19"/>
      <c r="E446" s="19"/>
      <c r="F446" s="18"/>
    </row>
    <row r="447" spans="1:6">
      <c r="A447" s="18"/>
      <c r="B447" s="18"/>
      <c r="C447" s="19"/>
      <c r="D447" s="19"/>
      <c r="E447" s="19"/>
      <c r="F447" s="18"/>
    </row>
    <row r="448" spans="1:6">
      <c r="A448" s="18"/>
      <c r="B448" s="18"/>
      <c r="C448" s="19"/>
      <c r="D448" s="19"/>
      <c r="E448" s="19"/>
      <c r="F448" s="18"/>
    </row>
    <row r="449" spans="1:6">
      <c r="A449" s="18"/>
      <c r="B449" s="18"/>
      <c r="C449" s="19"/>
      <c r="D449" s="19"/>
      <c r="E449" s="19"/>
      <c r="F449" s="18"/>
    </row>
    <row r="450" spans="1:6">
      <c r="A450" s="18"/>
      <c r="B450" s="18"/>
      <c r="C450" s="19"/>
      <c r="D450" s="19"/>
      <c r="E450" s="19"/>
      <c r="F450" s="18"/>
    </row>
    <row r="451" spans="1:6">
      <c r="A451" s="18"/>
      <c r="B451" s="18"/>
      <c r="C451" s="19"/>
      <c r="D451" s="19"/>
      <c r="E451" s="19"/>
      <c r="F451" s="18"/>
    </row>
    <row r="452" spans="1:6">
      <c r="A452" s="18"/>
      <c r="B452" s="18"/>
      <c r="C452" s="19"/>
      <c r="D452" s="19"/>
      <c r="E452" s="19"/>
      <c r="F452" s="18"/>
    </row>
    <row r="453" spans="1:6">
      <c r="A453" s="18"/>
      <c r="B453" s="18"/>
      <c r="C453" s="19"/>
      <c r="D453" s="19"/>
      <c r="E453" s="19"/>
      <c r="F453" s="18"/>
    </row>
    <row r="454" spans="1:6">
      <c r="A454" s="18"/>
      <c r="B454" s="18"/>
      <c r="C454" s="19"/>
      <c r="D454" s="19"/>
      <c r="E454" s="19"/>
      <c r="F454" s="18"/>
    </row>
    <row r="455" spans="1:6">
      <c r="A455" s="18"/>
      <c r="B455" s="18"/>
      <c r="C455" s="19"/>
      <c r="D455" s="19"/>
      <c r="E455" s="19"/>
      <c r="F455" s="18"/>
    </row>
    <row r="456" spans="1:6">
      <c r="A456" s="18"/>
      <c r="B456" s="18"/>
      <c r="C456" s="19"/>
      <c r="D456" s="19"/>
      <c r="E456" s="19"/>
      <c r="F456" s="18"/>
    </row>
    <row r="457" spans="1:6">
      <c r="A457" s="18"/>
      <c r="B457" s="18"/>
      <c r="C457" s="19"/>
      <c r="D457" s="19"/>
      <c r="E457" s="19"/>
      <c r="F457" s="18"/>
    </row>
    <row r="458" spans="1:6">
      <c r="A458" s="18"/>
      <c r="B458" s="18"/>
      <c r="C458" s="19"/>
      <c r="D458" s="19"/>
      <c r="E458" s="19"/>
      <c r="F458" s="18"/>
    </row>
    <row r="459" spans="1:6">
      <c r="A459" s="18"/>
      <c r="B459" s="18"/>
      <c r="C459" s="19"/>
      <c r="D459" s="19"/>
      <c r="E459" s="19"/>
      <c r="F459" s="18"/>
    </row>
    <row r="460" spans="1:6">
      <c r="A460" s="18"/>
      <c r="B460" s="18"/>
      <c r="C460" s="19"/>
      <c r="D460" s="19"/>
      <c r="E460" s="19"/>
      <c r="F460" s="18"/>
    </row>
    <row r="461" spans="1:6">
      <c r="A461" s="18"/>
      <c r="B461" s="18"/>
      <c r="C461" s="19"/>
      <c r="D461" s="19"/>
      <c r="E461" s="19"/>
      <c r="F461" s="18"/>
    </row>
    <row r="462" spans="1:6">
      <c r="A462" s="18"/>
      <c r="B462" s="18"/>
      <c r="C462" s="19"/>
      <c r="D462" s="19"/>
      <c r="E462" s="19"/>
      <c r="F462" s="18"/>
    </row>
    <row r="463" spans="1:6">
      <c r="A463" s="18"/>
      <c r="B463" s="18"/>
      <c r="C463" s="19"/>
      <c r="D463" s="19"/>
      <c r="E463" s="19"/>
      <c r="F463" s="18"/>
    </row>
    <row r="464" spans="1:6">
      <c r="A464" s="18"/>
      <c r="B464" s="18"/>
      <c r="C464" s="19"/>
      <c r="D464" s="19"/>
      <c r="E464" s="19"/>
      <c r="F464" s="18"/>
    </row>
    <row r="465" spans="1:6">
      <c r="A465" s="18"/>
      <c r="B465" s="18"/>
      <c r="C465" s="19"/>
      <c r="D465" s="19"/>
      <c r="E465" s="19"/>
      <c r="F465" s="18"/>
    </row>
    <row r="466" spans="1:6">
      <c r="A466" s="18"/>
      <c r="B466" s="18"/>
      <c r="C466" s="19"/>
      <c r="D466" s="19"/>
      <c r="E466" s="19"/>
      <c r="F466" s="18"/>
    </row>
    <row r="467" spans="1:6">
      <c r="A467" s="18"/>
      <c r="B467" s="18"/>
      <c r="C467" s="19"/>
      <c r="D467" s="19"/>
      <c r="E467" s="19"/>
      <c r="F467" s="18"/>
    </row>
    <row r="468" spans="1:6">
      <c r="A468" s="18"/>
      <c r="B468" s="18"/>
      <c r="C468" s="19"/>
      <c r="D468" s="19"/>
      <c r="E468" s="19"/>
      <c r="F468" s="18"/>
    </row>
    <row r="469" spans="1:6">
      <c r="A469" s="18"/>
      <c r="B469" s="18"/>
      <c r="C469" s="19"/>
      <c r="D469" s="19"/>
      <c r="E469" s="19"/>
      <c r="F469" s="18"/>
    </row>
    <row r="470" spans="1:6">
      <c r="A470" s="18"/>
      <c r="B470" s="18"/>
      <c r="C470" s="19"/>
      <c r="D470" s="19"/>
      <c r="E470" s="19"/>
      <c r="F470" s="18"/>
    </row>
    <row r="471" spans="1:6">
      <c r="A471" s="18"/>
      <c r="B471" s="18"/>
      <c r="C471" s="19"/>
      <c r="D471" s="19"/>
      <c r="E471" s="19"/>
      <c r="F471" s="18"/>
    </row>
    <row r="472" spans="1:6">
      <c r="A472" s="18"/>
      <c r="B472" s="18"/>
      <c r="C472" s="19"/>
      <c r="D472" s="19"/>
      <c r="E472" s="19"/>
      <c r="F472" s="18"/>
    </row>
    <row r="473" spans="1:6">
      <c r="A473" s="18"/>
      <c r="B473" s="18"/>
      <c r="C473" s="19"/>
      <c r="D473" s="19"/>
      <c r="E473" s="19"/>
      <c r="F473" s="18"/>
    </row>
    <row r="474" spans="1:6">
      <c r="A474" s="18"/>
      <c r="B474" s="18"/>
      <c r="C474" s="19"/>
      <c r="D474" s="19"/>
      <c r="E474" s="19"/>
      <c r="F474" s="18"/>
    </row>
    <row r="475" spans="1:6">
      <c r="A475" s="18"/>
      <c r="B475" s="18"/>
      <c r="C475" s="19"/>
      <c r="D475" s="19"/>
      <c r="E475" s="19"/>
      <c r="F475" s="18"/>
    </row>
    <row r="476" spans="1:6">
      <c r="A476" s="18"/>
      <c r="B476" s="18"/>
      <c r="C476" s="19"/>
      <c r="D476" s="19"/>
      <c r="E476" s="19"/>
      <c r="F476" s="18"/>
    </row>
    <row r="477" spans="1:6">
      <c r="A477" s="18"/>
      <c r="B477" s="18"/>
      <c r="C477" s="19"/>
      <c r="D477" s="19"/>
      <c r="E477" s="19"/>
      <c r="F477" s="18"/>
    </row>
    <row r="478" spans="1:6">
      <c r="A478" s="18"/>
      <c r="B478" s="18"/>
      <c r="C478" s="19"/>
      <c r="D478" s="19"/>
      <c r="E478" s="19"/>
      <c r="F478" s="18"/>
    </row>
    <row r="479" spans="1:6">
      <c r="A479" s="18"/>
      <c r="B479" s="18"/>
      <c r="C479" s="19"/>
      <c r="D479" s="19"/>
      <c r="E479" s="19"/>
      <c r="F479" s="18"/>
    </row>
    <row r="480" spans="1:6">
      <c r="A480" s="18"/>
      <c r="B480" s="18"/>
      <c r="C480" s="19"/>
      <c r="D480" s="19"/>
      <c r="E480" s="19"/>
      <c r="F480" s="18"/>
    </row>
    <row r="481" spans="1:6">
      <c r="A481" s="18"/>
      <c r="B481" s="18"/>
      <c r="C481" s="19"/>
      <c r="D481" s="19"/>
      <c r="E481" s="19"/>
      <c r="F481" s="18"/>
    </row>
    <row r="482" spans="1:6">
      <c r="A482" s="18"/>
      <c r="B482" s="18"/>
      <c r="C482" s="19"/>
      <c r="D482" s="19"/>
      <c r="E482" s="19"/>
      <c r="F482" s="18"/>
    </row>
    <row r="483" spans="1:6">
      <c r="A483" s="18"/>
      <c r="B483" s="18"/>
      <c r="C483" s="19"/>
      <c r="D483" s="19"/>
      <c r="E483" s="19"/>
      <c r="F483" s="18"/>
    </row>
    <row r="484" spans="1:6">
      <c r="A484" s="18"/>
      <c r="B484" s="18"/>
      <c r="C484" s="19"/>
      <c r="D484" s="19"/>
      <c r="E484" s="19"/>
      <c r="F484" s="18"/>
    </row>
    <row r="485" spans="1:6">
      <c r="A485" s="18"/>
      <c r="B485" s="18"/>
      <c r="C485" s="19"/>
      <c r="D485" s="19"/>
      <c r="E485" s="19"/>
      <c r="F485" s="18"/>
    </row>
    <row r="486" spans="1:6">
      <c r="A486" s="18"/>
      <c r="B486" s="18"/>
      <c r="C486" s="19"/>
      <c r="D486" s="19"/>
      <c r="E486" s="19"/>
      <c r="F486" s="18"/>
    </row>
    <row r="487" spans="1:6">
      <c r="A487" s="18"/>
      <c r="B487" s="18"/>
      <c r="C487" s="19"/>
      <c r="D487" s="19"/>
      <c r="E487" s="19"/>
      <c r="F487" s="18"/>
    </row>
    <row r="488" spans="1:6">
      <c r="A488" s="18"/>
      <c r="B488" s="18"/>
      <c r="C488" s="19"/>
      <c r="D488" s="19"/>
      <c r="E488" s="19"/>
      <c r="F488" s="18"/>
    </row>
    <row r="489" spans="1:6">
      <c r="A489" s="18"/>
      <c r="B489" s="18"/>
      <c r="C489" s="19"/>
      <c r="D489" s="19"/>
      <c r="E489" s="19"/>
      <c r="F489" s="18"/>
    </row>
    <row r="490" spans="1:6">
      <c r="A490" s="18"/>
      <c r="B490" s="18"/>
      <c r="C490" s="19"/>
      <c r="D490" s="19"/>
      <c r="E490" s="19"/>
      <c r="F490" s="18"/>
    </row>
    <row r="491" spans="1:6">
      <c r="A491" s="18"/>
      <c r="B491" s="18"/>
      <c r="C491" s="19"/>
      <c r="D491" s="19"/>
      <c r="E491" s="19"/>
      <c r="F491" s="18"/>
    </row>
    <row r="492" spans="1:6">
      <c r="A492" s="18"/>
      <c r="B492" s="18"/>
      <c r="C492" s="19"/>
      <c r="D492" s="19"/>
      <c r="E492" s="19"/>
      <c r="F492" s="18"/>
    </row>
    <row r="493" spans="1:6">
      <c r="A493" s="18"/>
      <c r="B493" s="18"/>
      <c r="C493" s="19"/>
      <c r="D493" s="19"/>
      <c r="E493" s="19"/>
      <c r="F493" s="18"/>
    </row>
    <row r="494" spans="1:6">
      <c r="A494" s="18"/>
      <c r="B494" s="18"/>
      <c r="C494" s="19"/>
      <c r="D494" s="19"/>
      <c r="E494" s="19"/>
      <c r="F494" s="18"/>
    </row>
    <row r="495" spans="1:6">
      <c r="A495" s="18"/>
      <c r="B495" s="18"/>
      <c r="C495" s="19"/>
      <c r="D495" s="19"/>
      <c r="E495" s="19"/>
      <c r="F495" s="18"/>
    </row>
    <row r="496" spans="1:6">
      <c r="A496" s="18"/>
      <c r="B496" s="18"/>
      <c r="C496" s="19"/>
      <c r="D496" s="19"/>
      <c r="E496" s="19"/>
      <c r="F496" s="18"/>
    </row>
    <row r="497" spans="1:6">
      <c r="A497" s="18"/>
      <c r="B497" s="18"/>
      <c r="C497" s="19"/>
      <c r="D497" s="19"/>
      <c r="E497" s="19"/>
      <c r="F497" s="18"/>
    </row>
    <row r="498" spans="1:6">
      <c r="A498" s="18"/>
      <c r="B498" s="18"/>
      <c r="C498" s="19"/>
      <c r="D498" s="19"/>
      <c r="E498" s="19"/>
      <c r="F498" s="18"/>
    </row>
    <row r="499" spans="1:6">
      <c r="A499" s="18"/>
      <c r="B499" s="18"/>
      <c r="C499" s="19"/>
      <c r="D499" s="19"/>
      <c r="E499" s="19"/>
      <c r="F499" s="18"/>
    </row>
    <row r="500" spans="1:6">
      <c r="A500" s="18"/>
      <c r="B500" s="18"/>
      <c r="C500" s="19"/>
      <c r="D500" s="19"/>
      <c r="E500" s="19"/>
      <c r="F500" s="18"/>
    </row>
    <row r="501" spans="1:6">
      <c r="A501" s="18"/>
      <c r="B501" s="18"/>
      <c r="C501" s="19"/>
      <c r="D501" s="19"/>
      <c r="E501" s="19"/>
      <c r="F501" s="18"/>
    </row>
    <row r="502" spans="1:6">
      <c r="A502" s="18"/>
      <c r="B502" s="18"/>
      <c r="C502" s="19"/>
      <c r="D502" s="19"/>
      <c r="E502" s="19"/>
      <c r="F502" s="18"/>
    </row>
    <row r="503" spans="1:6">
      <c r="A503" s="18"/>
      <c r="B503" s="18"/>
      <c r="C503" s="19"/>
      <c r="D503" s="19"/>
      <c r="E503" s="19"/>
      <c r="F503" s="18"/>
    </row>
    <row r="504" spans="1:6">
      <c r="A504" s="18"/>
      <c r="B504" s="18"/>
      <c r="C504" s="19"/>
      <c r="D504" s="19"/>
      <c r="E504" s="19"/>
      <c r="F504" s="18"/>
    </row>
    <row r="505" spans="1:6">
      <c r="A505" s="18"/>
      <c r="B505" s="18"/>
      <c r="C505" s="19"/>
      <c r="D505" s="19"/>
      <c r="E505" s="19"/>
      <c r="F505" s="18"/>
    </row>
    <row r="506" spans="1:6">
      <c r="A506" s="18"/>
      <c r="B506" s="18"/>
      <c r="C506" s="19"/>
      <c r="D506" s="19"/>
      <c r="E506" s="19"/>
      <c r="F506" s="18"/>
    </row>
    <row r="507" spans="1:6">
      <c r="A507" s="18"/>
      <c r="B507" s="18"/>
      <c r="C507" s="19"/>
      <c r="D507" s="19"/>
      <c r="E507" s="19"/>
      <c r="F507" s="18"/>
    </row>
    <row r="508" spans="1:6">
      <c r="A508" s="18"/>
      <c r="B508" s="18"/>
      <c r="C508" s="19"/>
      <c r="D508" s="19"/>
      <c r="E508" s="19"/>
      <c r="F508" s="18"/>
    </row>
    <row r="509" spans="1:6">
      <c r="A509" s="18"/>
      <c r="B509" s="18"/>
      <c r="C509" s="19"/>
      <c r="D509" s="19"/>
      <c r="E509" s="19"/>
      <c r="F509" s="18"/>
    </row>
    <row r="510" spans="1:6">
      <c r="A510" s="18"/>
      <c r="B510" s="18"/>
      <c r="C510" s="19"/>
      <c r="D510" s="19"/>
      <c r="E510" s="19"/>
      <c r="F510" s="18"/>
    </row>
    <row r="511" spans="1:6">
      <c r="A511" s="18"/>
      <c r="B511" s="18"/>
      <c r="C511" s="19"/>
      <c r="D511" s="19"/>
      <c r="E511" s="19"/>
      <c r="F511" s="18"/>
    </row>
    <row r="512" spans="1:6">
      <c r="A512" s="18"/>
      <c r="B512" s="18"/>
      <c r="C512" s="19"/>
      <c r="D512" s="19"/>
      <c r="E512" s="19"/>
      <c r="F512" s="18"/>
    </row>
    <row r="513" spans="1:6">
      <c r="A513" s="18"/>
      <c r="B513" s="18"/>
      <c r="C513" s="19"/>
      <c r="D513" s="19"/>
      <c r="E513" s="19"/>
      <c r="F513" s="18"/>
    </row>
    <row r="514" spans="1:6">
      <c r="A514" s="18"/>
      <c r="B514" s="18"/>
      <c r="C514" s="19"/>
      <c r="D514" s="19"/>
      <c r="E514" s="19"/>
      <c r="F514" s="18"/>
    </row>
    <row r="515" spans="1:6">
      <c r="A515" s="18"/>
      <c r="B515" s="18"/>
      <c r="C515" s="19"/>
      <c r="D515" s="19"/>
      <c r="E515" s="19"/>
      <c r="F515" s="18"/>
    </row>
    <row r="516" spans="1:6">
      <c r="A516" s="18"/>
      <c r="B516" s="18"/>
      <c r="C516" s="19"/>
      <c r="D516" s="19"/>
      <c r="E516" s="19"/>
      <c r="F516" s="18"/>
    </row>
    <row r="517" spans="1:6">
      <c r="A517" s="18"/>
      <c r="B517" s="18"/>
      <c r="C517" s="19"/>
      <c r="D517" s="19"/>
      <c r="E517" s="19"/>
      <c r="F517" s="18"/>
    </row>
    <row r="518" spans="1:6">
      <c r="A518" s="18"/>
      <c r="B518" s="18"/>
      <c r="C518" s="19"/>
      <c r="D518" s="19"/>
      <c r="E518" s="19"/>
      <c r="F518" s="18"/>
    </row>
    <row r="519" spans="1:6">
      <c r="A519" s="18"/>
      <c r="B519" s="18"/>
      <c r="C519" s="19"/>
      <c r="D519" s="19"/>
      <c r="E519" s="19"/>
      <c r="F519" s="18"/>
    </row>
    <row r="520" spans="1:6">
      <c r="A520" s="18"/>
      <c r="B520" s="18"/>
      <c r="C520" s="19"/>
      <c r="D520" s="19"/>
      <c r="E520" s="19"/>
      <c r="F520" s="18"/>
    </row>
    <row r="521" spans="1:6">
      <c r="A521" s="18"/>
      <c r="B521" s="18"/>
      <c r="C521" s="19"/>
      <c r="D521" s="19"/>
      <c r="E521" s="19"/>
      <c r="F521" s="18"/>
    </row>
    <row r="522" spans="1:6">
      <c r="A522" s="18"/>
      <c r="B522" s="18"/>
      <c r="C522" s="19"/>
      <c r="D522" s="19"/>
      <c r="E522" s="19"/>
      <c r="F522" s="18"/>
    </row>
    <row r="523" spans="1:6">
      <c r="A523" s="18"/>
      <c r="B523" s="18"/>
      <c r="C523" s="19"/>
      <c r="D523" s="19"/>
      <c r="E523" s="19"/>
      <c r="F523" s="18"/>
    </row>
    <row r="524" spans="1:6">
      <c r="A524" s="18"/>
      <c r="B524" s="18"/>
      <c r="C524" s="19"/>
      <c r="D524" s="19"/>
      <c r="E524" s="19"/>
      <c r="F524" s="18"/>
    </row>
    <row r="525" spans="1:6">
      <c r="A525" s="18"/>
      <c r="B525" s="18"/>
      <c r="C525" s="19"/>
      <c r="D525" s="19"/>
      <c r="E525" s="19"/>
      <c r="F525" s="18"/>
    </row>
    <row r="526" spans="1:6">
      <c r="A526" s="18"/>
      <c r="B526" s="18"/>
      <c r="C526" s="19"/>
      <c r="D526" s="19"/>
      <c r="E526" s="19"/>
      <c r="F526" s="18"/>
    </row>
    <row r="527" spans="1:6">
      <c r="A527" s="18"/>
      <c r="B527" s="18"/>
      <c r="C527" s="19"/>
      <c r="D527" s="19"/>
      <c r="E527" s="19"/>
      <c r="F527" s="18"/>
    </row>
    <row r="528" spans="1:6">
      <c r="A528" s="18"/>
      <c r="B528" s="18"/>
      <c r="C528" s="19"/>
      <c r="D528" s="19"/>
      <c r="E528" s="19"/>
      <c r="F528" s="18"/>
    </row>
    <row r="529" spans="1:6">
      <c r="A529" s="18"/>
      <c r="B529" s="18"/>
      <c r="C529" s="19"/>
      <c r="D529" s="19"/>
      <c r="E529" s="19"/>
      <c r="F529" s="18"/>
    </row>
    <row r="530" spans="1:6">
      <c r="A530" s="18"/>
      <c r="B530" s="18"/>
      <c r="C530" s="19"/>
      <c r="D530" s="19"/>
      <c r="E530" s="19"/>
      <c r="F530" s="18"/>
    </row>
    <row r="531" spans="1:6">
      <c r="A531" s="18"/>
      <c r="B531" s="18"/>
      <c r="C531" s="19"/>
      <c r="D531" s="19"/>
      <c r="E531" s="19"/>
      <c r="F531" s="18"/>
    </row>
    <row r="532" spans="1:6">
      <c r="A532" s="18"/>
      <c r="B532" s="18"/>
      <c r="C532" s="19"/>
      <c r="D532" s="19"/>
      <c r="E532" s="19"/>
      <c r="F532" s="18"/>
    </row>
    <row r="533" spans="1:6">
      <c r="A533" s="18"/>
      <c r="B533" s="18"/>
      <c r="C533" s="19"/>
      <c r="D533" s="19"/>
      <c r="E533" s="19"/>
      <c r="F533" s="18"/>
    </row>
    <row r="534" spans="1:6">
      <c r="A534" s="18"/>
      <c r="B534" s="18"/>
      <c r="C534" s="19"/>
      <c r="D534" s="19"/>
      <c r="E534" s="19"/>
      <c r="F534" s="18"/>
    </row>
    <row r="535" spans="1:6">
      <c r="A535" s="18"/>
      <c r="B535" s="18"/>
      <c r="C535" s="19"/>
      <c r="D535" s="19"/>
      <c r="E535" s="19"/>
      <c r="F535" s="18"/>
    </row>
    <row r="536" spans="1:6">
      <c r="A536" s="18"/>
      <c r="B536" s="18"/>
      <c r="C536" s="19"/>
      <c r="D536" s="19"/>
      <c r="E536" s="19"/>
      <c r="F536" s="18"/>
    </row>
    <row r="537" spans="1:6">
      <c r="A537" s="18"/>
      <c r="B537" s="18"/>
      <c r="C537" s="19"/>
      <c r="D537" s="19"/>
      <c r="E537" s="19"/>
      <c r="F537" s="18"/>
    </row>
    <row r="538" spans="1:6">
      <c r="A538" s="18"/>
      <c r="B538" s="18"/>
      <c r="C538" s="19"/>
      <c r="D538" s="19"/>
      <c r="E538" s="19"/>
      <c r="F538" s="18"/>
    </row>
    <row r="539" spans="1:6">
      <c r="A539" s="18"/>
      <c r="B539" s="18"/>
      <c r="C539" s="19"/>
      <c r="D539" s="19"/>
      <c r="E539" s="19"/>
      <c r="F539" s="18"/>
    </row>
    <row r="540" spans="1:6">
      <c r="A540" s="18"/>
      <c r="B540" s="18"/>
      <c r="C540" s="19"/>
      <c r="D540" s="19"/>
      <c r="E540" s="19"/>
      <c r="F540" s="18"/>
    </row>
    <row r="541" spans="1:6">
      <c r="A541" s="18"/>
      <c r="B541" s="18"/>
      <c r="C541" s="19"/>
      <c r="D541" s="19"/>
      <c r="E541" s="19"/>
      <c r="F541" s="18"/>
    </row>
    <row r="542" spans="1:6">
      <c r="A542" s="18"/>
      <c r="B542" s="18"/>
      <c r="C542" s="19"/>
      <c r="D542" s="19"/>
      <c r="E542" s="19"/>
      <c r="F542" s="18"/>
    </row>
    <row r="543" spans="1:6">
      <c r="A543" s="18"/>
      <c r="B543" s="18"/>
      <c r="C543" s="19"/>
      <c r="D543" s="19"/>
      <c r="E543" s="19"/>
      <c r="F543" s="18"/>
    </row>
    <row r="544" spans="1:6">
      <c r="A544" s="18"/>
      <c r="B544" s="18"/>
      <c r="C544" s="19"/>
      <c r="D544" s="19"/>
      <c r="E544" s="19"/>
      <c r="F544" s="18"/>
    </row>
    <row r="545" spans="1:6">
      <c r="A545" s="18"/>
      <c r="B545" s="18"/>
      <c r="C545" s="19"/>
      <c r="D545" s="19"/>
      <c r="E545" s="19"/>
      <c r="F545" s="18"/>
    </row>
    <row r="546" spans="1:6">
      <c r="A546" s="18"/>
      <c r="B546" s="18"/>
      <c r="C546" s="19"/>
      <c r="D546" s="19"/>
      <c r="E546" s="19"/>
      <c r="F546" s="18"/>
    </row>
    <row r="547" spans="1:6">
      <c r="A547" s="18"/>
      <c r="B547" s="18"/>
      <c r="C547" s="19"/>
      <c r="D547" s="19"/>
      <c r="E547" s="19"/>
      <c r="F547" s="18"/>
    </row>
    <row r="548" spans="1:6">
      <c r="A548" s="18"/>
      <c r="B548" s="18"/>
      <c r="C548" s="19"/>
      <c r="D548" s="19"/>
      <c r="E548" s="19"/>
      <c r="F548" s="18"/>
    </row>
    <row r="549" spans="1:6">
      <c r="A549" s="18"/>
      <c r="B549" s="18"/>
      <c r="C549" s="19"/>
      <c r="D549" s="19"/>
      <c r="E549" s="19"/>
      <c r="F549" s="18"/>
    </row>
    <row r="550" spans="1:6">
      <c r="A550" s="18"/>
      <c r="B550" s="18"/>
      <c r="C550" s="19"/>
      <c r="D550" s="19"/>
      <c r="E550" s="19"/>
      <c r="F550" s="18"/>
    </row>
    <row r="551" spans="1:6">
      <c r="A551" s="18"/>
      <c r="B551" s="18"/>
      <c r="C551" s="19"/>
      <c r="D551" s="19"/>
      <c r="E551" s="19"/>
      <c r="F551" s="18"/>
    </row>
    <row r="552" spans="1:6">
      <c r="A552" s="18"/>
      <c r="B552" s="18"/>
      <c r="C552" s="19"/>
      <c r="D552" s="19"/>
      <c r="E552" s="19"/>
      <c r="F552" s="18"/>
    </row>
    <row r="553" spans="1:6">
      <c r="A553" s="18"/>
      <c r="B553" s="18"/>
      <c r="C553" s="19"/>
      <c r="D553" s="19"/>
      <c r="E553" s="19"/>
      <c r="F553" s="18"/>
    </row>
    <row r="554" spans="1:6">
      <c r="A554" s="18"/>
      <c r="B554" s="18"/>
      <c r="C554" s="19"/>
      <c r="D554" s="19"/>
      <c r="E554" s="19"/>
      <c r="F554" s="18"/>
    </row>
    <row r="555" spans="1:6">
      <c r="A555" s="18"/>
      <c r="B555" s="18"/>
      <c r="C555" s="19"/>
      <c r="D555" s="19"/>
      <c r="E555" s="19"/>
      <c r="F555" s="18"/>
    </row>
    <row r="556" spans="1:6">
      <c r="A556" s="18"/>
      <c r="B556" s="18"/>
      <c r="C556" s="19"/>
      <c r="D556" s="19"/>
      <c r="E556" s="19"/>
      <c r="F556" s="18"/>
    </row>
    <row r="557" spans="1:6">
      <c r="A557" s="18"/>
      <c r="B557" s="18"/>
      <c r="C557" s="19"/>
      <c r="D557" s="19"/>
      <c r="E557" s="19"/>
      <c r="F557" s="18"/>
    </row>
    <row r="558" spans="1:6">
      <c r="A558" s="18"/>
      <c r="B558" s="18"/>
      <c r="C558" s="19"/>
      <c r="D558" s="19"/>
      <c r="E558" s="19"/>
      <c r="F558" s="18"/>
    </row>
    <row r="559" spans="1:6">
      <c r="A559" s="18"/>
      <c r="B559" s="18"/>
      <c r="C559" s="19"/>
      <c r="D559" s="19"/>
      <c r="E559" s="19"/>
      <c r="F559" s="18"/>
    </row>
    <row r="560" spans="1:6">
      <c r="A560" s="18"/>
      <c r="B560" s="18"/>
      <c r="C560" s="19"/>
      <c r="D560" s="19"/>
      <c r="E560" s="19"/>
      <c r="F560" s="18"/>
    </row>
    <row r="561" spans="1:6">
      <c r="A561" s="18"/>
      <c r="B561" s="18"/>
      <c r="C561" s="19"/>
      <c r="D561" s="19"/>
      <c r="E561" s="19"/>
      <c r="F561" s="18"/>
    </row>
    <row r="562" spans="1:6">
      <c r="A562" s="18"/>
      <c r="B562" s="18"/>
      <c r="C562" s="19"/>
      <c r="D562" s="19"/>
      <c r="E562" s="19"/>
      <c r="F562" s="18"/>
    </row>
    <row r="563" spans="1:6">
      <c r="A563" s="18"/>
      <c r="B563" s="18"/>
      <c r="C563" s="19"/>
      <c r="D563" s="19"/>
      <c r="E563" s="19"/>
      <c r="F563" s="18"/>
    </row>
    <row r="564" spans="1:6">
      <c r="A564" s="18"/>
      <c r="B564" s="18"/>
      <c r="C564" s="19"/>
      <c r="D564" s="19"/>
      <c r="E564" s="19"/>
      <c r="F564" s="18"/>
    </row>
    <row r="565" spans="1:6">
      <c r="A565" s="18"/>
      <c r="B565" s="18"/>
      <c r="C565" s="19"/>
      <c r="D565" s="19"/>
      <c r="E565" s="19"/>
      <c r="F565" s="18"/>
    </row>
    <row r="566" spans="1:6">
      <c r="A566" s="18"/>
      <c r="B566" s="18"/>
      <c r="C566" s="19"/>
      <c r="D566" s="19"/>
      <c r="E566" s="19"/>
      <c r="F566" s="18"/>
    </row>
    <row r="567" spans="1:6">
      <c r="A567" s="18"/>
      <c r="B567" s="18"/>
      <c r="C567" s="19"/>
      <c r="D567" s="19"/>
      <c r="E567" s="19"/>
      <c r="F567" s="18"/>
    </row>
    <row r="568" spans="1:6">
      <c r="A568" s="18"/>
      <c r="B568" s="18"/>
      <c r="C568" s="19"/>
      <c r="D568" s="19"/>
      <c r="E568" s="19"/>
      <c r="F568" s="18"/>
    </row>
    <row r="569" spans="1:6">
      <c r="A569" s="18"/>
      <c r="B569" s="18"/>
      <c r="C569" s="19"/>
      <c r="D569" s="19"/>
      <c r="E569" s="19"/>
      <c r="F569" s="18"/>
    </row>
    <row r="570" spans="1:6">
      <c r="A570" s="18"/>
      <c r="B570" s="18"/>
      <c r="C570" s="19"/>
      <c r="D570" s="19"/>
      <c r="E570" s="19"/>
      <c r="F570" s="18"/>
    </row>
    <row r="571" spans="1:6">
      <c r="A571" s="18"/>
      <c r="B571" s="18"/>
      <c r="C571" s="19"/>
      <c r="D571" s="19"/>
      <c r="E571" s="19"/>
      <c r="F571" s="18"/>
    </row>
    <row r="572" spans="1:6">
      <c r="A572" s="18"/>
      <c r="B572" s="18"/>
      <c r="C572" s="19"/>
      <c r="D572" s="19"/>
      <c r="E572" s="19"/>
      <c r="F572" s="18"/>
    </row>
    <row r="573" spans="1:6">
      <c r="A573" s="18"/>
      <c r="B573" s="18"/>
      <c r="C573" s="19"/>
      <c r="D573" s="19"/>
      <c r="E573" s="19"/>
      <c r="F573" s="18"/>
    </row>
    <row r="574" spans="1:6">
      <c r="A574" s="18"/>
      <c r="B574" s="18"/>
      <c r="C574" s="19"/>
      <c r="D574" s="19"/>
      <c r="E574" s="19"/>
      <c r="F574" s="18"/>
    </row>
    <row r="575" spans="1:6">
      <c r="A575" s="18"/>
      <c r="B575" s="18"/>
      <c r="C575" s="19"/>
      <c r="D575" s="19"/>
      <c r="E575" s="19"/>
      <c r="F575" s="18"/>
    </row>
    <row r="576" spans="1:6">
      <c r="A576" s="18"/>
      <c r="B576" s="18"/>
      <c r="C576" s="19"/>
      <c r="D576" s="19"/>
      <c r="E576" s="19"/>
      <c r="F576" s="18"/>
    </row>
    <row r="577" spans="1:6">
      <c r="A577" s="18"/>
      <c r="B577" s="18"/>
      <c r="C577" s="19"/>
      <c r="D577" s="19"/>
      <c r="E577" s="19"/>
      <c r="F577" s="18"/>
    </row>
    <row r="578" spans="1:6">
      <c r="A578" s="18"/>
      <c r="B578" s="18"/>
      <c r="C578" s="19"/>
      <c r="D578" s="19"/>
      <c r="E578" s="19"/>
      <c r="F578" s="18"/>
    </row>
    <row r="579" spans="1:6">
      <c r="A579" s="18"/>
      <c r="B579" s="18"/>
      <c r="C579" s="19"/>
      <c r="D579" s="19"/>
      <c r="E579" s="19"/>
      <c r="F579" s="18"/>
    </row>
    <row r="580" spans="1:6">
      <c r="A580" s="18"/>
      <c r="B580" s="18"/>
      <c r="C580" s="19"/>
      <c r="D580" s="19"/>
      <c r="E580" s="19"/>
      <c r="F580" s="18"/>
    </row>
    <row r="581" spans="1:6">
      <c r="A581" s="18"/>
      <c r="B581" s="18"/>
      <c r="C581" s="19"/>
      <c r="D581" s="19"/>
      <c r="E581" s="19"/>
      <c r="F581" s="18"/>
    </row>
    <row r="582" spans="1:6">
      <c r="A582" s="18"/>
      <c r="B582" s="18"/>
      <c r="C582" s="19"/>
      <c r="D582" s="19"/>
      <c r="E582" s="19"/>
      <c r="F582" s="18"/>
    </row>
    <row r="583" spans="1:6">
      <c r="A583" s="18"/>
      <c r="B583" s="18"/>
      <c r="C583" s="19"/>
      <c r="D583" s="19"/>
      <c r="E583" s="19"/>
      <c r="F583" s="18"/>
    </row>
    <row r="584" spans="1:6">
      <c r="A584" s="18"/>
      <c r="B584" s="18"/>
      <c r="C584" s="19"/>
      <c r="D584" s="19"/>
      <c r="E584" s="19"/>
      <c r="F584" s="18"/>
    </row>
    <row r="585" spans="1:6">
      <c r="A585" s="18"/>
      <c r="B585" s="18"/>
      <c r="C585" s="19"/>
      <c r="D585" s="19"/>
      <c r="E585" s="19"/>
      <c r="F585" s="18"/>
    </row>
    <row r="586" spans="1:6">
      <c r="A586" s="18"/>
      <c r="B586" s="18"/>
      <c r="C586" s="19"/>
      <c r="D586" s="19"/>
      <c r="E586" s="19"/>
      <c r="F586" s="18"/>
    </row>
    <row r="587" spans="1:6">
      <c r="A587" s="18"/>
      <c r="B587" s="18"/>
      <c r="C587" s="19"/>
      <c r="D587" s="19"/>
      <c r="E587" s="19"/>
      <c r="F587" s="18"/>
    </row>
    <row r="588" spans="1:6">
      <c r="A588" s="18"/>
      <c r="B588" s="18"/>
      <c r="C588" s="19"/>
      <c r="D588" s="19"/>
      <c r="E588" s="19"/>
      <c r="F588" s="18"/>
    </row>
    <row r="589" spans="1:6">
      <c r="A589" s="18"/>
      <c r="B589" s="18"/>
      <c r="C589" s="19"/>
      <c r="D589" s="19"/>
      <c r="E589" s="19"/>
      <c r="F589" s="18"/>
    </row>
    <row r="590" spans="1:6">
      <c r="A590" s="18"/>
      <c r="B590" s="18"/>
      <c r="C590" s="19"/>
      <c r="D590" s="19"/>
      <c r="E590" s="19"/>
      <c r="F590" s="18"/>
    </row>
    <row r="591" spans="1:6">
      <c r="A591" s="18"/>
      <c r="B591" s="18"/>
      <c r="C591" s="19"/>
      <c r="D591" s="19"/>
      <c r="E591" s="19"/>
      <c r="F591" s="18"/>
    </row>
    <row r="592" spans="1:6">
      <c r="A592" s="18"/>
      <c r="B592" s="18"/>
      <c r="C592" s="19"/>
      <c r="D592" s="19"/>
      <c r="E592" s="19"/>
      <c r="F592" s="18"/>
    </row>
    <row r="593" spans="1:6">
      <c r="A593" s="18"/>
      <c r="B593" s="18"/>
      <c r="C593" s="19"/>
      <c r="D593" s="19"/>
      <c r="E593" s="19"/>
      <c r="F593" s="18"/>
    </row>
    <row r="594" spans="1:6">
      <c r="A594" s="18"/>
      <c r="B594" s="18"/>
      <c r="C594" s="19"/>
      <c r="D594" s="19"/>
      <c r="E594" s="19"/>
      <c r="F594" s="18"/>
    </row>
    <row r="595" spans="1:6">
      <c r="A595" s="18"/>
      <c r="B595" s="18"/>
      <c r="C595" s="19"/>
      <c r="D595" s="19"/>
      <c r="E595" s="19"/>
      <c r="F595" s="18"/>
    </row>
    <row r="596" spans="1:6">
      <c r="A596" s="18"/>
      <c r="B596" s="18"/>
      <c r="C596" s="19"/>
      <c r="D596" s="19"/>
      <c r="E596" s="19"/>
      <c r="F596" s="18"/>
    </row>
    <row r="597" spans="1:6">
      <c r="A597" s="18"/>
      <c r="B597" s="18"/>
      <c r="C597" s="19"/>
      <c r="D597" s="19"/>
      <c r="E597" s="19"/>
      <c r="F597" s="18"/>
    </row>
    <row r="598" spans="1:6">
      <c r="A598" s="18"/>
      <c r="B598" s="18"/>
      <c r="C598" s="19"/>
      <c r="D598" s="19"/>
      <c r="E598" s="19"/>
      <c r="F598" s="18"/>
    </row>
    <row r="599" spans="1:6">
      <c r="A599" s="18"/>
      <c r="B599" s="18"/>
      <c r="C599" s="19"/>
      <c r="D599" s="19"/>
      <c r="E599" s="19"/>
      <c r="F599" s="18"/>
    </row>
    <row r="600" spans="1:6">
      <c r="A600" s="18"/>
      <c r="B600" s="18"/>
      <c r="C600" s="19"/>
      <c r="D600" s="19"/>
      <c r="E600" s="19"/>
      <c r="F600" s="18"/>
    </row>
    <row r="601" spans="1:6">
      <c r="A601" s="18"/>
      <c r="B601" s="18"/>
      <c r="C601" s="19"/>
      <c r="D601" s="19"/>
      <c r="E601" s="19"/>
      <c r="F601" s="18"/>
    </row>
    <row r="602" spans="1:6">
      <c r="A602" s="18"/>
      <c r="B602" s="18"/>
      <c r="C602" s="19"/>
      <c r="D602" s="19"/>
      <c r="E602" s="19"/>
      <c r="F602" s="18"/>
    </row>
    <row r="603" spans="1:6">
      <c r="A603" s="18"/>
      <c r="B603" s="18"/>
      <c r="C603" s="19"/>
      <c r="D603" s="19"/>
      <c r="E603" s="19"/>
      <c r="F603" s="18"/>
    </row>
    <row r="604" spans="1:6">
      <c r="A604" s="18"/>
      <c r="B604" s="18"/>
      <c r="C604" s="19"/>
      <c r="D604" s="19"/>
      <c r="E604" s="19"/>
      <c r="F604" s="18"/>
    </row>
    <row r="605" spans="1:6">
      <c r="A605" s="18"/>
      <c r="B605" s="18"/>
      <c r="C605" s="19"/>
      <c r="D605" s="19"/>
      <c r="E605" s="19"/>
      <c r="F605" s="18"/>
    </row>
    <row r="606" spans="1:6">
      <c r="A606" s="18"/>
      <c r="B606" s="18"/>
      <c r="C606" s="19"/>
      <c r="D606" s="19"/>
      <c r="E606" s="19"/>
      <c r="F606" s="18"/>
    </row>
    <row r="607" spans="1:6">
      <c r="A607" s="18"/>
      <c r="B607" s="18"/>
      <c r="C607" s="19"/>
      <c r="D607" s="19"/>
      <c r="E607" s="19"/>
      <c r="F607" s="18"/>
    </row>
    <row r="608" spans="1:6">
      <c r="A608" s="18"/>
      <c r="B608" s="18"/>
      <c r="C608" s="19"/>
      <c r="D608" s="19"/>
      <c r="E608" s="19"/>
      <c r="F608" s="18"/>
    </row>
    <row r="609" spans="1:6">
      <c r="A609" s="18"/>
      <c r="B609" s="18"/>
      <c r="C609" s="19"/>
      <c r="D609" s="19"/>
      <c r="E609" s="19"/>
      <c r="F609" s="18"/>
    </row>
    <row r="610" spans="1:6">
      <c r="A610" s="18"/>
      <c r="B610" s="18"/>
      <c r="C610" s="19"/>
      <c r="D610" s="19"/>
      <c r="E610" s="19"/>
      <c r="F610" s="18"/>
    </row>
    <row r="611" spans="1:6">
      <c r="A611" s="18"/>
      <c r="B611" s="18"/>
      <c r="C611" s="19"/>
      <c r="D611" s="19"/>
      <c r="E611" s="19"/>
      <c r="F611" s="18"/>
    </row>
    <row r="612" spans="1:6">
      <c r="A612" s="18"/>
      <c r="B612" s="18"/>
      <c r="C612" s="19"/>
      <c r="D612" s="19"/>
      <c r="E612" s="19"/>
      <c r="F612" s="18"/>
    </row>
    <row r="613" spans="1:6">
      <c r="A613" s="18"/>
      <c r="B613" s="18"/>
      <c r="C613" s="19"/>
      <c r="D613" s="19"/>
      <c r="E613" s="19"/>
      <c r="F613" s="18"/>
    </row>
    <row r="614" spans="1:6">
      <c r="A614" s="18"/>
      <c r="B614" s="18"/>
      <c r="C614" s="19"/>
      <c r="D614" s="19"/>
      <c r="E614" s="19"/>
      <c r="F614" s="18"/>
    </row>
    <row r="615" spans="1:6">
      <c r="A615" s="18"/>
      <c r="B615" s="18"/>
      <c r="C615" s="19"/>
      <c r="D615" s="19"/>
      <c r="E615" s="19"/>
      <c r="F615" s="18"/>
    </row>
    <row r="616" spans="1:6">
      <c r="A616" s="18"/>
      <c r="B616" s="18"/>
      <c r="C616" s="19"/>
      <c r="D616" s="19"/>
      <c r="E616" s="19"/>
      <c r="F616" s="18"/>
    </row>
    <row r="617" spans="1:6">
      <c r="A617" s="18"/>
      <c r="B617" s="18"/>
      <c r="C617" s="19"/>
      <c r="D617" s="19"/>
      <c r="E617" s="19"/>
      <c r="F617" s="18"/>
    </row>
    <row r="618" spans="1:6">
      <c r="A618" s="18"/>
      <c r="B618" s="18"/>
      <c r="C618" s="19"/>
      <c r="D618" s="19"/>
      <c r="E618" s="19"/>
      <c r="F618" s="18"/>
    </row>
    <row r="619" spans="1:6">
      <c r="A619" s="18"/>
      <c r="B619" s="18"/>
      <c r="C619" s="19"/>
      <c r="D619" s="19"/>
      <c r="E619" s="19"/>
      <c r="F619" s="18"/>
    </row>
    <row r="620" spans="1:6">
      <c r="A620" s="18"/>
      <c r="B620" s="18"/>
      <c r="C620" s="19"/>
      <c r="D620" s="19"/>
      <c r="E620" s="19"/>
      <c r="F620" s="18"/>
    </row>
    <row r="621" spans="1:6">
      <c r="A621" s="18"/>
      <c r="B621" s="18"/>
      <c r="C621" s="19"/>
      <c r="D621" s="19"/>
      <c r="E621" s="19"/>
      <c r="F621" s="18"/>
    </row>
    <row r="622" spans="1:6">
      <c r="A622" s="18"/>
      <c r="B622" s="18"/>
      <c r="C622" s="19"/>
      <c r="D622" s="19"/>
      <c r="E622" s="19"/>
      <c r="F622" s="18"/>
    </row>
    <row r="623" spans="1:6">
      <c r="A623" s="18"/>
      <c r="B623" s="18"/>
      <c r="C623" s="19"/>
      <c r="D623" s="19"/>
      <c r="E623" s="19"/>
      <c r="F623" s="18"/>
    </row>
    <row r="624" spans="1:6">
      <c r="A624" s="18"/>
      <c r="B624" s="18"/>
      <c r="C624" s="19"/>
      <c r="D624" s="19"/>
      <c r="E624" s="19"/>
      <c r="F624" s="18"/>
    </row>
    <row r="625" spans="1:6">
      <c r="A625" s="18"/>
      <c r="B625" s="18"/>
      <c r="C625" s="19"/>
      <c r="D625" s="19"/>
      <c r="E625" s="19"/>
      <c r="F625" s="18"/>
    </row>
    <row r="626" spans="1:6">
      <c r="A626" s="18"/>
      <c r="B626" s="18"/>
      <c r="C626" s="19"/>
      <c r="D626" s="19"/>
      <c r="E626" s="19"/>
      <c r="F626" s="18"/>
    </row>
    <row r="627" spans="1:6">
      <c r="A627" s="18"/>
      <c r="B627" s="18"/>
      <c r="C627" s="19"/>
      <c r="D627" s="19"/>
      <c r="E627" s="19"/>
      <c r="F627" s="18"/>
    </row>
    <row r="628" spans="1:6">
      <c r="A628" s="18"/>
      <c r="B628" s="18"/>
      <c r="C628" s="19"/>
      <c r="D628" s="19"/>
      <c r="E628" s="19"/>
      <c r="F628" s="18"/>
    </row>
    <row r="629" spans="1:6">
      <c r="A629" s="18"/>
      <c r="B629" s="18"/>
      <c r="C629" s="19"/>
      <c r="D629" s="19"/>
      <c r="E629" s="19"/>
      <c r="F629" s="18"/>
    </row>
    <row r="630" spans="1:6">
      <c r="A630" s="18"/>
      <c r="B630" s="18"/>
      <c r="C630" s="19"/>
      <c r="D630" s="19"/>
      <c r="E630" s="19"/>
      <c r="F630" s="18"/>
    </row>
    <row r="631" spans="1:6">
      <c r="A631" s="18"/>
      <c r="B631" s="18"/>
      <c r="C631" s="19"/>
      <c r="D631" s="19"/>
      <c r="E631" s="19"/>
      <c r="F631" s="18"/>
    </row>
    <row r="632" spans="1:6">
      <c r="A632" s="18"/>
      <c r="B632" s="18"/>
      <c r="C632" s="19"/>
      <c r="D632" s="19"/>
      <c r="E632" s="19"/>
      <c r="F632" s="18"/>
    </row>
    <row r="633" spans="1:6">
      <c r="A633" s="18"/>
      <c r="B633" s="18"/>
      <c r="C633" s="19"/>
      <c r="D633" s="19"/>
      <c r="E633" s="19"/>
      <c r="F633" s="18"/>
    </row>
    <row r="634" spans="1:6">
      <c r="A634" s="18"/>
      <c r="B634" s="18"/>
      <c r="C634" s="19"/>
      <c r="D634" s="19"/>
      <c r="E634" s="19"/>
      <c r="F634" s="18"/>
    </row>
    <row r="635" spans="1:6">
      <c r="A635" s="18"/>
      <c r="B635" s="18"/>
      <c r="C635" s="19"/>
      <c r="D635" s="19"/>
      <c r="E635" s="19"/>
      <c r="F635" s="18"/>
    </row>
    <row r="636" spans="1:6">
      <c r="A636" s="18"/>
      <c r="B636" s="18"/>
      <c r="C636" s="19"/>
      <c r="D636" s="19"/>
      <c r="E636" s="19"/>
      <c r="F636" s="18"/>
    </row>
    <row r="637" spans="1:6">
      <c r="A637" s="18"/>
      <c r="B637" s="18"/>
      <c r="C637" s="19"/>
      <c r="D637" s="19"/>
      <c r="E637" s="19"/>
      <c r="F637" s="18"/>
    </row>
    <row r="638" spans="1:6">
      <c r="A638" s="18"/>
      <c r="B638" s="18"/>
      <c r="C638" s="19"/>
      <c r="D638" s="19"/>
      <c r="E638" s="19"/>
      <c r="F638" s="18"/>
    </row>
    <row r="639" spans="1:6">
      <c r="A639" s="18"/>
      <c r="B639" s="18"/>
      <c r="C639" s="19"/>
      <c r="D639" s="19"/>
      <c r="E639" s="19"/>
      <c r="F639" s="18"/>
    </row>
    <row r="640" spans="1:6">
      <c r="A640" s="18"/>
      <c r="B640" s="18"/>
      <c r="C640" s="19"/>
      <c r="D640" s="19"/>
      <c r="E640" s="19"/>
      <c r="F640" s="18"/>
    </row>
    <row r="641" spans="1:6">
      <c r="A641" s="18"/>
      <c r="B641" s="18"/>
      <c r="C641" s="19"/>
      <c r="D641" s="19"/>
      <c r="E641" s="19"/>
      <c r="F641" s="18"/>
    </row>
    <row r="642" spans="1:6">
      <c r="A642" s="18"/>
      <c r="B642" s="18"/>
      <c r="C642" s="19"/>
      <c r="D642" s="19"/>
      <c r="E642" s="19"/>
      <c r="F642" s="18"/>
    </row>
    <row r="643" spans="1:6">
      <c r="A643" s="18"/>
      <c r="B643" s="18"/>
      <c r="C643" s="19"/>
      <c r="D643" s="19"/>
      <c r="E643" s="19"/>
      <c r="F643" s="18"/>
    </row>
    <row r="644" spans="1:6">
      <c r="A644" s="18"/>
      <c r="B644" s="18"/>
      <c r="C644" s="19"/>
      <c r="D644" s="19"/>
      <c r="E644" s="19"/>
      <c r="F644" s="18"/>
    </row>
    <row r="645" spans="1:6">
      <c r="A645" s="18"/>
      <c r="B645" s="18"/>
      <c r="C645" s="19"/>
      <c r="D645" s="19"/>
      <c r="E645" s="19"/>
      <c r="F645" s="18"/>
    </row>
    <row r="646" spans="1:6">
      <c r="A646" s="18"/>
      <c r="B646" s="18"/>
      <c r="C646" s="19"/>
      <c r="D646" s="19"/>
      <c r="E646" s="19"/>
      <c r="F646" s="18"/>
    </row>
    <row r="647" spans="1:6">
      <c r="A647" s="18"/>
      <c r="B647" s="18"/>
      <c r="C647" s="19"/>
      <c r="D647" s="19"/>
      <c r="E647" s="19"/>
      <c r="F647" s="18"/>
    </row>
    <row r="648" spans="1:6">
      <c r="A648" s="18"/>
      <c r="B648" s="18"/>
      <c r="C648" s="19"/>
      <c r="D648" s="19"/>
      <c r="E648" s="19"/>
      <c r="F648" s="18"/>
    </row>
    <row r="649" spans="1:6">
      <c r="A649" s="18"/>
      <c r="B649" s="18"/>
      <c r="C649" s="19"/>
      <c r="D649" s="19"/>
      <c r="E649" s="19"/>
      <c r="F649" s="18"/>
    </row>
    <row r="650" spans="1:6">
      <c r="A650" s="18"/>
      <c r="B650" s="18"/>
      <c r="C650" s="19"/>
      <c r="D650" s="19"/>
      <c r="E650" s="19"/>
      <c r="F650" s="18"/>
    </row>
    <row r="651" spans="1:6">
      <c r="A651" s="18"/>
      <c r="B651" s="18"/>
      <c r="C651" s="19"/>
      <c r="D651" s="19"/>
      <c r="E651" s="19"/>
      <c r="F651" s="18"/>
    </row>
    <row r="652" spans="1:6">
      <c r="A652" s="18"/>
      <c r="B652" s="18"/>
      <c r="C652" s="19"/>
      <c r="D652" s="19"/>
      <c r="E652" s="19"/>
      <c r="F652" s="18"/>
    </row>
    <row r="653" spans="1:6">
      <c r="A653" s="18"/>
      <c r="B653" s="18"/>
      <c r="C653" s="19"/>
      <c r="D653" s="19"/>
      <c r="E653" s="19"/>
      <c r="F653" s="18"/>
    </row>
    <row r="654" spans="1:6">
      <c r="A654" s="18"/>
      <c r="B654" s="18"/>
      <c r="C654" s="19"/>
      <c r="D654" s="19"/>
      <c r="E654" s="19"/>
      <c r="F654" s="18"/>
    </row>
    <row r="655" spans="1:6">
      <c r="A655" s="18"/>
      <c r="B655" s="18"/>
      <c r="C655" s="19"/>
      <c r="D655" s="19"/>
      <c r="E655" s="19"/>
      <c r="F655" s="18"/>
    </row>
    <row r="656" spans="1:6">
      <c r="A656" s="18"/>
      <c r="B656" s="18"/>
      <c r="C656" s="19"/>
      <c r="D656" s="19"/>
      <c r="E656" s="19"/>
      <c r="F656" s="18"/>
    </row>
    <row r="657" spans="1:6">
      <c r="A657" s="18"/>
      <c r="B657" s="18"/>
      <c r="C657" s="19"/>
      <c r="D657" s="19"/>
      <c r="E657" s="19"/>
      <c r="F657" s="18"/>
    </row>
    <row r="658" spans="1:6">
      <c r="A658" s="18"/>
      <c r="B658" s="18"/>
      <c r="C658" s="19"/>
      <c r="D658" s="19"/>
      <c r="E658" s="19"/>
      <c r="F658" s="18"/>
    </row>
    <row r="659" spans="1:6">
      <c r="A659" s="18"/>
      <c r="B659" s="18"/>
      <c r="C659" s="19"/>
      <c r="D659" s="19"/>
      <c r="E659" s="19"/>
      <c r="F659" s="18"/>
    </row>
    <row r="660" spans="1:6">
      <c r="A660" s="18"/>
      <c r="B660" s="18"/>
      <c r="C660" s="19"/>
      <c r="D660" s="19"/>
      <c r="E660" s="19"/>
      <c r="F660" s="18"/>
    </row>
    <row r="661" spans="1:6">
      <c r="A661" s="18"/>
      <c r="B661" s="18"/>
      <c r="C661" s="19"/>
      <c r="D661" s="19"/>
      <c r="E661" s="19"/>
      <c r="F661" s="18"/>
    </row>
    <row r="662" spans="1:6">
      <c r="A662" s="18"/>
      <c r="B662" s="18"/>
      <c r="C662" s="19"/>
      <c r="D662" s="19"/>
      <c r="E662" s="19"/>
      <c r="F662" s="18"/>
    </row>
    <row r="663" spans="1:6">
      <c r="A663" s="18"/>
      <c r="B663" s="18"/>
      <c r="C663" s="19"/>
      <c r="D663" s="19"/>
      <c r="E663" s="19"/>
      <c r="F663" s="18"/>
    </row>
    <row r="664" spans="1:6">
      <c r="A664" s="18"/>
      <c r="B664" s="18"/>
      <c r="C664" s="19"/>
      <c r="D664" s="19"/>
      <c r="E664" s="19"/>
      <c r="F664" s="18"/>
    </row>
    <row r="665" spans="1:6">
      <c r="A665" s="18"/>
      <c r="B665" s="18"/>
      <c r="C665" s="19"/>
      <c r="D665" s="19"/>
      <c r="E665" s="19"/>
      <c r="F665" s="18"/>
    </row>
    <row r="666" spans="1:6">
      <c r="A666" s="18"/>
      <c r="B666" s="18"/>
      <c r="C666" s="19"/>
      <c r="D666" s="19"/>
      <c r="E666" s="19"/>
      <c r="F666" s="18"/>
    </row>
    <row r="667" spans="1:6">
      <c r="A667" s="18"/>
      <c r="B667" s="18"/>
      <c r="C667" s="19"/>
      <c r="D667" s="19"/>
      <c r="E667" s="19"/>
      <c r="F667" s="18"/>
    </row>
    <row r="668" spans="1:6">
      <c r="A668" s="18"/>
      <c r="B668" s="18"/>
      <c r="C668" s="19"/>
      <c r="D668" s="19"/>
      <c r="E668" s="19"/>
      <c r="F668" s="18"/>
    </row>
    <row r="669" spans="1:6">
      <c r="A669" s="18"/>
      <c r="B669" s="18"/>
      <c r="C669" s="19"/>
      <c r="D669" s="19"/>
      <c r="E669" s="19"/>
      <c r="F669" s="18"/>
    </row>
    <row r="670" spans="1:6">
      <c r="A670" s="18"/>
      <c r="B670" s="18"/>
      <c r="C670" s="19"/>
      <c r="D670" s="19"/>
      <c r="E670" s="19"/>
      <c r="F670" s="18"/>
    </row>
    <row r="671" spans="1:6">
      <c r="A671" s="18"/>
      <c r="B671" s="18"/>
      <c r="C671" s="19"/>
      <c r="D671" s="19"/>
      <c r="E671" s="19"/>
      <c r="F671" s="18"/>
    </row>
    <row r="672" spans="1:6">
      <c r="A672" s="18"/>
      <c r="B672" s="18"/>
      <c r="C672" s="19"/>
      <c r="D672" s="19"/>
      <c r="E672" s="19"/>
      <c r="F672" s="18"/>
    </row>
    <row r="673" spans="1:6">
      <c r="A673" s="18"/>
      <c r="B673" s="18"/>
      <c r="C673" s="19"/>
      <c r="D673" s="19"/>
      <c r="E673" s="19"/>
      <c r="F673" s="18"/>
    </row>
    <row r="674" spans="1:6">
      <c r="A674" s="18"/>
      <c r="B674" s="18"/>
      <c r="C674" s="19"/>
      <c r="D674" s="19"/>
      <c r="E674" s="19"/>
      <c r="F674" s="18"/>
    </row>
    <row r="675" spans="1:6">
      <c r="A675" s="18"/>
      <c r="B675" s="18"/>
      <c r="C675" s="19"/>
      <c r="D675" s="19"/>
      <c r="E675" s="19"/>
      <c r="F675" s="18"/>
    </row>
    <row r="676" spans="1:6">
      <c r="A676" s="18"/>
      <c r="B676" s="18"/>
      <c r="C676" s="19"/>
      <c r="D676" s="19"/>
      <c r="E676" s="19"/>
      <c r="F676" s="18"/>
    </row>
    <row r="677" spans="1:6">
      <c r="A677" s="18"/>
      <c r="B677" s="18"/>
      <c r="C677" s="19"/>
      <c r="D677" s="19"/>
      <c r="E677" s="19"/>
      <c r="F677" s="18"/>
    </row>
    <row r="678" spans="1:6">
      <c r="A678" s="18"/>
      <c r="B678" s="18"/>
      <c r="C678" s="19"/>
      <c r="D678" s="19"/>
      <c r="E678" s="19"/>
      <c r="F678" s="18"/>
    </row>
    <row r="679" spans="1:6">
      <c r="A679" s="18"/>
      <c r="B679" s="18"/>
      <c r="C679" s="19"/>
      <c r="D679" s="19"/>
      <c r="E679" s="19"/>
      <c r="F679" s="18"/>
    </row>
    <row r="680" spans="1:6">
      <c r="A680" s="18"/>
      <c r="B680" s="18"/>
      <c r="C680" s="19"/>
      <c r="D680" s="19"/>
      <c r="E680" s="19"/>
      <c r="F680" s="18"/>
    </row>
    <row r="681" spans="1:6">
      <c r="A681" s="18"/>
      <c r="B681" s="18"/>
      <c r="C681" s="19"/>
      <c r="D681" s="19"/>
      <c r="E681" s="19"/>
      <c r="F681" s="18"/>
    </row>
    <row r="682" spans="1:6">
      <c r="A682" s="18"/>
      <c r="B682" s="18"/>
      <c r="C682" s="19"/>
      <c r="D682" s="19"/>
      <c r="E682" s="19"/>
      <c r="F682" s="18"/>
    </row>
    <row r="683" spans="1:6">
      <c r="A683" s="18"/>
      <c r="B683" s="18"/>
      <c r="C683" s="19"/>
      <c r="D683" s="19"/>
      <c r="E683" s="19"/>
      <c r="F683" s="18"/>
    </row>
    <row r="684" spans="1:6">
      <c r="A684" s="18"/>
      <c r="B684" s="18"/>
      <c r="C684" s="19"/>
      <c r="D684" s="19"/>
      <c r="E684" s="19"/>
      <c r="F684" s="18"/>
    </row>
    <row r="685" spans="1:6">
      <c r="A685" s="18"/>
      <c r="B685" s="18"/>
      <c r="C685" s="19"/>
      <c r="D685" s="19"/>
      <c r="E685" s="19"/>
      <c r="F685" s="18"/>
    </row>
    <row r="686" spans="1:6">
      <c r="A686" s="18"/>
      <c r="B686" s="18"/>
      <c r="C686" s="19"/>
      <c r="D686" s="19"/>
      <c r="E686" s="19"/>
      <c r="F686" s="18"/>
    </row>
    <row r="687" spans="1:6">
      <c r="A687" s="18"/>
      <c r="B687" s="18"/>
      <c r="C687" s="19"/>
      <c r="D687" s="19"/>
      <c r="E687" s="19"/>
      <c r="F687" s="18"/>
    </row>
    <row r="688" spans="1:6">
      <c r="A688" s="18"/>
      <c r="B688" s="18"/>
      <c r="C688" s="19"/>
      <c r="D688" s="19"/>
      <c r="E688" s="19"/>
      <c r="F688" s="18"/>
    </row>
    <row r="689" spans="1:6">
      <c r="A689" s="18"/>
      <c r="B689" s="18"/>
      <c r="C689" s="19"/>
      <c r="D689" s="19"/>
      <c r="E689" s="19"/>
      <c r="F689" s="18"/>
    </row>
    <row r="690" spans="1:6">
      <c r="A690" s="18"/>
      <c r="B690" s="18"/>
      <c r="C690" s="19"/>
      <c r="D690" s="19"/>
      <c r="E690" s="19"/>
      <c r="F690" s="18"/>
    </row>
    <row r="691" spans="1:6">
      <c r="A691" s="18"/>
      <c r="B691" s="18"/>
      <c r="C691" s="19"/>
      <c r="D691" s="19"/>
      <c r="E691" s="19"/>
      <c r="F691" s="18"/>
    </row>
    <row r="692" spans="1:6">
      <c r="A692" s="18"/>
      <c r="B692" s="18"/>
      <c r="C692" s="19"/>
      <c r="D692" s="19"/>
      <c r="E692" s="19"/>
      <c r="F692" s="18"/>
    </row>
    <row r="693" spans="1:6">
      <c r="A693" s="18"/>
      <c r="B693" s="18"/>
      <c r="C693" s="19"/>
      <c r="D693" s="19"/>
      <c r="E693" s="19"/>
      <c r="F693" s="18"/>
    </row>
    <row r="694" spans="1:6">
      <c r="A694" s="18"/>
      <c r="B694" s="18"/>
      <c r="C694" s="19"/>
      <c r="D694" s="19"/>
      <c r="E694" s="19"/>
      <c r="F694" s="18"/>
    </row>
    <row r="695" spans="1:6">
      <c r="A695" s="18"/>
      <c r="B695" s="18"/>
      <c r="C695" s="19"/>
      <c r="D695" s="19"/>
      <c r="E695" s="19"/>
      <c r="F695" s="18"/>
    </row>
    <row r="696" spans="1:6">
      <c r="A696" s="18"/>
      <c r="B696" s="18"/>
      <c r="C696" s="19"/>
      <c r="D696" s="19"/>
      <c r="E696" s="19"/>
      <c r="F696" s="18"/>
    </row>
    <row r="697" spans="1:6">
      <c r="A697" s="18"/>
      <c r="B697" s="18"/>
      <c r="C697" s="19"/>
      <c r="D697" s="19"/>
      <c r="E697" s="19"/>
      <c r="F697" s="18"/>
    </row>
    <row r="698" spans="1:6">
      <c r="A698" s="18"/>
      <c r="B698" s="18"/>
      <c r="C698" s="19"/>
      <c r="D698" s="19"/>
      <c r="E698" s="19"/>
      <c r="F698" s="18"/>
    </row>
    <row r="699" spans="1:6">
      <c r="A699" s="18"/>
      <c r="B699" s="18"/>
      <c r="C699" s="19"/>
      <c r="D699" s="19"/>
      <c r="E699" s="19"/>
      <c r="F699" s="18"/>
    </row>
    <row r="700" spans="1:6">
      <c r="A700" s="18"/>
      <c r="B700" s="18"/>
      <c r="C700" s="19"/>
      <c r="D700" s="19"/>
      <c r="E700" s="19"/>
      <c r="F700" s="18"/>
    </row>
    <row r="701" spans="1:6">
      <c r="A701" s="18"/>
      <c r="B701" s="18"/>
      <c r="C701" s="19"/>
      <c r="D701" s="19"/>
      <c r="E701" s="19"/>
      <c r="F701" s="18"/>
    </row>
    <row r="702" spans="1:6">
      <c r="A702" s="18"/>
      <c r="B702" s="18"/>
      <c r="C702" s="19"/>
      <c r="D702" s="19"/>
      <c r="E702" s="19"/>
      <c r="F702" s="18"/>
    </row>
    <row r="703" spans="1:6">
      <c r="A703" s="18"/>
      <c r="B703" s="18"/>
      <c r="C703" s="19"/>
      <c r="D703" s="19"/>
      <c r="E703" s="19"/>
      <c r="F703" s="18"/>
    </row>
    <row r="704" spans="1:6">
      <c r="A704" s="18"/>
      <c r="B704" s="18"/>
      <c r="C704" s="19"/>
      <c r="D704" s="19"/>
      <c r="E704" s="19"/>
      <c r="F704" s="18"/>
    </row>
    <row r="705" spans="1:6">
      <c r="A705" s="18"/>
      <c r="B705" s="18"/>
      <c r="C705" s="19"/>
      <c r="D705" s="19"/>
      <c r="E705" s="19"/>
      <c r="F705" s="18"/>
    </row>
    <row r="706" spans="1:6">
      <c r="A706" s="18"/>
      <c r="B706" s="18"/>
      <c r="C706" s="19"/>
      <c r="D706" s="19"/>
      <c r="E706" s="19"/>
      <c r="F706" s="18"/>
    </row>
    <row r="707" spans="1:6">
      <c r="A707" s="18"/>
      <c r="B707" s="18"/>
      <c r="C707" s="19"/>
      <c r="D707" s="19"/>
      <c r="E707" s="19"/>
      <c r="F707" s="18"/>
    </row>
    <row r="708" spans="1:6">
      <c r="A708" s="18"/>
      <c r="B708" s="18"/>
      <c r="C708" s="19"/>
      <c r="D708" s="19"/>
      <c r="E708" s="19"/>
      <c r="F708" s="18"/>
    </row>
    <row r="709" spans="1:6">
      <c r="A709" s="18"/>
      <c r="B709" s="18"/>
      <c r="C709" s="19"/>
      <c r="D709" s="19"/>
      <c r="E709" s="19"/>
      <c r="F709" s="18"/>
    </row>
    <row r="710" spans="1:6">
      <c r="A710" s="18"/>
      <c r="B710" s="18"/>
      <c r="C710" s="19"/>
      <c r="D710" s="19"/>
      <c r="E710" s="19"/>
      <c r="F710" s="18"/>
    </row>
    <row r="711" spans="1:6">
      <c r="A711" s="18"/>
      <c r="B711" s="18"/>
      <c r="C711" s="19"/>
      <c r="D711" s="19"/>
      <c r="E711" s="19"/>
      <c r="F711" s="18"/>
    </row>
    <row r="712" spans="1:6">
      <c r="A712" s="18"/>
      <c r="B712" s="18"/>
      <c r="C712" s="19"/>
      <c r="D712" s="19"/>
      <c r="E712" s="19"/>
      <c r="F712" s="18"/>
    </row>
    <row r="713" spans="1:6">
      <c r="A713" s="18"/>
      <c r="B713" s="18"/>
      <c r="C713" s="19"/>
      <c r="D713" s="19"/>
      <c r="E713" s="19"/>
      <c r="F713" s="18"/>
    </row>
    <row r="714" spans="1:6">
      <c r="A714" s="18"/>
      <c r="B714" s="18"/>
      <c r="C714" s="19"/>
      <c r="D714" s="19"/>
      <c r="E714" s="19"/>
      <c r="F714" s="18"/>
    </row>
    <row r="715" spans="1:6">
      <c r="A715" s="18"/>
      <c r="B715" s="18"/>
      <c r="C715" s="19"/>
      <c r="D715" s="19"/>
      <c r="E715" s="19"/>
      <c r="F715" s="18"/>
    </row>
    <row r="716" spans="1:6">
      <c r="A716" s="18"/>
      <c r="B716" s="18"/>
      <c r="C716" s="19"/>
      <c r="D716" s="19"/>
      <c r="E716" s="19"/>
      <c r="F716" s="18"/>
    </row>
    <row r="717" spans="1:6">
      <c r="A717" s="18"/>
      <c r="B717" s="18"/>
      <c r="C717" s="19"/>
      <c r="D717" s="19"/>
      <c r="E717" s="19"/>
      <c r="F717" s="18"/>
    </row>
    <row r="718" spans="1:6">
      <c r="A718" s="18"/>
      <c r="B718" s="18"/>
      <c r="C718" s="19"/>
      <c r="D718" s="19"/>
      <c r="E718" s="19"/>
      <c r="F718" s="18"/>
    </row>
    <row r="719" spans="1:6">
      <c r="A719" s="18"/>
      <c r="B719" s="18"/>
      <c r="C719" s="19"/>
      <c r="D719" s="19"/>
      <c r="E719" s="19"/>
      <c r="F719" s="18"/>
    </row>
    <row r="720" spans="1:6">
      <c r="A720" s="18"/>
      <c r="B720" s="18"/>
      <c r="C720" s="19"/>
      <c r="D720" s="19"/>
      <c r="E720" s="19"/>
      <c r="F720" s="18"/>
    </row>
    <row r="721" spans="1:6">
      <c r="A721" s="18"/>
      <c r="B721" s="18"/>
      <c r="C721" s="19"/>
      <c r="D721" s="19"/>
      <c r="E721" s="19"/>
      <c r="F721" s="18"/>
    </row>
    <row r="722" spans="1:6">
      <c r="A722" s="18"/>
      <c r="B722" s="18"/>
      <c r="C722" s="19"/>
      <c r="D722" s="19"/>
      <c r="E722" s="19"/>
      <c r="F722" s="18"/>
    </row>
    <row r="723" spans="1:6">
      <c r="A723" s="18"/>
      <c r="B723" s="18"/>
      <c r="C723" s="19"/>
      <c r="D723" s="19"/>
      <c r="E723" s="19"/>
      <c r="F723" s="18"/>
    </row>
    <row r="724" spans="1:6">
      <c r="A724" s="18"/>
      <c r="B724" s="18"/>
      <c r="C724" s="19"/>
      <c r="D724" s="19"/>
      <c r="E724" s="19"/>
      <c r="F724" s="18"/>
    </row>
    <row r="725" spans="1:6">
      <c r="A725" s="18"/>
      <c r="B725" s="18"/>
      <c r="C725" s="19"/>
      <c r="D725" s="19"/>
      <c r="E725" s="19"/>
      <c r="F725" s="18"/>
    </row>
    <row r="726" spans="1:6">
      <c r="A726" s="18"/>
      <c r="B726" s="18"/>
      <c r="C726" s="19"/>
      <c r="D726" s="19"/>
      <c r="E726" s="19"/>
      <c r="F726" s="18"/>
    </row>
    <row r="727" spans="1:6">
      <c r="A727" s="18"/>
      <c r="B727" s="18"/>
      <c r="C727" s="19"/>
      <c r="D727" s="19"/>
      <c r="E727" s="19"/>
      <c r="F727" s="18"/>
    </row>
    <row r="728" spans="1:6">
      <c r="A728" s="18"/>
      <c r="B728" s="18"/>
      <c r="C728" s="19"/>
      <c r="D728" s="19"/>
      <c r="E728" s="19"/>
      <c r="F728" s="18"/>
    </row>
    <row r="729" spans="1:6">
      <c r="A729" s="18"/>
      <c r="B729" s="18"/>
      <c r="C729" s="19"/>
      <c r="D729" s="19"/>
      <c r="E729" s="19"/>
      <c r="F729" s="18"/>
    </row>
    <row r="730" spans="1:6">
      <c r="A730" s="18"/>
      <c r="B730" s="18"/>
      <c r="C730" s="19"/>
      <c r="D730" s="19"/>
      <c r="E730" s="19"/>
      <c r="F730" s="18"/>
    </row>
    <row r="731" spans="1:6">
      <c r="A731" s="18"/>
      <c r="B731" s="18"/>
      <c r="C731" s="19"/>
      <c r="D731" s="19"/>
      <c r="E731" s="19"/>
      <c r="F731" s="18"/>
    </row>
    <row r="732" spans="1:6">
      <c r="A732" s="18"/>
      <c r="B732" s="18"/>
      <c r="C732" s="19"/>
      <c r="D732" s="19"/>
      <c r="E732" s="19"/>
      <c r="F732" s="18"/>
    </row>
    <row r="733" spans="1:6">
      <c r="A733" s="18"/>
      <c r="B733" s="18"/>
      <c r="C733" s="19"/>
      <c r="D733" s="19"/>
      <c r="E733" s="19"/>
      <c r="F733" s="18"/>
    </row>
    <row r="734" spans="1:6">
      <c r="A734" s="18"/>
      <c r="B734" s="18"/>
      <c r="C734" s="19"/>
      <c r="D734" s="19"/>
      <c r="E734" s="19"/>
      <c r="F734" s="18"/>
    </row>
    <row r="735" spans="1:6">
      <c r="A735" s="18"/>
      <c r="B735" s="18"/>
      <c r="C735" s="19"/>
      <c r="D735" s="19"/>
      <c r="E735" s="19"/>
      <c r="F735" s="18"/>
    </row>
    <row r="736" spans="1:6">
      <c r="A736" s="18"/>
      <c r="B736" s="18"/>
      <c r="C736" s="19"/>
      <c r="D736" s="19"/>
      <c r="E736" s="19"/>
      <c r="F736" s="18"/>
    </row>
    <row r="737" spans="1:6">
      <c r="A737" s="18"/>
      <c r="B737" s="18"/>
      <c r="C737" s="19"/>
      <c r="D737" s="19"/>
      <c r="E737" s="19"/>
      <c r="F737" s="18"/>
    </row>
    <row r="738" spans="1:6">
      <c r="A738" s="18"/>
      <c r="B738" s="18"/>
      <c r="C738" s="19"/>
      <c r="D738" s="19"/>
      <c r="E738" s="19"/>
      <c r="F738" s="18"/>
    </row>
    <row r="739" spans="1:6">
      <c r="A739" s="18"/>
      <c r="B739" s="18"/>
      <c r="C739" s="19"/>
      <c r="D739" s="19"/>
      <c r="E739" s="19"/>
      <c r="F739" s="18"/>
    </row>
    <row r="740" spans="1:6">
      <c r="A740" s="18"/>
      <c r="B740" s="18"/>
      <c r="C740" s="19"/>
      <c r="D740" s="19"/>
      <c r="E740" s="19"/>
      <c r="F740" s="18"/>
    </row>
    <row r="741" spans="1:6">
      <c r="A741" s="18"/>
      <c r="B741" s="18"/>
      <c r="C741" s="19"/>
      <c r="D741" s="19"/>
      <c r="E741" s="19"/>
      <c r="F741" s="18"/>
    </row>
    <row r="742" spans="1:6">
      <c r="A742" s="18"/>
      <c r="B742" s="18"/>
      <c r="C742" s="19"/>
      <c r="D742" s="19"/>
      <c r="E742" s="19"/>
      <c r="F742" s="18"/>
    </row>
    <row r="743" spans="1:6">
      <c r="A743" s="18"/>
      <c r="B743" s="18"/>
      <c r="C743" s="19"/>
      <c r="D743" s="19"/>
      <c r="E743" s="19"/>
      <c r="F743" s="18"/>
    </row>
    <row r="744" spans="1:6">
      <c r="A744" s="18"/>
      <c r="B744" s="18"/>
      <c r="C744" s="19"/>
      <c r="D744" s="19"/>
      <c r="E744" s="19"/>
      <c r="F744" s="18"/>
    </row>
    <row r="745" spans="1:6">
      <c r="A745" s="18"/>
      <c r="B745" s="18"/>
      <c r="C745" s="19"/>
      <c r="D745" s="19"/>
      <c r="E745" s="19"/>
      <c r="F745" s="18"/>
    </row>
    <row r="746" spans="1:6">
      <c r="A746" s="18"/>
      <c r="B746" s="18"/>
      <c r="C746" s="19"/>
      <c r="D746" s="19"/>
      <c r="E746" s="19"/>
      <c r="F746" s="18"/>
    </row>
    <row r="747" spans="1:6">
      <c r="A747" s="18"/>
      <c r="B747" s="18"/>
      <c r="C747" s="19"/>
      <c r="D747" s="19"/>
      <c r="E747" s="19"/>
      <c r="F747" s="18"/>
    </row>
    <row r="748" spans="1:6">
      <c r="A748" s="18"/>
      <c r="B748" s="18"/>
      <c r="C748" s="19"/>
      <c r="D748" s="19"/>
      <c r="E748" s="19"/>
      <c r="F748" s="18"/>
    </row>
    <row r="749" spans="1:6">
      <c r="A749" s="18"/>
      <c r="B749" s="18"/>
      <c r="C749" s="19"/>
      <c r="D749" s="19"/>
      <c r="E749" s="19"/>
      <c r="F749" s="18"/>
    </row>
    <row r="750" spans="1:6">
      <c r="A750" s="18"/>
      <c r="B750" s="18"/>
      <c r="C750" s="19"/>
      <c r="D750" s="19"/>
      <c r="E750" s="19"/>
      <c r="F750" s="18"/>
    </row>
    <row r="751" spans="1:6">
      <c r="A751" s="18"/>
      <c r="B751" s="18"/>
      <c r="C751" s="19"/>
      <c r="D751" s="19"/>
      <c r="E751" s="19"/>
      <c r="F751" s="18"/>
    </row>
    <row r="752" spans="1:6">
      <c r="A752" s="18"/>
      <c r="B752" s="18"/>
      <c r="C752" s="19"/>
      <c r="D752" s="19"/>
      <c r="E752" s="19"/>
      <c r="F752" s="18"/>
    </row>
    <row r="753" spans="1:6">
      <c r="A753" s="18"/>
      <c r="B753" s="18"/>
      <c r="C753" s="19"/>
      <c r="D753" s="19"/>
      <c r="E753" s="19"/>
      <c r="F753" s="18"/>
    </row>
    <row r="754" spans="1:6">
      <c r="A754" s="18"/>
      <c r="B754" s="18"/>
      <c r="C754" s="19"/>
      <c r="D754" s="19"/>
      <c r="E754" s="19"/>
      <c r="F754" s="18"/>
    </row>
    <row r="755" spans="1:6">
      <c r="A755" s="18"/>
      <c r="B755" s="18"/>
      <c r="C755" s="19"/>
      <c r="D755" s="19"/>
      <c r="E755" s="19"/>
      <c r="F755" s="18"/>
    </row>
    <row r="756" spans="1:6">
      <c r="A756" s="18"/>
      <c r="B756" s="18"/>
      <c r="C756" s="19"/>
      <c r="D756" s="19"/>
      <c r="E756" s="19"/>
      <c r="F756" s="18"/>
    </row>
    <row r="757" spans="1:6">
      <c r="A757" s="18"/>
      <c r="B757" s="18"/>
      <c r="C757" s="19"/>
      <c r="D757" s="19"/>
      <c r="E757" s="19"/>
      <c r="F757" s="18"/>
    </row>
    <row r="758" spans="1:6">
      <c r="A758" s="18"/>
      <c r="B758" s="18"/>
      <c r="C758" s="19"/>
      <c r="D758" s="19"/>
      <c r="E758" s="19"/>
      <c r="F758" s="18"/>
    </row>
    <row r="759" spans="1:6">
      <c r="A759" s="18"/>
      <c r="B759" s="18"/>
      <c r="C759" s="19"/>
      <c r="D759" s="19"/>
      <c r="E759" s="19"/>
      <c r="F759" s="18"/>
    </row>
    <row r="760" spans="1:6">
      <c r="A760" s="18"/>
      <c r="B760" s="18"/>
      <c r="C760" s="19"/>
      <c r="D760" s="19"/>
      <c r="E760" s="19"/>
      <c r="F760" s="18"/>
    </row>
    <row r="761" spans="1:6">
      <c r="A761" s="18"/>
      <c r="B761" s="18"/>
      <c r="C761" s="19"/>
      <c r="D761" s="19"/>
      <c r="E761" s="19"/>
      <c r="F761" s="18"/>
    </row>
    <row r="762" spans="1:6">
      <c r="A762" s="18"/>
      <c r="B762" s="18"/>
      <c r="C762" s="19"/>
      <c r="D762" s="19"/>
      <c r="E762" s="19"/>
      <c r="F762" s="18"/>
    </row>
    <row r="763" spans="1:6">
      <c r="A763" s="18"/>
      <c r="B763" s="18"/>
      <c r="C763" s="19"/>
      <c r="D763" s="19"/>
      <c r="E763" s="19"/>
      <c r="F763" s="18"/>
    </row>
    <row r="764" spans="1:6">
      <c r="A764" s="18"/>
      <c r="B764" s="18"/>
      <c r="C764" s="19"/>
      <c r="D764" s="19"/>
      <c r="E764" s="19"/>
      <c r="F764" s="18"/>
    </row>
    <row r="765" spans="1:6">
      <c r="A765" s="18"/>
      <c r="B765" s="18"/>
      <c r="C765" s="19"/>
      <c r="D765" s="19"/>
      <c r="E765" s="19"/>
      <c r="F765" s="18"/>
    </row>
    <row r="766" spans="1:6">
      <c r="A766" s="18"/>
      <c r="B766" s="18"/>
      <c r="C766" s="19"/>
      <c r="D766" s="19"/>
      <c r="E766" s="19"/>
      <c r="F766" s="18"/>
    </row>
    <row r="767" spans="1:6">
      <c r="A767" s="18"/>
      <c r="B767" s="18"/>
      <c r="C767" s="19"/>
      <c r="D767" s="19"/>
      <c r="E767" s="19"/>
      <c r="F767" s="18"/>
    </row>
    <row r="768" spans="1:6">
      <c r="A768" s="18"/>
      <c r="B768" s="18"/>
      <c r="C768" s="19"/>
      <c r="D768" s="19"/>
      <c r="E768" s="19"/>
      <c r="F768" s="18"/>
    </row>
    <row r="769" spans="1:6">
      <c r="A769" s="18"/>
      <c r="B769" s="18"/>
      <c r="C769" s="19"/>
      <c r="D769" s="19"/>
      <c r="E769" s="19"/>
      <c r="F769" s="18"/>
    </row>
    <row r="770" spans="1:6">
      <c r="A770" s="18"/>
      <c r="B770" s="18"/>
      <c r="C770" s="19"/>
      <c r="D770" s="19"/>
      <c r="E770" s="19"/>
      <c r="F770" s="18"/>
    </row>
    <row r="771" spans="1:6">
      <c r="A771" s="18"/>
      <c r="B771" s="18"/>
      <c r="C771" s="19"/>
      <c r="D771" s="19"/>
      <c r="E771" s="19"/>
      <c r="F771" s="18"/>
    </row>
    <row r="772" spans="1:6">
      <c r="A772" s="18"/>
      <c r="B772" s="18"/>
      <c r="C772" s="19"/>
      <c r="D772" s="19"/>
      <c r="E772" s="19"/>
      <c r="F772" s="18"/>
    </row>
    <row r="773" spans="1:6">
      <c r="A773" s="18"/>
      <c r="B773" s="18"/>
      <c r="C773" s="19"/>
      <c r="D773" s="19"/>
      <c r="E773" s="19"/>
      <c r="F773" s="18"/>
    </row>
    <row r="774" spans="1:6">
      <c r="A774" s="18"/>
      <c r="B774" s="18"/>
      <c r="C774" s="19"/>
      <c r="D774" s="19"/>
      <c r="E774" s="19"/>
      <c r="F774" s="18"/>
    </row>
    <row r="775" spans="1:6">
      <c r="A775" s="18"/>
      <c r="B775" s="18"/>
      <c r="C775" s="19"/>
      <c r="D775" s="19"/>
      <c r="E775" s="19"/>
      <c r="F775" s="18"/>
    </row>
    <row r="776" spans="1:6">
      <c r="A776" s="18"/>
      <c r="B776" s="18"/>
      <c r="C776" s="19"/>
      <c r="D776" s="19"/>
      <c r="E776" s="19"/>
      <c r="F776" s="18"/>
    </row>
    <row r="777" spans="1:6">
      <c r="A777" s="18"/>
      <c r="B777" s="18"/>
      <c r="C777" s="19"/>
      <c r="D777" s="19"/>
      <c r="E777" s="19"/>
      <c r="F777" s="18"/>
    </row>
    <row r="778" spans="1:6">
      <c r="A778" s="18"/>
      <c r="B778" s="18"/>
      <c r="C778" s="19"/>
      <c r="D778" s="19"/>
      <c r="E778" s="19"/>
      <c r="F778" s="18"/>
    </row>
    <row r="779" spans="1:6">
      <c r="A779" s="18"/>
      <c r="B779" s="18"/>
      <c r="C779" s="19"/>
      <c r="D779" s="19"/>
      <c r="E779" s="19"/>
      <c r="F779" s="18"/>
    </row>
    <row r="780" spans="1:6">
      <c r="A780" s="18"/>
      <c r="B780" s="18"/>
      <c r="C780" s="19"/>
      <c r="D780" s="19"/>
      <c r="E780" s="19"/>
      <c r="F780" s="18"/>
    </row>
    <row r="781" spans="1:6">
      <c r="A781" s="18"/>
      <c r="B781" s="18"/>
      <c r="C781" s="19"/>
      <c r="D781" s="19"/>
      <c r="E781" s="19"/>
      <c r="F781" s="18"/>
    </row>
    <row r="782" spans="1:6">
      <c r="A782" s="18"/>
      <c r="B782" s="18"/>
      <c r="C782" s="19"/>
      <c r="D782" s="19"/>
      <c r="E782" s="19"/>
      <c r="F782" s="18"/>
    </row>
    <row r="783" spans="1:6">
      <c r="A783" s="18"/>
      <c r="B783" s="18"/>
      <c r="C783" s="19"/>
      <c r="D783" s="19"/>
      <c r="E783" s="19"/>
      <c r="F783" s="18"/>
    </row>
    <row r="784" spans="1:6">
      <c r="A784" s="18"/>
      <c r="B784" s="18"/>
      <c r="C784" s="19"/>
      <c r="D784" s="19"/>
      <c r="E784" s="19"/>
      <c r="F784" s="18"/>
    </row>
    <row r="785" spans="1:6">
      <c r="A785" s="18"/>
      <c r="B785" s="18"/>
      <c r="C785" s="19"/>
      <c r="D785" s="19"/>
      <c r="E785" s="19"/>
      <c r="F785" s="18"/>
    </row>
    <row r="786" spans="1:6">
      <c r="A786" s="18"/>
      <c r="B786" s="18"/>
      <c r="C786" s="19"/>
      <c r="D786" s="19"/>
      <c r="E786" s="19"/>
      <c r="F786" s="18"/>
    </row>
    <row r="787" spans="1:6">
      <c r="A787" s="18"/>
      <c r="B787" s="18"/>
      <c r="C787" s="19"/>
      <c r="D787" s="19"/>
      <c r="E787" s="19"/>
      <c r="F787" s="18"/>
    </row>
    <row r="788" spans="1:6">
      <c r="A788" s="18"/>
      <c r="B788" s="18"/>
      <c r="C788" s="19"/>
      <c r="D788" s="19"/>
      <c r="E788" s="19"/>
      <c r="F788" s="18"/>
    </row>
    <row r="789" spans="1:6">
      <c r="A789" s="18"/>
      <c r="B789" s="18"/>
      <c r="C789" s="19"/>
      <c r="D789" s="19"/>
      <c r="E789" s="19"/>
      <c r="F789" s="18"/>
    </row>
    <row r="790" spans="1:6">
      <c r="A790" s="18"/>
      <c r="B790" s="18"/>
      <c r="C790" s="19"/>
      <c r="D790" s="19"/>
      <c r="E790" s="19"/>
      <c r="F790" s="18"/>
    </row>
    <row r="791" spans="1:6">
      <c r="A791" s="18"/>
      <c r="B791" s="18"/>
      <c r="C791" s="19"/>
      <c r="D791" s="19"/>
      <c r="E791" s="19"/>
      <c r="F791" s="18"/>
    </row>
    <row r="792" spans="1:6">
      <c r="A792" s="18"/>
      <c r="B792" s="18"/>
      <c r="C792" s="19"/>
      <c r="D792" s="19"/>
      <c r="E792" s="19"/>
      <c r="F792" s="18"/>
    </row>
    <row r="793" spans="1:6">
      <c r="A793" s="18"/>
      <c r="B793" s="18"/>
      <c r="C793" s="19"/>
      <c r="D793" s="19"/>
      <c r="E793" s="19"/>
      <c r="F793" s="18"/>
    </row>
    <row r="794" spans="1:6">
      <c r="A794" s="18"/>
      <c r="B794" s="18"/>
      <c r="C794" s="19"/>
      <c r="D794" s="19"/>
      <c r="E794" s="19"/>
      <c r="F794" s="18"/>
    </row>
    <row r="795" spans="1:6">
      <c r="A795" s="18"/>
      <c r="B795" s="18"/>
      <c r="C795" s="19"/>
      <c r="D795" s="19"/>
      <c r="E795" s="19"/>
      <c r="F795" s="18"/>
    </row>
    <row r="796" spans="1:6">
      <c r="A796" s="18"/>
      <c r="B796" s="18"/>
      <c r="C796" s="19"/>
      <c r="D796" s="19"/>
      <c r="E796" s="19"/>
      <c r="F796" s="18"/>
    </row>
    <row r="797" spans="1:6">
      <c r="A797" s="18"/>
      <c r="B797" s="18"/>
      <c r="C797" s="19"/>
      <c r="D797" s="19"/>
      <c r="E797" s="19"/>
      <c r="F797" s="18"/>
    </row>
    <row r="798" spans="1:6">
      <c r="A798" s="18"/>
      <c r="B798" s="18"/>
      <c r="C798" s="19"/>
      <c r="D798" s="19"/>
      <c r="E798" s="19"/>
      <c r="F798" s="18"/>
    </row>
    <row r="799" spans="1:6">
      <c r="A799" s="18"/>
      <c r="B799" s="18"/>
      <c r="C799" s="19"/>
      <c r="D799" s="19"/>
      <c r="E799" s="19"/>
      <c r="F799" s="18"/>
    </row>
    <row r="800" spans="1:6">
      <c r="A800" s="18"/>
      <c r="B800" s="18"/>
      <c r="C800" s="19"/>
      <c r="D800" s="19"/>
      <c r="E800" s="19"/>
      <c r="F800" s="18"/>
    </row>
    <row r="801" spans="1:6">
      <c r="A801" s="18"/>
      <c r="B801" s="18"/>
      <c r="C801" s="19"/>
      <c r="D801" s="19"/>
      <c r="E801" s="19"/>
      <c r="F801" s="18"/>
    </row>
    <row r="802" spans="1:6">
      <c r="A802" s="18"/>
      <c r="B802" s="18"/>
      <c r="C802" s="19"/>
      <c r="D802" s="19"/>
      <c r="E802" s="19"/>
      <c r="F802" s="18"/>
    </row>
    <row r="803" spans="1:6">
      <c r="A803" s="18"/>
      <c r="B803" s="18"/>
      <c r="C803" s="19"/>
      <c r="D803" s="19"/>
      <c r="E803" s="19"/>
      <c r="F803" s="18"/>
    </row>
    <row r="804" spans="1:6">
      <c r="A804" s="18"/>
      <c r="B804" s="18"/>
      <c r="C804" s="19"/>
      <c r="D804" s="19"/>
      <c r="E804" s="19"/>
      <c r="F804" s="18"/>
    </row>
    <row r="805" spans="1:6">
      <c r="A805" s="18"/>
      <c r="B805" s="18"/>
      <c r="C805" s="19"/>
      <c r="D805" s="19"/>
      <c r="E805" s="19"/>
      <c r="F805" s="18"/>
    </row>
    <row r="806" spans="1:6">
      <c r="A806" s="18"/>
      <c r="B806" s="18"/>
      <c r="C806" s="19"/>
      <c r="D806" s="19"/>
      <c r="E806" s="19"/>
      <c r="F806" s="18"/>
    </row>
    <row r="807" spans="1:6">
      <c r="A807" s="18"/>
      <c r="B807" s="18"/>
      <c r="C807" s="19"/>
      <c r="D807" s="19"/>
      <c r="E807" s="19"/>
      <c r="F807" s="18"/>
    </row>
    <row r="808" spans="1:6">
      <c r="A808" s="18"/>
      <c r="B808" s="18"/>
      <c r="C808" s="19"/>
      <c r="D808" s="19"/>
      <c r="E808" s="19"/>
      <c r="F808" s="18"/>
    </row>
    <row r="809" spans="1:6">
      <c r="A809" s="18"/>
      <c r="B809" s="18"/>
      <c r="C809" s="19"/>
      <c r="D809" s="19"/>
      <c r="E809" s="19"/>
      <c r="F809" s="18"/>
    </row>
    <row r="810" spans="1:6">
      <c r="A810" s="18"/>
      <c r="B810" s="18"/>
      <c r="C810" s="19"/>
      <c r="D810" s="19"/>
      <c r="E810" s="19"/>
      <c r="F810" s="18"/>
    </row>
    <row r="811" spans="1:6">
      <c r="A811" s="18"/>
      <c r="B811" s="18"/>
      <c r="C811" s="19"/>
      <c r="D811" s="19"/>
      <c r="E811" s="19"/>
      <c r="F811" s="18"/>
    </row>
    <row r="812" spans="1:6">
      <c r="A812" s="18"/>
      <c r="B812" s="18"/>
      <c r="C812" s="19"/>
      <c r="D812" s="19"/>
      <c r="E812" s="19"/>
      <c r="F812" s="18"/>
    </row>
    <row r="813" spans="1:6">
      <c r="A813" s="18"/>
      <c r="B813" s="18"/>
      <c r="C813" s="19"/>
      <c r="D813" s="19"/>
      <c r="E813" s="19"/>
      <c r="F813" s="18"/>
    </row>
    <row r="814" spans="1:6">
      <c r="A814" s="18"/>
      <c r="B814" s="18"/>
      <c r="C814" s="19"/>
      <c r="D814" s="19"/>
      <c r="E814" s="19"/>
      <c r="F814" s="18"/>
    </row>
    <row r="815" spans="1:6">
      <c r="A815" s="18"/>
      <c r="B815" s="18"/>
      <c r="C815" s="19"/>
      <c r="D815" s="19"/>
      <c r="E815" s="19"/>
      <c r="F815" s="18"/>
    </row>
    <row r="816" spans="1:6">
      <c r="A816" s="18"/>
      <c r="B816" s="18"/>
      <c r="C816" s="19"/>
      <c r="D816" s="19"/>
      <c r="E816" s="19"/>
      <c r="F816" s="18"/>
    </row>
    <row r="817" spans="1:6">
      <c r="A817" s="18"/>
      <c r="B817" s="18"/>
      <c r="C817" s="19"/>
      <c r="D817" s="19"/>
      <c r="E817" s="19"/>
      <c r="F817" s="18"/>
    </row>
    <row r="818" spans="1:6">
      <c r="A818" s="18"/>
      <c r="B818" s="18"/>
      <c r="C818" s="19"/>
      <c r="D818" s="19"/>
      <c r="E818" s="19"/>
      <c r="F818" s="18"/>
    </row>
    <row r="819" spans="1:6">
      <c r="A819" s="18"/>
      <c r="B819" s="18"/>
      <c r="C819" s="19"/>
      <c r="D819" s="19"/>
      <c r="E819" s="19"/>
      <c r="F819" s="18"/>
    </row>
    <row r="820" spans="1:6">
      <c r="A820" s="18"/>
      <c r="B820" s="18"/>
      <c r="C820" s="19"/>
      <c r="D820" s="19"/>
      <c r="E820" s="19"/>
      <c r="F820" s="18"/>
    </row>
    <row r="821" spans="1:6">
      <c r="A821" s="18"/>
      <c r="B821" s="18"/>
      <c r="C821" s="19"/>
      <c r="D821" s="19"/>
      <c r="E821" s="19"/>
      <c r="F821" s="18"/>
    </row>
    <row r="822" spans="1:6">
      <c r="A822" s="18"/>
      <c r="B822" s="18"/>
      <c r="C822" s="19"/>
      <c r="D822" s="19"/>
      <c r="E822" s="19"/>
      <c r="F822" s="18"/>
    </row>
    <row r="823" spans="1:6">
      <c r="A823" s="18"/>
      <c r="B823" s="18"/>
      <c r="C823" s="19"/>
      <c r="D823" s="19"/>
      <c r="E823" s="19"/>
      <c r="F823" s="18"/>
    </row>
    <row r="824" spans="1:6">
      <c r="A824" s="18"/>
      <c r="B824" s="18"/>
      <c r="C824" s="19"/>
      <c r="D824" s="19"/>
      <c r="E824" s="19"/>
      <c r="F824" s="18"/>
    </row>
    <row r="825" spans="1:6">
      <c r="A825" s="18"/>
      <c r="B825" s="18"/>
      <c r="C825" s="19"/>
      <c r="D825" s="19"/>
      <c r="E825" s="19"/>
      <c r="F825" s="18"/>
    </row>
    <row r="826" spans="1:6">
      <c r="A826" s="18"/>
      <c r="B826" s="18"/>
      <c r="C826" s="19"/>
      <c r="D826" s="19"/>
      <c r="E826" s="19"/>
      <c r="F826" s="18"/>
    </row>
    <row r="827" spans="1:6">
      <c r="A827" s="18"/>
      <c r="B827" s="18"/>
      <c r="C827" s="19"/>
      <c r="D827" s="19"/>
      <c r="E827" s="19"/>
      <c r="F827" s="18"/>
    </row>
    <row r="828" spans="1:6">
      <c r="A828" s="18"/>
      <c r="B828" s="18"/>
      <c r="C828" s="19"/>
      <c r="D828" s="19"/>
      <c r="E828" s="19"/>
      <c r="F828" s="18"/>
    </row>
    <row r="829" spans="1:6">
      <c r="A829" s="18"/>
      <c r="B829" s="18"/>
      <c r="C829" s="19"/>
      <c r="D829" s="19"/>
      <c r="E829" s="19"/>
      <c r="F829" s="18"/>
    </row>
    <row r="830" spans="1:6">
      <c r="A830" s="18"/>
      <c r="B830" s="18"/>
      <c r="C830" s="19"/>
      <c r="D830" s="19"/>
      <c r="E830" s="19"/>
      <c r="F830" s="18"/>
    </row>
    <row r="831" spans="1:6">
      <c r="A831" s="18"/>
      <c r="B831" s="18"/>
      <c r="C831" s="19"/>
      <c r="D831" s="19"/>
      <c r="E831" s="19"/>
      <c r="F831" s="18"/>
    </row>
    <row r="832" spans="1:6">
      <c r="A832" s="18"/>
      <c r="B832" s="18"/>
      <c r="C832" s="19"/>
      <c r="D832" s="19"/>
      <c r="E832" s="19"/>
      <c r="F832" s="18"/>
    </row>
    <row r="833" spans="1:6">
      <c r="A833" s="18"/>
      <c r="B833" s="18"/>
      <c r="C833" s="19"/>
      <c r="D833" s="19"/>
      <c r="E833" s="19"/>
      <c r="F833" s="18"/>
    </row>
    <row r="834" spans="1:6">
      <c r="A834" s="18"/>
      <c r="B834" s="18"/>
      <c r="C834" s="19"/>
      <c r="D834" s="19"/>
      <c r="E834" s="19"/>
      <c r="F834" s="18"/>
    </row>
    <row r="835" spans="1:6">
      <c r="A835" s="18"/>
      <c r="B835" s="18"/>
      <c r="C835" s="19"/>
      <c r="D835" s="19"/>
      <c r="E835" s="19"/>
      <c r="F835" s="18"/>
    </row>
    <row r="836" spans="1:6">
      <c r="A836" s="18"/>
      <c r="B836" s="18"/>
      <c r="C836" s="19"/>
      <c r="D836" s="19"/>
      <c r="E836" s="19"/>
      <c r="F836" s="18"/>
    </row>
    <row r="837" spans="1:6">
      <c r="A837" s="18"/>
      <c r="B837" s="18"/>
      <c r="C837" s="19"/>
      <c r="D837" s="19"/>
      <c r="E837" s="19"/>
      <c r="F837" s="18"/>
    </row>
    <row r="838" spans="1:6">
      <c r="A838" s="18"/>
      <c r="B838" s="18"/>
      <c r="C838" s="19"/>
      <c r="D838" s="19"/>
      <c r="E838" s="19"/>
      <c r="F838" s="18"/>
    </row>
    <row r="839" spans="1:6">
      <c r="A839" s="18"/>
      <c r="B839" s="18"/>
      <c r="C839" s="19"/>
      <c r="D839" s="19"/>
      <c r="E839" s="19"/>
      <c r="F839" s="18"/>
    </row>
    <row r="840" spans="1:6">
      <c r="A840" s="18"/>
      <c r="B840" s="18"/>
      <c r="C840" s="19"/>
      <c r="D840" s="19"/>
      <c r="E840" s="19"/>
      <c r="F840" s="18"/>
    </row>
    <row r="841" spans="1:6">
      <c r="A841" s="18"/>
      <c r="B841" s="18"/>
      <c r="C841" s="19"/>
      <c r="D841" s="19"/>
      <c r="E841" s="19"/>
      <c r="F841" s="18"/>
    </row>
    <row r="842" spans="1:6">
      <c r="A842" s="18"/>
      <c r="B842" s="18"/>
      <c r="C842" s="19"/>
      <c r="D842" s="19"/>
      <c r="E842" s="19"/>
      <c r="F842" s="18"/>
    </row>
    <row r="843" spans="1:6">
      <c r="A843" s="18"/>
      <c r="B843" s="18"/>
      <c r="C843" s="19"/>
      <c r="D843" s="19"/>
      <c r="E843" s="19"/>
      <c r="F843" s="18"/>
    </row>
    <row r="844" spans="1:6">
      <c r="A844" s="18"/>
      <c r="B844" s="18"/>
      <c r="C844" s="19"/>
      <c r="D844" s="19"/>
      <c r="E844" s="19"/>
      <c r="F844" s="18"/>
    </row>
    <row r="845" spans="1:6">
      <c r="A845" s="18"/>
      <c r="B845" s="18"/>
      <c r="C845" s="19"/>
      <c r="D845" s="19"/>
      <c r="E845" s="19"/>
      <c r="F845" s="18"/>
    </row>
    <row r="846" spans="1:6">
      <c r="A846" s="18"/>
      <c r="B846" s="18"/>
      <c r="C846" s="19"/>
      <c r="D846" s="19"/>
      <c r="E846" s="19"/>
      <c r="F846" s="18"/>
    </row>
    <row r="847" spans="1:6">
      <c r="A847" s="18"/>
      <c r="B847" s="18"/>
      <c r="C847" s="19"/>
      <c r="D847" s="19"/>
      <c r="E847" s="19"/>
      <c r="F847" s="18"/>
    </row>
    <row r="848" spans="1:6">
      <c r="A848" s="18"/>
      <c r="B848" s="18"/>
      <c r="C848" s="19"/>
      <c r="D848" s="19"/>
      <c r="E848" s="19"/>
      <c r="F848" s="18"/>
    </row>
    <row r="849" spans="1:6">
      <c r="A849" s="18"/>
      <c r="B849" s="18"/>
      <c r="C849" s="19"/>
      <c r="D849" s="19"/>
      <c r="E849" s="19"/>
      <c r="F849" s="18"/>
    </row>
  </sheetData>
  <mergeCells count="4">
    <mergeCell ref="H1:M1"/>
    <mergeCell ref="M3:M9"/>
    <mergeCell ref="Q2:Q5"/>
    <mergeCell ref="M11:M15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A8BA-E6F7-E944-90D9-F328BB9A2289}">
  <dimension ref="A1:P161"/>
  <sheetViews>
    <sheetView zoomScale="99" workbookViewId="0">
      <selection activeCell="I67" sqref="I67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2" width="11.5" bestFit="1" customWidth="1"/>
    <col min="13" max="13" width="25.6640625" bestFit="1" customWidth="1"/>
    <col min="15" max="15" width="19.5" bestFit="1" customWidth="1"/>
  </cols>
  <sheetData>
    <row r="1" spans="1:16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6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6">
      <c r="A3" s="2">
        <v>44135</v>
      </c>
      <c r="B3" s="473" t="s">
        <v>144</v>
      </c>
      <c r="C3" s="474"/>
      <c r="D3" s="475"/>
      <c r="E3" s="3">
        <v>4496.21</v>
      </c>
      <c r="F3" s="31" t="s">
        <v>491</v>
      </c>
      <c r="G3" s="32">
        <f>+D4+D7+D15</f>
        <v>58540</v>
      </c>
      <c r="H3" s="2">
        <v>44135</v>
      </c>
      <c r="I3" s="473" t="s">
        <v>4</v>
      </c>
      <c r="J3" s="474"/>
      <c r="K3" s="475"/>
      <c r="L3" s="3">
        <v>2600</v>
      </c>
      <c r="M3" s="34"/>
    </row>
    <row r="4" spans="1:16">
      <c r="A4" s="2">
        <v>44136</v>
      </c>
      <c r="B4" s="1" t="s">
        <v>490</v>
      </c>
      <c r="C4" s="3"/>
      <c r="D4" s="3">
        <v>25000</v>
      </c>
      <c r="E4" s="3">
        <f>+E3-C4+D4</f>
        <v>29496.21</v>
      </c>
      <c r="F4" s="44"/>
      <c r="G4" s="39" t="s">
        <v>170</v>
      </c>
      <c r="H4" s="2">
        <v>44138</v>
      </c>
      <c r="I4" s="1" t="s">
        <v>83</v>
      </c>
      <c r="J4" s="3">
        <f>2350-J5</f>
        <v>1450</v>
      </c>
      <c r="K4" s="3"/>
      <c r="L4" s="3">
        <f>L3+K4-J4</f>
        <v>1150</v>
      </c>
      <c r="M4" s="85"/>
    </row>
    <row r="5" spans="1:16">
      <c r="A5" s="2">
        <v>44137</v>
      </c>
      <c r="B5" s="1" t="s">
        <v>492</v>
      </c>
      <c r="C5" s="3">
        <v>2300</v>
      </c>
      <c r="D5" s="3"/>
      <c r="E5" s="3">
        <f t="shared" ref="E5:E32" si="0">+E4-C5+D5</f>
        <v>27196.21</v>
      </c>
      <c r="F5" s="44"/>
      <c r="G5" s="56">
        <f>+E34+L43</f>
        <v>7434.4199999999983</v>
      </c>
      <c r="H5" s="2">
        <v>44138</v>
      </c>
      <c r="I5" s="1" t="s">
        <v>496</v>
      </c>
      <c r="J5" s="3">
        <v>900</v>
      </c>
      <c r="K5" s="3"/>
      <c r="L5" s="3">
        <f t="shared" ref="L5:L59" si="1">L4+K5-J5</f>
        <v>250</v>
      </c>
      <c r="M5" s="86"/>
    </row>
    <row r="6" spans="1:16">
      <c r="A6" s="2">
        <v>44137</v>
      </c>
      <c r="B6" s="1" t="s">
        <v>541</v>
      </c>
      <c r="C6" s="3">
        <v>2500</v>
      </c>
      <c r="D6" s="3"/>
      <c r="E6" s="3">
        <f t="shared" si="0"/>
        <v>24696.21</v>
      </c>
      <c r="F6" s="30"/>
      <c r="G6" s="41"/>
      <c r="H6" s="2">
        <v>44138</v>
      </c>
      <c r="I6" s="1" t="s">
        <v>495</v>
      </c>
      <c r="J6" s="3">
        <v>250</v>
      </c>
      <c r="K6" s="3"/>
      <c r="L6" s="3">
        <f t="shared" si="1"/>
        <v>0</v>
      </c>
      <c r="M6" s="64"/>
    </row>
    <row r="7" spans="1:16">
      <c r="A7" s="2">
        <v>44138</v>
      </c>
      <c r="B7" s="36" t="s">
        <v>490</v>
      </c>
      <c r="C7" s="37"/>
      <c r="D7" s="3">
        <v>30000</v>
      </c>
      <c r="E7" s="3">
        <f t="shared" si="0"/>
        <v>54696.21</v>
      </c>
      <c r="F7" s="64"/>
      <c r="G7" s="41"/>
      <c r="H7" s="2">
        <v>44139</v>
      </c>
      <c r="I7" s="1" t="s">
        <v>498</v>
      </c>
      <c r="J7" s="3"/>
      <c r="K7" s="3">
        <v>10000</v>
      </c>
      <c r="L7" s="3">
        <f t="shared" si="1"/>
        <v>10000</v>
      </c>
      <c r="M7" s="1"/>
    </row>
    <row r="8" spans="1:16">
      <c r="A8" s="2">
        <v>44138</v>
      </c>
      <c r="B8" s="1" t="s">
        <v>497</v>
      </c>
      <c r="C8" s="3">
        <v>5000</v>
      </c>
      <c r="D8" s="3"/>
      <c r="E8" s="3">
        <f t="shared" si="0"/>
        <v>49696.21</v>
      </c>
      <c r="F8" s="44"/>
      <c r="H8" s="2">
        <v>44139</v>
      </c>
      <c r="I8" s="1" t="s">
        <v>499</v>
      </c>
      <c r="J8" s="60">
        <v>2400</v>
      </c>
      <c r="K8" s="60"/>
      <c r="L8" s="3">
        <f t="shared" si="1"/>
        <v>7600</v>
      </c>
      <c r="M8" s="64"/>
    </row>
    <row r="9" spans="1:16">
      <c r="A9" s="2">
        <v>44138</v>
      </c>
      <c r="B9" s="1" t="s">
        <v>498</v>
      </c>
      <c r="C9" s="3">
        <v>10000</v>
      </c>
      <c r="D9" s="3"/>
      <c r="E9" s="3">
        <f t="shared" si="0"/>
        <v>39696.21</v>
      </c>
      <c r="F9" s="53"/>
      <c r="H9" s="2">
        <v>44140</v>
      </c>
      <c r="I9" s="1" t="s">
        <v>505</v>
      </c>
      <c r="J9" s="3">
        <v>270</v>
      </c>
      <c r="K9" s="3"/>
      <c r="L9" s="3">
        <f t="shared" si="1"/>
        <v>7330</v>
      </c>
      <c r="M9" s="1"/>
      <c r="O9" s="83"/>
      <c r="P9" s="57"/>
    </row>
    <row r="10" spans="1:16">
      <c r="A10" s="2">
        <v>44140</v>
      </c>
      <c r="B10" s="1" t="s">
        <v>501</v>
      </c>
      <c r="C10" s="3"/>
      <c r="D10" s="3">
        <v>3348.12</v>
      </c>
      <c r="E10" s="3">
        <f t="shared" si="0"/>
        <v>43044.33</v>
      </c>
      <c r="F10" s="1"/>
      <c r="H10" s="2">
        <v>44140</v>
      </c>
      <c r="I10" s="1" t="s">
        <v>506</v>
      </c>
      <c r="J10" s="3">
        <v>500</v>
      </c>
      <c r="K10" s="3"/>
      <c r="L10" s="3">
        <f t="shared" si="1"/>
        <v>6830</v>
      </c>
      <c r="M10" s="64"/>
      <c r="N10" s="57"/>
      <c r="O10" s="57"/>
      <c r="P10" s="57"/>
    </row>
    <row r="11" spans="1:16">
      <c r="A11" s="2">
        <v>44141</v>
      </c>
      <c r="B11" s="1" t="s">
        <v>500</v>
      </c>
      <c r="C11" s="3">
        <v>450</v>
      </c>
      <c r="D11" s="3"/>
      <c r="E11" s="3">
        <f t="shared" si="0"/>
        <v>42594.33</v>
      </c>
      <c r="F11" s="44"/>
      <c r="H11" s="58">
        <v>44140</v>
      </c>
      <c r="I11" s="59" t="s">
        <v>507</v>
      </c>
      <c r="J11" s="60">
        <v>1000</v>
      </c>
      <c r="K11" s="3"/>
      <c r="L11" s="3">
        <f t="shared" si="1"/>
        <v>5830</v>
      </c>
      <c r="M11" s="64"/>
      <c r="N11" s="57"/>
      <c r="O11" s="57"/>
      <c r="P11" s="57"/>
    </row>
    <row r="12" spans="1:16">
      <c r="A12" s="2">
        <v>44142</v>
      </c>
      <c r="B12" s="1" t="s">
        <v>502</v>
      </c>
      <c r="C12" s="3">
        <v>5300</v>
      </c>
      <c r="D12" s="3"/>
      <c r="E12" s="3">
        <f t="shared" si="0"/>
        <v>37294.33</v>
      </c>
      <c r="F12" s="44"/>
      <c r="G12" s="41"/>
      <c r="H12" s="58">
        <v>44141</v>
      </c>
      <c r="I12" s="1" t="s">
        <v>508</v>
      </c>
      <c r="J12" s="3"/>
      <c r="K12" s="3">
        <v>1500</v>
      </c>
      <c r="L12" s="3">
        <f t="shared" si="1"/>
        <v>7330</v>
      </c>
      <c r="M12" s="44"/>
      <c r="N12" s="57"/>
      <c r="O12" s="57"/>
      <c r="P12" s="57"/>
    </row>
    <row r="13" spans="1:16">
      <c r="A13" s="2">
        <v>44144</v>
      </c>
      <c r="B13" s="1" t="s">
        <v>503</v>
      </c>
      <c r="C13" s="3">
        <v>1250</v>
      </c>
      <c r="D13" s="3"/>
      <c r="E13" s="3">
        <f t="shared" si="0"/>
        <v>36044.33</v>
      </c>
      <c r="F13" s="1"/>
      <c r="H13" s="58">
        <v>44141</v>
      </c>
      <c r="I13" s="1" t="s">
        <v>509</v>
      </c>
      <c r="J13" s="3"/>
      <c r="K13" s="3">
        <v>500</v>
      </c>
      <c r="L13" s="3">
        <f t="shared" si="1"/>
        <v>7830</v>
      </c>
      <c r="M13" s="44"/>
      <c r="O13" s="83"/>
      <c r="P13" s="57"/>
    </row>
    <row r="14" spans="1:16">
      <c r="A14" s="58">
        <v>44146</v>
      </c>
      <c r="B14" s="1" t="s">
        <v>504</v>
      </c>
      <c r="C14" s="3">
        <v>2300.23</v>
      </c>
      <c r="D14" s="3"/>
      <c r="E14" s="3">
        <f t="shared" si="0"/>
        <v>33744.1</v>
      </c>
      <c r="F14" s="44"/>
      <c r="G14" s="57"/>
      <c r="H14" s="58">
        <v>44146</v>
      </c>
      <c r="I14" s="1" t="s">
        <v>510</v>
      </c>
      <c r="J14" s="3">
        <v>2270</v>
      </c>
      <c r="K14" s="3"/>
      <c r="L14" s="3">
        <f t="shared" si="1"/>
        <v>5560</v>
      </c>
      <c r="M14" s="64"/>
      <c r="O14" s="57"/>
      <c r="P14" s="57"/>
    </row>
    <row r="15" spans="1:16">
      <c r="A15" s="2">
        <v>44146</v>
      </c>
      <c r="B15" s="36" t="s">
        <v>490</v>
      </c>
      <c r="C15" s="3"/>
      <c r="D15" s="3">
        <v>3540</v>
      </c>
      <c r="E15" s="3">
        <f t="shared" si="0"/>
        <v>37284.1</v>
      </c>
      <c r="F15" s="44"/>
      <c r="H15" s="58">
        <v>44146</v>
      </c>
      <c r="I15" s="1" t="s">
        <v>511</v>
      </c>
      <c r="J15" s="3">
        <v>540</v>
      </c>
      <c r="K15" s="1"/>
      <c r="L15" s="3">
        <f t="shared" si="1"/>
        <v>5020</v>
      </c>
      <c r="M15" s="64"/>
      <c r="O15" s="57"/>
      <c r="P15" s="57"/>
    </row>
    <row r="16" spans="1:16">
      <c r="A16" s="58">
        <v>44149</v>
      </c>
      <c r="B16" s="1" t="s">
        <v>519</v>
      </c>
      <c r="C16" s="10">
        <v>12000</v>
      </c>
      <c r="D16" s="3"/>
      <c r="E16" s="3">
        <f t="shared" si="0"/>
        <v>25284.1</v>
      </c>
      <c r="F16" s="44"/>
      <c r="H16" s="58">
        <v>44147</v>
      </c>
      <c r="I16" s="6" t="s">
        <v>505</v>
      </c>
      <c r="J16" s="10">
        <v>220</v>
      </c>
      <c r="K16" s="1"/>
      <c r="L16" s="3">
        <f t="shared" si="1"/>
        <v>4800</v>
      </c>
      <c r="M16" s="44"/>
    </row>
    <row r="17" spans="1:15">
      <c r="A17" s="58">
        <v>44149</v>
      </c>
      <c r="B17" s="1" t="s">
        <v>520</v>
      </c>
      <c r="C17" s="10">
        <v>1510</v>
      </c>
      <c r="D17" s="3"/>
      <c r="E17" s="3">
        <f t="shared" si="0"/>
        <v>23774.1</v>
      </c>
      <c r="F17" s="57"/>
      <c r="H17" s="58">
        <v>44147</v>
      </c>
      <c r="I17" s="6" t="s">
        <v>83</v>
      </c>
      <c r="J17" s="10">
        <v>2380</v>
      </c>
      <c r="K17" s="1"/>
      <c r="L17" s="3">
        <f t="shared" si="1"/>
        <v>2420</v>
      </c>
      <c r="M17" s="64"/>
      <c r="O17" s="83"/>
    </row>
    <row r="18" spans="1:15">
      <c r="A18" s="2">
        <v>44155</v>
      </c>
      <c r="B18" s="6" t="s">
        <v>504</v>
      </c>
      <c r="C18" s="10">
        <v>2200</v>
      </c>
      <c r="D18" s="3"/>
      <c r="E18" s="3">
        <f t="shared" si="0"/>
        <v>21574.1</v>
      </c>
      <c r="F18" s="1"/>
      <c r="H18" s="58">
        <v>44147</v>
      </c>
      <c r="I18" s="6" t="s">
        <v>365</v>
      </c>
      <c r="J18" s="10">
        <v>800</v>
      </c>
      <c r="K18" s="3"/>
      <c r="L18" s="3">
        <f t="shared" si="1"/>
        <v>1620</v>
      </c>
      <c r="M18" s="64"/>
      <c r="N18" s="57"/>
    </row>
    <row r="19" spans="1:15">
      <c r="A19" s="2">
        <v>44158</v>
      </c>
      <c r="B19" s="6" t="s">
        <v>533</v>
      </c>
      <c r="C19" s="10"/>
      <c r="D19" s="3">
        <v>1000.32</v>
      </c>
      <c r="E19" s="3">
        <f t="shared" si="0"/>
        <v>22574.42</v>
      </c>
      <c r="F19" s="44"/>
      <c r="H19" s="58">
        <v>44147</v>
      </c>
      <c r="I19" s="6" t="s">
        <v>394</v>
      </c>
      <c r="J19" s="10">
        <v>100</v>
      </c>
      <c r="K19" s="10"/>
      <c r="L19" s="3">
        <f t="shared" si="1"/>
        <v>1520</v>
      </c>
      <c r="M19" s="68"/>
    </row>
    <row r="20" spans="1:15">
      <c r="A20" s="2">
        <v>44160</v>
      </c>
      <c r="B20" s="1" t="s">
        <v>538</v>
      </c>
      <c r="C20" s="3">
        <v>10000</v>
      </c>
      <c r="D20" s="3"/>
      <c r="E20" s="3">
        <f t="shared" si="0"/>
        <v>12574.419999999998</v>
      </c>
      <c r="F20" s="1"/>
      <c r="H20" s="2">
        <v>44143</v>
      </c>
      <c r="I20" s="6" t="s">
        <v>512</v>
      </c>
      <c r="J20" s="10">
        <v>520</v>
      </c>
      <c r="K20" s="3"/>
      <c r="L20" s="3">
        <f t="shared" si="1"/>
        <v>1000</v>
      </c>
      <c r="M20" s="1"/>
    </row>
    <row r="21" spans="1:15">
      <c r="A21" s="2">
        <v>44160</v>
      </c>
      <c r="B21" s="1" t="s">
        <v>537</v>
      </c>
      <c r="C21" s="3">
        <v>1500</v>
      </c>
      <c r="D21" s="3"/>
      <c r="E21" s="3">
        <f t="shared" si="0"/>
        <v>11074.419999999998</v>
      </c>
      <c r="F21" s="1"/>
      <c r="H21" s="2">
        <v>44148</v>
      </c>
      <c r="I21" s="6" t="s">
        <v>513</v>
      </c>
      <c r="J21" s="10"/>
      <c r="K21" s="3">
        <v>2000</v>
      </c>
      <c r="L21" s="3">
        <f t="shared" si="1"/>
        <v>3000</v>
      </c>
      <c r="M21" s="1"/>
    </row>
    <row r="22" spans="1:15">
      <c r="A22" s="2">
        <v>44161</v>
      </c>
      <c r="B22" s="1" t="s">
        <v>540</v>
      </c>
      <c r="C22" s="3">
        <v>2500</v>
      </c>
      <c r="D22" s="3"/>
      <c r="E22" s="3">
        <f t="shared" si="0"/>
        <v>8574.4199999999983</v>
      </c>
      <c r="F22" s="44"/>
      <c r="H22" s="2">
        <v>44148</v>
      </c>
      <c r="I22" s="6" t="s">
        <v>171</v>
      </c>
      <c r="J22" s="10">
        <v>1050</v>
      </c>
      <c r="K22" s="3"/>
      <c r="L22" s="3">
        <f t="shared" si="1"/>
        <v>1950</v>
      </c>
      <c r="M22" s="64"/>
    </row>
    <row r="23" spans="1:15">
      <c r="A23" s="2">
        <v>44161</v>
      </c>
      <c r="B23" s="1" t="s">
        <v>546</v>
      </c>
      <c r="C23" s="3">
        <v>1550</v>
      </c>
      <c r="D23" s="3"/>
      <c r="E23" s="3">
        <f t="shared" si="0"/>
        <v>7024.4199999999983</v>
      </c>
      <c r="F23" s="1"/>
      <c r="H23" s="2">
        <v>44148</v>
      </c>
      <c r="I23" s="59" t="s">
        <v>514</v>
      </c>
      <c r="J23" s="3">
        <v>270</v>
      </c>
      <c r="K23" s="3"/>
      <c r="L23" s="3">
        <f t="shared" si="1"/>
        <v>1680</v>
      </c>
      <c r="M23" s="89"/>
      <c r="N23" s="90"/>
    </row>
    <row r="24" spans="1:15">
      <c r="A24" s="2">
        <v>44163</v>
      </c>
      <c r="B24" s="1" t="s">
        <v>547</v>
      </c>
      <c r="C24" s="3"/>
      <c r="D24" s="3">
        <v>1850</v>
      </c>
      <c r="E24" s="3">
        <f t="shared" si="0"/>
        <v>8874.4199999999983</v>
      </c>
      <c r="F24" s="64"/>
      <c r="H24" s="2">
        <v>44148</v>
      </c>
      <c r="I24" s="1" t="s">
        <v>515</v>
      </c>
      <c r="J24" s="3">
        <v>755</v>
      </c>
      <c r="K24" s="3"/>
      <c r="L24" s="3">
        <f t="shared" si="1"/>
        <v>925</v>
      </c>
      <c r="M24" s="89"/>
      <c r="N24" s="90"/>
    </row>
    <row r="25" spans="1:15">
      <c r="A25" s="2">
        <v>44164</v>
      </c>
      <c r="B25" s="1" t="s">
        <v>548</v>
      </c>
      <c r="C25" s="3"/>
      <c r="D25" s="3">
        <v>1850</v>
      </c>
      <c r="E25" s="3">
        <f t="shared" si="0"/>
        <v>10724.419999999998</v>
      </c>
      <c r="F25" s="1"/>
      <c r="H25" s="2">
        <v>44148</v>
      </c>
      <c r="I25" s="6" t="s">
        <v>516</v>
      </c>
      <c r="J25" s="3">
        <v>300</v>
      </c>
      <c r="K25" s="3"/>
      <c r="L25" s="3">
        <f t="shared" si="1"/>
        <v>625</v>
      </c>
      <c r="M25" s="1"/>
    </row>
    <row r="26" spans="1:15">
      <c r="A26" s="2">
        <v>44164</v>
      </c>
      <c r="B26" s="1" t="s">
        <v>519</v>
      </c>
      <c r="C26" s="3">
        <v>5000</v>
      </c>
      <c r="D26" s="3"/>
      <c r="E26" s="3">
        <f t="shared" si="0"/>
        <v>5724.4199999999983</v>
      </c>
      <c r="F26" s="53"/>
      <c r="H26" s="58">
        <v>44149</v>
      </c>
      <c r="I26" s="1" t="s">
        <v>517</v>
      </c>
      <c r="J26" s="3">
        <v>440</v>
      </c>
      <c r="K26" s="3"/>
      <c r="L26" s="3">
        <f t="shared" si="1"/>
        <v>185</v>
      </c>
      <c r="M26" s="44"/>
    </row>
    <row r="27" spans="1:15">
      <c r="A27" s="11"/>
      <c r="B27" s="12"/>
      <c r="C27" s="13"/>
      <c r="D27" s="13"/>
      <c r="E27" s="13">
        <f t="shared" si="0"/>
        <v>5724.4199999999983</v>
      </c>
      <c r="F27" s="12"/>
      <c r="H27" s="58">
        <v>44149</v>
      </c>
      <c r="I27" s="1" t="s">
        <v>518</v>
      </c>
      <c r="J27" s="3">
        <v>180</v>
      </c>
      <c r="K27" s="3"/>
      <c r="L27" s="3">
        <f t="shared" si="1"/>
        <v>5</v>
      </c>
      <c r="M27" s="1"/>
    </row>
    <row r="28" spans="1:15">
      <c r="A28" s="11"/>
      <c r="B28" s="12"/>
      <c r="C28" s="13"/>
      <c r="D28" s="13"/>
      <c r="E28" s="13">
        <f t="shared" si="0"/>
        <v>5724.4199999999983</v>
      </c>
      <c r="F28" s="12"/>
      <c r="H28" s="58">
        <v>44149</v>
      </c>
      <c r="I28" s="1" t="s">
        <v>519</v>
      </c>
      <c r="J28" s="3"/>
      <c r="K28" s="3">
        <v>12000</v>
      </c>
      <c r="L28" s="3">
        <f t="shared" si="1"/>
        <v>12005</v>
      </c>
      <c r="M28" s="1"/>
    </row>
    <row r="29" spans="1:15">
      <c r="A29" s="2"/>
      <c r="B29" s="1"/>
      <c r="C29" s="3"/>
      <c r="D29" s="3"/>
      <c r="E29" s="3">
        <f t="shared" si="0"/>
        <v>5724.4199999999983</v>
      </c>
      <c r="F29" s="44"/>
      <c r="H29" s="2">
        <v>44150</v>
      </c>
      <c r="I29" s="1" t="s">
        <v>525</v>
      </c>
      <c r="J29" s="3">
        <v>250</v>
      </c>
      <c r="K29" s="3"/>
      <c r="L29" s="3">
        <f t="shared" si="1"/>
        <v>11755</v>
      </c>
      <c r="M29" s="64"/>
    </row>
    <row r="30" spans="1:15">
      <c r="A30" s="2"/>
      <c r="B30" s="1"/>
      <c r="C30" s="3"/>
      <c r="D30" s="3"/>
      <c r="E30" s="3">
        <f t="shared" si="0"/>
        <v>5724.4199999999983</v>
      </c>
      <c r="F30" s="1"/>
      <c r="H30" s="2">
        <v>44151</v>
      </c>
      <c r="I30" s="1" t="s">
        <v>521</v>
      </c>
      <c r="J30" s="3">
        <v>500</v>
      </c>
      <c r="K30" s="3"/>
      <c r="L30" s="3">
        <f t="shared" si="1"/>
        <v>11255</v>
      </c>
      <c r="M30" s="1"/>
    </row>
    <row r="31" spans="1:15">
      <c r="A31" s="2"/>
      <c r="B31" s="1"/>
      <c r="C31" s="3"/>
      <c r="D31" s="3"/>
      <c r="E31" s="3">
        <f t="shared" si="0"/>
        <v>5724.4199999999983</v>
      </c>
      <c r="F31" s="1"/>
      <c r="H31" s="2">
        <v>44152</v>
      </c>
      <c r="I31" s="1" t="s">
        <v>522</v>
      </c>
      <c r="J31" s="3">
        <v>400</v>
      </c>
      <c r="K31" s="3"/>
      <c r="L31" s="3">
        <f t="shared" si="1"/>
        <v>10855</v>
      </c>
      <c r="M31" s="44"/>
    </row>
    <row r="32" spans="1:15">
      <c r="A32" s="2"/>
      <c r="B32" s="1"/>
      <c r="C32" s="3"/>
      <c r="D32" s="3"/>
      <c r="E32" s="3">
        <f t="shared" si="0"/>
        <v>5724.4199999999983</v>
      </c>
      <c r="F32" s="1"/>
      <c r="H32" s="2">
        <v>44152</v>
      </c>
      <c r="I32" s="1" t="s">
        <v>523</v>
      </c>
      <c r="J32" s="3">
        <v>200</v>
      </c>
      <c r="K32" s="3"/>
      <c r="L32" s="3">
        <f t="shared" si="1"/>
        <v>10655</v>
      </c>
      <c r="M32" s="1"/>
    </row>
    <row r="33" spans="1:14">
      <c r="A33" s="2"/>
      <c r="B33" s="6"/>
      <c r="C33" s="3"/>
      <c r="D33" s="3"/>
      <c r="E33" s="3">
        <f t="shared" ref="E33:E38" si="2">E32+D33-C33</f>
        <v>5724.4199999999983</v>
      </c>
      <c r="H33" s="2">
        <v>44152</v>
      </c>
      <c r="I33" s="1" t="s">
        <v>524</v>
      </c>
      <c r="J33" s="3">
        <v>530</v>
      </c>
      <c r="K33" s="3"/>
      <c r="L33" s="3">
        <f t="shared" si="1"/>
        <v>10125</v>
      </c>
      <c r="M33" s="44"/>
    </row>
    <row r="34" spans="1:14">
      <c r="E34" s="33">
        <f t="shared" si="2"/>
        <v>5724.4199999999983</v>
      </c>
      <c r="H34" s="2">
        <v>44152</v>
      </c>
      <c r="I34" s="6" t="s">
        <v>526</v>
      </c>
      <c r="J34" s="3"/>
      <c r="K34" s="3">
        <v>200</v>
      </c>
      <c r="L34" s="3">
        <f t="shared" si="1"/>
        <v>10325</v>
      </c>
      <c r="M34" s="1"/>
    </row>
    <row r="35" spans="1:14">
      <c r="E35" s="33">
        <f t="shared" si="2"/>
        <v>5724.4199999999983</v>
      </c>
      <c r="H35" s="2">
        <v>44152</v>
      </c>
      <c r="I35" s="1" t="s">
        <v>527</v>
      </c>
      <c r="J35" s="3">
        <v>200</v>
      </c>
      <c r="K35" s="3"/>
      <c r="L35" s="3">
        <f t="shared" si="1"/>
        <v>10125</v>
      </c>
      <c r="M35" s="44"/>
    </row>
    <row r="36" spans="1:14">
      <c r="E36" s="33">
        <f t="shared" si="2"/>
        <v>5724.4199999999983</v>
      </c>
      <c r="H36" s="2">
        <v>44153</v>
      </c>
      <c r="I36" s="1" t="s">
        <v>528</v>
      </c>
      <c r="J36" s="3">
        <v>1125</v>
      </c>
      <c r="K36" s="3"/>
      <c r="L36" s="3">
        <f t="shared" si="1"/>
        <v>9000</v>
      </c>
      <c r="M36" s="1"/>
    </row>
    <row r="37" spans="1:14">
      <c r="E37" s="33">
        <f t="shared" si="2"/>
        <v>5724.4199999999983</v>
      </c>
      <c r="H37" s="2">
        <v>44154</v>
      </c>
      <c r="I37" s="6" t="s">
        <v>394</v>
      </c>
      <c r="J37" s="3">
        <v>100</v>
      </c>
      <c r="K37" s="3"/>
      <c r="L37" s="3">
        <f t="shared" si="1"/>
        <v>8900</v>
      </c>
      <c r="M37" s="1"/>
    </row>
    <row r="38" spans="1:14">
      <c r="E38" s="33">
        <f t="shared" si="2"/>
        <v>5724.4199999999983</v>
      </c>
      <c r="H38" s="2">
        <v>44154</v>
      </c>
      <c r="I38" s="6" t="s">
        <v>529</v>
      </c>
      <c r="J38" s="10">
        <v>220</v>
      </c>
      <c r="K38" s="1"/>
      <c r="L38" s="3">
        <f t="shared" si="1"/>
        <v>8680</v>
      </c>
      <c r="M38" s="1"/>
    </row>
    <row r="39" spans="1:14">
      <c r="H39" s="2">
        <v>44154</v>
      </c>
      <c r="I39" s="59" t="s">
        <v>530</v>
      </c>
      <c r="J39" s="60">
        <v>200</v>
      </c>
      <c r="K39" s="60"/>
      <c r="L39" s="3">
        <f t="shared" si="1"/>
        <v>8480</v>
      </c>
      <c r="M39" s="44"/>
    </row>
    <row r="40" spans="1:14">
      <c r="H40" s="2">
        <v>44154</v>
      </c>
      <c r="I40" s="1" t="s">
        <v>83</v>
      </c>
      <c r="J40" s="3">
        <v>1390</v>
      </c>
      <c r="K40" s="3"/>
      <c r="L40" s="3">
        <f t="shared" si="1"/>
        <v>7090</v>
      </c>
      <c r="M40" s="64"/>
    </row>
    <row r="41" spans="1:14">
      <c r="H41" s="58">
        <v>44156</v>
      </c>
      <c r="I41" s="1" t="s">
        <v>531</v>
      </c>
      <c r="J41" s="3">
        <v>800</v>
      </c>
      <c r="K41" s="3"/>
      <c r="L41" s="3">
        <f t="shared" si="1"/>
        <v>6290</v>
      </c>
      <c r="M41" s="64"/>
    </row>
    <row r="42" spans="1:14">
      <c r="H42" s="2">
        <v>44158</v>
      </c>
      <c r="I42" s="1" t="s">
        <v>464</v>
      </c>
      <c r="J42" s="3">
        <v>2800</v>
      </c>
      <c r="K42" s="3"/>
      <c r="L42" s="3">
        <v>3510</v>
      </c>
      <c r="M42" s="64"/>
    </row>
    <row r="43" spans="1:14">
      <c r="H43" s="2">
        <v>44158</v>
      </c>
      <c r="I43" s="6" t="s">
        <v>532</v>
      </c>
      <c r="J43" s="3">
        <v>1800</v>
      </c>
      <c r="K43" s="3"/>
      <c r="L43" s="3">
        <f t="shared" si="1"/>
        <v>1710</v>
      </c>
      <c r="M43" s="44"/>
    </row>
    <row r="44" spans="1:14">
      <c r="H44" s="2">
        <v>44158</v>
      </c>
      <c r="I44" s="6" t="s">
        <v>535</v>
      </c>
      <c r="J44" s="3">
        <v>120</v>
      </c>
      <c r="K44" s="3"/>
      <c r="L44" s="3">
        <f t="shared" si="1"/>
        <v>1590</v>
      </c>
      <c r="M44" s="1"/>
    </row>
    <row r="45" spans="1:14">
      <c r="H45" s="2">
        <v>44158</v>
      </c>
      <c r="I45" s="1" t="s">
        <v>534</v>
      </c>
      <c r="J45" s="3">
        <v>390</v>
      </c>
      <c r="K45" s="3"/>
      <c r="L45" s="3">
        <f t="shared" si="1"/>
        <v>1200</v>
      </c>
      <c r="M45" s="1"/>
    </row>
    <row r="46" spans="1:14">
      <c r="H46" s="2">
        <v>44158</v>
      </c>
      <c r="I46" s="1" t="s">
        <v>529</v>
      </c>
      <c r="J46" s="3">
        <v>240</v>
      </c>
      <c r="K46" s="3"/>
      <c r="L46" s="3">
        <f t="shared" si="1"/>
        <v>960</v>
      </c>
      <c r="M46" s="1"/>
    </row>
    <row r="47" spans="1:14">
      <c r="H47" s="2">
        <v>44159</v>
      </c>
      <c r="I47" s="1" t="s">
        <v>536</v>
      </c>
      <c r="J47" s="3">
        <v>510</v>
      </c>
      <c r="K47" s="3"/>
      <c r="L47" s="3">
        <f t="shared" si="1"/>
        <v>450</v>
      </c>
      <c r="M47" s="64"/>
      <c r="N47" s="83"/>
    </row>
    <row r="48" spans="1:14">
      <c r="H48" s="2">
        <v>44160</v>
      </c>
      <c r="I48" s="1" t="s">
        <v>538</v>
      </c>
      <c r="J48" s="3"/>
      <c r="K48" s="3">
        <v>10000</v>
      </c>
      <c r="L48" s="3">
        <f t="shared" si="1"/>
        <v>10450</v>
      </c>
      <c r="M48" s="1"/>
    </row>
    <row r="49" spans="8:14">
      <c r="H49" s="2">
        <v>44160</v>
      </c>
      <c r="I49" s="1" t="s">
        <v>539</v>
      </c>
      <c r="J49" s="3">
        <v>1000</v>
      </c>
      <c r="K49" s="3"/>
      <c r="L49" s="3">
        <f t="shared" si="1"/>
        <v>9450</v>
      </c>
      <c r="M49" s="44"/>
    </row>
    <row r="50" spans="8:14">
      <c r="H50" s="2">
        <v>44160</v>
      </c>
      <c r="I50" s="1" t="s">
        <v>542</v>
      </c>
      <c r="J50" s="3">
        <v>3280</v>
      </c>
      <c r="K50" s="3"/>
      <c r="L50" s="3">
        <f t="shared" si="1"/>
        <v>6170</v>
      </c>
      <c r="M50" s="1"/>
    </row>
    <row r="51" spans="8:14">
      <c r="H51" s="2">
        <v>44160</v>
      </c>
      <c r="I51" s="1" t="s">
        <v>543</v>
      </c>
      <c r="J51" s="3">
        <v>1300</v>
      </c>
      <c r="K51" s="3"/>
      <c r="L51" s="3">
        <f t="shared" si="1"/>
        <v>4870</v>
      </c>
      <c r="M51" s="1"/>
    </row>
    <row r="52" spans="8:14">
      <c r="H52" s="2">
        <v>44160</v>
      </c>
      <c r="I52" s="6" t="s">
        <v>544</v>
      </c>
      <c r="J52" s="3">
        <v>4000</v>
      </c>
      <c r="K52" s="3"/>
      <c r="L52" s="3">
        <f t="shared" si="1"/>
        <v>870</v>
      </c>
      <c r="M52" s="44"/>
    </row>
    <row r="53" spans="8:14">
      <c r="H53" s="2">
        <v>44161</v>
      </c>
      <c r="I53" s="1" t="s">
        <v>545</v>
      </c>
      <c r="J53" s="3">
        <v>380</v>
      </c>
      <c r="K53" s="3"/>
      <c r="L53" s="3">
        <f t="shared" si="1"/>
        <v>490</v>
      </c>
      <c r="M53" s="1"/>
      <c r="N53" s="41"/>
    </row>
    <row r="54" spans="8:14">
      <c r="H54" s="2">
        <v>44164</v>
      </c>
      <c r="I54" s="1" t="s">
        <v>519</v>
      </c>
      <c r="J54" s="3"/>
      <c r="K54" s="3">
        <v>5000</v>
      </c>
      <c r="L54" s="3">
        <f t="shared" si="1"/>
        <v>5490</v>
      </c>
      <c r="M54" s="1"/>
    </row>
    <row r="55" spans="8:14">
      <c r="H55" s="2">
        <v>44165</v>
      </c>
      <c r="I55" s="1" t="s">
        <v>549</v>
      </c>
      <c r="J55" s="3">
        <v>500</v>
      </c>
      <c r="K55" s="3"/>
      <c r="L55" s="3">
        <f t="shared" si="1"/>
        <v>4990</v>
      </c>
      <c r="M55" s="1"/>
    </row>
    <row r="56" spans="8:14">
      <c r="H56" s="2">
        <v>44165</v>
      </c>
      <c r="I56" s="1" t="s">
        <v>550</v>
      </c>
      <c r="J56" s="3">
        <v>1200</v>
      </c>
      <c r="K56" s="3"/>
      <c r="L56" s="3">
        <f t="shared" si="1"/>
        <v>3790</v>
      </c>
      <c r="M56" s="1"/>
    </row>
    <row r="57" spans="8:14">
      <c r="H57" s="2">
        <v>44165</v>
      </c>
      <c r="I57" s="1" t="s">
        <v>551</v>
      </c>
      <c r="J57" s="3">
        <v>1050</v>
      </c>
      <c r="K57" s="3"/>
      <c r="L57" s="3">
        <f t="shared" si="1"/>
        <v>2740</v>
      </c>
      <c r="M57" s="1"/>
    </row>
    <row r="58" spans="8:14">
      <c r="H58" s="2">
        <v>44165</v>
      </c>
      <c r="I58" s="1" t="s">
        <v>552</v>
      </c>
      <c r="J58" s="3">
        <v>600</v>
      </c>
      <c r="K58" s="3"/>
      <c r="L58" s="3">
        <f t="shared" si="1"/>
        <v>2140</v>
      </c>
      <c r="M58" s="64">
        <f>J58/2</f>
        <v>300</v>
      </c>
    </row>
    <row r="59" spans="8:14">
      <c r="H59" s="2">
        <v>44165</v>
      </c>
      <c r="I59" s="1" t="s">
        <v>554</v>
      </c>
      <c r="J59" s="3">
        <v>80</v>
      </c>
      <c r="K59" s="3"/>
      <c r="L59" s="3">
        <f t="shared" si="1"/>
        <v>2060</v>
      </c>
      <c r="M59" s="1"/>
    </row>
    <row r="60" spans="8:14">
      <c r="H60" s="12"/>
      <c r="I60" s="12"/>
      <c r="J60" s="13"/>
      <c r="K60" s="13"/>
      <c r="L60" s="12"/>
      <c r="M60" s="12"/>
    </row>
    <row r="61" spans="8:14">
      <c r="H61" s="12"/>
      <c r="I61" s="12"/>
      <c r="J61" s="13"/>
      <c r="K61" s="13"/>
      <c r="L61" s="12"/>
      <c r="M61" s="12"/>
    </row>
    <row r="62" spans="8:14">
      <c r="H62" s="1"/>
      <c r="I62" s="1"/>
      <c r="J62" s="3"/>
      <c r="K62" s="3"/>
      <c r="L62" s="1"/>
      <c r="M62" s="1"/>
    </row>
    <row r="63" spans="8:14">
      <c r="J63" s="4"/>
      <c r="K63" s="4"/>
    </row>
    <row r="64" spans="8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</sheetData>
  <mergeCells count="4">
    <mergeCell ref="A1:F1"/>
    <mergeCell ref="H1:M1"/>
    <mergeCell ref="B3:D3"/>
    <mergeCell ref="I3:K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CF8F-5EA1-1B42-9747-395F8E7734CF}">
  <dimension ref="A1:R161"/>
  <sheetViews>
    <sheetView topLeftCell="A13" zoomScale="102" workbookViewId="0">
      <selection activeCell="I67" sqref="I67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2" width="11.5" bestFit="1" customWidth="1"/>
    <col min="13" max="13" width="25.6640625" bestFit="1" customWidth="1"/>
    <col min="15" max="15" width="19.5" bestFit="1" customWidth="1"/>
  </cols>
  <sheetData>
    <row r="1" spans="1:18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8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8">
      <c r="A3" s="2">
        <v>44165</v>
      </c>
      <c r="B3" s="473" t="s">
        <v>144</v>
      </c>
      <c r="C3" s="474"/>
      <c r="D3" s="475"/>
      <c r="E3" s="3">
        <v>5724.4199999999983</v>
      </c>
      <c r="F3" s="31" t="s">
        <v>580</v>
      </c>
      <c r="G3" s="32">
        <f>+D4+D5+D19+D20</f>
        <v>83247.17</v>
      </c>
      <c r="H3" s="2">
        <v>44165</v>
      </c>
      <c r="I3" s="473" t="s">
        <v>4</v>
      </c>
      <c r="J3" s="474"/>
      <c r="K3" s="475"/>
      <c r="L3" s="3">
        <v>2060</v>
      </c>
      <c r="M3" s="37">
        <v>300</v>
      </c>
      <c r="O3" s="92" t="s">
        <v>111</v>
      </c>
      <c r="P3" s="92"/>
      <c r="Q3" s="92"/>
      <c r="R3" s="92"/>
    </row>
    <row r="4" spans="1:18">
      <c r="A4" s="2">
        <v>44166</v>
      </c>
      <c r="B4" s="1" t="s">
        <v>553</v>
      </c>
      <c r="C4" s="3"/>
      <c r="D4" s="3">
        <v>35000</v>
      </c>
      <c r="E4" s="3">
        <f>+E3-C4+D4</f>
        <v>40724.42</v>
      </c>
      <c r="F4" s="44"/>
      <c r="G4" s="39" t="s">
        <v>170</v>
      </c>
      <c r="H4" s="2">
        <v>44166</v>
      </c>
      <c r="I4" s="1" t="s">
        <v>559</v>
      </c>
      <c r="J4" s="3">
        <v>150</v>
      </c>
      <c r="K4" s="3"/>
      <c r="L4" s="3">
        <f>+L3-J4-K4</f>
        <v>1910</v>
      </c>
      <c r="M4" s="95"/>
      <c r="O4" s="93">
        <v>1600</v>
      </c>
      <c r="P4" s="92" t="s">
        <v>555</v>
      </c>
      <c r="Q4" s="92"/>
      <c r="R4" s="92"/>
    </row>
    <row r="5" spans="1:18">
      <c r="A5" s="2">
        <v>44167</v>
      </c>
      <c r="B5" s="1" t="s">
        <v>553</v>
      </c>
      <c r="C5" s="3"/>
      <c r="D5" s="3">
        <v>23541.17</v>
      </c>
      <c r="E5" s="3">
        <f t="shared" ref="E5:E45" si="0">+E4-C5+D5</f>
        <v>64265.59</v>
      </c>
      <c r="F5" s="44"/>
      <c r="G5" s="56">
        <f>+E34+L43</f>
        <v>6921.3499999999949</v>
      </c>
      <c r="H5" s="2">
        <v>44170</v>
      </c>
      <c r="I5" s="1" t="s">
        <v>554</v>
      </c>
      <c r="J5" s="3">
        <v>1500</v>
      </c>
      <c r="K5" s="3"/>
      <c r="L5" s="3">
        <f>+L4-J5+K5</f>
        <v>410</v>
      </c>
      <c r="M5" s="96"/>
      <c r="O5" s="93">
        <v>275</v>
      </c>
      <c r="P5" s="92" t="s">
        <v>556</v>
      </c>
      <c r="Q5" s="92"/>
      <c r="R5" s="92"/>
    </row>
    <row r="6" spans="1:18">
      <c r="A6" s="2">
        <v>44167</v>
      </c>
      <c r="B6" s="1" t="s">
        <v>561</v>
      </c>
      <c r="C6" s="3">
        <v>586.6</v>
      </c>
      <c r="D6" s="3"/>
      <c r="E6" s="3">
        <f t="shared" si="0"/>
        <v>63678.99</v>
      </c>
      <c r="F6" s="30"/>
      <c r="G6" s="41"/>
      <c r="H6" s="2">
        <v>44170</v>
      </c>
      <c r="I6" s="1" t="s">
        <v>564</v>
      </c>
      <c r="J6" s="3"/>
      <c r="K6" s="3">
        <v>8000</v>
      </c>
      <c r="L6" s="3">
        <f t="shared" ref="L6:L59" si="1">+L5-J6+K6</f>
        <v>8410</v>
      </c>
      <c r="M6" s="96"/>
      <c r="O6" s="93">
        <v>150</v>
      </c>
      <c r="P6" s="92" t="s">
        <v>557</v>
      </c>
      <c r="Q6" s="92"/>
      <c r="R6" s="92"/>
    </row>
    <row r="7" spans="1:18">
      <c r="A7" s="2">
        <v>44167</v>
      </c>
      <c r="B7" s="36" t="s">
        <v>238</v>
      </c>
      <c r="C7" s="37">
        <v>183.6</v>
      </c>
      <c r="D7" s="3"/>
      <c r="E7" s="3">
        <f t="shared" si="0"/>
        <v>63495.39</v>
      </c>
      <c r="F7" s="64"/>
      <c r="G7" s="41"/>
      <c r="H7" s="2"/>
      <c r="I7" s="1" t="s">
        <v>567</v>
      </c>
      <c r="J7" s="3">
        <v>4000</v>
      </c>
      <c r="K7" s="3"/>
      <c r="L7" s="3">
        <f t="shared" si="1"/>
        <v>4410</v>
      </c>
      <c r="M7" s="59"/>
      <c r="O7" s="93">
        <f>1660/2</f>
        <v>830</v>
      </c>
      <c r="P7" s="92" t="s">
        <v>558</v>
      </c>
      <c r="Q7" s="92"/>
      <c r="R7" s="92"/>
    </row>
    <row r="8" spans="1:18">
      <c r="A8" s="2">
        <v>44167</v>
      </c>
      <c r="B8" s="1" t="s">
        <v>101</v>
      </c>
      <c r="C8" s="3">
        <v>2019.55</v>
      </c>
      <c r="D8" s="3"/>
      <c r="E8" s="3">
        <f t="shared" si="0"/>
        <v>61475.839999999997</v>
      </c>
      <c r="F8" s="1"/>
      <c r="H8" s="2" t="s">
        <v>571</v>
      </c>
      <c r="I8" s="1" t="s">
        <v>35</v>
      </c>
      <c r="J8" s="60">
        <v>1000</v>
      </c>
      <c r="K8" s="60"/>
      <c r="L8" s="3">
        <v>3990</v>
      </c>
      <c r="M8" s="96">
        <v>500</v>
      </c>
      <c r="O8" s="93">
        <f>2000/2</f>
        <v>1000</v>
      </c>
      <c r="P8" s="92" t="s">
        <v>560</v>
      </c>
      <c r="Q8" s="92"/>
      <c r="R8" s="92"/>
    </row>
    <row r="9" spans="1:18">
      <c r="A9" s="2">
        <v>44167</v>
      </c>
      <c r="B9" s="1" t="s">
        <v>101</v>
      </c>
      <c r="C9" s="3">
        <v>2213.2199999999998</v>
      </c>
      <c r="D9" s="3"/>
      <c r="E9" s="3">
        <f t="shared" si="0"/>
        <v>59262.619999999995</v>
      </c>
      <c r="F9" s="1"/>
      <c r="H9" s="479" t="s">
        <v>590</v>
      </c>
      <c r="I9" s="480"/>
      <c r="J9" s="3"/>
      <c r="K9" s="3"/>
      <c r="L9" s="3">
        <v>700</v>
      </c>
      <c r="M9" s="59"/>
      <c r="O9" s="93">
        <f>1825/2</f>
        <v>912.5</v>
      </c>
      <c r="P9" s="92" t="s">
        <v>572</v>
      </c>
      <c r="Q9" s="92"/>
      <c r="R9" s="92"/>
    </row>
    <row r="10" spans="1:18">
      <c r="A10" s="2">
        <v>44167</v>
      </c>
      <c r="B10" s="1" t="s">
        <v>30</v>
      </c>
      <c r="C10" s="3">
        <v>1900</v>
      </c>
      <c r="D10" s="3"/>
      <c r="E10" s="3">
        <f t="shared" si="0"/>
        <v>57362.619999999995</v>
      </c>
      <c r="F10" s="36"/>
      <c r="H10" s="2">
        <v>44187</v>
      </c>
      <c r="I10" s="1" t="s">
        <v>394</v>
      </c>
      <c r="J10" s="3">
        <v>50</v>
      </c>
      <c r="K10" s="3"/>
      <c r="L10" s="3">
        <f t="shared" si="1"/>
        <v>650</v>
      </c>
      <c r="M10" s="96"/>
      <c r="N10" s="57"/>
      <c r="O10" s="93">
        <f>670/2</f>
        <v>335</v>
      </c>
      <c r="P10" s="92" t="s">
        <v>573</v>
      </c>
      <c r="Q10" s="92"/>
      <c r="R10" s="92"/>
    </row>
    <row r="11" spans="1:18">
      <c r="A11" s="2">
        <v>44170</v>
      </c>
      <c r="B11" s="1" t="s">
        <v>562</v>
      </c>
      <c r="C11" s="3">
        <v>16750</v>
      </c>
      <c r="D11" s="3"/>
      <c r="E11" s="3">
        <f t="shared" si="0"/>
        <v>40612.619999999995</v>
      </c>
      <c r="F11" s="1"/>
      <c r="H11" s="477" t="s">
        <v>611</v>
      </c>
      <c r="I11" s="478"/>
      <c r="J11" s="60"/>
      <c r="K11" s="3"/>
      <c r="L11" s="3">
        <v>3410</v>
      </c>
      <c r="M11" s="64"/>
      <c r="N11" s="57"/>
      <c r="O11" s="93">
        <f>500/2</f>
        <v>250</v>
      </c>
      <c r="P11" s="92" t="s">
        <v>574</v>
      </c>
      <c r="Q11" s="92"/>
      <c r="R11" s="92"/>
    </row>
    <row r="12" spans="1:18">
      <c r="A12" s="2">
        <v>44170</v>
      </c>
      <c r="B12" s="1" t="s">
        <v>563</v>
      </c>
      <c r="C12" s="3">
        <v>8000</v>
      </c>
      <c r="D12" s="3"/>
      <c r="E12" s="3">
        <f t="shared" si="0"/>
        <v>32612.619999999995</v>
      </c>
      <c r="F12" s="1"/>
      <c r="G12" s="41"/>
      <c r="H12" s="58">
        <v>44193</v>
      </c>
      <c r="I12" s="1" t="s">
        <v>615</v>
      </c>
      <c r="J12" s="3">
        <v>470</v>
      </c>
      <c r="K12" s="3"/>
      <c r="L12" s="3">
        <f t="shared" si="1"/>
        <v>2940</v>
      </c>
      <c r="M12" s="44"/>
      <c r="N12" s="57"/>
      <c r="O12" s="93">
        <f>2700/2</f>
        <v>1350</v>
      </c>
      <c r="P12" s="92" t="s">
        <v>575</v>
      </c>
      <c r="Q12" s="92"/>
      <c r="R12" s="92"/>
    </row>
    <row r="13" spans="1:18">
      <c r="A13" s="2"/>
      <c r="B13" s="1" t="s">
        <v>565</v>
      </c>
      <c r="C13" s="3">
        <v>2150.13</v>
      </c>
      <c r="D13" s="3"/>
      <c r="E13" s="3">
        <f t="shared" si="0"/>
        <v>30462.489999999994</v>
      </c>
      <c r="F13" s="1"/>
      <c r="H13" s="58">
        <v>44194</v>
      </c>
      <c r="I13" s="1" t="s">
        <v>614</v>
      </c>
      <c r="J13" s="3">
        <v>120</v>
      </c>
      <c r="K13" s="3"/>
      <c r="L13" s="3">
        <f t="shared" si="1"/>
        <v>2820</v>
      </c>
      <c r="M13" s="44"/>
      <c r="O13" s="93">
        <f>750/2</f>
        <v>375</v>
      </c>
      <c r="P13" s="92" t="s">
        <v>576</v>
      </c>
      <c r="Q13" s="92"/>
      <c r="R13" s="92"/>
    </row>
    <row r="14" spans="1:18">
      <c r="A14" s="58"/>
      <c r="B14" s="1" t="s">
        <v>566</v>
      </c>
      <c r="C14" s="3">
        <v>5000</v>
      </c>
      <c r="D14" s="3"/>
      <c r="E14" s="3">
        <f t="shared" si="0"/>
        <v>25462.489999999994</v>
      </c>
      <c r="F14" s="1"/>
      <c r="G14" s="57"/>
      <c r="H14" s="58"/>
      <c r="I14" s="1"/>
      <c r="J14" s="3"/>
      <c r="K14" s="3"/>
      <c r="L14" s="3">
        <f t="shared" si="1"/>
        <v>2820</v>
      </c>
      <c r="M14" s="64"/>
      <c r="O14" s="93">
        <f>+(794+1514.44)/2</f>
        <v>1154.22</v>
      </c>
      <c r="P14" s="92" t="s">
        <v>586</v>
      </c>
      <c r="Q14" s="92"/>
      <c r="R14" s="92"/>
    </row>
    <row r="15" spans="1:18">
      <c r="A15" s="2"/>
      <c r="B15" s="36" t="s">
        <v>568</v>
      </c>
      <c r="C15" s="3">
        <v>2300</v>
      </c>
      <c r="D15" s="3"/>
      <c r="E15" s="3">
        <f t="shared" si="0"/>
        <v>23162.489999999994</v>
      </c>
      <c r="F15" s="1"/>
      <c r="H15" s="58"/>
      <c r="I15" s="1"/>
      <c r="J15" s="3"/>
      <c r="K15" s="1"/>
      <c r="L15" s="3">
        <f t="shared" si="1"/>
        <v>2820</v>
      </c>
      <c r="M15" s="64"/>
      <c r="O15" s="93">
        <f>1200/2</f>
        <v>600</v>
      </c>
      <c r="P15" s="92" t="s">
        <v>587</v>
      </c>
      <c r="Q15" s="92"/>
      <c r="R15" s="92"/>
    </row>
    <row r="16" spans="1:18">
      <c r="A16" s="58"/>
      <c r="B16" s="1" t="s">
        <v>569</v>
      </c>
      <c r="C16" s="10">
        <v>2500</v>
      </c>
      <c r="D16" s="3"/>
      <c r="E16" s="3">
        <f t="shared" si="0"/>
        <v>20662.489999999994</v>
      </c>
      <c r="F16" s="44"/>
      <c r="H16" s="58"/>
      <c r="I16" s="6"/>
      <c r="J16" s="10"/>
      <c r="K16" s="1"/>
      <c r="L16" s="3">
        <f t="shared" si="1"/>
        <v>2820</v>
      </c>
      <c r="M16" s="44"/>
      <c r="O16" s="93">
        <v>2700</v>
      </c>
      <c r="P16" s="92" t="s">
        <v>588</v>
      </c>
      <c r="Q16" s="92"/>
      <c r="R16" s="92"/>
    </row>
    <row r="17" spans="1:18">
      <c r="A17" s="58"/>
      <c r="B17" s="1" t="s">
        <v>570</v>
      </c>
      <c r="C17" s="10">
        <v>2650</v>
      </c>
      <c r="D17" s="3"/>
      <c r="E17" s="3">
        <f t="shared" si="0"/>
        <v>18012.489999999994</v>
      </c>
      <c r="F17" s="44"/>
      <c r="H17" s="58"/>
      <c r="I17" s="6"/>
      <c r="J17" s="10"/>
      <c r="K17" s="1"/>
      <c r="L17" s="3">
        <f t="shared" si="1"/>
        <v>2820</v>
      </c>
      <c r="M17" s="64"/>
      <c r="O17" s="93">
        <f>2730/2</f>
        <v>1365</v>
      </c>
      <c r="P17" s="92" t="s">
        <v>83</v>
      </c>
      <c r="Q17" s="92"/>
      <c r="R17" s="92"/>
    </row>
    <row r="18" spans="1:18">
      <c r="A18" s="2">
        <v>12.21</v>
      </c>
      <c r="B18" s="6" t="s">
        <v>578</v>
      </c>
      <c r="C18" s="10">
        <v>2106.98</v>
      </c>
      <c r="D18" s="3"/>
      <c r="E18" s="3">
        <f t="shared" si="0"/>
        <v>15905.509999999995</v>
      </c>
      <c r="F18" s="96">
        <f>C18/2</f>
        <v>1053.49</v>
      </c>
      <c r="H18" s="58"/>
      <c r="I18" s="6"/>
      <c r="J18" s="10"/>
      <c r="K18" s="3"/>
      <c r="L18" s="3">
        <f t="shared" si="1"/>
        <v>2820</v>
      </c>
      <c r="M18" s="64"/>
      <c r="N18" s="57"/>
      <c r="O18" s="93">
        <f>950/2</f>
        <v>475</v>
      </c>
      <c r="P18" s="92" t="s">
        <v>589</v>
      </c>
      <c r="Q18" s="92"/>
      <c r="R18" s="92"/>
    </row>
    <row r="19" spans="1:18">
      <c r="A19" s="2">
        <v>44183</v>
      </c>
      <c r="B19" s="6" t="s">
        <v>579</v>
      </c>
      <c r="C19" s="10"/>
      <c r="D19" s="3">
        <v>5000</v>
      </c>
      <c r="E19" s="3">
        <f t="shared" si="0"/>
        <v>20905.509999999995</v>
      </c>
      <c r="F19" s="59"/>
      <c r="H19" s="58"/>
      <c r="I19" s="6"/>
      <c r="J19" s="10"/>
      <c r="K19" s="10"/>
      <c r="L19" s="3">
        <f t="shared" si="1"/>
        <v>2820</v>
      </c>
      <c r="M19" s="68"/>
      <c r="O19" s="92"/>
      <c r="P19" s="92"/>
      <c r="Q19" s="92"/>
      <c r="R19" s="92"/>
    </row>
    <row r="20" spans="1:18">
      <c r="A20" s="2">
        <v>44183</v>
      </c>
      <c r="B20" s="1" t="s">
        <v>581</v>
      </c>
      <c r="C20" s="3"/>
      <c r="D20" s="3">
        <v>19706</v>
      </c>
      <c r="E20" s="3">
        <f t="shared" si="0"/>
        <v>40611.509999999995</v>
      </c>
      <c r="F20" s="59"/>
      <c r="H20" s="2"/>
      <c r="I20" s="6"/>
      <c r="J20" s="10"/>
      <c r="K20" s="3"/>
      <c r="L20" s="3">
        <f t="shared" si="1"/>
        <v>2820</v>
      </c>
      <c r="M20" s="1"/>
      <c r="O20" s="94">
        <f>SUM(O4:O18)</f>
        <v>13371.72</v>
      </c>
      <c r="P20" s="92"/>
      <c r="Q20" s="92"/>
      <c r="R20" s="92"/>
    </row>
    <row r="21" spans="1:18">
      <c r="A21" s="2">
        <v>44184</v>
      </c>
      <c r="B21" s="1" t="s">
        <v>582</v>
      </c>
      <c r="C21" s="3">
        <v>15000</v>
      </c>
      <c r="D21" s="3"/>
      <c r="E21" s="3">
        <f t="shared" si="0"/>
        <v>25611.509999999995</v>
      </c>
      <c r="F21" s="59"/>
      <c r="H21" s="2"/>
      <c r="I21" s="6"/>
      <c r="J21" s="10"/>
      <c r="K21" s="3"/>
      <c r="L21" s="3">
        <f t="shared" si="1"/>
        <v>2820</v>
      </c>
      <c r="M21" s="1"/>
      <c r="O21" s="94">
        <f>SUM(M3:M30)+F24+F22+F18</f>
        <v>3359.66</v>
      </c>
      <c r="P21" s="92"/>
      <c r="Q21" s="92"/>
      <c r="R21" s="92"/>
    </row>
    <row r="22" spans="1:18">
      <c r="A22" s="2">
        <v>44184</v>
      </c>
      <c r="B22" s="1" t="s">
        <v>585</v>
      </c>
      <c r="C22" s="3">
        <v>1212.3399999999999</v>
      </c>
      <c r="D22" s="3"/>
      <c r="E22" s="3">
        <f t="shared" si="0"/>
        <v>24399.169999999995</v>
      </c>
      <c r="F22" s="59">
        <f>+C22/2</f>
        <v>606.16999999999996</v>
      </c>
      <c r="H22" s="2"/>
      <c r="I22" s="6"/>
      <c r="J22" s="10"/>
      <c r="K22" s="3"/>
      <c r="L22" s="3">
        <f t="shared" si="1"/>
        <v>2820</v>
      </c>
      <c r="M22" s="64"/>
      <c r="O22" s="94">
        <f>C6/2</f>
        <v>293.3</v>
      </c>
      <c r="P22" s="92"/>
      <c r="Q22" s="92"/>
      <c r="R22" s="92"/>
    </row>
    <row r="23" spans="1:18">
      <c r="A23" s="2">
        <v>44186</v>
      </c>
      <c r="B23" s="1" t="s">
        <v>583</v>
      </c>
      <c r="C23" s="3"/>
      <c r="D23" s="3">
        <v>140</v>
      </c>
      <c r="E23" s="3">
        <f t="shared" si="0"/>
        <v>24539.169999999995</v>
      </c>
      <c r="F23" s="59"/>
      <c r="H23" s="2"/>
      <c r="I23" s="59"/>
      <c r="J23" s="3"/>
      <c r="K23" s="3"/>
      <c r="L23" s="3">
        <f t="shared" si="1"/>
        <v>2820</v>
      </c>
      <c r="M23" s="89"/>
      <c r="N23" s="90"/>
      <c r="O23" s="93">
        <f>1020/2</f>
        <v>510</v>
      </c>
      <c r="P23" s="92" t="s">
        <v>577</v>
      </c>
      <c r="Q23" s="92"/>
      <c r="R23" s="92"/>
    </row>
    <row r="24" spans="1:18">
      <c r="A24" s="2">
        <v>44186</v>
      </c>
      <c r="B24" s="1" t="s">
        <v>584</v>
      </c>
      <c r="C24" s="3">
        <v>900</v>
      </c>
      <c r="D24" s="3"/>
      <c r="E24" s="3">
        <f t="shared" si="0"/>
        <v>23639.169999999995</v>
      </c>
      <c r="F24" s="96">
        <f>+C24</f>
        <v>900</v>
      </c>
      <c r="H24" s="2"/>
      <c r="I24" s="1"/>
      <c r="J24" s="3"/>
      <c r="K24" s="3"/>
      <c r="L24" s="3">
        <f t="shared" si="1"/>
        <v>2820</v>
      </c>
      <c r="M24" s="89"/>
      <c r="N24" s="90"/>
      <c r="O24" s="94">
        <f>+O20-O21-O22-O23</f>
        <v>9208.76</v>
      </c>
      <c r="P24" s="92"/>
      <c r="Q24" s="92"/>
      <c r="R24" s="92"/>
    </row>
    <row r="25" spans="1:18">
      <c r="A25" s="2">
        <v>44186</v>
      </c>
      <c r="B25" s="1" t="s">
        <v>592</v>
      </c>
      <c r="C25" s="3">
        <v>9208.76</v>
      </c>
      <c r="D25" s="3"/>
      <c r="E25" s="3">
        <f t="shared" si="0"/>
        <v>14430.409999999994</v>
      </c>
      <c r="F25" s="1"/>
      <c r="H25" s="2"/>
      <c r="I25" s="6"/>
      <c r="J25" s="3"/>
      <c r="K25" s="3"/>
      <c r="L25" s="3">
        <f t="shared" si="1"/>
        <v>2820</v>
      </c>
      <c r="M25" s="1"/>
      <c r="O25" s="92" t="s">
        <v>591</v>
      </c>
      <c r="P25" s="92"/>
      <c r="Q25" s="92"/>
      <c r="R25" s="92"/>
    </row>
    <row r="26" spans="1:18">
      <c r="A26" s="63">
        <v>44187</v>
      </c>
      <c r="B26" s="6" t="s">
        <v>605</v>
      </c>
      <c r="C26" s="10"/>
      <c r="D26" s="10">
        <v>0.34</v>
      </c>
      <c r="E26" s="3">
        <f t="shared" si="0"/>
        <v>14430.749999999995</v>
      </c>
      <c r="F26" s="91"/>
      <c r="H26" s="58"/>
      <c r="I26" s="1"/>
      <c r="J26" s="3"/>
      <c r="K26" s="3"/>
      <c r="L26" s="3">
        <f t="shared" si="1"/>
        <v>2820</v>
      </c>
      <c r="M26" s="44"/>
      <c r="O26" s="83"/>
    </row>
    <row r="27" spans="1:18">
      <c r="A27" s="63">
        <v>44188</v>
      </c>
      <c r="B27" s="6" t="s">
        <v>606</v>
      </c>
      <c r="C27" s="10">
        <v>1406</v>
      </c>
      <c r="D27" s="10"/>
      <c r="E27" s="3">
        <f t="shared" si="0"/>
        <v>13024.749999999995</v>
      </c>
      <c r="F27" s="6"/>
      <c r="H27" s="58"/>
      <c r="I27" s="1"/>
      <c r="J27" s="3"/>
      <c r="K27" s="3"/>
      <c r="L27" s="3">
        <f t="shared" si="1"/>
        <v>2820</v>
      </c>
      <c r="M27" s="1"/>
      <c r="O27" s="97">
        <v>1800</v>
      </c>
      <c r="P27" s="57" t="s">
        <v>604</v>
      </c>
    </row>
    <row r="28" spans="1:18">
      <c r="A28" s="63">
        <v>44188</v>
      </c>
      <c r="B28" s="6" t="s">
        <v>607</v>
      </c>
      <c r="C28" s="10"/>
      <c r="D28" s="10">
        <v>550</v>
      </c>
      <c r="E28" s="3">
        <f t="shared" si="0"/>
        <v>13574.749999999995</v>
      </c>
      <c r="F28" s="6"/>
      <c r="H28" s="58"/>
      <c r="I28" s="1"/>
      <c r="J28" s="3"/>
      <c r="K28" s="3"/>
      <c r="L28" s="3">
        <f t="shared" si="1"/>
        <v>2820</v>
      </c>
      <c r="M28" s="1"/>
      <c r="O28" s="97">
        <v>300</v>
      </c>
      <c r="P28" s="57" t="s">
        <v>609</v>
      </c>
    </row>
    <row r="29" spans="1:18">
      <c r="A29" s="63">
        <v>44189</v>
      </c>
      <c r="B29" s="6" t="s">
        <v>608</v>
      </c>
      <c r="C29" s="10">
        <v>1800</v>
      </c>
      <c r="D29" s="10"/>
      <c r="E29" s="3">
        <f t="shared" si="0"/>
        <v>11774.749999999995</v>
      </c>
      <c r="F29" s="68"/>
      <c r="H29" s="2"/>
      <c r="I29" s="1"/>
      <c r="J29" s="3"/>
      <c r="K29" s="3"/>
      <c r="L29" s="3">
        <f t="shared" si="1"/>
        <v>2820</v>
      </c>
      <c r="M29" s="64"/>
      <c r="O29" s="97">
        <f>312*2</f>
        <v>624</v>
      </c>
      <c r="P29" s="57" t="s">
        <v>610</v>
      </c>
    </row>
    <row r="30" spans="1:18">
      <c r="A30" s="63">
        <v>44189</v>
      </c>
      <c r="B30" s="1" t="s">
        <v>405</v>
      </c>
      <c r="C30" s="3">
        <v>6000</v>
      </c>
      <c r="D30" s="3"/>
      <c r="E30" s="3">
        <f t="shared" si="0"/>
        <v>5774.7499999999945</v>
      </c>
      <c r="F30" s="1"/>
      <c r="H30" s="2"/>
      <c r="I30" s="1"/>
      <c r="J30" s="3"/>
      <c r="K30" s="3"/>
      <c r="L30" s="3">
        <f t="shared" si="1"/>
        <v>2820</v>
      </c>
      <c r="M30" s="1"/>
      <c r="O30" s="97">
        <v>10149.06</v>
      </c>
      <c r="P30" s="57" t="s">
        <v>612</v>
      </c>
    </row>
    <row r="31" spans="1:18">
      <c r="A31" s="2">
        <v>44191</v>
      </c>
      <c r="B31" s="1" t="s">
        <v>101</v>
      </c>
      <c r="C31" s="3">
        <v>2374.9</v>
      </c>
      <c r="D31" s="3"/>
      <c r="E31" s="3">
        <f t="shared" si="0"/>
        <v>3399.8499999999945</v>
      </c>
      <c r="F31" s="1"/>
      <c r="H31" s="2"/>
      <c r="I31" s="1"/>
      <c r="J31" s="3"/>
      <c r="K31" s="3"/>
      <c r="L31" s="3">
        <f t="shared" si="1"/>
        <v>2820</v>
      </c>
      <c r="M31" s="44"/>
      <c r="O31" s="83">
        <f>-F24-F22-F18-M3-M8</f>
        <v>-3359.66</v>
      </c>
      <c r="P31" s="57" t="s">
        <v>617</v>
      </c>
    </row>
    <row r="32" spans="1:18">
      <c r="A32" s="2"/>
      <c r="B32" s="1"/>
      <c r="C32" s="3"/>
      <c r="D32" s="3">
        <v>350</v>
      </c>
      <c r="E32" s="3">
        <f t="shared" si="0"/>
        <v>3749.8499999999945</v>
      </c>
      <c r="F32" s="1"/>
      <c r="H32" s="2"/>
      <c r="I32" s="1"/>
      <c r="J32" s="3"/>
      <c r="K32" s="3"/>
      <c r="L32" s="3">
        <f t="shared" si="1"/>
        <v>2820</v>
      </c>
      <c r="M32" s="1"/>
    </row>
    <row r="33" spans="1:16">
      <c r="A33" s="2"/>
      <c r="B33" s="6"/>
      <c r="C33" s="3"/>
      <c r="D33" s="3">
        <v>351.5</v>
      </c>
      <c r="E33" s="3">
        <f t="shared" si="0"/>
        <v>4101.3499999999949</v>
      </c>
      <c r="H33" s="2"/>
      <c r="I33" s="1"/>
      <c r="J33" s="3"/>
      <c r="K33" s="3"/>
      <c r="L33" s="3">
        <f t="shared" si="1"/>
        <v>2820</v>
      </c>
      <c r="M33" s="44"/>
      <c r="O33" s="83">
        <f>SUM(O26:O32)</f>
        <v>9513.4</v>
      </c>
    </row>
    <row r="34" spans="1:16">
      <c r="E34" s="3">
        <f t="shared" si="0"/>
        <v>4101.3499999999949</v>
      </c>
      <c r="H34" s="2"/>
      <c r="I34" s="6"/>
      <c r="J34" s="3"/>
      <c r="K34" s="3"/>
      <c r="L34" s="3">
        <f t="shared" si="1"/>
        <v>2820</v>
      </c>
      <c r="M34" s="1"/>
    </row>
    <row r="35" spans="1:16">
      <c r="E35" s="3">
        <f t="shared" si="0"/>
        <v>4101.3499999999949</v>
      </c>
      <c r="H35" s="2"/>
      <c r="I35" s="1"/>
      <c r="J35" s="3"/>
      <c r="K35" s="3"/>
      <c r="L35" s="3">
        <f t="shared" si="1"/>
        <v>2820</v>
      </c>
      <c r="M35" s="44"/>
    </row>
    <row r="36" spans="1:16">
      <c r="E36" s="3">
        <f t="shared" si="0"/>
        <v>4101.3499999999949</v>
      </c>
      <c r="H36" s="2"/>
      <c r="I36" s="1"/>
      <c r="J36" s="3"/>
      <c r="K36" s="3"/>
      <c r="L36" s="3">
        <f t="shared" si="1"/>
        <v>2820</v>
      </c>
      <c r="M36" s="1"/>
      <c r="O36" s="97">
        <v>4500</v>
      </c>
      <c r="P36" s="57" t="s">
        <v>613</v>
      </c>
    </row>
    <row r="37" spans="1:16">
      <c r="E37" s="3">
        <f t="shared" si="0"/>
        <v>4101.3499999999949</v>
      </c>
      <c r="H37" s="2"/>
      <c r="I37" s="6"/>
      <c r="J37" s="3"/>
      <c r="K37" s="3"/>
      <c r="L37" s="3">
        <f t="shared" si="1"/>
        <v>2820</v>
      </c>
      <c r="M37" s="1"/>
    </row>
    <row r="38" spans="1:16">
      <c r="E38" s="3">
        <f t="shared" si="0"/>
        <v>4101.3499999999949</v>
      </c>
      <c r="H38" s="2"/>
      <c r="I38" s="6"/>
      <c r="J38" s="10"/>
      <c r="K38" s="1"/>
      <c r="L38" s="3">
        <f t="shared" si="1"/>
        <v>2820</v>
      </c>
      <c r="M38" s="1"/>
    </row>
    <row r="39" spans="1:16">
      <c r="E39" s="3">
        <f t="shared" si="0"/>
        <v>4101.3499999999949</v>
      </c>
      <c r="H39" s="2"/>
      <c r="I39" s="59"/>
      <c r="J39" s="60"/>
      <c r="K39" s="60"/>
      <c r="L39" s="3">
        <f t="shared" si="1"/>
        <v>2820</v>
      </c>
      <c r="M39" s="44"/>
    </row>
    <row r="40" spans="1:16">
      <c r="E40" s="3">
        <f t="shared" si="0"/>
        <v>4101.3499999999949</v>
      </c>
      <c r="H40" s="2"/>
      <c r="I40" s="1"/>
      <c r="J40" s="3"/>
      <c r="K40" s="3"/>
      <c r="L40" s="3">
        <f t="shared" si="1"/>
        <v>2820</v>
      </c>
      <c r="M40" s="64"/>
    </row>
    <row r="41" spans="1:16">
      <c r="E41" s="3">
        <f t="shared" si="0"/>
        <v>4101.3499999999949</v>
      </c>
      <c r="H41" s="58"/>
      <c r="I41" s="1"/>
      <c r="J41" s="3"/>
      <c r="K41" s="3"/>
      <c r="L41" s="3">
        <f t="shared" si="1"/>
        <v>2820</v>
      </c>
      <c r="M41" s="64"/>
    </row>
    <row r="42" spans="1:16">
      <c r="E42" s="3">
        <f t="shared" si="0"/>
        <v>4101.3499999999949</v>
      </c>
      <c r="H42" s="2"/>
      <c r="I42" s="1"/>
      <c r="J42" s="3"/>
      <c r="K42" s="3"/>
      <c r="L42" s="3">
        <f t="shared" si="1"/>
        <v>2820</v>
      </c>
      <c r="M42" s="64"/>
    </row>
    <row r="43" spans="1:16">
      <c r="E43" s="3">
        <f t="shared" si="0"/>
        <v>4101.3499999999949</v>
      </c>
      <c r="H43" s="2"/>
      <c r="I43" s="6"/>
      <c r="J43" s="3"/>
      <c r="K43" s="3"/>
      <c r="L43" s="3">
        <f t="shared" si="1"/>
        <v>2820</v>
      </c>
      <c r="M43" s="44"/>
    </row>
    <row r="44" spans="1:16">
      <c r="E44" s="3">
        <f t="shared" si="0"/>
        <v>4101.3499999999949</v>
      </c>
      <c r="H44" s="2"/>
      <c r="I44" s="6"/>
      <c r="J44" s="3"/>
      <c r="K44" s="3"/>
      <c r="L44" s="3">
        <f t="shared" si="1"/>
        <v>2820</v>
      </c>
      <c r="M44" s="1"/>
    </row>
    <row r="45" spans="1:16">
      <c r="E45" s="3">
        <f t="shared" si="0"/>
        <v>4101.3499999999949</v>
      </c>
      <c r="H45" s="2"/>
      <c r="I45" s="1"/>
      <c r="J45" s="3"/>
      <c r="K45" s="3"/>
      <c r="L45" s="3">
        <f t="shared" si="1"/>
        <v>2820</v>
      </c>
      <c r="M45" s="1"/>
    </row>
    <row r="46" spans="1:16">
      <c r="H46" s="2"/>
      <c r="I46" s="1"/>
      <c r="J46" s="3"/>
      <c r="K46" s="3"/>
      <c r="L46" s="3">
        <f t="shared" si="1"/>
        <v>2820</v>
      </c>
      <c r="M46" s="1"/>
    </row>
    <row r="47" spans="1:16">
      <c r="H47" s="2"/>
      <c r="I47" s="1"/>
      <c r="J47" s="3"/>
      <c r="K47" s="3"/>
      <c r="L47" s="3">
        <f t="shared" si="1"/>
        <v>2820</v>
      </c>
      <c r="M47" s="64"/>
      <c r="N47" s="83"/>
    </row>
    <row r="48" spans="1:16">
      <c r="H48" s="2"/>
      <c r="I48" s="1"/>
      <c r="J48" s="3"/>
      <c r="K48" s="3"/>
      <c r="L48" s="3">
        <f t="shared" si="1"/>
        <v>2820</v>
      </c>
      <c r="M48" s="1"/>
    </row>
    <row r="49" spans="8:14">
      <c r="H49" s="2"/>
      <c r="I49" s="1"/>
      <c r="J49" s="3"/>
      <c r="K49" s="3"/>
      <c r="L49" s="3">
        <f t="shared" si="1"/>
        <v>2820</v>
      </c>
      <c r="M49" s="44"/>
    </row>
    <row r="50" spans="8:14">
      <c r="H50" s="2"/>
      <c r="I50" s="1"/>
      <c r="J50" s="3"/>
      <c r="K50" s="3"/>
      <c r="L50" s="3">
        <f t="shared" si="1"/>
        <v>2820</v>
      </c>
      <c r="M50" s="1"/>
    </row>
    <row r="51" spans="8:14">
      <c r="H51" s="2"/>
      <c r="I51" s="1"/>
      <c r="J51" s="3"/>
      <c r="K51" s="3"/>
      <c r="L51" s="3">
        <f t="shared" si="1"/>
        <v>2820</v>
      </c>
      <c r="M51" s="1"/>
    </row>
    <row r="52" spans="8:14">
      <c r="H52" s="2"/>
      <c r="I52" s="6"/>
      <c r="J52" s="3"/>
      <c r="K52" s="3"/>
      <c r="L52" s="3">
        <f t="shared" si="1"/>
        <v>2820</v>
      </c>
      <c r="M52" s="44"/>
    </row>
    <row r="53" spans="8:14">
      <c r="H53" s="2"/>
      <c r="I53" s="1"/>
      <c r="J53" s="3"/>
      <c r="K53" s="3"/>
      <c r="L53" s="3">
        <f t="shared" si="1"/>
        <v>2820</v>
      </c>
      <c r="M53" s="1"/>
      <c r="N53" s="41"/>
    </row>
    <row r="54" spans="8:14">
      <c r="H54" s="2"/>
      <c r="I54" s="1"/>
      <c r="J54" s="3"/>
      <c r="K54" s="3"/>
      <c r="L54" s="3">
        <f t="shared" si="1"/>
        <v>2820</v>
      </c>
      <c r="M54" s="1"/>
    </row>
    <row r="55" spans="8:14">
      <c r="H55" s="2"/>
      <c r="I55" s="1"/>
      <c r="J55" s="3"/>
      <c r="K55" s="3"/>
      <c r="L55" s="3">
        <f t="shared" si="1"/>
        <v>2820</v>
      </c>
      <c r="M55" s="1"/>
    </row>
    <row r="56" spans="8:14">
      <c r="H56" s="2"/>
      <c r="I56" s="1"/>
      <c r="J56" s="3"/>
      <c r="K56" s="3"/>
      <c r="L56" s="3">
        <f t="shared" si="1"/>
        <v>2820</v>
      </c>
      <c r="M56" s="1"/>
    </row>
    <row r="57" spans="8:14">
      <c r="H57" s="2"/>
      <c r="I57" s="1"/>
      <c r="J57" s="3"/>
      <c r="K57" s="3"/>
      <c r="L57" s="3">
        <f t="shared" si="1"/>
        <v>2820</v>
      </c>
      <c r="M57" s="1"/>
    </row>
    <row r="58" spans="8:14">
      <c r="H58" s="2"/>
      <c r="I58" s="1"/>
      <c r="J58" s="3"/>
      <c r="K58" s="3"/>
      <c r="L58" s="3">
        <f t="shared" si="1"/>
        <v>2820</v>
      </c>
      <c r="M58" s="64"/>
    </row>
    <row r="59" spans="8:14">
      <c r="H59" s="1"/>
      <c r="I59" s="1"/>
      <c r="J59" s="3"/>
      <c r="K59" s="3"/>
      <c r="L59" s="3">
        <f t="shared" si="1"/>
        <v>2820</v>
      </c>
      <c r="M59" s="1"/>
    </row>
    <row r="60" spans="8:14">
      <c r="H60" s="1"/>
      <c r="I60" s="1"/>
      <c r="J60" s="3"/>
      <c r="K60" s="3"/>
      <c r="L60" s="1"/>
      <c r="M60" s="1"/>
    </row>
    <row r="61" spans="8:14">
      <c r="H61" s="1"/>
      <c r="I61" s="1"/>
      <c r="J61" s="3"/>
      <c r="K61" s="3"/>
      <c r="L61" s="1"/>
      <c r="M61" s="1"/>
    </row>
    <row r="62" spans="8:14">
      <c r="H62" s="1"/>
      <c r="I62" s="1"/>
      <c r="J62" s="3"/>
      <c r="K62" s="3"/>
      <c r="L62" s="1"/>
      <c r="M62" s="1"/>
    </row>
    <row r="63" spans="8:14">
      <c r="J63" s="4"/>
      <c r="K63" s="4"/>
    </row>
    <row r="64" spans="8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</sheetData>
  <mergeCells count="6">
    <mergeCell ref="H11:I11"/>
    <mergeCell ref="A1:F1"/>
    <mergeCell ref="H1:M1"/>
    <mergeCell ref="B3:D3"/>
    <mergeCell ref="I3:K3"/>
    <mergeCell ref="H9:I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103D-EC3E-7344-B841-5B0FDA0C4C91}">
  <dimension ref="A1:R161"/>
  <sheetViews>
    <sheetView topLeftCell="A13"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0" width="12.5" bestFit="1" customWidth="1"/>
    <col min="11" max="12" width="11.5" bestFit="1" customWidth="1"/>
    <col min="13" max="13" width="25.6640625" bestFit="1" customWidth="1"/>
    <col min="15" max="15" width="19.5" bestFit="1" customWidth="1"/>
  </cols>
  <sheetData>
    <row r="1" spans="1:18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8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93">
        <v>4500</v>
      </c>
      <c r="P2" s="92" t="s">
        <v>613</v>
      </c>
    </row>
    <row r="3" spans="1:18">
      <c r="A3" s="2">
        <v>44561</v>
      </c>
      <c r="B3" s="473" t="s">
        <v>144</v>
      </c>
      <c r="C3" s="474"/>
      <c r="D3" s="475"/>
      <c r="E3" s="3">
        <v>4101.3500000000004</v>
      </c>
      <c r="F3" s="31" t="s">
        <v>616</v>
      </c>
      <c r="G3" s="32">
        <f>+D4+D5</f>
        <v>58540.5</v>
      </c>
      <c r="H3" s="2">
        <v>44165</v>
      </c>
      <c r="I3" s="473" t="s">
        <v>627</v>
      </c>
      <c r="J3" s="474"/>
      <c r="K3" s="475"/>
      <c r="L3" s="3">
        <v>2640</v>
      </c>
      <c r="M3" s="37"/>
      <c r="O3" s="92" t="s">
        <v>630</v>
      </c>
      <c r="P3" s="92"/>
      <c r="Q3" s="92"/>
      <c r="R3" s="92"/>
    </row>
    <row r="4" spans="1:18">
      <c r="A4" s="2"/>
      <c r="B4" s="1" t="s">
        <v>619</v>
      </c>
      <c r="C4" s="3"/>
      <c r="D4" s="3">
        <v>35000</v>
      </c>
      <c r="E4" s="3">
        <f>+E3-C4+D4</f>
        <v>39101.35</v>
      </c>
      <c r="F4" s="44"/>
      <c r="G4" s="39" t="s">
        <v>170</v>
      </c>
      <c r="H4" s="2"/>
      <c r="I4" s="1" t="s">
        <v>635</v>
      </c>
      <c r="J4" s="3"/>
      <c r="K4" s="3">
        <v>13000</v>
      </c>
      <c r="L4" s="3">
        <f>+L3+K4-J4</f>
        <v>15640</v>
      </c>
      <c r="M4" s="95"/>
      <c r="Q4" s="92"/>
      <c r="R4" s="92"/>
    </row>
    <row r="5" spans="1:18">
      <c r="A5" s="2"/>
      <c r="B5" s="1" t="s">
        <v>619</v>
      </c>
      <c r="C5" s="3"/>
      <c r="D5" s="3">
        <v>23540.5</v>
      </c>
      <c r="E5" s="3">
        <f t="shared" ref="E5:E45" si="0">+E4-C5+D5</f>
        <v>62641.85</v>
      </c>
      <c r="F5" s="44"/>
      <c r="G5" s="56">
        <f>+E34+L43</f>
        <v>1898.6599999999917</v>
      </c>
      <c r="H5" s="2"/>
      <c r="I5" s="1" t="s">
        <v>634</v>
      </c>
      <c r="J5" s="3">
        <f>575+575+60</f>
        <v>1210</v>
      </c>
      <c r="K5" s="3"/>
      <c r="L5" s="3">
        <f t="shared" ref="L5:L16" si="1">+L4+K5-J5</f>
        <v>14430</v>
      </c>
      <c r="M5" s="103">
        <f>+J5/2</f>
        <v>605</v>
      </c>
      <c r="O5" s="94">
        <f>+'Dic. 2020'!O33</f>
        <v>9513.4</v>
      </c>
      <c r="P5" s="92" t="s">
        <v>618</v>
      </c>
      <c r="Q5" s="92"/>
      <c r="R5" s="92"/>
    </row>
    <row r="6" spans="1:18">
      <c r="A6" s="2"/>
      <c r="B6" s="1" t="s">
        <v>101</v>
      </c>
      <c r="C6" s="3">
        <v>2000.26</v>
      </c>
      <c r="D6" s="3"/>
      <c r="E6" s="3">
        <f t="shared" si="0"/>
        <v>60641.59</v>
      </c>
      <c r="F6" s="30"/>
      <c r="G6" s="41"/>
      <c r="H6" s="2"/>
      <c r="I6" s="1" t="s">
        <v>636</v>
      </c>
      <c r="J6" s="3">
        <v>1200</v>
      </c>
      <c r="K6" s="3"/>
      <c r="L6" s="3">
        <f t="shared" si="1"/>
        <v>13230</v>
      </c>
      <c r="M6" s="103">
        <f>+J6/2</f>
        <v>600</v>
      </c>
      <c r="O6" s="93">
        <f>1400+1700+4900+650+700-3000</f>
        <v>6350</v>
      </c>
      <c r="P6" s="92" t="s">
        <v>628</v>
      </c>
      <c r="Q6" s="92"/>
      <c r="R6" s="92"/>
    </row>
    <row r="7" spans="1:18">
      <c r="A7" s="2"/>
      <c r="B7" s="36" t="s">
        <v>101</v>
      </c>
      <c r="C7" s="3">
        <v>2499.5700000000002</v>
      </c>
      <c r="D7" s="3"/>
      <c r="E7" s="3">
        <f t="shared" si="0"/>
        <v>58142.02</v>
      </c>
      <c r="F7" s="64"/>
      <c r="G7" s="41"/>
      <c r="H7" s="2"/>
      <c r="I7" s="1" t="s">
        <v>638</v>
      </c>
      <c r="J7" s="3"/>
      <c r="K7" s="3">
        <v>1200</v>
      </c>
      <c r="L7" s="3">
        <f t="shared" si="1"/>
        <v>14430</v>
      </c>
      <c r="M7" s="104"/>
      <c r="O7" s="93">
        <v>1000</v>
      </c>
      <c r="P7" s="92" t="s">
        <v>629</v>
      </c>
      <c r="Q7" s="92"/>
      <c r="R7" s="92"/>
    </row>
    <row r="8" spans="1:18">
      <c r="A8" s="2"/>
      <c r="B8" s="1" t="s">
        <v>620</v>
      </c>
      <c r="C8" s="3">
        <v>1200</v>
      </c>
      <c r="D8" s="3"/>
      <c r="E8" s="3">
        <f t="shared" si="0"/>
        <v>56942.02</v>
      </c>
      <c r="F8" s="1"/>
      <c r="H8" s="2"/>
      <c r="I8" s="1" t="s">
        <v>637</v>
      </c>
      <c r="J8" s="60">
        <v>9500</v>
      </c>
      <c r="K8" s="60"/>
      <c r="L8" s="3">
        <f t="shared" si="1"/>
        <v>4930</v>
      </c>
      <c r="M8" s="103">
        <f>+J8/2</f>
        <v>4750</v>
      </c>
      <c r="O8" s="93">
        <f>+O5-O6-O7</f>
        <v>2163.3999999999996</v>
      </c>
      <c r="P8" s="92"/>
      <c r="Q8" s="92"/>
      <c r="R8" s="92"/>
    </row>
    <row r="9" spans="1:18">
      <c r="A9" s="2"/>
      <c r="B9" s="1" t="s">
        <v>621</v>
      </c>
      <c r="C9" s="3"/>
      <c r="D9" s="3">
        <v>2500</v>
      </c>
      <c r="E9" s="3">
        <f t="shared" si="0"/>
        <v>59442.02</v>
      </c>
      <c r="F9" s="1"/>
      <c r="H9" s="98"/>
      <c r="I9" s="98" t="s">
        <v>641</v>
      </c>
      <c r="J9" s="3">
        <v>500</v>
      </c>
      <c r="K9" s="3"/>
      <c r="L9" s="3">
        <f t="shared" si="1"/>
        <v>4430</v>
      </c>
      <c r="M9" s="103">
        <f>+J9</f>
        <v>500</v>
      </c>
      <c r="O9" s="92" t="s">
        <v>630</v>
      </c>
      <c r="P9" s="92"/>
      <c r="Q9" s="92"/>
      <c r="R9" s="92"/>
    </row>
    <row r="10" spans="1:18">
      <c r="A10" s="2"/>
      <c r="B10" s="1" t="s">
        <v>622</v>
      </c>
      <c r="C10" s="3">
        <v>1700</v>
      </c>
      <c r="D10" s="3"/>
      <c r="E10" s="3">
        <f t="shared" si="0"/>
        <v>57742.02</v>
      </c>
      <c r="F10" s="36"/>
      <c r="H10" s="2"/>
      <c r="I10" s="1" t="s">
        <v>642</v>
      </c>
      <c r="J10" s="3"/>
      <c r="K10" s="3">
        <v>30</v>
      </c>
      <c r="L10" s="3">
        <f t="shared" si="1"/>
        <v>4460</v>
      </c>
      <c r="M10" s="103"/>
      <c r="N10" s="57"/>
      <c r="Q10" s="92"/>
      <c r="R10" s="92"/>
    </row>
    <row r="11" spans="1:18" ht="17">
      <c r="A11" s="2"/>
      <c r="B11" s="1" t="s">
        <v>623</v>
      </c>
      <c r="C11" s="3">
        <v>2000</v>
      </c>
      <c r="D11" s="3"/>
      <c r="E11" s="3">
        <f t="shared" si="0"/>
        <v>55742.02</v>
      </c>
      <c r="F11" s="1"/>
      <c r="H11" s="99">
        <v>44208</v>
      </c>
      <c r="I11" s="100" t="s">
        <v>643</v>
      </c>
      <c r="J11" s="60">
        <v>700</v>
      </c>
      <c r="K11" s="3"/>
      <c r="L11" s="3">
        <f t="shared" si="1"/>
        <v>3760</v>
      </c>
      <c r="M11" s="103">
        <f>+J11/2</f>
        <v>350</v>
      </c>
      <c r="N11" s="57"/>
      <c r="O11" s="101">
        <f>SUM(M5:M12)+SUM(F22:F23)</f>
        <v>12337.46</v>
      </c>
      <c r="P11" s="102" t="s">
        <v>646</v>
      </c>
      <c r="Q11" s="102"/>
      <c r="R11" s="102"/>
    </row>
    <row r="12" spans="1:18">
      <c r="A12" s="2"/>
      <c r="B12" s="1" t="s">
        <v>624</v>
      </c>
      <c r="C12" s="3">
        <v>10000</v>
      </c>
      <c r="D12" s="3"/>
      <c r="E12" s="3">
        <f t="shared" si="0"/>
        <v>45742.02</v>
      </c>
      <c r="F12" s="1"/>
      <c r="G12" s="41"/>
      <c r="H12" s="99">
        <v>44208</v>
      </c>
      <c r="I12" s="1" t="s">
        <v>83</v>
      </c>
      <c r="J12" s="3">
        <v>3000</v>
      </c>
      <c r="K12" s="3"/>
      <c r="L12" s="3">
        <f t="shared" si="1"/>
        <v>760</v>
      </c>
      <c r="M12" s="104">
        <f>+J12/2</f>
        <v>1500</v>
      </c>
      <c r="N12" s="57"/>
      <c r="O12" t="s">
        <v>647</v>
      </c>
      <c r="Q12" s="92"/>
      <c r="R12" s="92"/>
    </row>
    <row r="13" spans="1:18">
      <c r="A13" s="2"/>
      <c r="B13" s="1" t="s">
        <v>101</v>
      </c>
      <c r="C13" s="3">
        <v>2321.59</v>
      </c>
      <c r="D13" s="3"/>
      <c r="E13" s="3">
        <f t="shared" si="0"/>
        <v>43420.429999999993</v>
      </c>
      <c r="F13" s="1"/>
      <c r="H13" s="58">
        <v>44209</v>
      </c>
      <c r="I13" s="1" t="s">
        <v>635</v>
      </c>
      <c r="J13" s="3"/>
      <c r="K13" s="3">
        <v>15000</v>
      </c>
      <c r="L13" s="3">
        <f t="shared" si="1"/>
        <v>15760</v>
      </c>
      <c r="M13" s="44"/>
      <c r="Q13" s="92"/>
      <c r="R13" s="92"/>
    </row>
    <row r="14" spans="1:18">
      <c r="A14" s="58"/>
      <c r="B14" s="1" t="s">
        <v>625</v>
      </c>
      <c r="C14" s="3">
        <v>5000</v>
      </c>
      <c r="D14" s="3"/>
      <c r="E14" s="3">
        <f t="shared" si="0"/>
        <v>38420.429999999993</v>
      </c>
      <c r="F14" s="1"/>
      <c r="G14" s="57"/>
      <c r="H14" s="58">
        <v>44209</v>
      </c>
      <c r="I14" s="1" t="s">
        <v>574</v>
      </c>
      <c r="J14" s="3">
        <v>760</v>
      </c>
      <c r="K14" s="3"/>
      <c r="L14" s="3">
        <f t="shared" si="1"/>
        <v>15000</v>
      </c>
      <c r="M14" s="64"/>
      <c r="Q14" s="92"/>
      <c r="R14" s="92"/>
    </row>
    <row r="15" spans="1:18">
      <c r="A15" s="2"/>
      <c r="B15" s="1" t="s">
        <v>626</v>
      </c>
      <c r="C15" s="3"/>
      <c r="D15" s="3">
        <v>2650</v>
      </c>
      <c r="E15" s="3">
        <f t="shared" si="0"/>
        <v>41070.429999999993</v>
      </c>
      <c r="F15" s="1"/>
      <c r="H15" s="58">
        <v>44212</v>
      </c>
      <c r="I15" s="1" t="s">
        <v>652</v>
      </c>
      <c r="J15" s="3"/>
      <c r="K15" s="3">
        <v>15000</v>
      </c>
      <c r="L15" s="3">
        <f t="shared" si="1"/>
        <v>30000</v>
      </c>
      <c r="M15" s="64"/>
      <c r="Q15" s="92"/>
      <c r="R15" s="92"/>
    </row>
    <row r="16" spans="1:18">
      <c r="A16" s="58">
        <v>44205</v>
      </c>
      <c r="B16" s="1" t="s">
        <v>631</v>
      </c>
      <c r="C16" s="10">
        <v>2163.4</v>
      </c>
      <c r="D16" s="3"/>
      <c r="E16" s="3">
        <f t="shared" si="0"/>
        <v>38907.029999999992</v>
      </c>
      <c r="F16" s="44"/>
      <c r="H16" s="58">
        <v>44220</v>
      </c>
      <c r="I16" s="1" t="s">
        <v>651</v>
      </c>
      <c r="J16" s="10">
        <v>30000</v>
      </c>
      <c r="K16" s="1"/>
      <c r="L16" s="3">
        <f t="shared" si="1"/>
        <v>0</v>
      </c>
      <c r="M16" s="44"/>
      <c r="Q16" s="92"/>
      <c r="R16" s="92"/>
    </row>
    <row r="17" spans="1:18">
      <c r="A17" s="58">
        <v>44205</v>
      </c>
      <c r="B17" s="1" t="s">
        <v>632</v>
      </c>
      <c r="C17" s="10">
        <v>4500</v>
      </c>
      <c r="D17" s="3"/>
      <c r="E17" s="3">
        <f t="shared" si="0"/>
        <v>34407.029999999992</v>
      </c>
      <c r="F17" s="92"/>
      <c r="H17" s="58">
        <v>44225</v>
      </c>
      <c r="I17" s="6" t="s">
        <v>658</v>
      </c>
      <c r="J17" s="10"/>
      <c r="K17" s="1">
        <v>5000</v>
      </c>
      <c r="L17" s="3">
        <f>+L16+K17-J17</f>
        <v>5000</v>
      </c>
      <c r="M17" s="64"/>
      <c r="Q17" s="92"/>
      <c r="R17" s="92"/>
    </row>
    <row r="18" spans="1:18">
      <c r="A18" s="2">
        <v>44205</v>
      </c>
      <c r="B18" s="36" t="s">
        <v>633</v>
      </c>
      <c r="C18" s="37">
        <v>1200</v>
      </c>
      <c r="D18" s="60"/>
      <c r="E18" s="60">
        <f t="shared" si="0"/>
        <v>33207.029999999992</v>
      </c>
      <c r="F18" s="64"/>
      <c r="H18" s="58">
        <v>44225</v>
      </c>
      <c r="I18" s="6" t="s">
        <v>659</v>
      </c>
      <c r="J18" s="10">
        <v>1500</v>
      </c>
      <c r="K18" s="3"/>
      <c r="L18" s="3">
        <f t="shared" ref="L18:L27" si="2">+L17+K18-J18</f>
        <v>3500</v>
      </c>
      <c r="M18" s="64"/>
      <c r="N18" s="57"/>
      <c r="Q18" s="92"/>
      <c r="R18" s="92"/>
    </row>
    <row r="19" spans="1:18">
      <c r="A19" s="2"/>
      <c r="B19" s="6" t="s">
        <v>635</v>
      </c>
      <c r="C19" s="10">
        <v>15000</v>
      </c>
      <c r="D19" s="3"/>
      <c r="E19" s="3">
        <f t="shared" si="0"/>
        <v>18207.029999999992</v>
      </c>
      <c r="F19" s="59"/>
      <c r="H19" s="58">
        <v>44225</v>
      </c>
      <c r="I19" s="6" t="s">
        <v>101</v>
      </c>
      <c r="J19" s="10">
        <v>2700</v>
      </c>
      <c r="K19" s="10"/>
      <c r="L19" s="3">
        <f t="shared" si="2"/>
        <v>800</v>
      </c>
      <c r="M19" s="68"/>
      <c r="Q19" s="92"/>
      <c r="R19" s="92"/>
    </row>
    <row r="20" spans="1:18">
      <c r="A20" s="2"/>
      <c r="B20" s="1" t="s">
        <v>639</v>
      </c>
      <c r="C20" s="3">
        <f>312+996.5</f>
        <v>1308.5</v>
      </c>
      <c r="D20" s="3"/>
      <c r="E20" s="3">
        <f t="shared" si="0"/>
        <v>16898.529999999992</v>
      </c>
      <c r="F20" s="59"/>
      <c r="H20" s="58">
        <v>44225</v>
      </c>
      <c r="I20" s="6" t="s">
        <v>660</v>
      </c>
      <c r="J20" s="10">
        <v>600</v>
      </c>
      <c r="K20" s="3"/>
      <c r="L20" s="3">
        <f t="shared" si="2"/>
        <v>200</v>
      </c>
      <c r="M20" s="1"/>
      <c r="Q20" s="92"/>
      <c r="R20" s="92"/>
    </row>
    <row r="21" spans="1:18">
      <c r="A21" s="2"/>
      <c r="B21" s="1" t="s">
        <v>640</v>
      </c>
      <c r="C21" s="3"/>
      <c r="D21" s="3">
        <v>2550</v>
      </c>
      <c r="E21" s="3">
        <f t="shared" si="0"/>
        <v>19448.529999999992</v>
      </c>
      <c r="F21" s="59"/>
      <c r="H21" s="58">
        <v>44225</v>
      </c>
      <c r="I21" s="8" t="s">
        <v>661</v>
      </c>
      <c r="J21" s="10"/>
      <c r="K21" s="3">
        <v>1500</v>
      </c>
      <c r="L21" s="3">
        <f t="shared" si="2"/>
        <v>1700</v>
      </c>
      <c r="M21" s="1"/>
      <c r="Q21" s="92"/>
      <c r="R21" s="92"/>
    </row>
    <row r="22" spans="1:18">
      <c r="A22" s="2"/>
      <c r="B22" s="1" t="s">
        <v>644</v>
      </c>
      <c r="C22" s="3">
        <v>1390</v>
      </c>
      <c r="D22" s="3"/>
      <c r="E22" s="3">
        <f t="shared" si="0"/>
        <v>18058.529999999992</v>
      </c>
      <c r="F22" s="105">
        <f>+C22/2</f>
        <v>695</v>
      </c>
      <c r="H22" s="58">
        <v>44225</v>
      </c>
      <c r="I22" s="6" t="s">
        <v>664</v>
      </c>
      <c r="J22" s="10">
        <v>1160</v>
      </c>
      <c r="K22" s="3"/>
      <c r="L22" s="3">
        <f t="shared" si="2"/>
        <v>540</v>
      </c>
      <c r="M22" s="64"/>
      <c r="Q22" s="92"/>
      <c r="R22" s="92"/>
    </row>
    <row r="23" spans="1:18">
      <c r="A23" s="2"/>
      <c r="B23" s="1" t="s">
        <v>645</v>
      </c>
      <c r="C23" s="3">
        <v>3337.46</v>
      </c>
      <c r="D23" s="3"/>
      <c r="E23" s="3">
        <f t="shared" si="0"/>
        <v>14721.069999999992</v>
      </c>
      <c r="F23" s="105">
        <f>+C23</f>
        <v>3337.46</v>
      </c>
      <c r="H23" s="58">
        <v>44225</v>
      </c>
      <c r="I23" s="59" t="s">
        <v>665</v>
      </c>
      <c r="J23" s="3">
        <v>300</v>
      </c>
      <c r="K23" s="3"/>
      <c r="L23" s="3">
        <f t="shared" si="2"/>
        <v>240</v>
      </c>
      <c r="M23" s="89"/>
      <c r="N23" s="90"/>
      <c r="Q23" s="92"/>
      <c r="R23" s="92"/>
    </row>
    <row r="24" spans="1:18">
      <c r="A24" s="2">
        <v>44208</v>
      </c>
      <c r="B24" s="1" t="s">
        <v>648</v>
      </c>
      <c r="C24" s="3"/>
      <c r="D24" s="3">
        <v>14022</v>
      </c>
      <c r="E24" s="3">
        <f t="shared" si="0"/>
        <v>28743.069999999992</v>
      </c>
      <c r="F24" s="106"/>
      <c r="G24" s="41"/>
      <c r="H24" s="58">
        <v>44225</v>
      </c>
      <c r="I24" s="1" t="s">
        <v>666</v>
      </c>
      <c r="J24" s="3">
        <v>200</v>
      </c>
      <c r="K24" s="3"/>
      <c r="L24" s="3">
        <f t="shared" si="2"/>
        <v>40</v>
      </c>
      <c r="M24" s="89"/>
      <c r="N24" s="90"/>
      <c r="Q24" s="92"/>
      <c r="R24" s="92"/>
    </row>
    <row r="25" spans="1:18">
      <c r="A25" s="2">
        <v>44209</v>
      </c>
      <c r="B25" s="1" t="s">
        <v>649</v>
      </c>
      <c r="C25" s="3"/>
      <c r="D25" s="3">
        <v>12337.46</v>
      </c>
      <c r="E25" s="3">
        <f t="shared" si="0"/>
        <v>41080.529999999992</v>
      </c>
      <c r="F25" s="1"/>
      <c r="H25" s="11"/>
      <c r="I25" s="12"/>
      <c r="J25" s="13"/>
      <c r="K25" s="13"/>
      <c r="L25" s="13">
        <f t="shared" si="2"/>
        <v>40</v>
      </c>
      <c r="M25" s="12"/>
      <c r="Q25" s="92"/>
      <c r="R25" s="92"/>
    </row>
    <row r="26" spans="1:18">
      <c r="A26" s="2">
        <v>44209</v>
      </c>
      <c r="B26" s="1" t="s">
        <v>635</v>
      </c>
      <c r="C26" s="10">
        <v>15000</v>
      </c>
      <c r="D26" s="10"/>
      <c r="E26" s="3">
        <f t="shared" si="0"/>
        <v>26080.529999999992</v>
      </c>
      <c r="F26" s="91"/>
      <c r="H26" s="107"/>
      <c r="I26" s="12"/>
      <c r="J26" s="13"/>
      <c r="K26" s="13"/>
      <c r="L26" s="13">
        <f t="shared" si="2"/>
        <v>40</v>
      </c>
      <c r="M26" s="70"/>
    </row>
    <row r="27" spans="1:18">
      <c r="A27" s="63">
        <v>44210</v>
      </c>
      <c r="B27" s="6" t="s">
        <v>650</v>
      </c>
      <c r="C27" s="10">
        <v>8200.5</v>
      </c>
      <c r="D27" s="10"/>
      <c r="E27" s="3">
        <f t="shared" si="0"/>
        <v>17880.029999999992</v>
      </c>
      <c r="F27" s="6"/>
      <c r="H27" s="58"/>
      <c r="I27" s="1"/>
      <c r="J27" s="3"/>
      <c r="K27" s="3"/>
      <c r="L27" s="3">
        <f t="shared" si="2"/>
        <v>40</v>
      </c>
      <c r="M27" s="1"/>
    </row>
    <row r="28" spans="1:18">
      <c r="A28" s="63">
        <v>44212</v>
      </c>
      <c r="B28" s="6" t="s">
        <v>653</v>
      </c>
      <c r="C28" s="10"/>
      <c r="D28" s="10">
        <v>5000</v>
      </c>
      <c r="E28" s="3">
        <f t="shared" si="0"/>
        <v>22880.029999999992</v>
      </c>
      <c r="F28" s="6"/>
      <c r="H28" s="58"/>
      <c r="I28" s="1"/>
      <c r="J28" s="3"/>
      <c r="K28" s="3"/>
      <c r="L28" s="3">
        <f t="shared" ref="L28:L32" si="3">+L27-J28-K28</f>
        <v>40</v>
      </c>
      <c r="M28" s="1"/>
    </row>
    <row r="29" spans="1:18">
      <c r="A29" s="63">
        <v>44212</v>
      </c>
      <c r="B29" s="1" t="s">
        <v>652</v>
      </c>
      <c r="C29" s="10">
        <f>7000+8000</f>
        <v>15000</v>
      </c>
      <c r="D29" s="10"/>
      <c r="E29" s="3">
        <f t="shared" si="0"/>
        <v>7880.0299999999916</v>
      </c>
      <c r="F29" s="68"/>
      <c r="H29" s="2"/>
      <c r="I29" s="1"/>
      <c r="J29" s="3"/>
      <c r="K29" s="3"/>
      <c r="L29" s="3">
        <f t="shared" si="3"/>
        <v>40</v>
      </c>
      <c r="M29" s="64"/>
    </row>
    <row r="30" spans="1:18">
      <c r="A30" s="63">
        <v>44212</v>
      </c>
      <c r="B30" s="1" t="s">
        <v>655</v>
      </c>
      <c r="C30" s="3">
        <v>1936.73</v>
      </c>
      <c r="D30" s="3"/>
      <c r="E30" s="3">
        <f t="shared" si="0"/>
        <v>5943.299999999992</v>
      </c>
      <c r="F30" s="1"/>
      <c r="H30" s="2"/>
      <c r="I30" s="1"/>
      <c r="J30" s="3"/>
      <c r="K30" s="3"/>
      <c r="L30" s="3">
        <f t="shared" si="3"/>
        <v>40</v>
      </c>
      <c r="M30" s="1"/>
    </row>
    <row r="31" spans="1:18">
      <c r="A31" s="63">
        <v>44212</v>
      </c>
      <c r="B31" s="1" t="s">
        <v>654</v>
      </c>
      <c r="C31" s="3">
        <v>585</v>
      </c>
      <c r="D31" s="3"/>
      <c r="E31" s="3">
        <f t="shared" si="0"/>
        <v>5358.299999999992</v>
      </c>
      <c r="F31" s="1"/>
      <c r="H31" s="2"/>
      <c r="I31" s="1"/>
      <c r="J31" s="3"/>
      <c r="K31" s="3"/>
      <c r="L31" s="3">
        <f t="shared" si="3"/>
        <v>40</v>
      </c>
      <c r="M31" s="44"/>
    </row>
    <row r="32" spans="1:18">
      <c r="A32" s="2">
        <v>44217</v>
      </c>
      <c r="B32" s="1" t="s">
        <v>656</v>
      </c>
      <c r="C32" s="3"/>
      <c r="D32" s="3">
        <v>0.36</v>
      </c>
      <c r="E32" s="3">
        <f t="shared" si="0"/>
        <v>5358.6599999999917</v>
      </c>
      <c r="F32" s="1"/>
      <c r="H32" s="2"/>
      <c r="I32" s="1"/>
      <c r="J32" s="3"/>
      <c r="K32" s="3"/>
      <c r="L32" s="3">
        <f t="shared" si="3"/>
        <v>40</v>
      </c>
      <c r="M32" s="1"/>
    </row>
    <row r="33" spans="1:14">
      <c r="A33" s="2">
        <v>44225</v>
      </c>
      <c r="B33" s="6" t="s">
        <v>657</v>
      </c>
      <c r="C33" s="3"/>
      <c r="D33" s="3">
        <v>1500</v>
      </c>
      <c r="E33" s="3">
        <f t="shared" si="0"/>
        <v>6858.6599999999917</v>
      </c>
      <c r="F33" s="1"/>
      <c r="H33" s="2"/>
      <c r="I33" s="1"/>
      <c r="J33" s="3"/>
      <c r="K33" s="3"/>
      <c r="L33" s="3">
        <f t="shared" ref="L33:L59" si="4">+L32-J33+K33</f>
        <v>40</v>
      </c>
      <c r="M33" s="44"/>
    </row>
    <row r="34" spans="1:14">
      <c r="A34" s="2">
        <v>44225</v>
      </c>
      <c r="B34" s="6" t="s">
        <v>658</v>
      </c>
      <c r="C34" s="3">
        <v>5000</v>
      </c>
      <c r="D34" s="3"/>
      <c r="E34" s="3">
        <f t="shared" si="0"/>
        <v>1858.6599999999917</v>
      </c>
      <c r="F34" s="1"/>
      <c r="H34" s="2"/>
      <c r="I34" s="6"/>
      <c r="J34" s="3"/>
      <c r="K34" s="3"/>
      <c r="L34" s="3">
        <f t="shared" si="4"/>
        <v>40</v>
      </c>
      <c r="M34" s="1"/>
    </row>
    <row r="35" spans="1:14">
      <c r="A35" s="2">
        <v>44225</v>
      </c>
      <c r="B35" s="6" t="s">
        <v>661</v>
      </c>
      <c r="C35" s="3">
        <v>1500</v>
      </c>
      <c r="D35" s="3"/>
      <c r="E35" s="3">
        <f t="shared" si="0"/>
        <v>358.65999999999167</v>
      </c>
      <c r="F35" s="1"/>
      <c r="H35" s="2"/>
      <c r="I35" s="1"/>
      <c r="J35" s="3"/>
      <c r="K35" s="3"/>
      <c r="L35" s="3">
        <f t="shared" si="4"/>
        <v>40</v>
      </c>
      <c r="M35" s="44"/>
    </row>
    <row r="36" spans="1:14">
      <c r="A36" s="2">
        <v>44226</v>
      </c>
      <c r="B36" s="6" t="s">
        <v>662</v>
      </c>
      <c r="C36" s="3"/>
      <c r="D36" s="3">
        <v>35000</v>
      </c>
      <c r="E36" s="3">
        <f t="shared" si="0"/>
        <v>35358.659999999989</v>
      </c>
      <c r="F36" s="1"/>
      <c r="H36" s="2"/>
      <c r="I36" s="1"/>
      <c r="J36" s="3"/>
      <c r="K36" s="3"/>
      <c r="L36" s="3">
        <f t="shared" si="4"/>
        <v>40</v>
      </c>
      <c r="M36" s="1"/>
    </row>
    <row r="37" spans="1:14">
      <c r="A37" s="2">
        <v>44226</v>
      </c>
      <c r="B37" s="6" t="s">
        <v>663</v>
      </c>
      <c r="C37" s="3">
        <v>433.4</v>
      </c>
      <c r="D37" s="3"/>
      <c r="E37" s="3">
        <f t="shared" si="0"/>
        <v>34925.259999999987</v>
      </c>
      <c r="F37" s="1"/>
      <c r="H37" s="2"/>
      <c r="I37" s="6"/>
      <c r="J37" s="3"/>
      <c r="K37" s="3"/>
      <c r="L37" s="3">
        <f t="shared" si="4"/>
        <v>40</v>
      </c>
      <c r="M37" s="1"/>
    </row>
    <row r="38" spans="1:14">
      <c r="A38" s="20"/>
      <c r="B38" s="20"/>
      <c r="C38" s="49"/>
      <c r="D38" s="49"/>
      <c r="E38" s="48">
        <f t="shared" si="0"/>
        <v>34925.259999999987</v>
      </c>
      <c r="F38" s="20"/>
      <c r="H38" s="2"/>
      <c r="I38" s="6"/>
      <c r="J38" s="10"/>
      <c r="K38" s="1"/>
      <c r="L38" s="3">
        <f t="shared" si="4"/>
        <v>40</v>
      </c>
      <c r="M38" s="1"/>
    </row>
    <row r="39" spans="1:14">
      <c r="A39" s="20"/>
      <c r="B39" s="20"/>
      <c r="C39" s="49"/>
      <c r="D39" s="49"/>
      <c r="E39" s="13">
        <f t="shared" si="0"/>
        <v>34925.259999999987</v>
      </c>
      <c r="F39" s="20"/>
      <c r="H39" s="2"/>
      <c r="I39" s="59"/>
      <c r="J39" s="60"/>
      <c r="K39" s="60"/>
      <c r="L39" s="3">
        <f t="shared" si="4"/>
        <v>40</v>
      </c>
      <c r="M39" s="44"/>
    </row>
    <row r="40" spans="1:14">
      <c r="E40" s="3">
        <f t="shared" si="0"/>
        <v>34925.259999999987</v>
      </c>
      <c r="H40" s="2"/>
      <c r="I40" s="1"/>
      <c r="J40" s="3"/>
      <c r="K40" s="3"/>
      <c r="L40" s="3">
        <f t="shared" si="4"/>
        <v>40</v>
      </c>
      <c r="M40" s="64"/>
    </row>
    <row r="41" spans="1:14">
      <c r="E41" s="3">
        <f t="shared" si="0"/>
        <v>34925.259999999987</v>
      </c>
      <c r="H41" s="58"/>
      <c r="I41" s="1"/>
      <c r="J41" s="3"/>
      <c r="K41" s="3"/>
      <c r="L41" s="3">
        <f t="shared" si="4"/>
        <v>40</v>
      </c>
      <c r="M41" s="64"/>
    </row>
    <row r="42" spans="1:14">
      <c r="E42" s="3">
        <f t="shared" si="0"/>
        <v>34925.259999999987</v>
      </c>
      <c r="H42" s="2"/>
      <c r="I42" s="1"/>
      <c r="J42" s="3"/>
      <c r="K42" s="3"/>
      <c r="L42" s="3">
        <f t="shared" si="4"/>
        <v>40</v>
      </c>
      <c r="M42" s="64"/>
    </row>
    <row r="43" spans="1:14">
      <c r="E43" s="3">
        <f t="shared" si="0"/>
        <v>34925.259999999987</v>
      </c>
      <c r="H43" s="2"/>
      <c r="I43" s="6"/>
      <c r="J43" s="3"/>
      <c r="K43" s="3"/>
      <c r="L43" s="3">
        <f t="shared" si="4"/>
        <v>40</v>
      </c>
      <c r="M43" s="44"/>
    </row>
    <row r="44" spans="1:14">
      <c r="E44" s="3">
        <f t="shared" si="0"/>
        <v>34925.259999999987</v>
      </c>
      <c r="H44" s="2"/>
      <c r="I44" s="6"/>
      <c r="J44" s="3"/>
      <c r="K44" s="3"/>
      <c r="L44" s="3">
        <f t="shared" si="4"/>
        <v>40</v>
      </c>
      <c r="M44" s="1"/>
    </row>
    <row r="45" spans="1:14">
      <c r="E45" s="3">
        <f t="shared" si="0"/>
        <v>34925.259999999987</v>
      </c>
      <c r="H45" s="2"/>
      <c r="I45" s="1"/>
      <c r="J45" s="3"/>
      <c r="K45" s="3"/>
      <c r="L45" s="3">
        <f t="shared" si="4"/>
        <v>40</v>
      </c>
      <c r="M45" s="1"/>
    </row>
    <row r="46" spans="1:14">
      <c r="H46" s="2"/>
      <c r="I46" s="1"/>
      <c r="J46" s="3"/>
      <c r="K46" s="3"/>
      <c r="L46" s="3">
        <f t="shared" si="4"/>
        <v>40</v>
      </c>
      <c r="M46" s="1"/>
    </row>
    <row r="47" spans="1:14">
      <c r="H47" s="2"/>
      <c r="I47" s="1"/>
      <c r="J47" s="3"/>
      <c r="K47" s="3"/>
      <c r="L47" s="3">
        <f t="shared" si="4"/>
        <v>40</v>
      </c>
      <c r="M47" s="64"/>
      <c r="N47" s="83"/>
    </row>
    <row r="48" spans="1:14">
      <c r="H48" s="2"/>
      <c r="I48" s="1"/>
      <c r="J48" s="3"/>
      <c r="K48" s="3"/>
      <c r="L48" s="3">
        <f t="shared" si="4"/>
        <v>40</v>
      </c>
      <c r="M48" s="1"/>
    </row>
    <row r="49" spans="8:14">
      <c r="H49" s="2"/>
      <c r="I49" s="1"/>
      <c r="J49" s="3"/>
      <c r="K49" s="3"/>
      <c r="L49" s="3">
        <f t="shared" si="4"/>
        <v>40</v>
      </c>
      <c r="M49" s="44"/>
    </row>
    <row r="50" spans="8:14">
      <c r="H50" s="2"/>
      <c r="I50" s="1"/>
      <c r="J50" s="3"/>
      <c r="K50" s="3"/>
      <c r="L50" s="3">
        <f t="shared" si="4"/>
        <v>40</v>
      </c>
      <c r="M50" s="1"/>
    </row>
    <row r="51" spans="8:14">
      <c r="H51" s="2"/>
      <c r="I51" s="1"/>
      <c r="J51" s="3"/>
      <c r="K51" s="3"/>
      <c r="L51" s="3">
        <f t="shared" si="4"/>
        <v>40</v>
      </c>
      <c r="M51" s="1"/>
    </row>
    <row r="52" spans="8:14">
      <c r="H52" s="2"/>
      <c r="I52" s="6"/>
      <c r="J52" s="3"/>
      <c r="K52" s="3"/>
      <c r="L52" s="3">
        <f t="shared" si="4"/>
        <v>40</v>
      </c>
      <c r="M52" s="44"/>
    </row>
    <row r="53" spans="8:14">
      <c r="H53" s="2"/>
      <c r="I53" s="1"/>
      <c r="J53" s="3"/>
      <c r="K53" s="3"/>
      <c r="L53" s="3">
        <f t="shared" si="4"/>
        <v>40</v>
      </c>
      <c r="M53" s="1"/>
      <c r="N53" s="41"/>
    </row>
    <row r="54" spans="8:14">
      <c r="H54" s="2"/>
      <c r="I54" s="1"/>
      <c r="J54" s="3"/>
      <c r="K54" s="3"/>
      <c r="L54" s="3">
        <f t="shared" si="4"/>
        <v>40</v>
      </c>
      <c r="M54" s="1"/>
    </row>
    <row r="55" spans="8:14">
      <c r="H55" s="2"/>
      <c r="I55" s="1"/>
      <c r="J55" s="3"/>
      <c r="K55" s="3"/>
      <c r="L55" s="3">
        <f t="shared" si="4"/>
        <v>40</v>
      </c>
      <c r="M55" s="1"/>
    </row>
    <row r="56" spans="8:14">
      <c r="H56" s="2"/>
      <c r="I56" s="1"/>
      <c r="J56" s="3"/>
      <c r="K56" s="3"/>
      <c r="L56" s="3">
        <f t="shared" si="4"/>
        <v>40</v>
      </c>
      <c r="M56" s="1"/>
    </row>
    <row r="57" spans="8:14">
      <c r="H57" s="2"/>
      <c r="I57" s="1"/>
      <c r="J57" s="3"/>
      <c r="K57" s="3"/>
      <c r="L57" s="3">
        <f t="shared" si="4"/>
        <v>40</v>
      </c>
      <c r="M57" s="1"/>
    </row>
    <row r="58" spans="8:14">
      <c r="H58" s="2"/>
      <c r="I58" s="1"/>
      <c r="J58" s="3"/>
      <c r="K58" s="3"/>
      <c r="L58" s="3">
        <f t="shared" si="4"/>
        <v>40</v>
      </c>
      <c r="M58" s="64"/>
    </row>
    <row r="59" spans="8:14">
      <c r="H59" s="1"/>
      <c r="I59" s="1"/>
      <c r="J59" s="3"/>
      <c r="K59" s="3"/>
      <c r="L59" s="3">
        <f t="shared" si="4"/>
        <v>40</v>
      </c>
      <c r="M59" s="1"/>
    </row>
    <row r="60" spans="8:14">
      <c r="H60" s="1"/>
      <c r="I60" s="1"/>
      <c r="J60" s="3"/>
      <c r="K60" s="3"/>
      <c r="L60" s="1"/>
      <c r="M60" s="1"/>
    </row>
    <row r="61" spans="8:14">
      <c r="H61" s="1"/>
      <c r="I61" s="1"/>
      <c r="J61" s="3"/>
      <c r="K61" s="3"/>
      <c r="L61" s="1"/>
      <c r="M61" s="1"/>
    </row>
    <row r="62" spans="8:14">
      <c r="H62" s="1"/>
      <c r="I62" s="1"/>
      <c r="J62" s="3"/>
      <c r="K62" s="3"/>
      <c r="L62" s="1"/>
      <c r="M62" s="1"/>
    </row>
    <row r="63" spans="8:14">
      <c r="J63" s="4"/>
      <c r="K63" s="4"/>
    </row>
    <row r="64" spans="8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B39D-8ACE-1946-B12E-890952B47BC8}">
  <dimension ref="A1:R161"/>
  <sheetViews>
    <sheetView topLeftCell="G6" zoomScale="117"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0" width="12.5" bestFit="1" customWidth="1"/>
    <col min="11" max="12" width="11.5" bestFit="1" customWidth="1"/>
    <col min="13" max="13" width="25.6640625" bestFit="1" customWidth="1"/>
    <col min="15" max="15" width="19.5" bestFit="1" customWidth="1"/>
  </cols>
  <sheetData>
    <row r="1" spans="1:18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  <c r="O1" s="41">
        <f>+'Gastos fijos'!E22</f>
        <v>0</v>
      </c>
      <c r="P1" t="s">
        <v>669</v>
      </c>
    </row>
    <row r="2" spans="1:18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93">
        <v>400</v>
      </c>
      <c r="P2" s="92" t="s">
        <v>670</v>
      </c>
    </row>
    <row r="3" spans="1:18">
      <c r="A3" s="2">
        <v>44226</v>
      </c>
      <c r="B3" s="473" t="s">
        <v>144</v>
      </c>
      <c r="C3" s="474"/>
      <c r="D3" s="475"/>
      <c r="E3" s="3">
        <v>34925.259999999987</v>
      </c>
      <c r="F3" s="31" t="s">
        <v>662</v>
      </c>
      <c r="G3" s="32">
        <f>+'Enero 2021'!D36+D4+4000</f>
        <v>58540.9</v>
      </c>
      <c r="H3" s="2">
        <v>44226</v>
      </c>
      <c r="I3" s="473" t="s">
        <v>144</v>
      </c>
      <c r="J3" s="474"/>
      <c r="K3" s="475"/>
      <c r="L3" s="3">
        <v>40</v>
      </c>
      <c r="M3" s="37"/>
      <c r="O3" s="93">
        <f>+(1760+120)/2</f>
        <v>940</v>
      </c>
      <c r="P3" s="92" t="s">
        <v>671</v>
      </c>
      <c r="Q3" s="92"/>
      <c r="R3" s="92"/>
    </row>
    <row r="4" spans="1:18">
      <c r="A4" s="2">
        <v>44228</v>
      </c>
      <c r="B4" s="1" t="s">
        <v>662</v>
      </c>
      <c r="C4" s="3"/>
      <c r="D4" s="3">
        <v>19540.900000000001</v>
      </c>
      <c r="E4" s="3">
        <f>+E3-C4+D4</f>
        <v>54466.159999999989</v>
      </c>
      <c r="F4" s="44"/>
      <c r="G4" s="39" t="s">
        <v>170</v>
      </c>
      <c r="H4" s="2">
        <v>44226</v>
      </c>
      <c r="I4" s="1" t="s">
        <v>667</v>
      </c>
      <c r="J4" s="3">
        <v>40</v>
      </c>
      <c r="K4" s="3"/>
      <c r="L4" s="3">
        <f>+L3+K4-J4</f>
        <v>0</v>
      </c>
      <c r="M4" s="95"/>
      <c r="O4" s="41">
        <f>+SUM(O1:O3)</f>
        <v>1340</v>
      </c>
      <c r="P4" t="s">
        <v>672</v>
      </c>
      <c r="Q4" s="92"/>
      <c r="R4" s="92"/>
    </row>
    <row r="5" spans="1:18">
      <c r="A5" s="2">
        <v>44229</v>
      </c>
      <c r="B5" s="1" t="s">
        <v>668</v>
      </c>
      <c r="C5" s="3">
        <v>5000</v>
      </c>
      <c r="D5" s="3"/>
      <c r="E5" s="3">
        <f t="shared" ref="E5:E45" si="0">+E4-C5+D5</f>
        <v>49466.159999999989</v>
      </c>
      <c r="F5" s="44"/>
      <c r="G5" s="56">
        <f>+E34+L59</f>
        <v>760.19999999998981</v>
      </c>
      <c r="H5" s="2">
        <v>44229</v>
      </c>
      <c r="I5" s="1" t="s">
        <v>668</v>
      </c>
      <c r="J5" s="3"/>
      <c r="K5" s="3">
        <v>5000</v>
      </c>
      <c r="L5" s="3">
        <f t="shared" ref="L5:L16" si="1">+L4+K5-J5</f>
        <v>5000</v>
      </c>
      <c r="M5" s="103"/>
      <c r="O5" s="94">
        <f>+M7</f>
        <v>1600</v>
      </c>
      <c r="P5" s="92" t="s">
        <v>673</v>
      </c>
      <c r="Q5" s="92"/>
      <c r="R5" s="92"/>
    </row>
    <row r="6" spans="1:18">
      <c r="A6" s="2">
        <v>44229</v>
      </c>
      <c r="B6" s="93" t="s">
        <v>675</v>
      </c>
      <c r="C6" s="3">
        <v>1265</v>
      </c>
      <c r="D6" s="3"/>
      <c r="E6" s="3">
        <f t="shared" si="0"/>
        <v>48201.159999999989</v>
      </c>
      <c r="F6" s="30"/>
      <c r="G6" s="41"/>
      <c r="H6" s="2">
        <v>44229</v>
      </c>
      <c r="I6" s="1" t="s">
        <v>404</v>
      </c>
      <c r="J6" s="3">
        <v>180</v>
      </c>
      <c r="K6" s="3"/>
      <c r="L6" s="3">
        <f t="shared" si="1"/>
        <v>4820</v>
      </c>
      <c r="M6" s="103"/>
      <c r="O6" s="94">
        <f>+M8</f>
        <v>100</v>
      </c>
      <c r="P6" s="92"/>
      <c r="Q6" s="92"/>
      <c r="R6" s="92"/>
    </row>
    <row r="7" spans="1:18">
      <c r="A7" s="2">
        <v>44230</v>
      </c>
      <c r="B7" s="36" t="s">
        <v>676</v>
      </c>
      <c r="C7" s="3"/>
      <c r="D7" s="3">
        <v>540</v>
      </c>
      <c r="E7" s="3">
        <f t="shared" si="0"/>
        <v>48741.159999999989</v>
      </c>
      <c r="F7" s="64"/>
      <c r="G7" s="41"/>
      <c r="H7" s="2">
        <v>44229</v>
      </c>
      <c r="I7" s="1" t="s">
        <v>83</v>
      </c>
      <c r="J7" s="3">
        <v>3200</v>
      </c>
      <c r="K7" s="3"/>
      <c r="L7" s="3">
        <f t="shared" si="1"/>
        <v>1620</v>
      </c>
      <c r="M7" s="3">
        <f>+J7/2</f>
        <v>1600</v>
      </c>
      <c r="O7" s="93">
        <f>+O4-O5-O6</f>
        <v>-360</v>
      </c>
      <c r="P7" s="92" t="s">
        <v>47</v>
      </c>
      <c r="Q7" s="92"/>
      <c r="R7" s="92"/>
    </row>
    <row r="8" spans="1:18">
      <c r="A8" s="2">
        <v>44232</v>
      </c>
      <c r="B8" s="1" t="s">
        <v>677</v>
      </c>
      <c r="C8" s="3">
        <v>400</v>
      </c>
      <c r="D8" s="3"/>
      <c r="E8" s="3">
        <f t="shared" si="0"/>
        <v>48341.159999999989</v>
      </c>
      <c r="F8" s="1"/>
      <c r="H8" s="2">
        <v>44229</v>
      </c>
      <c r="I8" s="1" t="s">
        <v>559</v>
      </c>
      <c r="J8" s="60">
        <v>200</v>
      </c>
      <c r="K8" s="60"/>
      <c r="L8" s="3">
        <f t="shared" si="1"/>
        <v>1420</v>
      </c>
      <c r="M8" s="103">
        <f>+J8/2</f>
        <v>100</v>
      </c>
      <c r="O8" s="93" t="s">
        <v>674</v>
      </c>
      <c r="P8" s="92"/>
      <c r="Q8" s="92"/>
      <c r="R8" s="92"/>
    </row>
    <row r="9" spans="1:18">
      <c r="A9" s="2">
        <v>44232</v>
      </c>
      <c r="B9" s="1" t="s">
        <v>678</v>
      </c>
      <c r="C9" s="3">
        <v>2600</v>
      </c>
      <c r="D9" s="3"/>
      <c r="E9" s="3">
        <f t="shared" si="0"/>
        <v>45741.159999999989</v>
      </c>
      <c r="F9" s="1"/>
      <c r="H9" s="98">
        <v>44230</v>
      </c>
      <c r="I9" s="98" t="s">
        <v>683</v>
      </c>
      <c r="J9" s="3">
        <v>650</v>
      </c>
      <c r="K9" s="3"/>
      <c r="L9" s="3">
        <f t="shared" si="1"/>
        <v>770</v>
      </c>
      <c r="M9" s="103"/>
      <c r="O9" s="93"/>
      <c r="P9" s="92"/>
      <c r="Q9" s="92"/>
      <c r="R9" s="92"/>
    </row>
    <row r="10" spans="1:18">
      <c r="A10" s="2">
        <v>44232</v>
      </c>
      <c r="B10" s="1" t="s">
        <v>679</v>
      </c>
      <c r="C10" s="3">
        <v>1500</v>
      </c>
      <c r="D10" s="3"/>
      <c r="E10" s="3">
        <f t="shared" si="0"/>
        <v>44241.159999999989</v>
      </c>
      <c r="F10" s="36"/>
      <c r="H10" s="2">
        <v>44231</v>
      </c>
      <c r="I10" s="1" t="s">
        <v>684</v>
      </c>
      <c r="J10" s="3">
        <v>540</v>
      </c>
      <c r="K10" s="3"/>
      <c r="L10" s="3">
        <f t="shared" si="1"/>
        <v>230</v>
      </c>
      <c r="M10" s="103"/>
      <c r="N10" s="57"/>
      <c r="O10" s="93">
        <f>1385/2</f>
        <v>692.5</v>
      </c>
      <c r="P10" s="92" t="s">
        <v>682</v>
      </c>
      <c r="Q10" s="92"/>
      <c r="R10" s="92"/>
    </row>
    <row r="11" spans="1:18" ht="17">
      <c r="A11" s="2">
        <v>44233</v>
      </c>
      <c r="B11" s="1" t="s">
        <v>680</v>
      </c>
      <c r="C11" s="3">
        <v>10000</v>
      </c>
      <c r="D11" s="3"/>
      <c r="E11" s="3">
        <f t="shared" si="0"/>
        <v>34241.159999999989</v>
      </c>
      <c r="F11" s="1"/>
      <c r="H11" s="109">
        <v>44232</v>
      </c>
      <c r="I11" s="109" t="s">
        <v>685</v>
      </c>
      <c r="J11" s="60">
        <v>230</v>
      </c>
      <c r="K11" s="3"/>
      <c r="L11" s="3">
        <f t="shared" si="1"/>
        <v>0</v>
      </c>
      <c r="M11" s="103"/>
      <c r="N11" s="57"/>
      <c r="O11" s="93">
        <f>+SUM(M24:M42)+F24</f>
        <v>5510</v>
      </c>
      <c r="P11" s="92" t="s">
        <v>711</v>
      </c>
      <c r="Q11" s="102"/>
      <c r="R11" s="102"/>
    </row>
    <row r="12" spans="1:18">
      <c r="A12" s="2">
        <v>44233</v>
      </c>
      <c r="B12" s="1" t="s">
        <v>680</v>
      </c>
      <c r="C12" s="3">
        <v>8000</v>
      </c>
      <c r="D12" s="3"/>
      <c r="E12" s="3">
        <f t="shared" si="0"/>
        <v>26241.159999999989</v>
      </c>
      <c r="F12" s="1"/>
      <c r="G12" s="41"/>
      <c r="H12" s="109">
        <v>44233</v>
      </c>
      <c r="I12" s="1" t="s">
        <v>686</v>
      </c>
      <c r="J12" s="3"/>
      <c r="K12" s="3">
        <v>18000</v>
      </c>
      <c r="L12" s="3">
        <f t="shared" si="1"/>
        <v>18000</v>
      </c>
      <c r="M12" s="104"/>
      <c r="N12" s="57"/>
      <c r="O12" s="93">
        <v>-1000</v>
      </c>
      <c r="P12" s="92" t="s">
        <v>721</v>
      </c>
      <c r="Q12" s="92"/>
      <c r="R12" s="92"/>
    </row>
    <row r="13" spans="1:18">
      <c r="A13" s="2">
        <v>44233</v>
      </c>
      <c r="B13" s="1" t="s">
        <v>681</v>
      </c>
      <c r="C13" s="3">
        <v>6000</v>
      </c>
      <c r="D13" s="3"/>
      <c r="E13" s="3">
        <f t="shared" si="0"/>
        <v>20241.159999999989</v>
      </c>
      <c r="F13" s="1"/>
      <c r="H13" s="109">
        <v>44233</v>
      </c>
      <c r="I13" s="1" t="s">
        <v>689</v>
      </c>
      <c r="J13" s="3">
        <v>350</v>
      </c>
      <c r="K13" s="3"/>
      <c r="L13" s="3">
        <f t="shared" si="1"/>
        <v>17650</v>
      </c>
      <c r="M13" s="44"/>
      <c r="O13" s="93"/>
      <c r="P13" s="92"/>
      <c r="Q13" s="92"/>
      <c r="R13" s="92"/>
    </row>
    <row r="14" spans="1:18">
      <c r="A14" s="58">
        <v>44235</v>
      </c>
      <c r="B14" s="1" t="s">
        <v>693</v>
      </c>
      <c r="C14" s="3"/>
      <c r="D14" s="3">
        <v>2000</v>
      </c>
      <c r="E14" s="3">
        <f t="shared" si="0"/>
        <v>22241.159999999989</v>
      </c>
      <c r="F14" s="1"/>
      <c r="G14" s="57"/>
      <c r="H14" s="109">
        <v>44233</v>
      </c>
      <c r="I14" s="1" t="s">
        <v>688</v>
      </c>
      <c r="J14" s="3">
        <v>100</v>
      </c>
      <c r="K14" s="3"/>
      <c r="L14" s="3">
        <f t="shared" si="1"/>
        <v>17550</v>
      </c>
      <c r="M14" s="64"/>
      <c r="O14" s="93">
        <f>+O11+O12-O10</f>
        <v>3817.5</v>
      </c>
      <c r="P14" s="92"/>
      <c r="Q14" s="92"/>
      <c r="R14" s="92"/>
    </row>
    <row r="15" spans="1:18">
      <c r="A15" s="58">
        <v>44235</v>
      </c>
      <c r="B15" s="1" t="s">
        <v>694</v>
      </c>
      <c r="C15" s="3"/>
      <c r="D15" s="3">
        <v>250</v>
      </c>
      <c r="E15" s="3">
        <f t="shared" si="0"/>
        <v>22491.159999999989</v>
      </c>
      <c r="F15" s="1"/>
      <c r="H15" s="109">
        <v>44233</v>
      </c>
      <c r="I15" s="1" t="s">
        <v>687</v>
      </c>
      <c r="J15" s="3">
        <v>820</v>
      </c>
      <c r="K15" s="3"/>
      <c r="L15" s="3">
        <f t="shared" si="1"/>
        <v>16730</v>
      </c>
      <c r="M15" s="64"/>
      <c r="O15" s="93">
        <v>1000</v>
      </c>
      <c r="P15" s="92" t="s">
        <v>722</v>
      </c>
      <c r="Q15" s="92"/>
      <c r="R15" s="92"/>
    </row>
    <row r="16" spans="1:18">
      <c r="A16" s="58">
        <v>44236</v>
      </c>
      <c r="B16" s="1" t="s">
        <v>695</v>
      </c>
      <c r="C16" s="10"/>
      <c r="D16" s="3">
        <v>840</v>
      </c>
      <c r="E16" s="3">
        <f t="shared" si="0"/>
        <v>23331.159999999989</v>
      </c>
      <c r="F16" s="44"/>
      <c r="H16" s="58">
        <v>44234</v>
      </c>
      <c r="I16" s="1" t="s">
        <v>690</v>
      </c>
      <c r="J16" s="10">
        <v>120</v>
      </c>
      <c r="K16" s="1"/>
      <c r="L16" s="3">
        <f t="shared" si="1"/>
        <v>16610</v>
      </c>
      <c r="M16" s="44"/>
      <c r="O16" s="93">
        <f>+O14-O15</f>
        <v>2817.5</v>
      </c>
      <c r="P16" s="92" t="s">
        <v>723</v>
      </c>
      <c r="Q16" s="92"/>
      <c r="R16" s="92"/>
    </row>
    <row r="17" spans="1:18">
      <c r="A17" s="58">
        <v>44236</v>
      </c>
      <c r="B17" s="1" t="s">
        <v>697</v>
      </c>
      <c r="C17" s="10">
        <v>1200</v>
      </c>
      <c r="D17" s="3"/>
      <c r="E17" s="3">
        <f t="shared" si="0"/>
        <v>22131.159999999989</v>
      </c>
      <c r="F17" s="59"/>
      <c r="H17" s="110">
        <v>44235</v>
      </c>
      <c r="I17" s="111" t="s">
        <v>691</v>
      </c>
      <c r="J17" s="112">
        <v>12200</v>
      </c>
      <c r="K17" s="1"/>
      <c r="L17" s="3">
        <f>+L16+K17-J17</f>
        <v>4410</v>
      </c>
      <c r="M17" s="64"/>
      <c r="O17" s="93">
        <v>450</v>
      </c>
      <c r="P17" s="92" t="s">
        <v>724</v>
      </c>
      <c r="Q17" s="92"/>
      <c r="R17" s="92"/>
    </row>
    <row r="18" spans="1:18">
      <c r="A18" s="2">
        <v>44237</v>
      </c>
      <c r="B18" s="36" t="s">
        <v>696</v>
      </c>
      <c r="C18" s="37">
        <v>1000</v>
      </c>
      <c r="D18" s="60"/>
      <c r="E18" s="60">
        <f t="shared" si="0"/>
        <v>21131.159999999989</v>
      </c>
      <c r="F18" s="64"/>
      <c r="H18" s="58">
        <v>44235</v>
      </c>
      <c r="I18" s="6" t="s">
        <v>692</v>
      </c>
      <c r="J18" s="10">
        <v>2000</v>
      </c>
      <c r="K18" s="3"/>
      <c r="L18" s="3">
        <f t="shared" ref="L18:L34" si="2">+L17+K18-J18</f>
        <v>2410</v>
      </c>
      <c r="M18" s="64"/>
      <c r="N18" s="57"/>
      <c r="O18" s="4">
        <v>1000</v>
      </c>
      <c r="P18" s="92" t="s">
        <v>725</v>
      </c>
      <c r="Q18" s="92"/>
      <c r="R18" s="92"/>
    </row>
    <row r="19" spans="1:18">
      <c r="A19" s="2">
        <v>44238</v>
      </c>
      <c r="B19" s="6" t="s">
        <v>101</v>
      </c>
      <c r="C19" s="10">
        <v>2670.96</v>
      </c>
      <c r="D19" s="3"/>
      <c r="E19" s="3">
        <f t="shared" si="0"/>
        <v>18460.19999999999</v>
      </c>
      <c r="F19" s="59"/>
      <c r="H19" s="58">
        <v>44235</v>
      </c>
      <c r="I19" s="6" t="s">
        <v>698</v>
      </c>
      <c r="J19" s="10">
        <v>300</v>
      </c>
      <c r="K19" s="10"/>
      <c r="L19" s="3">
        <f t="shared" si="2"/>
        <v>2110</v>
      </c>
      <c r="M19" s="68"/>
      <c r="O19" s="93">
        <v>0</v>
      </c>
      <c r="P19" s="92" t="s">
        <v>728</v>
      </c>
      <c r="Q19" s="92"/>
      <c r="R19" s="92"/>
    </row>
    <row r="20" spans="1:18">
      <c r="A20" s="2">
        <v>44239</v>
      </c>
      <c r="B20" s="1" t="s">
        <v>701</v>
      </c>
      <c r="C20" s="3">
        <v>5000</v>
      </c>
      <c r="D20" s="3"/>
      <c r="E20" s="3">
        <f t="shared" si="0"/>
        <v>13460.19999999999</v>
      </c>
      <c r="F20" s="59"/>
      <c r="H20" s="58">
        <v>44236</v>
      </c>
      <c r="I20" s="6" t="s">
        <v>394</v>
      </c>
      <c r="J20" s="10">
        <v>100</v>
      </c>
      <c r="K20" s="3"/>
      <c r="L20" s="3">
        <f t="shared" si="2"/>
        <v>2010</v>
      </c>
      <c r="M20" s="1"/>
      <c r="Q20" s="92"/>
      <c r="R20" s="92"/>
    </row>
    <row r="21" spans="1:18">
      <c r="A21" s="2">
        <v>44241</v>
      </c>
      <c r="B21" s="1" t="s">
        <v>703</v>
      </c>
      <c r="C21" s="3">
        <v>1350</v>
      </c>
      <c r="D21" s="3"/>
      <c r="E21" s="3">
        <f t="shared" si="0"/>
        <v>12110.19999999999</v>
      </c>
      <c r="F21" s="59"/>
      <c r="H21" s="58">
        <v>44236</v>
      </c>
      <c r="I21" s="8" t="s">
        <v>699</v>
      </c>
      <c r="J21" s="10">
        <v>265</v>
      </c>
      <c r="K21" s="3"/>
      <c r="L21" s="3">
        <f t="shared" si="2"/>
        <v>1745</v>
      </c>
      <c r="M21" s="1"/>
      <c r="Q21" s="92"/>
      <c r="R21" s="92"/>
    </row>
    <row r="22" spans="1:18">
      <c r="A22" s="2">
        <v>44243</v>
      </c>
      <c r="B22" s="1" t="s">
        <v>702</v>
      </c>
      <c r="C22" s="3">
        <v>500</v>
      </c>
      <c r="D22" s="3"/>
      <c r="E22" s="3">
        <f t="shared" si="0"/>
        <v>11610.19999999999</v>
      </c>
      <c r="F22" s="105"/>
      <c r="H22" s="2"/>
      <c r="I22" s="6" t="s">
        <v>694</v>
      </c>
      <c r="J22" s="10">
        <v>250</v>
      </c>
      <c r="K22" s="3"/>
      <c r="L22" s="3">
        <f t="shared" si="2"/>
        <v>1495</v>
      </c>
      <c r="M22" s="64"/>
      <c r="Q22" s="92"/>
      <c r="R22" s="92"/>
    </row>
    <row r="23" spans="1:18">
      <c r="A23" s="2">
        <v>44245</v>
      </c>
      <c r="B23" s="1" t="s">
        <v>701</v>
      </c>
      <c r="C23" s="3">
        <v>5000</v>
      </c>
      <c r="D23" s="3"/>
      <c r="E23" s="3">
        <f t="shared" si="0"/>
        <v>6610.1999999999898</v>
      </c>
      <c r="F23" s="105"/>
      <c r="H23" s="2"/>
      <c r="I23" s="59" t="s">
        <v>695</v>
      </c>
      <c r="J23" s="3">
        <v>840</v>
      </c>
      <c r="K23" s="3"/>
      <c r="L23" s="3">
        <f t="shared" si="2"/>
        <v>655</v>
      </c>
      <c r="M23" s="89"/>
      <c r="N23" s="90"/>
      <c r="Q23" s="92"/>
      <c r="R23" s="92"/>
    </row>
    <row r="24" spans="1:18">
      <c r="A24" s="2">
        <v>44246</v>
      </c>
      <c r="B24" s="1" t="s">
        <v>712</v>
      </c>
      <c r="C24" s="3">
        <v>2500</v>
      </c>
      <c r="D24" s="3"/>
      <c r="E24" s="3">
        <f t="shared" si="0"/>
        <v>4110.1999999999898</v>
      </c>
      <c r="F24" s="60">
        <f>+C24/2</f>
        <v>1250</v>
      </c>
      <c r="G24" s="41"/>
      <c r="H24" s="2">
        <v>44237</v>
      </c>
      <c r="I24" s="1" t="s">
        <v>700</v>
      </c>
      <c r="J24" s="3">
        <v>85</v>
      </c>
      <c r="K24" s="3"/>
      <c r="L24" s="3">
        <f t="shared" si="2"/>
        <v>570</v>
      </c>
      <c r="M24" s="113"/>
      <c r="N24" s="90"/>
      <c r="Q24" s="92"/>
      <c r="R24" s="92"/>
    </row>
    <row r="25" spans="1:18">
      <c r="A25" s="2">
        <v>44247</v>
      </c>
      <c r="B25" s="1" t="s">
        <v>713</v>
      </c>
      <c r="C25" s="3">
        <v>500</v>
      </c>
      <c r="D25" s="3"/>
      <c r="E25" s="3">
        <f t="shared" si="0"/>
        <v>3610.1999999999898</v>
      </c>
      <c r="F25" s="1"/>
      <c r="H25" s="2">
        <v>44237</v>
      </c>
      <c r="I25" s="6" t="s">
        <v>696</v>
      </c>
      <c r="J25" s="3"/>
      <c r="K25" s="3">
        <v>1000</v>
      </c>
      <c r="L25" s="3">
        <f t="shared" si="2"/>
        <v>1570</v>
      </c>
      <c r="M25" s="3"/>
      <c r="Q25" s="92"/>
      <c r="R25" s="92"/>
    </row>
    <row r="26" spans="1:18">
      <c r="A26" s="2">
        <v>44249</v>
      </c>
      <c r="B26" s="1" t="s">
        <v>101</v>
      </c>
      <c r="C26" s="10">
        <v>2900</v>
      </c>
      <c r="D26" s="10"/>
      <c r="E26" s="3">
        <f t="shared" si="0"/>
        <v>710.19999999998981</v>
      </c>
      <c r="F26" s="91"/>
      <c r="H26" s="58">
        <v>44238</v>
      </c>
      <c r="I26" s="1" t="s">
        <v>83</v>
      </c>
      <c r="J26" s="3">
        <v>1000</v>
      </c>
      <c r="K26" s="3"/>
      <c r="L26" s="3">
        <f t="shared" si="2"/>
        <v>570</v>
      </c>
      <c r="M26" s="60">
        <f>+J26/2</f>
        <v>500</v>
      </c>
    </row>
    <row r="27" spans="1:18">
      <c r="A27" s="63"/>
      <c r="B27" s="6"/>
      <c r="C27" s="10"/>
      <c r="D27" s="10"/>
      <c r="E27" s="3">
        <f t="shared" si="0"/>
        <v>710.19999999998981</v>
      </c>
      <c r="F27" s="6"/>
      <c r="H27" s="58">
        <v>44239</v>
      </c>
      <c r="I27" s="1" t="s">
        <v>704</v>
      </c>
      <c r="J27" s="3">
        <v>1500</v>
      </c>
      <c r="K27" s="3"/>
      <c r="L27" s="3">
        <f t="shared" si="2"/>
        <v>-930</v>
      </c>
      <c r="M27" s="60">
        <f>+J27/2</f>
        <v>750</v>
      </c>
    </row>
    <row r="28" spans="1:18">
      <c r="A28" s="63"/>
      <c r="B28" s="6"/>
      <c r="C28" s="10"/>
      <c r="D28" s="10"/>
      <c r="E28" s="3">
        <f t="shared" si="0"/>
        <v>710.19999999998981</v>
      </c>
      <c r="F28" s="6"/>
      <c r="H28" s="58">
        <v>44239</v>
      </c>
      <c r="I28" s="1" t="s">
        <v>701</v>
      </c>
      <c r="J28" s="3"/>
      <c r="K28" s="3">
        <v>5000</v>
      </c>
      <c r="L28" s="3">
        <f t="shared" si="2"/>
        <v>4070</v>
      </c>
      <c r="M28" s="60"/>
    </row>
    <row r="29" spans="1:18">
      <c r="A29" s="63"/>
      <c r="B29" s="1"/>
      <c r="C29" s="10"/>
      <c r="D29" s="10"/>
      <c r="E29" s="3">
        <f t="shared" si="0"/>
        <v>710.19999999998981</v>
      </c>
      <c r="F29" s="68"/>
      <c r="H29" s="2">
        <v>44240</v>
      </c>
      <c r="I29" s="1" t="s">
        <v>705</v>
      </c>
      <c r="J29" s="3">
        <v>850</v>
      </c>
      <c r="K29" s="3"/>
      <c r="L29" s="3">
        <f t="shared" si="2"/>
        <v>3220</v>
      </c>
      <c r="M29" s="60">
        <f>+J29/2</f>
        <v>425</v>
      </c>
    </row>
    <row r="30" spans="1:18">
      <c r="A30" s="63"/>
      <c r="B30" s="1"/>
      <c r="C30" s="3"/>
      <c r="D30" s="3"/>
      <c r="E30" s="3">
        <f t="shared" si="0"/>
        <v>710.19999999998981</v>
      </c>
      <c r="F30" s="1"/>
      <c r="H30" s="2">
        <v>44241</v>
      </c>
      <c r="I30" s="1" t="s">
        <v>706</v>
      </c>
      <c r="J30" s="3">
        <v>750</v>
      </c>
      <c r="K30" s="3"/>
      <c r="L30" s="3">
        <f t="shared" si="2"/>
        <v>2470</v>
      </c>
      <c r="M30" s="60"/>
    </row>
    <row r="31" spans="1:18">
      <c r="A31" s="63"/>
      <c r="B31" s="1"/>
      <c r="C31" s="3"/>
      <c r="D31" s="3"/>
      <c r="E31" s="3">
        <f t="shared" si="0"/>
        <v>710.19999999998981</v>
      </c>
      <c r="F31" s="1"/>
      <c r="H31" s="2">
        <v>44241</v>
      </c>
      <c r="I31" s="1" t="s">
        <v>707</v>
      </c>
      <c r="J31" s="3">
        <v>200</v>
      </c>
      <c r="K31" s="3"/>
      <c r="L31" s="3">
        <f t="shared" si="2"/>
        <v>2270</v>
      </c>
      <c r="M31" s="60"/>
    </row>
    <row r="32" spans="1:18">
      <c r="A32" s="2"/>
      <c r="B32" s="1"/>
      <c r="C32" s="3"/>
      <c r="D32" s="3"/>
      <c r="E32" s="3">
        <f t="shared" si="0"/>
        <v>710.19999999998981</v>
      </c>
      <c r="F32" s="1"/>
      <c r="H32" s="2">
        <v>44242</v>
      </c>
      <c r="I32" s="1" t="s">
        <v>709</v>
      </c>
      <c r="J32" s="3">
        <v>800</v>
      </c>
      <c r="K32" s="3"/>
      <c r="L32" s="3">
        <f t="shared" si="2"/>
        <v>1470</v>
      </c>
      <c r="M32" s="60">
        <f>+J32/2</f>
        <v>400</v>
      </c>
    </row>
    <row r="33" spans="1:14">
      <c r="A33" s="2"/>
      <c r="B33" s="6"/>
      <c r="C33" s="3"/>
      <c r="D33" s="3"/>
      <c r="E33" s="3">
        <f t="shared" si="0"/>
        <v>710.19999999998981</v>
      </c>
      <c r="F33" s="1"/>
      <c r="H33" s="2">
        <v>44242</v>
      </c>
      <c r="I33" s="1" t="s">
        <v>710</v>
      </c>
      <c r="J33" s="3">
        <v>620</v>
      </c>
      <c r="K33" s="3"/>
      <c r="L33" s="3">
        <f t="shared" si="2"/>
        <v>850</v>
      </c>
      <c r="M33" s="60">
        <f>+J33/2</f>
        <v>310</v>
      </c>
    </row>
    <row r="34" spans="1:14">
      <c r="A34" s="2"/>
      <c r="B34" s="6"/>
      <c r="C34" s="3"/>
      <c r="D34" s="3"/>
      <c r="E34" s="3">
        <f t="shared" si="0"/>
        <v>710.19999999998981</v>
      </c>
      <c r="F34" s="1"/>
      <c r="H34" s="2"/>
      <c r="I34" s="6" t="s">
        <v>708</v>
      </c>
      <c r="J34" s="3">
        <v>500</v>
      </c>
      <c r="K34" s="3"/>
      <c r="L34" s="3">
        <f t="shared" si="2"/>
        <v>350</v>
      </c>
      <c r="M34" s="59"/>
    </row>
    <row r="35" spans="1:14">
      <c r="A35" s="2"/>
      <c r="B35" s="6"/>
      <c r="C35" s="3"/>
      <c r="D35" s="3"/>
      <c r="E35" s="3">
        <f t="shared" si="0"/>
        <v>710.19999999998981</v>
      </c>
      <c r="F35" s="1"/>
      <c r="H35" s="114">
        <v>44245</v>
      </c>
      <c r="I35" s="1" t="s">
        <v>701</v>
      </c>
      <c r="J35" s="3"/>
      <c r="K35" s="3">
        <v>5000</v>
      </c>
      <c r="L35" s="3">
        <f t="shared" ref="L35:L59" si="3">+L34-J35+K35</f>
        <v>5350</v>
      </c>
      <c r="M35" s="59"/>
    </row>
    <row r="36" spans="1:14">
      <c r="A36" s="2"/>
      <c r="B36" s="6"/>
      <c r="C36" s="3"/>
      <c r="D36" s="3"/>
      <c r="E36" s="3">
        <f t="shared" si="0"/>
        <v>710.19999999998981</v>
      </c>
      <c r="F36" s="1"/>
      <c r="H36" s="114">
        <v>44245</v>
      </c>
      <c r="I36" s="1" t="s">
        <v>83</v>
      </c>
      <c r="J36" s="3">
        <v>3100</v>
      </c>
      <c r="K36" s="3"/>
      <c r="L36" s="3">
        <f t="shared" si="3"/>
        <v>2250</v>
      </c>
      <c r="M36" s="60">
        <f>+J36/2</f>
        <v>1550</v>
      </c>
    </row>
    <row r="37" spans="1:14">
      <c r="A37" s="2"/>
      <c r="B37" s="6"/>
      <c r="C37" s="3"/>
      <c r="D37" s="3"/>
      <c r="E37" s="3">
        <f t="shared" si="0"/>
        <v>710.19999999998981</v>
      </c>
      <c r="F37" s="1"/>
      <c r="H37" s="114">
        <v>44245</v>
      </c>
      <c r="I37" s="6" t="s">
        <v>35</v>
      </c>
      <c r="J37" s="3">
        <v>400</v>
      </c>
      <c r="K37" s="3"/>
      <c r="L37" s="3">
        <f t="shared" si="3"/>
        <v>1850</v>
      </c>
      <c r="M37" s="60">
        <f>+J37/2</f>
        <v>200</v>
      </c>
      <c r="N37" s="57"/>
    </row>
    <row r="38" spans="1:14">
      <c r="E38" s="33">
        <f t="shared" si="0"/>
        <v>710.19999999998981</v>
      </c>
      <c r="H38" s="114">
        <v>44245</v>
      </c>
      <c r="I38" s="6" t="s">
        <v>714</v>
      </c>
      <c r="J38" s="10">
        <v>200</v>
      </c>
      <c r="K38" s="1"/>
      <c r="L38" s="3">
        <f t="shared" si="3"/>
        <v>1650</v>
      </c>
      <c r="M38" s="59"/>
    </row>
    <row r="39" spans="1:14">
      <c r="E39" s="3">
        <f t="shared" si="0"/>
        <v>710.19999999998981</v>
      </c>
      <c r="H39" s="2">
        <v>44246</v>
      </c>
      <c r="I39" s="59" t="s">
        <v>715</v>
      </c>
      <c r="J39" s="60">
        <v>190</v>
      </c>
      <c r="K39" s="60"/>
      <c r="L39" s="3">
        <f t="shared" si="3"/>
        <v>1460</v>
      </c>
      <c r="M39" s="59"/>
    </row>
    <row r="40" spans="1:14">
      <c r="E40" s="3">
        <f t="shared" si="0"/>
        <v>710.19999999998981</v>
      </c>
      <c r="H40" s="2">
        <v>44247</v>
      </c>
      <c r="I40" s="1" t="s">
        <v>716</v>
      </c>
      <c r="J40" s="3">
        <v>250</v>
      </c>
      <c r="K40" s="3"/>
      <c r="L40" s="3">
        <f t="shared" si="3"/>
        <v>1210</v>
      </c>
      <c r="M40" s="96">
        <f>+J40/2</f>
        <v>125</v>
      </c>
    </row>
    <row r="41" spans="1:14">
      <c r="E41" s="3">
        <f t="shared" si="0"/>
        <v>710.19999999998981</v>
      </c>
      <c r="H41" s="2">
        <v>44247</v>
      </c>
      <c r="I41" s="1" t="s">
        <v>717</v>
      </c>
      <c r="J41" s="3"/>
      <c r="K41" s="3">
        <v>1000</v>
      </c>
      <c r="L41" s="3">
        <f t="shared" si="3"/>
        <v>2210</v>
      </c>
      <c r="M41" s="64"/>
      <c r="N41" s="57"/>
    </row>
    <row r="42" spans="1:14">
      <c r="E42" s="3">
        <f t="shared" si="0"/>
        <v>710.19999999998981</v>
      </c>
      <c r="H42" s="2">
        <v>44247</v>
      </c>
      <c r="I42" s="1" t="s">
        <v>713</v>
      </c>
      <c r="J42" s="3">
        <v>1200</v>
      </c>
      <c r="K42" s="3"/>
      <c r="L42" s="3">
        <f t="shared" si="3"/>
        <v>1010</v>
      </c>
      <c r="M42" s="64"/>
    </row>
    <row r="43" spans="1:14">
      <c r="E43" s="3">
        <f t="shared" si="0"/>
        <v>710.19999999998981</v>
      </c>
      <c r="H43" s="2">
        <v>44247</v>
      </c>
      <c r="I43" s="6" t="s">
        <v>718</v>
      </c>
      <c r="J43" s="3"/>
      <c r="K43" s="3">
        <v>600</v>
      </c>
      <c r="L43" s="3">
        <f t="shared" si="3"/>
        <v>1610</v>
      </c>
      <c r="M43" s="44"/>
    </row>
    <row r="44" spans="1:14">
      <c r="E44" s="3">
        <f t="shared" si="0"/>
        <v>710.19999999998981</v>
      </c>
      <c r="H44" s="2">
        <v>44247</v>
      </c>
      <c r="I44" s="6" t="s">
        <v>719</v>
      </c>
      <c r="J44" s="3">
        <v>360</v>
      </c>
      <c r="K44" s="3"/>
      <c r="L44" s="3">
        <f t="shared" si="3"/>
        <v>1250</v>
      </c>
      <c r="M44" s="1"/>
    </row>
    <row r="45" spans="1:14">
      <c r="E45" s="3">
        <f t="shared" si="0"/>
        <v>710.19999999998981</v>
      </c>
      <c r="H45" s="2">
        <v>44248</v>
      </c>
      <c r="I45" s="1" t="s">
        <v>720</v>
      </c>
      <c r="J45" s="3">
        <v>500</v>
      </c>
      <c r="K45" s="3"/>
      <c r="L45" s="3">
        <f t="shared" si="3"/>
        <v>750</v>
      </c>
      <c r="M45" s="1"/>
    </row>
    <row r="46" spans="1:14">
      <c r="H46" s="2"/>
      <c r="I46" s="1" t="s">
        <v>726</v>
      </c>
      <c r="J46" s="3">
        <v>100</v>
      </c>
      <c r="K46" s="3"/>
      <c r="L46" s="3">
        <f t="shared" si="3"/>
        <v>650</v>
      </c>
      <c r="M46" s="1"/>
    </row>
    <row r="47" spans="1:14">
      <c r="H47" s="2"/>
      <c r="I47" s="1" t="s">
        <v>727</v>
      </c>
      <c r="J47" s="3">
        <v>600</v>
      </c>
      <c r="K47" s="3"/>
      <c r="L47" s="3">
        <f t="shared" si="3"/>
        <v>50</v>
      </c>
      <c r="M47" s="64"/>
      <c r="N47" s="83"/>
    </row>
    <row r="48" spans="1:14">
      <c r="H48" s="2"/>
      <c r="I48" s="1"/>
      <c r="J48" s="3"/>
      <c r="K48" s="3"/>
      <c r="L48" s="3">
        <f t="shared" si="3"/>
        <v>50</v>
      </c>
      <c r="M48" s="1"/>
    </row>
    <row r="49" spans="8:14">
      <c r="H49" s="2"/>
      <c r="I49" s="1"/>
      <c r="J49" s="3"/>
      <c r="K49" s="3"/>
      <c r="L49" s="3">
        <f t="shared" si="3"/>
        <v>50</v>
      </c>
      <c r="M49" s="44"/>
    </row>
    <row r="50" spans="8:14">
      <c r="H50" s="2"/>
      <c r="I50" s="1"/>
      <c r="J50" s="3"/>
      <c r="K50" s="3"/>
      <c r="L50" s="3">
        <f t="shared" si="3"/>
        <v>50</v>
      </c>
      <c r="M50" s="1"/>
    </row>
    <row r="51" spans="8:14">
      <c r="H51" s="2"/>
      <c r="I51" s="1"/>
      <c r="J51" s="3"/>
      <c r="K51" s="3"/>
      <c r="L51" s="3">
        <f t="shared" si="3"/>
        <v>50</v>
      </c>
      <c r="M51" s="1"/>
    </row>
    <row r="52" spans="8:14">
      <c r="H52" s="2"/>
      <c r="I52" s="6"/>
      <c r="J52" s="3"/>
      <c r="K52" s="3"/>
      <c r="L52" s="3">
        <f t="shared" si="3"/>
        <v>50</v>
      </c>
      <c r="M52" s="44"/>
    </row>
    <row r="53" spans="8:14">
      <c r="H53" s="2"/>
      <c r="I53" s="1"/>
      <c r="J53" s="3"/>
      <c r="K53" s="3"/>
      <c r="L53" s="3">
        <f t="shared" si="3"/>
        <v>50</v>
      </c>
      <c r="M53" s="1"/>
      <c r="N53" s="41"/>
    </row>
    <row r="54" spans="8:14">
      <c r="H54" s="2"/>
      <c r="I54" s="1"/>
      <c r="J54" s="3"/>
      <c r="K54" s="3"/>
      <c r="L54" s="3">
        <f t="shared" si="3"/>
        <v>50</v>
      </c>
      <c r="M54" s="1"/>
    </row>
    <row r="55" spans="8:14">
      <c r="H55" s="2"/>
      <c r="I55" s="1"/>
      <c r="J55" s="3"/>
      <c r="K55" s="3"/>
      <c r="L55" s="3">
        <f t="shared" si="3"/>
        <v>50</v>
      </c>
      <c r="M55" s="1"/>
    </row>
    <row r="56" spans="8:14">
      <c r="H56" s="2"/>
      <c r="I56" s="1"/>
      <c r="J56" s="3"/>
      <c r="K56" s="3"/>
      <c r="L56" s="3">
        <f t="shared" si="3"/>
        <v>50</v>
      </c>
      <c r="M56" s="1"/>
    </row>
    <row r="57" spans="8:14">
      <c r="H57" s="2"/>
      <c r="I57" s="1"/>
      <c r="J57" s="3"/>
      <c r="K57" s="3"/>
      <c r="L57" s="3">
        <f t="shared" si="3"/>
        <v>50</v>
      </c>
      <c r="M57" s="1"/>
    </row>
    <row r="58" spans="8:14">
      <c r="H58" s="2"/>
      <c r="I58" s="1"/>
      <c r="J58" s="3"/>
      <c r="K58" s="3"/>
      <c r="L58" s="3">
        <f t="shared" si="3"/>
        <v>50</v>
      </c>
      <c r="M58" s="64"/>
    </row>
    <row r="59" spans="8:14">
      <c r="H59" s="1"/>
      <c r="I59" s="1"/>
      <c r="J59" s="3"/>
      <c r="K59" s="3"/>
      <c r="L59" s="3">
        <f t="shared" si="3"/>
        <v>50</v>
      </c>
      <c r="M59" s="1"/>
    </row>
    <row r="60" spans="8:14">
      <c r="H60" s="1"/>
      <c r="I60" s="1"/>
      <c r="J60" s="3"/>
      <c r="K60" s="3"/>
      <c r="L60" s="1"/>
      <c r="M60" s="1"/>
    </row>
    <row r="61" spans="8:14">
      <c r="H61" s="1"/>
      <c r="I61" s="1"/>
      <c r="J61" s="3"/>
      <c r="K61" s="3"/>
      <c r="L61" s="1"/>
      <c r="M61" s="1"/>
    </row>
    <row r="62" spans="8:14">
      <c r="H62" s="1"/>
      <c r="I62" s="1"/>
      <c r="J62" s="3"/>
      <c r="K62" s="3"/>
      <c r="L62" s="1"/>
      <c r="M62" s="1"/>
    </row>
    <row r="63" spans="8:14">
      <c r="J63" s="4"/>
      <c r="K63" s="4"/>
    </row>
    <row r="64" spans="8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3D7B-EFE9-FB4E-9860-F17D4490F31E}">
  <dimension ref="A1:S161"/>
  <sheetViews>
    <sheetView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0" width="12.5" bestFit="1" customWidth="1"/>
    <col min="11" max="12" width="11.5" bestFit="1" customWidth="1"/>
    <col min="13" max="13" width="25.6640625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  <c r="O1" s="92"/>
      <c r="P1" s="92"/>
      <c r="Q1" s="92"/>
      <c r="R1" s="92"/>
      <c r="S1" s="9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94">
        <f>+M5+M6+F10+M12</f>
        <v>2900</v>
      </c>
      <c r="P2" s="92" t="s">
        <v>738</v>
      </c>
      <c r="Q2" s="92"/>
      <c r="R2" s="92"/>
      <c r="S2" s="92"/>
    </row>
    <row r="3" spans="1:19">
      <c r="A3" s="2">
        <v>44255</v>
      </c>
      <c r="B3" s="473" t="s">
        <v>144</v>
      </c>
      <c r="C3" s="474"/>
      <c r="D3" s="475"/>
      <c r="E3" s="3">
        <f>+'Feb. 2021'!E45</f>
        <v>710.19999999998981</v>
      </c>
      <c r="F3" s="31" t="s">
        <v>729</v>
      </c>
      <c r="G3" s="32">
        <f>+D4+D6</f>
        <v>58540.25</v>
      </c>
      <c r="H3" s="2">
        <v>44255</v>
      </c>
      <c r="I3" s="473" t="s">
        <v>144</v>
      </c>
      <c r="J3" s="474"/>
      <c r="K3" s="475"/>
      <c r="L3" s="3">
        <v>50</v>
      </c>
      <c r="M3" s="37"/>
      <c r="O3" s="93">
        <v>300</v>
      </c>
      <c r="P3" s="92" t="s">
        <v>739</v>
      </c>
      <c r="Q3" s="92"/>
      <c r="R3" s="116">
        <v>44257</v>
      </c>
      <c r="S3" s="92"/>
    </row>
    <row r="4" spans="1:19">
      <c r="A4" s="2">
        <v>44255</v>
      </c>
      <c r="B4" s="1" t="s">
        <v>729</v>
      </c>
      <c r="C4" s="3"/>
      <c r="D4" s="3">
        <f>0.25+35000</f>
        <v>35000.25</v>
      </c>
      <c r="E4" s="3">
        <f>+E3-C4+D4</f>
        <v>35710.44999999999</v>
      </c>
      <c r="F4" s="44"/>
      <c r="G4" s="39" t="s">
        <v>170</v>
      </c>
      <c r="H4" s="2">
        <v>44257</v>
      </c>
      <c r="I4" s="1" t="s">
        <v>736</v>
      </c>
      <c r="J4" s="3"/>
      <c r="K4" s="3">
        <v>4000</v>
      </c>
      <c r="L4" s="3">
        <f>+L3+K4-J4</f>
        <v>4050</v>
      </c>
      <c r="M4" s="95"/>
      <c r="O4" s="93">
        <f>1500/2</f>
        <v>750</v>
      </c>
      <c r="P4" s="92" t="s">
        <v>744</v>
      </c>
      <c r="Q4" s="92"/>
      <c r="R4" s="116">
        <v>44260</v>
      </c>
      <c r="S4" s="92"/>
    </row>
    <row r="5" spans="1:19">
      <c r="A5" s="2">
        <v>44255</v>
      </c>
      <c r="B5" s="1" t="s">
        <v>730</v>
      </c>
      <c r="C5" s="3">
        <v>7000</v>
      </c>
      <c r="D5" s="3"/>
      <c r="E5" s="3">
        <f t="shared" ref="E5:E45" si="0">+E4-C5+D5</f>
        <v>28710.44999999999</v>
      </c>
      <c r="F5" s="44"/>
      <c r="G5" s="56">
        <f>+E34+L59</f>
        <v>2559.8499999999995</v>
      </c>
      <c r="H5" s="2">
        <v>44257</v>
      </c>
      <c r="I5" s="1" t="s">
        <v>83</v>
      </c>
      <c r="J5" s="3">
        <v>3580</v>
      </c>
      <c r="K5" s="3"/>
      <c r="L5" s="3">
        <f t="shared" ref="L5:L16" si="1">+L4+K5-J5</f>
        <v>470</v>
      </c>
      <c r="M5" s="96">
        <f>+J5/2</f>
        <v>1790</v>
      </c>
      <c r="O5" s="117">
        <v>430</v>
      </c>
      <c r="P5" s="92" t="s">
        <v>749</v>
      </c>
      <c r="Q5" s="92"/>
      <c r="R5" s="116">
        <v>44262</v>
      </c>
      <c r="S5" s="92"/>
    </row>
    <row r="6" spans="1:19">
      <c r="A6" s="2">
        <v>44256</v>
      </c>
      <c r="B6" s="1" t="s">
        <v>729</v>
      </c>
      <c r="C6" s="3"/>
      <c r="D6" s="3">
        <v>23540</v>
      </c>
      <c r="E6" s="3">
        <f t="shared" si="0"/>
        <v>52250.44999999999</v>
      </c>
      <c r="F6" s="30"/>
      <c r="G6" s="41"/>
      <c r="H6" s="2">
        <v>44257</v>
      </c>
      <c r="I6" s="1" t="s">
        <v>735</v>
      </c>
      <c r="J6" s="3">
        <v>280</v>
      </c>
      <c r="K6" s="3"/>
      <c r="L6" s="3">
        <f t="shared" si="1"/>
        <v>190</v>
      </c>
      <c r="M6" s="96">
        <f>+J6/2</f>
        <v>140</v>
      </c>
      <c r="O6" s="93"/>
      <c r="P6" s="92"/>
      <c r="Q6" s="92"/>
      <c r="R6" s="92"/>
      <c r="S6" s="92"/>
    </row>
    <row r="7" spans="1:19">
      <c r="A7" s="2">
        <v>44256</v>
      </c>
      <c r="B7" s="36" t="s">
        <v>731</v>
      </c>
      <c r="C7" s="3">
        <v>3900</v>
      </c>
      <c r="D7" s="3"/>
      <c r="E7" s="3">
        <f t="shared" si="0"/>
        <v>48350.44999999999</v>
      </c>
      <c r="F7" s="64"/>
      <c r="G7" s="41"/>
      <c r="H7" s="2">
        <v>44257</v>
      </c>
      <c r="I7" s="1" t="s">
        <v>737</v>
      </c>
      <c r="J7" s="3">
        <f>100+60</f>
        <v>160</v>
      </c>
      <c r="K7" s="3"/>
      <c r="L7" s="3">
        <v>20</v>
      </c>
      <c r="M7" s="60"/>
      <c r="O7" s="93">
        <f>+O2-O3-O4-O5</f>
        <v>1420</v>
      </c>
      <c r="P7" s="92" t="s">
        <v>750</v>
      </c>
      <c r="Q7" s="92"/>
      <c r="R7" s="92"/>
      <c r="S7" s="92"/>
    </row>
    <row r="8" spans="1:19">
      <c r="A8" s="2">
        <v>44256</v>
      </c>
      <c r="B8" s="1" t="s">
        <v>678</v>
      </c>
      <c r="C8" s="3">
        <v>2600</v>
      </c>
      <c r="D8" s="3"/>
      <c r="E8" s="3">
        <f t="shared" si="0"/>
        <v>45750.44999999999</v>
      </c>
      <c r="F8" s="1"/>
      <c r="H8" s="2">
        <v>44258</v>
      </c>
      <c r="I8" s="1" t="s">
        <v>736</v>
      </c>
      <c r="J8" s="60"/>
      <c r="K8" s="60">
        <v>3000</v>
      </c>
      <c r="L8" s="3">
        <f t="shared" si="1"/>
        <v>3020</v>
      </c>
      <c r="M8" s="96"/>
      <c r="O8" s="93">
        <f>-'Gastos fijos'!F26</f>
        <v>-11000</v>
      </c>
      <c r="P8" s="92" t="s">
        <v>751</v>
      </c>
      <c r="Q8" s="92"/>
      <c r="R8" s="92"/>
      <c r="S8" s="92"/>
    </row>
    <row r="9" spans="1:19">
      <c r="A9" s="2">
        <v>44257</v>
      </c>
      <c r="B9" s="1" t="s">
        <v>733</v>
      </c>
      <c r="C9" s="3">
        <v>4000</v>
      </c>
      <c r="D9" s="3"/>
      <c r="E9" s="3">
        <f t="shared" si="0"/>
        <v>41750.44999999999</v>
      </c>
      <c r="F9" s="59"/>
      <c r="H9" s="98">
        <v>44260</v>
      </c>
      <c r="I9" s="98" t="s">
        <v>736</v>
      </c>
      <c r="J9" s="3"/>
      <c r="K9" s="3">
        <v>10000</v>
      </c>
      <c r="L9" s="3">
        <f t="shared" si="1"/>
        <v>13020</v>
      </c>
      <c r="M9" s="96"/>
      <c r="O9" s="93">
        <f>+O7+O8</f>
        <v>-9580</v>
      </c>
      <c r="P9" s="92" t="s">
        <v>752</v>
      </c>
      <c r="Q9" s="92"/>
      <c r="R9" s="92"/>
      <c r="S9" s="92"/>
    </row>
    <row r="10" spans="1:19">
      <c r="A10" s="2">
        <v>44257</v>
      </c>
      <c r="B10" s="1" t="s">
        <v>734</v>
      </c>
      <c r="C10" s="3">
        <v>1160</v>
      </c>
      <c r="D10" s="3"/>
      <c r="E10" s="3">
        <f t="shared" si="0"/>
        <v>40590.44999999999</v>
      </c>
      <c r="F10" s="37">
        <f>+C10/2</f>
        <v>580</v>
      </c>
      <c r="H10" s="109">
        <v>44260</v>
      </c>
      <c r="I10" s="1" t="s">
        <v>742</v>
      </c>
      <c r="J10" s="3">
        <v>600</v>
      </c>
      <c r="K10" s="3"/>
      <c r="L10" s="3">
        <f t="shared" si="1"/>
        <v>12420</v>
      </c>
      <c r="M10" s="96"/>
      <c r="N10" s="57"/>
      <c r="O10" s="93" t="s">
        <v>753</v>
      </c>
      <c r="P10" s="92"/>
      <c r="Q10" s="92"/>
      <c r="R10" s="92"/>
      <c r="S10" s="92"/>
    </row>
    <row r="11" spans="1:19" ht="17">
      <c r="A11" s="58">
        <v>44258</v>
      </c>
      <c r="B11" s="59" t="s">
        <v>733</v>
      </c>
      <c r="C11" s="60">
        <v>3000</v>
      </c>
      <c r="D11" s="115"/>
      <c r="E11" s="3">
        <f t="shared" si="0"/>
        <v>37590.44999999999</v>
      </c>
      <c r="F11" s="59"/>
      <c r="H11" s="109">
        <v>44260</v>
      </c>
      <c r="I11" s="109" t="s">
        <v>743</v>
      </c>
      <c r="J11" s="60">
        <v>300</v>
      </c>
      <c r="K11" s="3"/>
      <c r="L11" s="3">
        <f t="shared" si="1"/>
        <v>12120</v>
      </c>
      <c r="M11" s="96"/>
      <c r="N11" s="57"/>
      <c r="O11" s="97"/>
      <c r="P11" s="57"/>
    </row>
    <row r="12" spans="1:19">
      <c r="A12" s="58">
        <v>44260</v>
      </c>
      <c r="B12" s="59" t="s">
        <v>733</v>
      </c>
      <c r="C12" s="60">
        <v>5000</v>
      </c>
      <c r="D12" s="3"/>
      <c r="E12" s="3">
        <f t="shared" si="0"/>
        <v>32590.44999999999</v>
      </c>
      <c r="F12" s="1"/>
      <c r="G12" s="41"/>
      <c r="H12" s="109">
        <v>44260</v>
      </c>
      <c r="I12" s="1" t="s">
        <v>745</v>
      </c>
      <c r="J12" s="3">
        <v>780</v>
      </c>
      <c r="K12" s="3"/>
      <c r="L12" s="3">
        <f t="shared" si="1"/>
        <v>11340</v>
      </c>
      <c r="M12" s="60">
        <f>+J12/2</f>
        <v>390</v>
      </c>
      <c r="N12" s="57"/>
      <c r="O12" s="97"/>
      <c r="P12" s="57"/>
      <c r="Q12" s="57"/>
    </row>
    <row r="13" spans="1:19">
      <c r="A13" s="58">
        <v>44260</v>
      </c>
      <c r="B13" s="59" t="s">
        <v>733</v>
      </c>
      <c r="C13" s="60">
        <v>5000</v>
      </c>
      <c r="D13" s="3"/>
      <c r="E13" s="3">
        <f t="shared" si="0"/>
        <v>27590.44999999999</v>
      </c>
      <c r="F13" s="1"/>
      <c r="H13" s="109">
        <v>44260</v>
      </c>
      <c r="I13" s="1" t="s">
        <v>394</v>
      </c>
      <c r="J13" s="3">
        <v>120</v>
      </c>
      <c r="K13" s="3"/>
      <c r="L13" s="3">
        <f t="shared" si="1"/>
        <v>11220</v>
      </c>
      <c r="M13" s="59"/>
      <c r="O13" s="93">
        <f>389/2</f>
        <v>194.5</v>
      </c>
      <c r="P13" s="92" t="s">
        <v>774</v>
      </c>
      <c r="Q13" s="92"/>
    </row>
    <row r="14" spans="1:19">
      <c r="A14" s="58">
        <v>44260</v>
      </c>
      <c r="B14" s="59" t="s">
        <v>740</v>
      </c>
      <c r="C14" s="60">
        <v>900</v>
      </c>
      <c r="D14" s="3"/>
      <c r="E14" s="3">
        <f t="shared" si="0"/>
        <v>26690.44999999999</v>
      </c>
      <c r="F14" s="1"/>
      <c r="G14" s="57"/>
      <c r="H14" s="58">
        <v>44261</v>
      </c>
      <c r="I14" s="1" t="s">
        <v>746</v>
      </c>
      <c r="J14" s="3">
        <v>300</v>
      </c>
      <c r="K14" s="3"/>
      <c r="L14" s="3">
        <f t="shared" si="1"/>
        <v>10920</v>
      </c>
      <c r="M14" s="64"/>
      <c r="O14" s="93">
        <v>400</v>
      </c>
      <c r="P14" s="92" t="s">
        <v>773</v>
      </c>
      <c r="Q14" s="92"/>
    </row>
    <row r="15" spans="1:19">
      <c r="A15" s="58">
        <v>44262</v>
      </c>
      <c r="B15" s="1" t="s">
        <v>741</v>
      </c>
      <c r="C15" s="3">
        <v>2500</v>
      </c>
      <c r="D15" s="3"/>
      <c r="E15" s="3">
        <f t="shared" si="0"/>
        <v>24190.44999999999</v>
      </c>
      <c r="F15" s="1"/>
      <c r="H15" s="58">
        <v>44261</v>
      </c>
      <c r="I15" s="1" t="s">
        <v>747</v>
      </c>
      <c r="J15" s="3">
        <v>1500</v>
      </c>
      <c r="K15" s="3"/>
      <c r="L15" s="3">
        <f t="shared" si="1"/>
        <v>9420</v>
      </c>
      <c r="M15" s="64"/>
      <c r="O15" s="93">
        <v>875</v>
      </c>
      <c r="P15" s="92" t="s">
        <v>785</v>
      </c>
      <c r="Q15" s="92"/>
    </row>
    <row r="16" spans="1:19">
      <c r="A16" s="58">
        <v>44262</v>
      </c>
      <c r="B16" s="1" t="s">
        <v>755</v>
      </c>
      <c r="C16" s="10"/>
      <c r="D16" s="3">
        <v>750</v>
      </c>
      <c r="E16" s="3">
        <f t="shared" si="0"/>
        <v>24940.44999999999</v>
      </c>
      <c r="F16" s="44"/>
      <c r="H16" s="58">
        <v>44261</v>
      </c>
      <c r="I16" s="1" t="s">
        <v>748</v>
      </c>
      <c r="J16" s="10">
        <v>400</v>
      </c>
      <c r="K16" s="1"/>
      <c r="L16" s="3">
        <f t="shared" si="1"/>
        <v>9020</v>
      </c>
      <c r="M16" s="44"/>
      <c r="O16" s="93">
        <f>1000/2</f>
        <v>500</v>
      </c>
      <c r="P16" s="92" t="s">
        <v>784</v>
      </c>
      <c r="Q16" s="92"/>
    </row>
    <row r="17" spans="1:17">
      <c r="A17" s="58">
        <v>44263</v>
      </c>
      <c r="B17" s="1" t="s">
        <v>756</v>
      </c>
      <c r="C17" s="10">
        <v>1000</v>
      </c>
      <c r="D17" s="3"/>
      <c r="E17" s="3">
        <f t="shared" si="0"/>
        <v>23940.44999999999</v>
      </c>
      <c r="F17" s="59"/>
      <c r="H17" s="58">
        <v>44259</v>
      </c>
      <c r="I17" s="36" t="s">
        <v>101</v>
      </c>
      <c r="J17" s="37">
        <v>1000</v>
      </c>
      <c r="K17" s="1"/>
      <c r="L17" s="3">
        <f>+L16+K17-J17</f>
        <v>8020</v>
      </c>
      <c r="M17" s="64"/>
      <c r="O17" s="93">
        <v>480</v>
      </c>
      <c r="P17" s="92" t="s">
        <v>786</v>
      </c>
      <c r="Q17" s="92"/>
    </row>
    <row r="18" spans="1:17">
      <c r="A18" s="2">
        <v>44265</v>
      </c>
      <c r="B18" s="59" t="s">
        <v>101</v>
      </c>
      <c r="C18" s="60">
        <v>2964.9</v>
      </c>
      <c r="D18" s="60"/>
      <c r="E18" s="3">
        <f t="shared" si="0"/>
        <v>20975.549999999988</v>
      </c>
      <c r="F18" s="64"/>
      <c r="H18" s="58">
        <v>44262</v>
      </c>
      <c r="I18" s="6" t="s">
        <v>754</v>
      </c>
      <c r="J18" s="10">
        <v>100</v>
      </c>
      <c r="K18" s="3"/>
      <c r="L18" s="3">
        <f t="shared" ref="L18:L34" si="2">+L17+K18-J18</f>
        <v>7920</v>
      </c>
      <c r="M18" s="64"/>
      <c r="N18" s="57"/>
      <c r="O18" s="94">
        <f>+SUM(M24:M38)+F22</f>
        <v>2135</v>
      </c>
      <c r="P18" s="92" t="s">
        <v>775</v>
      </c>
      <c r="Q18" s="92"/>
    </row>
    <row r="19" spans="1:17">
      <c r="A19" s="2">
        <v>44265</v>
      </c>
      <c r="B19" s="36" t="s">
        <v>757</v>
      </c>
      <c r="C19" s="37"/>
      <c r="D19" s="3">
        <v>1000</v>
      </c>
      <c r="E19" s="3">
        <f t="shared" si="0"/>
        <v>21975.549999999988</v>
      </c>
      <c r="F19" s="59"/>
      <c r="H19" s="58">
        <v>44263</v>
      </c>
      <c r="I19" s="6" t="s">
        <v>394</v>
      </c>
      <c r="J19" s="10">
        <v>30</v>
      </c>
      <c r="K19" s="10"/>
      <c r="L19" s="3">
        <f t="shared" si="2"/>
        <v>7890</v>
      </c>
      <c r="M19" s="68"/>
      <c r="O19" s="93">
        <f>+SUM(O13:O17)-O18</f>
        <v>314.5</v>
      </c>
      <c r="P19" s="92" t="s">
        <v>47</v>
      </c>
      <c r="Q19" s="92"/>
    </row>
    <row r="20" spans="1:17">
      <c r="A20" s="2">
        <v>44265</v>
      </c>
      <c r="B20" s="1" t="s">
        <v>758</v>
      </c>
      <c r="C20" s="3"/>
      <c r="D20" s="3">
        <v>1150</v>
      </c>
      <c r="E20" s="3">
        <f t="shared" si="0"/>
        <v>23125.549999999988</v>
      </c>
      <c r="F20" s="59"/>
      <c r="H20" s="58">
        <v>44264</v>
      </c>
      <c r="I20" s="6" t="s">
        <v>763</v>
      </c>
      <c r="J20" s="10">
        <v>3400</v>
      </c>
      <c r="K20" s="3"/>
      <c r="L20" s="3">
        <f t="shared" si="2"/>
        <v>4490</v>
      </c>
      <c r="M20" s="1"/>
      <c r="O20" t="s">
        <v>787</v>
      </c>
    </row>
    <row r="21" spans="1:17">
      <c r="A21" s="2">
        <v>44265</v>
      </c>
      <c r="B21" s="1" t="s">
        <v>759</v>
      </c>
      <c r="C21" s="3">
        <v>10000</v>
      </c>
      <c r="D21" s="3"/>
      <c r="E21" s="3">
        <f t="shared" si="0"/>
        <v>13125.549999999988</v>
      </c>
      <c r="F21" s="59"/>
      <c r="H21" s="58">
        <v>44264</v>
      </c>
      <c r="I21" s="8" t="s">
        <v>764</v>
      </c>
      <c r="J21" s="10">
        <v>600</v>
      </c>
      <c r="K21" s="3"/>
      <c r="L21" s="3">
        <f t="shared" si="2"/>
        <v>3890</v>
      </c>
      <c r="M21" s="1"/>
      <c r="O21" s="4"/>
    </row>
    <row r="22" spans="1:17">
      <c r="A22" s="2">
        <v>44269</v>
      </c>
      <c r="B22" s="1" t="s">
        <v>760</v>
      </c>
      <c r="C22" s="3">
        <v>1130</v>
      </c>
      <c r="D22" s="3"/>
      <c r="E22" s="3">
        <f t="shared" si="0"/>
        <v>11995.549999999988</v>
      </c>
      <c r="F22" s="60">
        <v>230</v>
      </c>
      <c r="H22" s="58">
        <v>44264</v>
      </c>
      <c r="I22" s="6" t="s">
        <v>765</v>
      </c>
      <c r="J22" s="10">
        <v>2600</v>
      </c>
      <c r="K22" s="3"/>
      <c r="L22" s="3">
        <f t="shared" si="2"/>
        <v>1290</v>
      </c>
      <c r="M22" s="64"/>
      <c r="O22" s="97">
        <f>1135/2</f>
        <v>567.5</v>
      </c>
      <c r="P22" s="57" t="s">
        <v>798</v>
      </c>
    </row>
    <row r="23" spans="1:17">
      <c r="A23" s="2">
        <v>44269</v>
      </c>
      <c r="B23" s="1" t="s">
        <v>761</v>
      </c>
      <c r="C23" s="3"/>
      <c r="D23" s="3">
        <v>230</v>
      </c>
      <c r="E23" s="3">
        <f t="shared" si="0"/>
        <v>12225.549999999988</v>
      </c>
      <c r="F23" s="76"/>
      <c r="H23" s="58">
        <v>44264</v>
      </c>
      <c r="I23" s="59" t="s">
        <v>766</v>
      </c>
      <c r="J23" s="3">
        <v>300</v>
      </c>
      <c r="K23" s="3"/>
      <c r="L23" s="3">
        <f t="shared" si="2"/>
        <v>990</v>
      </c>
      <c r="M23" s="89"/>
      <c r="N23" s="90"/>
      <c r="O23" s="97">
        <f>1500/2</f>
        <v>750</v>
      </c>
      <c r="P23" s="57" t="s">
        <v>795</v>
      </c>
    </row>
    <row r="24" spans="1:17">
      <c r="A24" s="2">
        <v>44269</v>
      </c>
      <c r="B24" s="1" t="s">
        <v>762</v>
      </c>
      <c r="C24" s="3"/>
      <c r="D24" s="3">
        <v>230</v>
      </c>
      <c r="E24" s="3">
        <v>14455.55</v>
      </c>
      <c r="F24" s="60"/>
      <c r="G24" s="41"/>
      <c r="H24" s="2">
        <v>44265</v>
      </c>
      <c r="I24" s="1" t="s">
        <v>759</v>
      </c>
      <c r="J24" s="3"/>
      <c r="K24" s="3">
        <v>10000</v>
      </c>
      <c r="L24" s="3">
        <f t="shared" si="2"/>
        <v>10990</v>
      </c>
      <c r="M24" s="113"/>
      <c r="N24" s="57"/>
      <c r="O24" s="97">
        <f>760/2</f>
        <v>380</v>
      </c>
      <c r="P24" s="57" t="s">
        <v>796</v>
      </c>
    </row>
    <row r="25" spans="1:17">
      <c r="A25" s="2">
        <v>44271</v>
      </c>
      <c r="B25" s="1" t="s">
        <v>776</v>
      </c>
      <c r="C25" s="10">
        <v>300</v>
      </c>
      <c r="D25" s="3"/>
      <c r="E25" s="3">
        <f t="shared" si="0"/>
        <v>14155.55</v>
      </c>
      <c r="F25" s="1"/>
      <c r="H25" s="2">
        <v>44265</v>
      </c>
      <c r="I25" s="6" t="s">
        <v>767</v>
      </c>
      <c r="J25" s="3">
        <v>7000</v>
      </c>
      <c r="K25" s="3"/>
      <c r="L25" s="3">
        <f t="shared" si="2"/>
        <v>3990</v>
      </c>
      <c r="M25" s="60"/>
      <c r="O25" s="97">
        <v>700</v>
      </c>
      <c r="P25" s="57" t="s">
        <v>797</v>
      </c>
    </row>
    <row r="26" spans="1:17">
      <c r="A26" s="2">
        <v>44272</v>
      </c>
      <c r="B26" s="6" t="s">
        <v>777</v>
      </c>
      <c r="C26" s="10">
        <v>3000</v>
      </c>
      <c r="D26" s="10"/>
      <c r="E26" s="3">
        <f t="shared" si="0"/>
        <v>11155.55</v>
      </c>
      <c r="F26" s="91"/>
      <c r="H26" s="58">
        <v>44268</v>
      </c>
      <c r="I26" s="1" t="s">
        <v>768</v>
      </c>
      <c r="J26" s="3">
        <v>750</v>
      </c>
      <c r="K26" s="3"/>
      <c r="L26" s="3">
        <f t="shared" si="2"/>
        <v>3240</v>
      </c>
      <c r="M26" s="60">
        <f>+J26/2</f>
        <v>375</v>
      </c>
      <c r="O26" s="97">
        <f>-F28-M44</f>
        <v>-865</v>
      </c>
      <c r="P26" s="57" t="s">
        <v>799</v>
      </c>
    </row>
    <row r="27" spans="1:17">
      <c r="A27" s="2">
        <v>44272</v>
      </c>
      <c r="B27" s="6" t="s">
        <v>777</v>
      </c>
      <c r="C27" s="10">
        <v>2000</v>
      </c>
      <c r="D27" s="10"/>
      <c r="E27" s="3">
        <f t="shared" si="0"/>
        <v>9155.5499999999993</v>
      </c>
      <c r="F27" s="6"/>
      <c r="H27" s="58">
        <v>44268</v>
      </c>
      <c r="I27" s="1" t="s">
        <v>769</v>
      </c>
      <c r="J27" s="3">
        <v>370</v>
      </c>
      <c r="K27" s="3"/>
      <c r="L27" s="3">
        <f t="shared" si="2"/>
        <v>2870</v>
      </c>
      <c r="M27" s="60">
        <f t="shared" ref="M27:M28" si="3">+J27/2</f>
        <v>185</v>
      </c>
    </row>
    <row r="28" spans="1:17">
      <c r="A28" s="63">
        <v>44276</v>
      </c>
      <c r="B28" s="6" t="s">
        <v>709</v>
      </c>
      <c r="C28" s="10">
        <v>840</v>
      </c>
      <c r="D28" s="10"/>
      <c r="E28" s="3">
        <f t="shared" si="0"/>
        <v>8315.5499999999993</v>
      </c>
      <c r="F28" s="118">
        <f>+C28/2</f>
        <v>420</v>
      </c>
      <c r="H28" s="58">
        <v>44268</v>
      </c>
      <c r="I28" s="1" t="s">
        <v>735</v>
      </c>
      <c r="J28" s="3">
        <v>590</v>
      </c>
      <c r="K28" s="3"/>
      <c r="L28" s="3">
        <f t="shared" si="2"/>
        <v>2280</v>
      </c>
      <c r="M28" s="60">
        <f t="shared" si="3"/>
        <v>295</v>
      </c>
    </row>
    <row r="29" spans="1:17">
      <c r="A29" s="63">
        <v>44276</v>
      </c>
      <c r="B29" s="1" t="s">
        <v>101</v>
      </c>
      <c r="C29" s="10">
        <v>4045.9</v>
      </c>
      <c r="D29" s="10"/>
      <c r="E29" s="3">
        <f t="shared" si="0"/>
        <v>4269.6499999999996</v>
      </c>
      <c r="F29" s="68"/>
      <c r="H29" s="2">
        <v>44267</v>
      </c>
      <c r="I29" s="1" t="s">
        <v>770</v>
      </c>
      <c r="J29" s="3">
        <v>410</v>
      </c>
      <c r="K29" s="3"/>
      <c r="L29" s="3">
        <f t="shared" si="2"/>
        <v>1870</v>
      </c>
      <c r="M29" s="60"/>
    </row>
    <row r="30" spans="1:17">
      <c r="A30" s="63">
        <v>44277</v>
      </c>
      <c r="B30" s="1" t="s">
        <v>789</v>
      </c>
      <c r="C30" s="3">
        <v>990</v>
      </c>
      <c r="D30" s="3"/>
      <c r="E30" s="3">
        <f t="shared" si="0"/>
        <v>3279.6499999999996</v>
      </c>
      <c r="F30" s="1"/>
      <c r="H30" s="58">
        <v>44268</v>
      </c>
      <c r="I30" s="1" t="s">
        <v>771</v>
      </c>
      <c r="J30" s="3">
        <v>1000</v>
      </c>
      <c r="K30" s="3"/>
      <c r="L30" s="3">
        <f t="shared" si="2"/>
        <v>870</v>
      </c>
      <c r="M30" s="60"/>
    </row>
    <row r="31" spans="1:17">
      <c r="A31" s="63">
        <v>44277</v>
      </c>
      <c r="B31" s="1" t="s">
        <v>792</v>
      </c>
      <c r="C31" s="3">
        <v>200</v>
      </c>
      <c r="D31" s="3"/>
      <c r="E31" s="3">
        <f t="shared" si="0"/>
        <v>3079.6499999999996</v>
      </c>
      <c r="F31" s="1"/>
      <c r="H31" s="2">
        <v>44262</v>
      </c>
      <c r="I31" s="1" t="s">
        <v>772</v>
      </c>
      <c r="J31" s="3">
        <v>850</v>
      </c>
      <c r="K31" s="3"/>
      <c r="L31" s="3">
        <f t="shared" si="2"/>
        <v>20</v>
      </c>
      <c r="M31" s="60"/>
    </row>
    <row r="32" spans="1:17">
      <c r="A32" s="2">
        <v>44280</v>
      </c>
      <c r="B32" s="1" t="s">
        <v>794</v>
      </c>
      <c r="C32" s="3">
        <v>1750</v>
      </c>
      <c r="D32" s="3"/>
      <c r="E32" s="3">
        <f t="shared" si="0"/>
        <v>1329.6499999999996</v>
      </c>
      <c r="F32" s="1"/>
      <c r="H32" s="2">
        <v>44272</v>
      </c>
      <c r="I32" s="1" t="s">
        <v>778</v>
      </c>
      <c r="J32" s="3"/>
      <c r="K32" s="3">
        <v>5000</v>
      </c>
      <c r="L32" s="3">
        <f t="shared" si="2"/>
        <v>5020</v>
      </c>
      <c r="M32" s="60"/>
    </row>
    <row r="33" spans="1:14">
      <c r="A33" s="2">
        <v>44280</v>
      </c>
      <c r="B33" s="6" t="s">
        <v>802</v>
      </c>
      <c r="C33" s="3"/>
      <c r="D33" s="3">
        <v>0.2</v>
      </c>
      <c r="E33" s="3">
        <f t="shared" si="0"/>
        <v>1329.8499999999997</v>
      </c>
      <c r="F33" s="1"/>
      <c r="H33" s="2">
        <v>44272</v>
      </c>
      <c r="I33" s="1" t="s">
        <v>83</v>
      </c>
      <c r="J33" s="3">
        <v>1600</v>
      </c>
      <c r="K33" s="3"/>
      <c r="L33" s="3">
        <f t="shared" si="2"/>
        <v>3420</v>
      </c>
      <c r="M33" s="60">
        <f>+J33/2</f>
        <v>800</v>
      </c>
    </row>
    <row r="34" spans="1:14">
      <c r="A34" s="2">
        <v>44284</v>
      </c>
      <c r="B34" s="6" t="s">
        <v>804</v>
      </c>
      <c r="C34" s="3">
        <v>900</v>
      </c>
      <c r="D34" s="3"/>
      <c r="E34" s="3">
        <f t="shared" si="0"/>
        <v>429.84999999999968</v>
      </c>
      <c r="F34" s="1"/>
      <c r="H34" s="2">
        <v>44272</v>
      </c>
      <c r="I34" s="6" t="s">
        <v>779</v>
      </c>
      <c r="J34" s="3">
        <v>360</v>
      </c>
      <c r="K34" s="3"/>
      <c r="L34" s="3">
        <f t="shared" si="2"/>
        <v>3060</v>
      </c>
      <c r="M34" s="59"/>
    </row>
    <row r="35" spans="1:14">
      <c r="A35" s="2">
        <v>44285</v>
      </c>
      <c r="B35" s="6" t="s">
        <v>805</v>
      </c>
      <c r="C35" s="3">
        <v>230</v>
      </c>
      <c r="D35" s="3"/>
      <c r="E35" s="3">
        <f t="shared" si="0"/>
        <v>199.84999999999968</v>
      </c>
      <c r="F35" s="1"/>
      <c r="H35" s="114">
        <v>44272</v>
      </c>
      <c r="I35" s="1" t="s">
        <v>780</v>
      </c>
      <c r="J35" s="3">
        <v>500</v>
      </c>
      <c r="K35" s="3"/>
      <c r="L35" s="3">
        <f t="shared" ref="L35:L59" si="4">+L34-J35+K35</f>
        <v>2560</v>
      </c>
      <c r="M35" s="60">
        <f>+J35/2</f>
        <v>250</v>
      </c>
    </row>
    <row r="36" spans="1:14">
      <c r="A36" s="11"/>
      <c r="B36" s="12"/>
      <c r="C36" s="13"/>
      <c r="D36" s="13"/>
      <c r="E36" s="13">
        <f t="shared" si="0"/>
        <v>199.84999999999968</v>
      </c>
      <c r="F36" s="12"/>
      <c r="H36" s="114">
        <v>44275</v>
      </c>
      <c r="I36" s="1" t="s">
        <v>781</v>
      </c>
      <c r="J36" s="3">
        <v>360</v>
      </c>
      <c r="K36" s="3"/>
      <c r="L36" s="3">
        <f t="shared" si="4"/>
        <v>2200</v>
      </c>
      <c r="M36" s="60"/>
    </row>
    <row r="37" spans="1:14">
      <c r="A37" s="11"/>
      <c r="B37" s="12"/>
      <c r="C37" s="13"/>
      <c r="D37" s="13"/>
      <c r="E37" s="13">
        <f t="shared" si="0"/>
        <v>199.84999999999968</v>
      </c>
      <c r="F37" s="12"/>
      <c r="H37" s="114">
        <v>44275</v>
      </c>
      <c r="I37" s="6" t="s">
        <v>783</v>
      </c>
      <c r="J37" s="3">
        <v>295</v>
      </c>
      <c r="K37" s="3"/>
      <c r="L37" s="3">
        <f t="shared" si="4"/>
        <v>1905</v>
      </c>
      <c r="M37" s="60"/>
      <c r="N37" s="57"/>
    </row>
    <row r="38" spans="1:14">
      <c r="E38" s="33">
        <f t="shared" si="0"/>
        <v>199.84999999999968</v>
      </c>
      <c r="H38" s="114">
        <v>44274</v>
      </c>
      <c r="I38" s="6" t="s">
        <v>782</v>
      </c>
      <c r="J38" s="10">
        <v>600</v>
      </c>
      <c r="K38" s="1"/>
      <c r="L38" s="3">
        <f t="shared" si="4"/>
        <v>1305</v>
      </c>
      <c r="M38" s="59"/>
    </row>
    <row r="39" spans="1:14">
      <c r="E39" s="3">
        <f t="shared" si="0"/>
        <v>199.84999999999968</v>
      </c>
      <c r="H39" s="2">
        <v>44275</v>
      </c>
      <c r="I39" s="59" t="s">
        <v>251</v>
      </c>
      <c r="J39" s="60"/>
      <c r="K39" s="60"/>
      <c r="L39" s="3">
        <v>790</v>
      </c>
      <c r="M39" s="59"/>
    </row>
    <row r="40" spans="1:14">
      <c r="E40" s="3">
        <f t="shared" si="0"/>
        <v>199.84999999999968</v>
      </c>
      <c r="H40" s="2"/>
      <c r="I40" s="1" t="s">
        <v>788</v>
      </c>
      <c r="J40" s="3">
        <v>300</v>
      </c>
      <c r="K40" s="3"/>
      <c r="L40" s="3">
        <f t="shared" si="4"/>
        <v>490</v>
      </c>
      <c r="M40" s="96"/>
    </row>
    <row r="41" spans="1:14">
      <c r="E41" s="3">
        <f t="shared" si="0"/>
        <v>199.84999999999968</v>
      </c>
      <c r="H41" s="2">
        <v>44276</v>
      </c>
      <c r="I41" s="1" t="s">
        <v>790</v>
      </c>
      <c r="J41" s="3">
        <f>130+130+280-200</f>
        <v>340</v>
      </c>
      <c r="K41" s="3"/>
      <c r="L41" s="3">
        <f t="shared" si="4"/>
        <v>150</v>
      </c>
      <c r="M41" s="126"/>
      <c r="N41" s="57"/>
    </row>
    <row r="42" spans="1:14">
      <c r="E42" s="3">
        <f t="shared" si="0"/>
        <v>199.84999999999968</v>
      </c>
      <c r="H42" s="2">
        <v>44276</v>
      </c>
      <c r="I42" s="1" t="s">
        <v>791</v>
      </c>
      <c r="J42" s="3"/>
      <c r="K42" s="3">
        <v>1000</v>
      </c>
      <c r="L42" s="3">
        <f t="shared" si="4"/>
        <v>1150</v>
      </c>
      <c r="M42" s="127"/>
    </row>
    <row r="43" spans="1:14">
      <c r="E43" s="3">
        <f t="shared" si="0"/>
        <v>199.84999999999968</v>
      </c>
      <c r="H43" s="2">
        <v>44280</v>
      </c>
      <c r="I43" s="6" t="s">
        <v>793</v>
      </c>
      <c r="J43" s="3"/>
      <c r="K43" s="3">
        <v>2000</v>
      </c>
      <c r="L43" s="3">
        <f t="shared" si="4"/>
        <v>3150</v>
      </c>
      <c r="M43" s="44"/>
    </row>
    <row r="44" spans="1:14">
      <c r="E44" s="3">
        <f t="shared" si="0"/>
        <v>199.84999999999968</v>
      </c>
      <c r="H44" s="2">
        <v>44279</v>
      </c>
      <c r="I44" s="6" t="s">
        <v>83</v>
      </c>
      <c r="J44" s="3">
        <v>890</v>
      </c>
      <c r="K44" s="3"/>
      <c r="L44" s="3">
        <f t="shared" si="4"/>
        <v>2260</v>
      </c>
      <c r="M44" s="76">
        <f>+J44/2</f>
        <v>445</v>
      </c>
    </row>
    <row r="45" spans="1:14">
      <c r="E45" s="3">
        <f t="shared" si="0"/>
        <v>199.84999999999968</v>
      </c>
      <c r="H45" s="2">
        <v>44277</v>
      </c>
      <c r="I45" s="1" t="s">
        <v>800</v>
      </c>
      <c r="J45" s="3">
        <v>80</v>
      </c>
      <c r="K45" s="3"/>
      <c r="L45" s="3">
        <f t="shared" si="4"/>
        <v>2180</v>
      </c>
      <c r="M45" s="1"/>
    </row>
    <row r="46" spans="1:14">
      <c r="H46" s="2">
        <v>44280</v>
      </c>
      <c r="I46" s="1" t="s">
        <v>801</v>
      </c>
      <c r="J46" s="3">
        <v>50</v>
      </c>
      <c r="K46" s="3"/>
      <c r="L46" s="3">
        <f t="shared" si="4"/>
        <v>2130</v>
      </c>
      <c r="M46" s="1"/>
    </row>
    <row r="47" spans="1:14">
      <c r="H47" s="2"/>
      <c r="I47" s="1"/>
      <c r="J47" s="3"/>
      <c r="K47" s="3"/>
      <c r="L47" s="3">
        <f t="shared" si="4"/>
        <v>2130</v>
      </c>
      <c r="M47" s="64"/>
      <c r="N47" s="83"/>
    </row>
    <row r="48" spans="1:14">
      <c r="H48" s="2"/>
      <c r="I48" s="1"/>
      <c r="J48" s="3"/>
      <c r="K48" s="3"/>
      <c r="L48" s="3">
        <f t="shared" si="4"/>
        <v>2130</v>
      </c>
      <c r="M48" s="1"/>
    </row>
    <row r="49" spans="8:14">
      <c r="H49" s="2"/>
      <c r="I49" s="1"/>
      <c r="J49" s="3"/>
      <c r="K49" s="3"/>
      <c r="L49" s="3">
        <f t="shared" si="4"/>
        <v>2130</v>
      </c>
      <c r="M49" s="44"/>
    </row>
    <row r="50" spans="8:14">
      <c r="H50" s="2"/>
      <c r="I50" s="1"/>
      <c r="J50" s="3"/>
      <c r="K50" s="3"/>
      <c r="L50" s="3">
        <f t="shared" si="4"/>
        <v>2130</v>
      </c>
      <c r="M50" s="1"/>
    </row>
    <row r="51" spans="8:14">
      <c r="H51" s="2"/>
      <c r="I51" s="1"/>
      <c r="J51" s="3"/>
      <c r="K51" s="3"/>
      <c r="L51" s="3">
        <f t="shared" si="4"/>
        <v>2130</v>
      </c>
      <c r="M51" s="1"/>
    </row>
    <row r="52" spans="8:14">
      <c r="H52" s="2"/>
      <c r="I52" s="6"/>
      <c r="J52" s="3"/>
      <c r="K52" s="3"/>
      <c r="L52" s="3">
        <f t="shared" si="4"/>
        <v>2130</v>
      </c>
      <c r="M52" s="44"/>
    </row>
    <row r="53" spans="8:14">
      <c r="H53" s="2"/>
      <c r="I53" s="1"/>
      <c r="J53" s="3"/>
      <c r="K53" s="3"/>
      <c r="L53" s="3">
        <f t="shared" si="4"/>
        <v>2130</v>
      </c>
      <c r="M53" s="1"/>
      <c r="N53" s="41"/>
    </row>
    <row r="54" spans="8:14">
      <c r="H54" s="2"/>
      <c r="I54" s="1"/>
      <c r="J54" s="3"/>
      <c r="K54" s="3"/>
      <c r="L54" s="3">
        <f t="shared" si="4"/>
        <v>2130</v>
      </c>
      <c r="M54" s="1"/>
    </row>
    <row r="55" spans="8:14">
      <c r="H55" s="2"/>
      <c r="I55" s="1"/>
      <c r="J55" s="3"/>
      <c r="K55" s="3"/>
      <c r="L55" s="3">
        <f t="shared" si="4"/>
        <v>2130</v>
      </c>
      <c r="M55" s="1"/>
    </row>
    <row r="56" spans="8:14">
      <c r="H56" s="2"/>
      <c r="I56" s="1"/>
      <c r="J56" s="3"/>
      <c r="K56" s="3"/>
      <c r="L56" s="3">
        <f t="shared" si="4"/>
        <v>2130</v>
      </c>
      <c r="M56" s="1"/>
    </row>
    <row r="57" spans="8:14">
      <c r="H57" s="2"/>
      <c r="I57" s="1"/>
      <c r="J57" s="3"/>
      <c r="K57" s="3"/>
      <c r="L57" s="3">
        <f t="shared" si="4"/>
        <v>2130</v>
      </c>
      <c r="M57" s="1"/>
    </row>
    <row r="58" spans="8:14">
      <c r="H58" s="2"/>
      <c r="I58" s="1"/>
      <c r="J58" s="3"/>
      <c r="K58" s="3"/>
      <c r="L58" s="3">
        <f t="shared" si="4"/>
        <v>2130</v>
      </c>
      <c r="M58" s="64"/>
    </row>
    <row r="59" spans="8:14">
      <c r="H59" s="1"/>
      <c r="I59" s="1"/>
      <c r="J59" s="3"/>
      <c r="K59" s="3"/>
      <c r="L59" s="3">
        <f t="shared" si="4"/>
        <v>2130</v>
      </c>
      <c r="M59" s="1"/>
    </row>
    <row r="60" spans="8:14">
      <c r="H60" s="1"/>
      <c r="I60" s="1"/>
      <c r="J60" s="3"/>
      <c r="K60" s="3"/>
      <c r="L60" s="1"/>
      <c r="M60" s="1"/>
    </row>
    <row r="61" spans="8:14">
      <c r="H61" s="1"/>
      <c r="I61" s="1"/>
      <c r="J61" s="3"/>
      <c r="K61" s="3"/>
      <c r="L61" s="1"/>
      <c r="M61" s="1"/>
    </row>
    <row r="62" spans="8:14">
      <c r="H62" s="1"/>
      <c r="I62" s="1"/>
      <c r="J62" s="3"/>
      <c r="K62" s="3"/>
      <c r="L62" s="1"/>
      <c r="M62" s="1"/>
    </row>
    <row r="63" spans="8:14">
      <c r="J63" s="4"/>
      <c r="K63" s="4"/>
    </row>
    <row r="64" spans="8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5673-37CC-BA4F-9E33-3FB142B1AFB8}">
  <dimension ref="A1:S161"/>
  <sheetViews>
    <sheetView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0" width="12.5" bestFit="1" customWidth="1"/>
    <col min="11" max="12" width="11.5" bestFit="1" customWidth="1"/>
    <col min="13" max="13" width="25.6640625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  <c r="O1" s="4"/>
      <c r="S1" s="9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132">
        <f>1135/2</f>
        <v>567.5</v>
      </c>
      <c r="P2" s="133" t="s">
        <v>798</v>
      </c>
      <c r="Q2" s="133"/>
      <c r="R2" s="134"/>
      <c r="S2" s="92"/>
    </row>
    <row r="3" spans="1:19">
      <c r="A3" s="2">
        <v>44287</v>
      </c>
      <c r="B3" s="473" t="s">
        <v>144</v>
      </c>
      <c r="C3" s="474"/>
      <c r="D3" s="475"/>
      <c r="E3" s="3">
        <v>199.85</v>
      </c>
      <c r="F3" s="31" t="s">
        <v>803</v>
      </c>
      <c r="G3" s="32">
        <f>+D4+D14</f>
        <v>67000</v>
      </c>
      <c r="H3" s="2">
        <v>44297</v>
      </c>
      <c r="I3" s="473" t="s">
        <v>627</v>
      </c>
      <c r="J3" s="474"/>
      <c r="K3" s="475"/>
      <c r="L3" s="3">
        <v>2010</v>
      </c>
      <c r="M3" s="37"/>
      <c r="O3" s="135">
        <f>1500/2</f>
        <v>750</v>
      </c>
      <c r="P3" s="108" t="s">
        <v>795</v>
      </c>
      <c r="Q3" s="108"/>
      <c r="R3" s="136"/>
      <c r="S3" s="92"/>
    </row>
    <row r="4" spans="1:19">
      <c r="A4" s="2">
        <v>44288</v>
      </c>
      <c r="B4" s="1" t="s">
        <v>803</v>
      </c>
      <c r="C4" s="3"/>
      <c r="D4" s="3">
        <v>62000</v>
      </c>
      <c r="E4" s="3">
        <f>+E3-C4+D4</f>
        <v>62199.85</v>
      </c>
      <c r="F4" s="44"/>
      <c r="G4" s="39" t="s">
        <v>170</v>
      </c>
      <c r="H4" s="2">
        <v>44298</v>
      </c>
      <c r="I4" s="1" t="s">
        <v>828</v>
      </c>
      <c r="J4" s="3">
        <v>1100</v>
      </c>
      <c r="K4" s="3"/>
      <c r="L4" s="3">
        <f>+L3+K4-J4</f>
        <v>910</v>
      </c>
      <c r="M4" s="95"/>
      <c r="O4" s="135">
        <f>760/2</f>
        <v>380</v>
      </c>
      <c r="P4" s="108" t="s">
        <v>796</v>
      </c>
      <c r="Q4" s="108"/>
      <c r="R4" s="136"/>
      <c r="S4" s="92"/>
    </row>
    <row r="5" spans="1:19">
      <c r="A5" s="2">
        <v>44288</v>
      </c>
      <c r="B5" s="1" t="s">
        <v>806</v>
      </c>
      <c r="C5" s="3">
        <v>3500</v>
      </c>
      <c r="D5" s="3"/>
      <c r="E5" s="3">
        <f t="shared" ref="E5:E25" si="0">+E4-C5+D5</f>
        <v>58699.85</v>
      </c>
      <c r="F5" s="44"/>
      <c r="G5" s="56">
        <f>+E34+L59</f>
        <v>6809.7899999999936</v>
      </c>
      <c r="H5" s="2">
        <v>44301</v>
      </c>
      <c r="I5" s="1" t="s">
        <v>829</v>
      </c>
      <c r="J5" s="3">
        <v>800</v>
      </c>
      <c r="K5" s="3"/>
      <c r="L5" s="3">
        <f t="shared" ref="L5:L56" si="1">+L4+K5-J5</f>
        <v>110</v>
      </c>
      <c r="M5" s="96"/>
      <c r="O5" s="135">
        <v>700</v>
      </c>
      <c r="P5" s="108" t="s">
        <v>797</v>
      </c>
      <c r="Q5" s="108"/>
      <c r="R5" s="136"/>
      <c r="S5" s="92"/>
    </row>
    <row r="6" spans="1:19">
      <c r="A6" s="2">
        <v>44290</v>
      </c>
      <c r="B6" s="36" t="s">
        <v>807</v>
      </c>
      <c r="C6" s="60">
        <v>10000</v>
      </c>
      <c r="D6" s="3"/>
      <c r="E6" s="3">
        <f t="shared" si="0"/>
        <v>48699.85</v>
      </c>
      <c r="F6" s="146"/>
      <c r="G6" s="41"/>
      <c r="H6" s="2">
        <v>44304</v>
      </c>
      <c r="I6" s="1" t="s">
        <v>830</v>
      </c>
      <c r="J6" s="3"/>
      <c r="K6" s="3">
        <v>5000</v>
      </c>
      <c r="L6" s="3">
        <f t="shared" si="1"/>
        <v>5110</v>
      </c>
      <c r="M6" s="96"/>
      <c r="O6" s="135">
        <f>-SUM('Mar. 2021'!F26:F31)-'Mar. 2021'!M44-SUM('Abr. 2021'!F5:F16)</f>
        <v>-1846.6</v>
      </c>
      <c r="P6" s="108" t="s">
        <v>799</v>
      </c>
      <c r="Q6" s="108"/>
      <c r="R6" s="136"/>
      <c r="S6" s="92"/>
    </row>
    <row r="7" spans="1:19">
      <c r="A7" s="2">
        <v>44290</v>
      </c>
      <c r="B7" s="1" t="s">
        <v>810</v>
      </c>
      <c r="C7" s="3">
        <v>450</v>
      </c>
      <c r="D7" s="3"/>
      <c r="E7" s="3">
        <f t="shared" si="0"/>
        <v>48249.85</v>
      </c>
      <c r="F7" s="60">
        <f>+C7/2</f>
        <v>225</v>
      </c>
      <c r="G7" s="41"/>
      <c r="H7" s="2">
        <v>44304</v>
      </c>
      <c r="I7" s="1" t="s">
        <v>833</v>
      </c>
      <c r="J7" s="3">
        <v>290</v>
      </c>
      <c r="K7" s="3"/>
      <c r="L7" s="3">
        <f t="shared" si="1"/>
        <v>4820</v>
      </c>
      <c r="M7" s="60">
        <v>145</v>
      </c>
      <c r="O7" s="135">
        <v>1000</v>
      </c>
      <c r="P7" s="108" t="s">
        <v>816</v>
      </c>
      <c r="Q7" s="108"/>
      <c r="R7" s="136"/>
      <c r="S7" s="92"/>
    </row>
    <row r="8" spans="1:19">
      <c r="A8" s="58">
        <v>44291</v>
      </c>
      <c r="B8" s="59" t="s">
        <v>813</v>
      </c>
      <c r="C8" s="60">
        <v>10000</v>
      </c>
      <c r="D8" s="3"/>
      <c r="E8" s="3">
        <f t="shared" si="0"/>
        <v>38249.85</v>
      </c>
      <c r="F8" s="60"/>
      <c r="H8" s="2">
        <v>44306</v>
      </c>
      <c r="I8" s="1" t="s">
        <v>83</v>
      </c>
      <c r="J8" s="60">
        <v>2410</v>
      </c>
      <c r="K8" s="60"/>
      <c r="L8" s="3">
        <f t="shared" si="1"/>
        <v>2410</v>
      </c>
      <c r="M8" s="96">
        <f>+J8/2</f>
        <v>1205</v>
      </c>
      <c r="O8" s="135">
        <f>2500/2</f>
        <v>1250</v>
      </c>
      <c r="P8" s="108" t="s">
        <v>817</v>
      </c>
      <c r="Q8" s="108"/>
      <c r="R8" s="136"/>
      <c r="S8" s="92"/>
    </row>
    <row r="9" spans="1:19">
      <c r="A9" s="58">
        <v>44291</v>
      </c>
      <c r="B9" s="1" t="s">
        <v>101</v>
      </c>
      <c r="C9" s="3">
        <v>2729.73</v>
      </c>
      <c r="D9" s="3"/>
      <c r="E9" s="3">
        <f t="shared" si="0"/>
        <v>35520.119999999995</v>
      </c>
      <c r="F9" s="59"/>
      <c r="H9" s="2">
        <v>44306</v>
      </c>
      <c r="I9" s="98" t="s">
        <v>837</v>
      </c>
      <c r="J9" s="3">
        <v>510</v>
      </c>
      <c r="K9" s="3"/>
      <c r="L9" s="3">
        <f t="shared" si="1"/>
        <v>1900</v>
      </c>
      <c r="M9" s="96">
        <f>+J9/2</f>
        <v>255</v>
      </c>
      <c r="O9" s="135">
        <f>1300/2</f>
        <v>650</v>
      </c>
      <c r="P9" s="108" t="s">
        <v>818</v>
      </c>
      <c r="Q9" s="108"/>
      <c r="R9" s="136"/>
      <c r="S9" s="92"/>
    </row>
    <row r="10" spans="1:19">
      <c r="A10" s="2">
        <v>44295</v>
      </c>
      <c r="B10" s="1" t="s">
        <v>808</v>
      </c>
      <c r="C10" s="3"/>
      <c r="D10" s="3">
        <v>566</v>
      </c>
      <c r="E10" s="3">
        <f t="shared" si="0"/>
        <v>36086.119999999995</v>
      </c>
      <c r="F10" s="37"/>
      <c r="H10" s="2">
        <v>44306</v>
      </c>
      <c r="I10" s="1" t="s">
        <v>838</v>
      </c>
      <c r="J10" s="3">
        <v>900</v>
      </c>
      <c r="K10" s="3"/>
      <c r="L10" s="3">
        <f t="shared" si="1"/>
        <v>1000</v>
      </c>
      <c r="M10" s="96"/>
      <c r="N10" s="57"/>
      <c r="O10" s="135">
        <v>-425</v>
      </c>
      <c r="P10" s="108" t="s">
        <v>819</v>
      </c>
      <c r="Q10" s="108"/>
      <c r="R10" s="136"/>
      <c r="S10" s="92"/>
    </row>
    <row r="11" spans="1:19" ht="17">
      <c r="A11" s="2">
        <v>44295</v>
      </c>
      <c r="B11" s="1" t="s">
        <v>809</v>
      </c>
      <c r="C11" s="3"/>
      <c r="D11" s="3">
        <v>566</v>
      </c>
      <c r="E11" s="3">
        <f t="shared" si="0"/>
        <v>36652.119999999995</v>
      </c>
      <c r="F11" s="59"/>
      <c r="H11" s="109">
        <v>44307</v>
      </c>
      <c r="I11" s="109" t="s">
        <v>844</v>
      </c>
      <c r="J11" s="60">
        <v>85</v>
      </c>
      <c r="K11" s="3"/>
      <c r="L11" s="3">
        <f t="shared" si="1"/>
        <v>915</v>
      </c>
      <c r="M11" s="96"/>
      <c r="N11" s="57"/>
      <c r="O11" s="135">
        <f>+(-1345.5-6245.8-1779.95-1222.83)/2</f>
        <v>-5297.04</v>
      </c>
      <c r="P11" s="108" t="s">
        <v>820</v>
      </c>
      <c r="Q11" s="108"/>
      <c r="R11" s="136"/>
    </row>
    <row r="12" spans="1:19">
      <c r="A12" s="2">
        <v>44295</v>
      </c>
      <c r="B12" s="59" t="s">
        <v>812</v>
      </c>
      <c r="C12" s="60">
        <v>10000</v>
      </c>
      <c r="D12" s="115"/>
      <c r="E12" s="3">
        <f t="shared" si="0"/>
        <v>26652.119999999995</v>
      </c>
      <c r="F12" s="60"/>
      <c r="G12" s="41"/>
      <c r="H12" s="109">
        <v>44307</v>
      </c>
      <c r="I12" s="1" t="s">
        <v>845</v>
      </c>
      <c r="J12" s="3">
        <v>500</v>
      </c>
      <c r="K12" s="3"/>
      <c r="L12" s="3">
        <f t="shared" si="1"/>
        <v>415</v>
      </c>
      <c r="M12" s="148"/>
      <c r="N12" s="57"/>
      <c r="O12" s="135">
        <v>-500</v>
      </c>
      <c r="P12" s="108" t="s">
        <v>821</v>
      </c>
      <c r="Q12" s="108"/>
      <c r="R12" s="136"/>
    </row>
    <row r="13" spans="1:19">
      <c r="A13" s="58">
        <v>44297</v>
      </c>
      <c r="B13" s="59" t="s">
        <v>811</v>
      </c>
      <c r="C13" s="60">
        <v>543.20000000000005</v>
      </c>
      <c r="D13" s="3"/>
      <c r="E13" s="3">
        <f t="shared" si="0"/>
        <v>26108.919999999995</v>
      </c>
      <c r="F13" s="60">
        <f>+C13/2</f>
        <v>271.60000000000002</v>
      </c>
      <c r="H13" s="109">
        <v>44308</v>
      </c>
      <c r="I13" s="1" t="s">
        <v>846</v>
      </c>
      <c r="J13" s="3">
        <v>360</v>
      </c>
      <c r="K13" s="3"/>
      <c r="L13" s="3">
        <f t="shared" si="1"/>
        <v>55</v>
      </c>
      <c r="M13" s="59"/>
      <c r="O13" s="137">
        <v>100</v>
      </c>
      <c r="P13" s="138" t="s">
        <v>822</v>
      </c>
      <c r="Q13" s="138"/>
      <c r="R13" s="139"/>
    </row>
    <row r="14" spans="1:19">
      <c r="A14" s="2">
        <v>44295</v>
      </c>
      <c r="B14" s="59" t="s">
        <v>815</v>
      </c>
      <c r="C14" s="60"/>
      <c r="D14" s="3">
        <v>5000</v>
      </c>
      <c r="E14" s="3">
        <f t="shared" si="0"/>
        <v>31108.919999999995</v>
      </c>
      <c r="F14" s="60"/>
      <c r="G14" s="57"/>
      <c r="H14" s="58">
        <v>44313</v>
      </c>
      <c r="I14" s="1" t="s">
        <v>855</v>
      </c>
      <c r="J14" s="3"/>
      <c r="K14" s="3">
        <v>5000</v>
      </c>
      <c r="L14" s="3">
        <f t="shared" si="1"/>
        <v>5055</v>
      </c>
      <c r="M14" s="96">
        <f>(+J13+C24-M13)/2</f>
        <v>640.46499999999992</v>
      </c>
      <c r="O14" s="140">
        <f>+SUM(O2:O13)</f>
        <v>-2671.14</v>
      </c>
      <c r="P14" s="141" t="s">
        <v>823</v>
      </c>
      <c r="Q14" s="141"/>
      <c r="R14" s="142"/>
    </row>
    <row r="15" spans="1:19">
      <c r="A15" s="2">
        <v>44295</v>
      </c>
      <c r="B15" s="1" t="s">
        <v>814</v>
      </c>
      <c r="C15" s="3">
        <v>970</v>
      </c>
      <c r="D15" s="3"/>
      <c r="E15" s="3">
        <f t="shared" si="0"/>
        <v>30138.919999999995</v>
      </c>
      <c r="F15" s="60">
        <f>+C15/2</f>
        <v>485</v>
      </c>
      <c r="H15" s="58">
        <v>44313</v>
      </c>
      <c r="I15" s="1" t="s">
        <v>852</v>
      </c>
      <c r="J15" s="3">
        <v>270</v>
      </c>
      <c r="K15" s="3"/>
      <c r="L15" s="3">
        <f t="shared" si="1"/>
        <v>4785</v>
      </c>
      <c r="M15" s="96"/>
      <c r="O15" s="143">
        <v>4170</v>
      </c>
      <c r="P15" s="144" t="s">
        <v>824</v>
      </c>
      <c r="Q15" s="129"/>
      <c r="R15" s="130"/>
    </row>
    <row r="16" spans="1:19">
      <c r="A16" s="58">
        <v>44297</v>
      </c>
      <c r="B16" s="1" t="s">
        <v>825</v>
      </c>
      <c r="C16" s="10">
        <v>1500</v>
      </c>
      <c r="D16" s="3"/>
      <c r="E16" s="3">
        <f t="shared" si="0"/>
        <v>28638.919999999995</v>
      </c>
      <c r="F16" s="76"/>
      <c r="H16" s="58">
        <v>44315</v>
      </c>
      <c r="I16" s="1" t="s">
        <v>854</v>
      </c>
      <c r="J16" s="3">
        <v>700</v>
      </c>
      <c r="K16" s="1"/>
      <c r="L16" s="3">
        <f t="shared" si="1"/>
        <v>4085</v>
      </c>
      <c r="M16" s="60"/>
      <c r="O16" s="145">
        <f>+O14+O15</f>
        <v>1498.8600000000001</v>
      </c>
      <c r="P16" s="128"/>
      <c r="Q16" s="128"/>
      <c r="R16" s="131"/>
    </row>
    <row r="17" spans="1:18">
      <c r="A17" s="58">
        <v>44297</v>
      </c>
      <c r="B17" s="1" t="s">
        <v>826</v>
      </c>
      <c r="C17" s="10">
        <v>6000</v>
      </c>
      <c r="D17" s="3"/>
      <c r="E17" s="3">
        <f t="shared" si="0"/>
        <v>22638.919999999995</v>
      </c>
      <c r="F17" s="76"/>
      <c r="H17" s="58">
        <v>44315</v>
      </c>
      <c r="I17" s="1" t="s">
        <v>83</v>
      </c>
      <c r="J17" s="10">
        <v>100</v>
      </c>
      <c r="K17" s="1"/>
      <c r="L17" s="3">
        <f t="shared" si="1"/>
        <v>3985</v>
      </c>
      <c r="M17" s="96">
        <f>+J17/2</f>
        <v>50</v>
      </c>
    </row>
    <row r="18" spans="1:18">
      <c r="A18" s="58">
        <v>44297</v>
      </c>
      <c r="B18" s="59" t="s">
        <v>827</v>
      </c>
      <c r="C18" s="60">
        <v>2600</v>
      </c>
      <c r="D18" s="60"/>
      <c r="E18" s="3">
        <f t="shared" si="0"/>
        <v>20038.919999999995</v>
      </c>
      <c r="F18" s="76"/>
      <c r="H18" s="58">
        <v>44315</v>
      </c>
      <c r="I18" s="36" t="s">
        <v>853</v>
      </c>
      <c r="J18" s="37">
        <v>755</v>
      </c>
      <c r="K18" s="3"/>
      <c r="L18" s="3">
        <f t="shared" si="1"/>
        <v>3230</v>
      </c>
      <c r="M18" s="96">
        <f>+J18/2</f>
        <v>377.5</v>
      </c>
      <c r="N18" s="57"/>
      <c r="O18" s="132">
        <v>425</v>
      </c>
      <c r="P18" s="133" t="s">
        <v>832</v>
      </c>
      <c r="Q18" s="129"/>
      <c r="R18" s="130"/>
    </row>
    <row r="19" spans="1:18">
      <c r="A19" s="2">
        <v>44301</v>
      </c>
      <c r="B19" s="36" t="s">
        <v>163</v>
      </c>
      <c r="C19" s="37"/>
      <c r="D19" s="3">
        <v>10000</v>
      </c>
      <c r="E19" s="3">
        <f t="shared" si="0"/>
        <v>30038.919999999995</v>
      </c>
      <c r="F19" s="59"/>
      <c r="H19" s="58">
        <v>44313</v>
      </c>
      <c r="I19" s="6" t="s">
        <v>861</v>
      </c>
      <c r="J19" s="10">
        <v>60</v>
      </c>
      <c r="K19" s="10"/>
      <c r="L19" s="3">
        <f t="shared" si="1"/>
        <v>3170</v>
      </c>
      <c r="M19" s="68"/>
      <c r="O19" s="135">
        <v>225</v>
      </c>
      <c r="P19" s="108" t="s">
        <v>831</v>
      </c>
      <c r="Q19" s="18"/>
      <c r="R19" s="149"/>
    </row>
    <row r="20" spans="1:18">
      <c r="A20" s="2">
        <v>44304</v>
      </c>
      <c r="B20" s="1" t="s">
        <v>830</v>
      </c>
      <c r="C20" s="3">
        <v>5000</v>
      </c>
      <c r="D20" s="3"/>
      <c r="E20" s="3">
        <f t="shared" si="0"/>
        <v>25038.919999999995</v>
      </c>
      <c r="F20" s="59"/>
      <c r="H20" s="58">
        <v>44316</v>
      </c>
      <c r="I20" s="6" t="s">
        <v>627</v>
      </c>
      <c r="J20" s="10">
        <v>70</v>
      </c>
      <c r="K20" s="3"/>
      <c r="L20" s="3">
        <f t="shared" si="1"/>
        <v>3100</v>
      </c>
      <c r="M20" s="1"/>
      <c r="O20" s="135">
        <f>170/2</f>
        <v>85</v>
      </c>
      <c r="P20" s="108" t="s">
        <v>834</v>
      </c>
      <c r="Q20" s="18"/>
      <c r="R20" s="149"/>
    </row>
    <row r="21" spans="1:18">
      <c r="A21" s="2">
        <v>44304</v>
      </c>
      <c r="B21" s="1" t="s">
        <v>101</v>
      </c>
      <c r="C21" s="3">
        <v>3300.2</v>
      </c>
      <c r="D21" s="3"/>
      <c r="E21" s="3">
        <f t="shared" si="0"/>
        <v>21738.719999999994</v>
      </c>
      <c r="F21" s="59"/>
      <c r="H21" s="58"/>
      <c r="I21" s="8"/>
      <c r="J21" s="10"/>
      <c r="K21" s="3"/>
      <c r="L21" s="3">
        <f t="shared" si="1"/>
        <v>3100</v>
      </c>
      <c r="M21" s="1"/>
      <c r="O21" s="135">
        <v>251</v>
      </c>
      <c r="P21" s="108" t="s">
        <v>835</v>
      </c>
      <c r="Q21" s="18"/>
      <c r="R21" s="149"/>
    </row>
    <row r="22" spans="1:18">
      <c r="A22" s="2">
        <v>44305</v>
      </c>
      <c r="B22" s="1" t="s">
        <v>840</v>
      </c>
      <c r="C22" s="3">
        <v>2770</v>
      </c>
      <c r="D22" s="3"/>
      <c r="E22" s="3">
        <f t="shared" si="0"/>
        <v>18968.719999999994</v>
      </c>
      <c r="F22" s="60"/>
      <c r="H22" s="58"/>
      <c r="I22" s="6"/>
      <c r="J22" s="10"/>
      <c r="K22" s="3"/>
      <c r="L22" s="3">
        <f t="shared" si="1"/>
        <v>3100</v>
      </c>
      <c r="M22" s="64"/>
      <c r="O22" s="135">
        <v>400</v>
      </c>
      <c r="P22" s="108" t="s">
        <v>836</v>
      </c>
      <c r="Q22" s="18"/>
      <c r="R22" s="149"/>
    </row>
    <row r="23" spans="1:18">
      <c r="A23" s="2">
        <v>44305</v>
      </c>
      <c r="B23" s="1" t="s">
        <v>839</v>
      </c>
      <c r="C23" s="3">
        <v>3500</v>
      </c>
      <c r="D23" s="3"/>
      <c r="E23" s="3">
        <f t="shared" si="0"/>
        <v>15468.719999999994</v>
      </c>
      <c r="F23" s="76"/>
      <c r="H23" s="58"/>
      <c r="I23" s="59"/>
      <c r="J23" s="3"/>
      <c r="K23" s="3"/>
      <c r="L23" s="3">
        <f t="shared" si="1"/>
        <v>3100</v>
      </c>
      <c r="M23" s="89"/>
      <c r="N23" s="90"/>
      <c r="O23" s="135">
        <v>500</v>
      </c>
      <c r="P23" s="108" t="s">
        <v>847</v>
      </c>
      <c r="Q23" s="18"/>
      <c r="R23" s="149"/>
    </row>
    <row r="24" spans="1:18">
      <c r="A24" s="2">
        <v>44307</v>
      </c>
      <c r="B24" s="1" t="s">
        <v>810</v>
      </c>
      <c r="C24" s="3">
        <v>920.93</v>
      </c>
      <c r="D24" s="3"/>
      <c r="E24" s="3">
        <f t="shared" si="0"/>
        <v>14547.789999999994</v>
      </c>
      <c r="F24" s="60"/>
      <c r="G24" s="41"/>
      <c r="H24" s="2"/>
      <c r="I24" s="1"/>
      <c r="J24" s="3"/>
      <c r="K24" s="3"/>
      <c r="L24" s="3">
        <f t="shared" si="1"/>
        <v>3100</v>
      </c>
      <c r="M24" s="113"/>
      <c r="N24" s="57"/>
      <c r="O24" s="135">
        <f>2890/2</f>
        <v>1445</v>
      </c>
      <c r="P24" s="108" t="s">
        <v>849</v>
      </c>
      <c r="Q24" s="18"/>
      <c r="R24" s="149"/>
    </row>
    <row r="25" spans="1:18">
      <c r="A25" s="2">
        <v>44308</v>
      </c>
      <c r="B25" s="1" t="s">
        <v>856</v>
      </c>
      <c r="C25" s="10">
        <v>1500</v>
      </c>
      <c r="D25" s="3"/>
      <c r="E25" s="3">
        <f t="shared" si="0"/>
        <v>13047.789999999994</v>
      </c>
      <c r="F25" s="60">
        <f>+C25/2</f>
        <v>750</v>
      </c>
      <c r="H25" s="2"/>
      <c r="I25" s="6"/>
      <c r="J25" s="3"/>
      <c r="K25" s="3"/>
      <c r="L25" s="3">
        <f t="shared" si="1"/>
        <v>3100</v>
      </c>
      <c r="M25" s="60"/>
      <c r="O25" s="135">
        <v>500</v>
      </c>
      <c r="P25" s="108" t="s">
        <v>850</v>
      </c>
      <c r="Q25" s="18"/>
      <c r="R25" s="149"/>
    </row>
    <row r="26" spans="1:18">
      <c r="A26" s="2">
        <v>44309</v>
      </c>
      <c r="B26" s="6" t="s">
        <v>857</v>
      </c>
      <c r="C26" s="10">
        <v>3000</v>
      </c>
      <c r="D26" s="10"/>
      <c r="E26" s="3">
        <f t="shared" ref="E26:E45" si="2">+E25-C26+D26</f>
        <v>10047.789999999994</v>
      </c>
      <c r="F26" s="36"/>
      <c r="H26" s="58"/>
      <c r="I26" s="1"/>
      <c r="J26" s="3"/>
      <c r="K26" s="3"/>
      <c r="L26" s="3">
        <f t="shared" si="1"/>
        <v>3100</v>
      </c>
      <c r="M26" s="60"/>
      <c r="O26" s="135">
        <f>2300/2</f>
        <v>1150</v>
      </c>
      <c r="P26" s="108" t="s">
        <v>851</v>
      </c>
      <c r="Q26" s="18"/>
      <c r="R26" s="149"/>
    </row>
    <row r="27" spans="1:18">
      <c r="A27" s="2">
        <v>44311</v>
      </c>
      <c r="B27" s="6" t="s">
        <v>858</v>
      </c>
      <c r="C27" s="10"/>
      <c r="D27" s="10">
        <f>885+885+400</f>
        <v>2170</v>
      </c>
      <c r="E27" s="3">
        <f t="shared" si="2"/>
        <v>12217.789999999994</v>
      </c>
      <c r="F27" s="6"/>
      <c r="H27" s="58"/>
      <c r="I27" s="1"/>
      <c r="J27" s="3"/>
      <c r="K27" s="3"/>
      <c r="L27" s="3">
        <f t="shared" si="1"/>
        <v>3100</v>
      </c>
      <c r="M27" s="60"/>
      <c r="O27" s="135">
        <v>800</v>
      </c>
      <c r="P27" s="108" t="s">
        <v>862</v>
      </c>
      <c r="Q27" s="18"/>
      <c r="R27" s="149"/>
    </row>
    <row r="28" spans="1:18">
      <c r="A28" s="63">
        <v>44311</v>
      </c>
      <c r="B28" s="6" t="s">
        <v>860</v>
      </c>
      <c r="C28" s="10">
        <v>1150</v>
      </c>
      <c r="D28" s="10"/>
      <c r="E28" s="3">
        <f t="shared" si="2"/>
        <v>11067.789999999994</v>
      </c>
      <c r="F28" s="147">
        <v>1150</v>
      </c>
      <c r="H28" s="58"/>
      <c r="I28" s="1"/>
      <c r="J28" s="3"/>
      <c r="K28" s="3"/>
      <c r="L28" s="3">
        <f t="shared" si="1"/>
        <v>3100</v>
      </c>
      <c r="M28" s="60"/>
      <c r="O28" s="150">
        <f>SUM(O18:O27)</f>
        <v>5781</v>
      </c>
      <c r="P28" s="108"/>
      <c r="Q28" s="18"/>
      <c r="R28" s="149"/>
    </row>
    <row r="29" spans="1:18">
      <c r="A29" s="63">
        <v>44313</v>
      </c>
      <c r="B29" s="1" t="s">
        <v>855</v>
      </c>
      <c r="C29" s="10">
        <v>5000</v>
      </c>
      <c r="D29" s="10"/>
      <c r="E29" s="3">
        <f t="shared" si="2"/>
        <v>6067.7899999999936</v>
      </c>
      <c r="F29" s="91" t="s">
        <v>859</v>
      </c>
      <c r="H29" s="2"/>
      <c r="I29" s="1"/>
      <c r="J29" s="3"/>
      <c r="K29" s="3"/>
      <c r="L29" s="3">
        <f t="shared" si="1"/>
        <v>3100</v>
      </c>
      <c r="M29" s="60"/>
      <c r="O29" s="150">
        <f>+M14+SUM(M7:M9)+M17+M18+F25</f>
        <v>3422.9650000000001</v>
      </c>
      <c r="P29" s="108" t="s">
        <v>848</v>
      </c>
      <c r="Q29" s="18"/>
      <c r="R29" s="149"/>
    </row>
    <row r="30" spans="1:18">
      <c r="A30" s="63">
        <v>44316</v>
      </c>
      <c r="B30" s="1" t="s">
        <v>866</v>
      </c>
      <c r="C30" s="3">
        <v>2358</v>
      </c>
      <c r="D30" s="3"/>
      <c r="E30" s="3">
        <f t="shared" si="2"/>
        <v>3709.7899999999936</v>
      </c>
      <c r="F30" s="1"/>
      <c r="H30" s="58"/>
      <c r="I30" s="1"/>
      <c r="J30" s="3"/>
      <c r="K30" s="3"/>
      <c r="L30" s="3">
        <f t="shared" si="1"/>
        <v>3100</v>
      </c>
      <c r="M30" s="60"/>
      <c r="O30" s="151">
        <f>+O28-O29</f>
        <v>2358.0349999999999</v>
      </c>
      <c r="P30" s="108"/>
      <c r="Q30" s="18"/>
      <c r="R30" s="149"/>
    </row>
    <row r="31" spans="1:18">
      <c r="A31" s="63"/>
      <c r="B31" s="1"/>
      <c r="C31" s="3"/>
      <c r="D31" s="3"/>
      <c r="E31" s="3">
        <f t="shared" si="2"/>
        <v>3709.7899999999936</v>
      </c>
      <c r="F31" s="1"/>
      <c r="H31" s="2"/>
      <c r="I31" s="1"/>
      <c r="J31" s="3"/>
      <c r="K31" s="3"/>
      <c r="L31" s="3">
        <f t="shared" si="1"/>
        <v>3100</v>
      </c>
      <c r="M31" s="60"/>
      <c r="O31" s="152" t="s">
        <v>863</v>
      </c>
      <c r="P31" s="128"/>
      <c r="Q31" s="128"/>
      <c r="R31" s="131"/>
    </row>
    <row r="32" spans="1:18">
      <c r="A32" s="2"/>
      <c r="B32" s="1"/>
      <c r="C32" s="3"/>
      <c r="D32" s="3"/>
      <c r="E32" s="3">
        <f t="shared" si="2"/>
        <v>3709.7899999999936</v>
      </c>
      <c r="F32" s="1"/>
      <c r="H32" s="2"/>
      <c r="I32" s="1"/>
      <c r="J32" s="3"/>
      <c r="K32" s="3"/>
      <c r="L32" s="3">
        <f t="shared" si="1"/>
        <v>3100</v>
      </c>
      <c r="M32" s="60"/>
    </row>
    <row r="33" spans="1:14">
      <c r="A33" s="2"/>
      <c r="B33" s="6"/>
      <c r="C33" s="3"/>
      <c r="D33" s="3"/>
      <c r="E33" s="3">
        <f t="shared" si="2"/>
        <v>3709.7899999999936</v>
      </c>
      <c r="F33" s="1"/>
      <c r="H33" s="2"/>
      <c r="I33" s="1"/>
      <c r="J33" s="3"/>
      <c r="K33" s="3"/>
      <c r="L33" s="3">
        <f t="shared" si="1"/>
        <v>3100</v>
      </c>
      <c r="M33" s="60"/>
    </row>
    <row r="34" spans="1:14">
      <c r="A34" s="2"/>
      <c r="B34" s="6"/>
      <c r="C34" s="3"/>
      <c r="D34" s="3"/>
      <c r="E34" s="3">
        <f t="shared" si="2"/>
        <v>3709.7899999999936</v>
      </c>
      <c r="F34" s="1"/>
      <c r="H34" s="2"/>
      <c r="I34" s="6"/>
      <c r="J34" s="3"/>
      <c r="K34" s="3"/>
      <c r="L34" s="3">
        <f t="shared" si="1"/>
        <v>3100</v>
      </c>
      <c r="M34" s="59"/>
    </row>
    <row r="35" spans="1:14">
      <c r="A35" s="2"/>
      <c r="B35" s="6"/>
      <c r="C35" s="3"/>
      <c r="D35" s="3"/>
      <c r="E35" s="3">
        <f t="shared" si="2"/>
        <v>3709.7899999999936</v>
      </c>
      <c r="F35" s="1"/>
      <c r="H35" s="114"/>
      <c r="I35" s="1"/>
      <c r="J35" s="3"/>
      <c r="K35" s="3"/>
      <c r="L35" s="3">
        <f t="shared" si="1"/>
        <v>3100</v>
      </c>
      <c r="M35" s="60"/>
    </row>
    <row r="36" spans="1:14">
      <c r="A36" s="2"/>
      <c r="B36" s="6"/>
      <c r="C36" s="3"/>
      <c r="D36" s="3"/>
      <c r="E36" s="3">
        <f t="shared" si="2"/>
        <v>3709.7899999999936</v>
      </c>
      <c r="F36" s="1"/>
      <c r="H36" s="114"/>
      <c r="I36" s="1"/>
      <c r="J36" s="3"/>
      <c r="K36" s="3"/>
      <c r="L36" s="3">
        <f t="shared" si="1"/>
        <v>3100</v>
      </c>
      <c r="M36" s="60"/>
    </row>
    <row r="37" spans="1:14">
      <c r="A37" s="2"/>
      <c r="B37" s="6"/>
      <c r="C37" s="3"/>
      <c r="D37" s="3"/>
      <c r="E37" s="3">
        <f t="shared" si="2"/>
        <v>3709.7899999999936</v>
      </c>
      <c r="F37" s="1"/>
      <c r="H37" s="114"/>
      <c r="I37" s="6"/>
      <c r="J37" s="3"/>
      <c r="K37" s="3"/>
      <c r="L37" s="3">
        <f t="shared" si="1"/>
        <v>3100</v>
      </c>
      <c r="M37" s="60"/>
      <c r="N37" s="57"/>
    </row>
    <row r="38" spans="1:14">
      <c r="E38" s="33">
        <f t="shared" si="2"/>
        <v>3709.7899999999936</v>
      </c>
      <c r="H38" s="114"/>
      <c r="I38" s="6"/>
      <c r="J38" s="10"/>
      <c r="K38" s="1"/>
      <c r="L38" s="3">
        <f t="shared" si="1"/>
        <v>3100</v>
      </c>
      <c r="M38" s="59"/>
    </row>
    <row r="39" spans="1:14">
      <c r="E39" s="3">
        <f t="shared" si="2"/>
        <v>3709.7899999999936</v>
      </c>
      <c r="H39" s="2"/>
      <c r="I39" s="59"/>
      <c r="J39" s="60"/>
      <c r="K39" s="60"/>
      <c r="L39" s="3">
        <f t="shared" si="1"/>
        <v>3100</v>
      </c>
      <c r="M39" s="59"/>
    </row>
    <row r="40" spans="1:14">
      <c r="E40" s="3">
        <f t="shared" si="2"/>
        <v>3709.7899999999936</v>
      </c>
      <c r="H40" s="2"/>
      <c r="I40" s="1"/>
      <c r="J40" s="3"/>
      <c r="K40" s="3"/>
      <c r="L40" s="3">
        <f t="shared" si="1"/>
        <v>3100</v>
      </c>
      <c r="M40" s="96"/>
    </row>
    <row r="41" spans="1:14">
      <c r="E41" s="3">
        <f t="shared" si="2"/>
        <v>3709.7899999999936</v>
      </c>
      <c r="H41" s="2"/>
      <c r="I41" s="1"/>
      <c r="J41" s="3"/>
      <c r="K41" s="3"/>
      <c r="L41" s="3">
        <f t="shared" si="1"/>
        <v>3100</v>
      </c>
      <c r="M41" s="126"/>
      <c r="N41" s="57"/>
    </row>
    <row r="42" spans="1:14">
      <c r="E42" s="3">
        <f t="shared" si="2"/>
        <v>3709.7899999999936</v>
      </c>
      <c r="H42" s="2"/>
      <c r="I42" s="1"/>
      <c r="J42" s="3"/>
      <c r="K42" s="3"/>
      <c r="L42" s="3">
        <f t="shared" si="1"/>
        <v>3100</v>
      </c>
      <c r="M42" s="127"/>
    </row>
    <row r="43" spans="1:14">
      <c r="E43" s="3">
        <f t="shared" si="2"/>
        <v>3709.7899999999936</v>
      </c>
      <c r="H43" s="2"/>
      <c r="I43" s="6"/>
      <c r="J43" s="3"/>
      <c r="K43" s="3"/>
      <c r="L43" s="3">
        <f t="shared" si="1"/>
        <v>3100</v>
      </c>
      <c r="M43" s="44"/>
    </row>
    <row r="44" spans="1:14">
      <c r="E44" s="3">
        <f t="shared" si="2"/>
        <v>3709.7899999999936</v>
      </c>
      <c r="H44" s="2"/>
      <c r="I44" s="6"/>
      <c r="J44" s="3"/>
      <c r="K44" s="3"/>
      <c r="L44" s="3">
        <f t="shared" si="1"/>
        <v>3100</v>
      </c>
      <c r="M44" s="76"/>
    </row>
    <row r="45" spans="1:14">
      <c r="E45" s="3">
        <f t="shared" si="2"/>
        <v>3709.7899999999936</v>
      </c>
      <c r="H45" s="2"/>
      <c r="I45" s="1"/>
      <c r="J45" s="3"/>
      <c r="K45" s="3"/>
      <c r="L45" s="3">
        <f t="shared" si="1"/>
        <v>3100</v>
      </c>
      <c r="M45" s="1"/>
    </row>
    <row r="46" spans="1:14">
      <c r="H46" s="2"/>
      <c r="I46" s="1"/>
      <c r="J46" s="3"/>
      <c r="K46" s="3"/>
      <c r="L46" s="3">
        <f t="shared" si="1"/>
        <v>3100</v>
      </c>
      <c r="M46" s="1"/>
    </row>
    <row r="47" spans="1:14">
      <c r="H47" s="2"/>
      <c r="I47" s="1"/>
      <c r="J47" s="3"/>
      <c r="K47" s="3"/>
      <c r="L47" s="3">
        <f t="shared" si="1"/>
        <v>3100</v>
      </c>
      <c r="M47" s="64"/>
      <c r="N47" s="83"/>
    </row>
    <row r="48" spans="1:14">
      <c r="H48" s="2"/>
      <c r="I48" s="1"/>
      <c r="J48" s="3"/>
      <c r="K48" s="3"/>
      <c r="L48" s="3">
        <f t="shared" si="1"/>
        <v>3100</v>
      </c>
      <c r="M48" s="1"/>
    </row>
    <row r="49" spans="8:14">
      <c r="H49" s="2"/>
      <c r="I49" s="1"/>
      <c r="J49" s="3"/>
      <c r="K49" s="3"/>
      <c r="L49" s="3">
        <f t="shared" si="1"/>
        <v>3100</v>
      </c>
      <c r="M49" s="44"/>
    </row>
    <row r="50" spans="8:14">
      <c r="H50" s="2"/>
      <c r="I50" s="1"/>
      <c r="J50" s="3"/>
      <c r="K50" s="3"/>
      <c r="L50" s="3">
        <f t="shared" si="1"/>
        <v>3100</v>
      </c>
      <c r="M50" s="1"/>
    </row>
    <row r="51" spans="8:14">
      <c r="H51" s="2"/>
      <c r="I51" s="1"/>
      <c r="J51" s="3"/>
      <c r="K51" s="3"/>
      <c r="L51" s="3">
        <f t="shared" si="1"/>
        <v>3100</v>
      </c>
      <c r="M51" s="1"/>
    </row>
    <row r="52" spans="8:14">
      <c r="H52" s="2"/>
      <c r="I52" s="6"/>
      <c r="J52" s="3"/>
      <c r="K52" s="3"/>
      <c r="L52" s="3">
        <f t="shared" si="1"/>
        <v>3100</v>
      </c>
      <c r="M52" s="44"/>
    </row>
    <row r="53" spans="8:14">
      <c r="H53" s="2"/>
      <c r="I53" s="1"/>
      <c r="J53" s="3"/>
      <c r="K53" s="3"/>
      <c r="L53" s="3">
        <f t="shared" si="1"/>
        <v>3100</v>
      </c>
      <c r="M53" s="1"/>
      <c r="N53" s="41"/>
    </row>
    <row r="54" spans="8:14">
      <c r="H54" s="2"/>
      <c r="I54" s="1"/>
      <c r="J54" s="3"/>
      <c r="K54" s="3"/>
      <c r="L54" s="3">
        <f t="shared" si="1"/>
        <v>3100</v>
      </c>
      <c r="M54" s="1"/>
    </row>
    <row r="55" spans="8:14">
      <c r="H55" s="2"/>
      <c r="I55" s="1"/>
      <c r="J55" s="3"/>
      <c r="K55" s="3"/>
      <c r="L55" s="3">
        <f t="shared" si="1"/>
        <v>3100</v>
      </c>
      <c r="M55" s="1"/>
    </row>
    <row r="56" spans="8:14">
      <c r="H56" s="2"/>
      <c r="I56" s="1"/>
      <c r="J56" s="3"/>
      <c r="K56" s="3"/>
      <c r="L56" s="3">
        <f t="shared" si="1"/>
        <v>3100</v>
      </c>
      <c r="M56" s="1"/>
    </row>
    <row r="57" spans="8:14">
      <c r="H57" s="2"/>
      <c r="I57" s="1"/>
      <c r="J57" s="3"/>
      <c r="K57" s="3"/>
      <c r="L57" s="3">
        <f t="shared" ref="L57:L59" si="3">+L56-J57+K57</f>
        <v>3100</v>
      </c>
      <c r="M57" s="1"/>
    </row>
    <row r="58" spans="8:14">
      <c r="H58" s="2"/>
      <c r="I58" s="1"/>
      <c r="J58" s="3"/>
      <c r="K58" s="3"/>
      <c r="L58" s="3">
        <f t="shared" si="3"/>
        <v>3100</v>
      </c>
      <c r="M58" s="64"/>
    </row>
    <row r="59" spans="8:14">
      <c r="H59" s="1"/>
      <c r="I59" s="1"/>
      <c r="J59" s="3"/>
      <c r="K59" s="3"/>
      <c r="L59" s="3">
        <f t="shared" si="3"/>
        <v>3100</v>
      </c>
      <c r="M59" s="1"/>
    </row>
    <row r="60" spans="8:14">
      <c r="H60" s="1"/>
      <c r="I60" s="1"/>
      <c r="J60" s="3"/>
      <c r="K60" s="3"/>
      <c r="L60" s="1"/>
      <c r="M60" s="1"/>
    </row>
    <row r="61" spans="8:14">
      <c r="H61" s="1"/>
      <c r="I61" s="1"/>
      <c r="J61" s="3"/>
      <c r="K61" s="3"/>
      <c r="L61" s="1"/>
      <c r="M61" s="1"/>
    </row>
    <row r="62" spans="8:14">
      <c r="H62" s="1"/>
      <c r="I62" s="1"/>
      <c r="J62" s="3"/>
      <c r="K62" s="3"/>
      <c r="L62" s="1"/>
      <c r="M62" s="1"/>
    </row>
    <row r="63" spans="8:14">
      <c r="J63" s="4"/>
      <c r="K63" s="4"/>
    </row>
    <row r="64" spans="8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68BE-263F-254C-BB0B-72D7F6DF11A5}">
  <dimension ref="A1:R1048576"/>
  <sheetViews>
    <sheetView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0" width="12.5" bestFit="1" customWidth="1"/>
    <col min="11" max="12" width="11.5" bestFit="1" customWidth="1"/>
    <col min="13" max="13" width="25.6640625" bestFit="1" customWidth="1"/>
  </cols>
  <sheetData>
    <row r="1" spans="1:17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7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153" t="s">
        <v>880</v>
      </c>
    </row>
    <row r="3" spans="1:17">
      <c r="A3" s="2">
        <v>44317</v>
      </c>
      <c r="B3" s="473" t="s">
        <v>144</v>
      </c>
      <c r="C3" s="474"/>
      <c r="D3" s="475"/>
      <c r="E3" s="3">
        <v>3709.79</v>
      </c>
      <c r="F3" s="31" t="s">
        <v>864</v>
      </c>
      <c r="G3" s="32">
        <f>+D4</f>
        <v>65579</v>
      </c>
      <c r="H3" s="2">
        <v>44317</v>
      </c>
      <c r="I3" s="473" t="s">
        <v>627</v>
      </c>
      <c r="J3" s="474"/>
      <c r="K3" s="475"/>
      <c r="L3" s="3">
        <v>3100</v>
      </c>
      <c r="M3" s="37"/>
      <c r="O3" s="156">
        <f>920/2</f>
        <v>460</v>
      </c>
      <c r="P3" t="s">
        <v>881</v>
      </c>
    </row>
    <row r="4" spans="1:17">
      <c r="A4" s="2">
        <v>44318</v>
      </c>
      <c r="B4" s="1" t="s">
        <v>864</v>
      </c>
      <c r="C4" s="3"/>
      <c r="D4" s="3">
        <v>65579</v>
      </c>
      <c r="E4" s="3">
        <f>+E3-C4+D4</f>
        <v>69288.789999999994</v>
      </c>
      <c r="F4" s="44"/>
      <c r="G4" s="39" t="s">
        <v>170</v>
      </c>
      <c r="H4" s="2">
        <v>44317</v>
      </c>
      <c r="I4" s="1" t="s">
        <v>867</v>
      </c>
      <c r="J4" s="154">
        <v>386</v>
      </c>
      <c r="K4" s="3"/>
      <c r="L4" s="3">
        <f>+L3+K4-J4</f>
        <v>2714</v>
      </c>
      <c r="M4" s="95">
        <f>+J4/2</f>
        <v>193</v>
      </c>
      <c r="O4" s="156">
        <f>450/2</f>
        <v>225</v>
      </c>
      <c r="P4" t="s">
        <v>882</v>
      </c>
    </row>
    <row r="5" spans="1:17">
      <c r="A5" s="2">
        <v>44318</v>
      </c>
      <c r="B5" s="1" t="s">
        <v>874</v>
      </c>
      <c r="C5" s="3">
        <v>4000</v>
      </c>
      <c r="D5" s="3"/>
      <c r="E5" s="3">
        <f t="shared" ref="E5:E45" si="0">+E4-C5+D5</f>
        <v>65288.789999999994</v>
      </c>
      <c r="F5" s="53"/>
      <c r="G5" s="56">
        <f>+E34+L59</f>
        <v>432.02999999999702</v>
      </c>
      <c r="H5" s="2">
        <v>44318</v>
      </c>
      <c r="I5" s="1" t="s">
        <v>868</v>
      </c>
      <c r="J5" s="3">
        <v>500</v>
      </c>
      <c r="K5" s="3"/>
      <c r="L5" s="3">
        <f t="shared" ref="L5:L56" si="1">+L4+K5-J5</f>
        <v>2214</v>
      </c>
      <c r="M5" s="96">
        <f>+J5/2</f>
        <v>250</v>
      </c>
      <c r="O5" s="156">
        <f>+(2000*0.7)/2</f>
        <v>700</v>
      </c>
      <c r="P5" t="s">
        <v>899</v>
      </c>
    </row>
    <row r="6" spans="1:17">
      <c r="A6" s="2">
        <v>44320</v>
      </c>
      <c r="B6" s="1" t="s">
        <v>874</v>
      </c>
      <c r="C6" s="60">
        <v>20000</v>
      </c>
      <c r="D6" s="3"/>
      <c r="E6" s="3">
        <v>45290.67</v>
      </c>
      <c r="F6" s="53"/>
      <c r="G6" s="41"/>
      <c r="H6" s="2">
        <v>44318</v>
      </c>
      <c r="I6" s="1" t="s">
        <v>874</v>
      </c>
      <c r="J6" s="3"/>
      <c r="K6" s="3">
        <v>20000</v>
      </c>
      <c r="L6" s="3">
        <f t="shared" si="1"/>
        <v>22214</v>
      </c>
      <c r="M6" s="96"/>
      <c r="O6" s="156">
        <f>1650/2</f>
        <v>825</v>
      </c>
      <c r="P6" t="s">
        <v>900</v>
      </c>
    </row>
    <row r="7" spans="1:17">
      <c r="A7" s="2">
        <v>44320</v>
      </c>
      <c r="B7" s="59" t="s">
        <v>875</v>
      </c>
      <c r="C7" s="3">
        <v>5000</v>
      </c>
      <c r="D7" s="3"/>
      <c r="E7" s="3">
        <f t="shared" si="0"/>
        <v>40290.67</v>
      </c>
      <c r="F7" s="53"/>
      <c r="G7" s="41"/>
      <c r="H7" s="2">
        <v>44320</v>
      </c>
      <c r="I7" s="1" t="s">
        <v>874</v>
      </c>
      <c r="J7" s="3"/>
      <c r="K7" s="3">
        <v>4000</v>
      </c>
      <c r="L7" s="3">
        <f t="shared" si="1"/>
        <v>26214</v>
      </c>
      <c r="M7" s="60"/>
      <c r="O7" s="156">
        <f>+'Gastos fijos'!C27</f>
        <v>5066.5</v>
      </c>
      <c r="P7" t="s">
        <v>869</v>
      </c>
    </row>
    <row r="8" spans="1:17">
      <c r="A8" s="58">
        <v>44320</v>
      </c>
      <c r="B8" s="59" t="s">
        <v>865</v>
      </c>
      <c r="C8" s="60">
        <v>2600</v>
      </c>
      <c r="D8" s="3"/>
      <c r="E8" s="3">
        <f t="shared" si="0"/>
        <v>37690.67</v>
      </c>
      <c r="F8" s="60"/>
      <c r="H8" s="2"/>
      <c r="I8" s="1" t="s">
        <v>876</v>
      </c>
      <c r="J8" s="60">
        <v>12000</v>
      </c>
      <c r="K8" s="60"/>
      <c r="L8" s="3">
        <f t="shared" si="1"/>
        <v>14214</v>
      </c>
      <c r="M8" s="96"/>
      <c r="O8" s="157">
        <f>-M4-M5-M18-M19-F13</f>
        <v>-1658</v>
      </c>
      <c r="P8" s="128" t="s">
        <v>903</v>
      </c>
      <c r="Q8" s="128"/>
    </row>
    <row r="9" spans="1:17">
      <c r="A9" s="58">
        <v>44322</v>
      </c>
      <c r="B9" s="1" t="s">
        <v>886</v>
      </c>
      <c r="C9" s="3"/>
      <c r="D9" s="3">
        <v>250</v>
      </c>
      <c r="E9" s="3">
        <f t="shared" si="0"/>
        <v>37940.67</v>
      </c>
      <c r="F9" s="59"/>
      <c r="H9" s="2"/>
      <c r="I9" s="98" t="s">
        <v>877</v>
      </c>
      <c r="J9" s="3">
        <v>3500</v>
      </c>
      <c r="K9" s="3"/>
      <c r="L9" s="3">
        <f t="shared" si="1"/>
        <v>10714</v>
      </c>
      <c r="M9" s="96"/>
      <c r="O9" s="156">
        <f>+SUM(O3:O8)</f>
        <v>5618.5</v>
      </c>
      <c r="P9" t="s">
        <v>47</v>
      </c>
    </row>
    <row r="10" spans="1:17">
      <c r="A10" s="2">
        <v>44322</v>
      </c>
      <c r="B10" s="1" t="s">
        <v>874</v>
      </c>
      <c r="C10" s="3">
        <v>5000</v>
      </c>
      <c r="D10" s="3"/>
      <c r="E10" s="3">
        <f t="shared" si="0"/>
        <v>32940.67</v>
      </c>
      <c r="F10" s="3"/>
      <c r="H10" s="2"/>
      <c r="I10" s="1" t="s">
        <v>878</v>
      </c>
      <c r="J10" s="3">
        <v>3000</v>
      </c>
      <c r="K10" s="3"/>
      <c r="L10" s="3">
        <f t="shared" si="1"/>
        <v>7714</v>
      </c>
      <c r="M10" s="96"/>
      <c r="N10" s="57"/>
      <c r="O10" s="4" t="s">
        <v>904</v>
      </c>
    </row>
    <row r="11" spans="1:17" ht="17">
      <c r="A11" s="2">
        <v>44322</v>
      </c>
      <c r="B11" s="1" t="s">
        <v>888</v>
      </c>
      <c r="C11" s="3">
        <v>1779</v>
      </c>
      <c r="D11" s="3"/>
      <c r="E11" s="3">
        <f t="shared" si="0"/>
        <v>31161.67</v>
      </c>
      <c r="F11" s="60" t="s">
        <v>889</v>
      </c>
      <c r="H11" s="109"/>
      <c r="I11" s="109" t="s">
        <v>879</v>
      </c>
      <c r="J11" s="60">
        <v>6500</v>
      </c>
      <c r="K11" s="3"/>
      <c r="L11" s="3">
        <v>830</v>
      </c>
      <c r="M11" s="96"/>
      <c r="N11" s="57"/>
      <c r="O11" s="93"/>
      <c r="P11" s="92"/>
      <c r="Q11" s="92"/>
    </row>
    <row r="12" spans="1:17">
      <c r="A12" s="2">
        <v>44327</v>
      </c>
      <c r="B12" s="59" t="s">
        <v>891</v>
      </c>
      <c r="C12" s="60">
        <v>2690</v>
      </c>
      <c r="D12" s="115"/>
      <c r="E12" s="3">
        <f t="shared" si="0"/>
        <v>28471.67</v>
      </c>
      <c r="F12" s="59"/>
      <c r="G12" s="41"/>
      <c r="H12" s="109">
        <v>44322</v>
      </c>
      <c r="I12" s="1" t="s">
        <v>887</v>
      </c>
      <c r="J12" s="3">
        <v>580</v>
      </c>
      <c r="K12" s="3"/>
      <c r="L12" s="3">
        <f t="shared" si="1"/>
        <v>250</v>
      </c>
      <c r="M12" s="148"/>
      <c r="N12" s="57"/>
      <c r="O12" s="117">
        <v>1150</v>
      </c>
      <c r="P12" s="92" t="s">
        <v>914</v>
      </c>
      <c r="Q12" s="92"/>
    </row>
    <row r="13" spans="1:17">
      <c r="A13" s="58">
        <v>44327</v>
      </c>
      <c r="B13" s="59" t="s">
        <v>890</v>
      </c>
      <c r="C13" s="60">
        <v>1000</v>
      </c>
      <c r="D13" s="3"/>
      <c r="E13" s="3">
        <f t="shared" si="0"/>
        <v>27471.67</v>
      </c>
      <c r="F13" s="60">
        <v>500</v>
      </c>
      <c r="H13" s="109">
        <v>44322</v>
      </c>
      <c r="I13" s="1" t="s">
        <v>874</v>
      </c>
      <c r="J13" s="3"/>
      <c r="K13" s="3">
        <v>5000</v>
      </c>
      <c r="L13" s="3">
        <f t="shared" si="1"/>
        <v>5250</v>
      </c>
      <c r="M13" s="59"/>
      <c r="O13" s="117">
        <v>950</v>
      </c>
      <c r="P13" s="92" t="s">
        <v>918</v>
      </c>
      <c r="Q13" s="92"/>
    </row>
    <row r="14" spans="1:17">
      <c r="A14" s="2">
        <v>44330</v>
      </c>
      <c r="B14" s="59" t="s">
        <v>905</v>
      </c>
      <c r="C14" s="60">
        <f>+O9</f>
        <v>5618.5</v>
      </c>
      <c r="D14" s="3"/>
      <c r="E14" s="3">
        <f t="shared" si="0"/>
        <v>21853.17</v>
      </c>
      <c r="F14" s="60"/>
      <c r="G14" s="57"/>
      <c r="H14" s="58"/>
      <c r="I14" s="1" t="s">
        <v>894</v>
      </c>
      <c r="J14" s="3">
        <v>850</v>
      </c>
      <c r="K14" s="3"/>
      <c r="L14" s="3">
        <f t="shared" si="1"/>
        <v>4400</v>
      </c>
      <c r="M14" s="96"/>
      <c r="O14" s="117">
        <f>+(1060+1600)/2</f>
        <v>1330</v>
      </c>
      <c r="P14" s="92" t="s">
        <v>919</v>
      </c>
      <c r="Q14" s="92"/>
    </row>
    <row r="15" spans="1:17">
      <c r="A15" s="58">
        <v>44331</v>
      </c>
      <c r="B15" s="158" t="s">
        <v>908</v>
      </c>
      <c r="C15" s="159">
        <v>2480</v>
      </c>
      <c r="D15" s="159"/>
      <c r="E15" s="159">
        <f t="shared" si="0"/>
        <v>19373.169999999998</v>
      </c>
      <c r="F15" s="159"/>
      <c r="H15" s="58"/>
      <c r="I15" s="1" t="s">
        <v>895</v>
      </c>
      <c r="J15" s="3">
        <v>250</v>
      </c>
      <c r="K15" s="3"/>
      <c r="L15" s="3">
        <f t="shared" si="1"/>
        <v>4150</v>
      </c>
      <c r="M15" s="96"/>
      <c r="O15" s="117">
        <f>2000/2</f>
        <v>1000</v>
      </c>
      <c r="P15" s="92" t="s">
        <v>920</v>
      </c>
      <c r="Q15" s="92"/>
    </row>
    <row r="16" spans="1:17">
      <c r="A16" s="58">
        <v>44331</v>
      </c>
      <c r="B16" s="1" t="s">
        <v>909</v>
      </c>
      <c r="C16" s="10">
        <v>3500</v>
      </c>
      <c r="D16" s="3"/>
      <c r="E16" s="3">
        <f t="shared" si="0"/>
        <v>15873.169999999998</v>
      </c>
      <c r="F16" s="76"/>
      <c r="H16" s="58"/>
      <c r="I16" s="1" t="s">
        <v>896</v>
      </c>
      <c r="J16" s="3">
        <v>250</v>
      </c>
      <c r="K16" s="1"/>
      <c r="L16" s="3">
        <f t="shared" si="1"/>
        <v>3900</v>
      </c>
      <c r="M16" s="60"/>
      <c r="O16" s="117">
        <v>550</v>
      </c>
      <c r="P16" s="92" t="s">
        <v>922</v>
      </c>
      <c r="Q16" s="92"/>
    </row>
    <row r="17" spans="1:18">
      <c r="A17" s="58">
        <v>44331</v>
      </c>
      <c r="B17" s="1" t="s">
        <v>910</v>
      </c>
      <c r="C17" s="10"/>
      <c r="D17" s="3">
        <v>850</v>
      </c>
      <c r="E17" s="3">
        <f t="shared" si="0"/>
        <v>16723.169999999998</v>
      </c>
      <c r="F17" s="76"/>
      <c r="H17" s="58"/>
      <c r="I17" s="1" t="s">
        <v>897</v>
      </c>
      <c r="J17" s="10">
        <v>100</v>
      </c>
      <c r="K17" s="1"/>
      <c r="L17" s="3">
        <f t="shared" si="1"/>
        <v>3800</v>
      </c>
      <c r="M17" s="96"/>
      <c r="O17" s="161">
        <f>-SUM(M23:M37)</f>
        <v>-4980</v>
      </c>
      <c r="P17" s="138" t="s">
        <v>927</v>
      </c>
      <c r="Q17" s="138"/>
      <c r="R17" s="128"/>
    </row>
    <row r="18" spans="1:18">
      <c r="A18" s="58">
        <v>44331</v>
      </c>
      <c r="B18" s="59" t="s">
        <v>101</v>
      </c>
      <c r="C18" s="60">
        <v>3200.2</v>
      </c>
      <c r="D18" s="60"/>
      <c r="E18" s="3">
        <f t="shared" si="0"/>
        <v>13522.969999999998</v>
      </c>
      <c r="F18" s="76"/>
      <c r="H18" s="58">
        <v>44329</v>
      </c>
      <c r="I18" s="36" t="s">
        <v>892</v>
      </c>
      <c r="J18" s="37">
        <v>1170</v>
      </c>
      <c r="K18" s="3"/>
      <c r="L18" s="3">
        <f t="shared" si="1"/>
        <v>2630</v>
      </c>
      <c r="M18" s="60">
        <f>+J18/2</f>
        <v>585</v>
      </c>
      <c r="N18" s="57"/>
      <c r="O18" s="94">
        <f>+SUM(O12:O17)</f>
        <v>0</v>
      </c>
      <c r="P18" s="92" t="s">
        <v>928</v>
      </c>
      <c r="Q18" s="92"/>
    </row>
    <row r="19" spans="1:18">
      <c r="A19" s="58">
        <v>44331</v>
      </c>
      <c r="B19" s="36" t="s">
        <v>566</v>
      </c>
      <c r="C19" s="37">
        <v>3000</v>
      </c>
      <c r="D19" s="3"/>
      <c r="E19" s="3">
        <f t="shared" si="0"/>
        <v>10522.969999999998</v>
      </c>
      <c r="F19" s="59"/>
      <c r="H19" s="58">
        <v>44329</v>
      </c>
      <c r="I19" s="6" t="s">
        <v>893</v>
      </c>
      <c r="J19" s="10">
        <v>260</v>
      </c>
      <c r="K19" s="10"/>
      <c r="L19" s="3">
        <f t="shared" si="1"/>
        <v>2370</v>
      </c>
      <c r="M19" s="37">
        <f>+J19/2</f>
        <v>130</v>
      </c>
    </row>
    <row r="20" spans="1:18">
      <c r="A20" s="58">
        <v>44331</v>
      </c>
      <c r="B20" s="1" t="s">
        <v>911</v>
      </c>
      <c r="C20" s="3">
        <v>610.94000000000005</v>
      </c>
      <c r="D20" s="3"/>
      <c r="E20" s="3">
        <f t="shared" si="0"/>
        <v>9912.029999999997</v>
      </c>
      <c r="F20" s="59"/>
      <c r="H20" s="58">
        <v>44328</v>
      </c>
      <c r="I20" s="6" t="s">
        <v>898</v>
      </c>
      <c r="J20" s="10">
        <v>300</v>
      </c>
      <c r="K20" s="3"/>
      <c r="L20" s="3">
        <f t="shared" si="1"/>
        <v>2070</v>
      </c>
      <c r="M20" s="60"/>
    </row>
    <row r="21" spans="1:18">
      <c r="A21" s="2">
        <v>44334</v>
      </c>
      <c r="B21" s="160" t="s">
        <v>917</v>
      </c>
      <c r="C21" s="115">
        <v>1400</v>
      </c>
      <c r="D21" s="3"/>
      <c r="E21" s="3">
        <f t="shared" si="0"/>
        <v>8512.029999999997</v>
      </c>
      <c r="F21" s="59"/>
      <c r="H21" s="58">
        <v>44330</v>
      </c>
      <c r="I21" s="8" t="s">
        <v>627</v>
      </c>
      <c r="J21" s="10"/>
      <c r="K21" s="3">
        <v>560</v>
      </c>
      <c r="L21" s="3">
        <f t="shared" si="1"/>
        <v>2630</v>
      </c>
      <c r="M21" s="76"/>
    </row>
    <row r="22" spans="1:18">
      <c r="A22" s="2">
        <v>44337</v>
      </c>
      <c r="B22" s="1" t="s">
        <v>874</v>
      </c>
      <c r="C22" s="3">
        <v>5000</v>
      </c>
      <c r="D22" s="3"/>
      <c r="E22" s="3">
        <f t="shared" si="0"/>
        <v>3512.029999999997</v>
      </c>
      <c r="F22" s="60"/>
      <c r="H22" s="58">
        <v>44330</v>
      </c>
      <c r="I22" s="6" t="s">
        <v>906</v>
      </c>
      <c r="J22" s="10">
        <v>330</v>
      </c>
      <c r="K22" s="3"/>
      <c r="L22" s="3">
        <f t="shared" si="1"/>
        <v>2300</v>
      </c>
      <c r="M22" s="76"/>
    </row>
    <row r="23" spans="1:18">
      <c r="A23" s="114">
        <v>44339</v>
      </c>
      <c r="B23" s="1" t="s">
        <v>874</v>
      </c>
      <c r="C23" s="3">
        <v>3000</v>
      </c>
      <c r="D23" s="3"/>
      <c r="E23" s="3">
        <f t="shared" si="0"/>
        <v>512.02999999999702</v>
      </c>
      <c r="F23" s="76"/>
      <c r="H23" s="58">
        <v>44330</v>
      </c>
      <c r="I23" s="59" t="s">
        <v>907</v>
      </c>
      <c r="J23" s="3">
        <v>1700</v>
      </c>
      <c r="K23" s="3"/>
      <c r="L23" s="3">
        <f t="shared" si="1"/>
        <v>600</v>
      </c>
      <c r="M23" s="89"/>
      <c r="N23" s="90"/>
    </row>
    <row r="24" spans="1:18">
      <c r="A24" s="2"/>
      <c r="B24" s="1"/>
      <c r="C24" s="3"/>
      <c r="D24" s="3"/>
      <c r="E24" s="3">
        <f t="shared" si="0"/>
        <v>512.02999999999702</v>
      </c>
      <c r="F24" s="60"/>
      <c r="G24" s="41"/>
      <c r="H24" s="2">
        <v>44331</v>
      </c>
      <c r="I24" s="1" t="s">
        <v>566</v>
      </c>
      <c r="J24" s="3"/>
      <c r="K24" s="3">
        <v>3000</v>
      </c>
      <c r="L24" s="3">
        <f t="shared" si="1"/>
        <v>3600</v>
      </c>
      <c r="M24" s="113"/>
      <c r="N24" s="57"/>
    </row>
    <row r="25" spans="1:18">
      <c r="A25" s="2"/>
      <c r="B25" s="1"/>
      <c r="C25" s="10"/>
      <c r="D25" s="3"/>
      <c r="E25" s="3">
        <f t="shared" si="0"/>
        <v>512.02999999999702</v>
      </c>
      <c r="F25" s="60"/>
      <c r="H25" s="2">
        <v>44332</v>
      </c>
      <c r="I25" s="6" t="s">
        <v>912</v>
      </c>
      <c r="J25" s="3">
        <v>1200</v>
      </c>
      <c r="K25" s="3"/>
      <c r="L25" s="3">
        <f t="shared" si="1"/>
        <v>2400</v>
      </c>
      <c r="M25" s="60">
        <v>500</v>
      </c>
    </row>
    <row r="26" spans="1:18">
      <c r="A26" s="2"/>
      <c r="B26" s="6"/>
      <c r="C26" s="10"/>
      <c r="D26" s="10"/>
      <c r="E26" s="3">
        <f t="shared" si="0"/>
        <v>512.02999999999702</v>
      </c>
      <c r="F26" s="36"/>
      <c r="H26" s="58">
        <v>44331</v>
      </c>
      <c r="I26" s="1" t="s">
        <v>913</v>
      </c>
      <c r="J26" s="3">
        <v>100</v>
      </c>
      <c r="K26" s="3"/>
      <c r="L26" s="3">
        <f t="shared" si="1"/>
        <v>2300</v>
      </c>
      <c r="M26" s="60"/>
    </row>
    <row r="27" spans="1:18">
      <c r="A27" s="2"/>
      <c r="B27" s="6"/>
      <c r="C27" s="10"/>
      <c r="D27" s="10"/>
      <c r="E27" s="3">
        <f t="shared" si="0"/>
        <v>512.02999999999702</v>
      </c>
      <c r="F27" s="6"/>
      <c r="H27" s="58">
        <v>44333</v>
      </c>
      <c r="I27" s="1" t="s">
        <v>915</v>
      </c>
      <c r="J27" s="3">
        <v>550</v>
      </c>
      <c r="K27" s="3"/>
      <c r="L27" s="3">
        <f t="shared" si="1"/>
        <v>1750</v>
      </c>
      <c r="M27" s="60"/>
    </row>
    <row r="28" spans="1:18">
      <c r="A28" s="63"/>
      <c r="B28" s="6"/>
      <c r="C28" s="10"/>
      <c r="D28" s="10"/>
      <c r="E28" s="3">
        <f t="shared" si="0"/>
        <v>512.02999999999702</v>
      </c>
      <c r="F28" s="147"/>
      <c r="H28" s="58">
        <v>44333</v>
      </c>
      <c r="I28" s="1" t="s">
        <v>735</v>
      </c>
      <c r="J28" s="3">
        <v>250</v>
      </c>
      <c r="K28" s="3"/>
      <c r="L28" s="3">
        <f t="shared" si="1"/>
        <v>1500</v>
      </c>
      <c r="M28" s="60">
        <f>+J28/2</f>
        <v>125</v>
      </c>
    </row>
    <row r="29" spans="1:18">
      <c r="A29" s="63"/>
      <c r="B29" s="1"/>
      <c r="C29" s="10"/>
      <c r="D29" s="10"/>
      <c r="E29" s="3">
        <f t="shared" si="0"/>
        <v>512.02999999999702</v>
      </c>
      <c r="F29" s="91"/>
      <c r="H29" s="58">
        <v>44333</v>
      </c>
      <c r="I29" s="1" t="s">
        <v>916</v>
      </c>
      <c r="J29" s="3">
        <v>150</v>
      </c>
      <c r="K29" s="3"/>
      <c r="L29" s="3">
        <f t="shared" si="1"/>
        <v>1350</v>
      </c>
      <c r="M29" s="60"/>
    </row>
    <row r="30" spans="1:18">
      <c r="A30" s="63"/>
      <c r="B30" s="1"/>
      <c r="C30" s="3"/>
      <c r="D30" s="3"/>
      <c r="E30" s="3">
        <f t="shared" si="0"/>
        <v>512.02999999999702</v>
      </c>
      <c r="F30" s="1"/>
      <c r="H30" s="58">
        <v>44334</v>
      </c>
      <c r="I30" s="1" t="s">
        <v>627</v>
      </c>
      <c r="J30" s="3">
        <v>180</v>
      </c>
      <c r="K30" s="3"/>
      <c r="L30" s="3">
        <f t="shared" si="1"/>
        <v>1170</v>
      </c>
      <c r="M30" s="60"/>
      <c r="N30" s="41"/>
    </row>
    <row r="31" spans="1:18">
      <c r="A31" s="63"/>
      <c r="B31" s="1"/>
      <c r="C31" s="3"/>
      <c r="D31" s="3"/>
      <c r="E31" s="3">
        <f t="shared" si="0"/>
        <v>512.02999999999702</v>
      </c>
      <c r="F31" s="1"/>
      <c r="H31" s="2">
        <v>44336</v>
      </c>
      <c r="I31" s="1" t="s">
        <v>921</v>
      </c>
      <c r="J31" s="3">
        <v>300</v>
      </c>
      <c r="K31" s="3"/>
      <c r="L31" s="3">
        <f t="shared" si="1"/>
        <v>870</v>
      </c>
      <c r="M31" s="60"/>
    </row>
    <row r="32" spans="1:18">
      <c r="A32" s="2"/>
      <c r="B32" s="1"/>
      <c r="C32" s="3"/>
      <c r="D32" s="3"/>
      <c r="E32" s="3">
        <f t="shared" si="0"/>
        <v>512.02999999999702</v>
      </c>
      <c r="F32" s="1"/>
      <c r="H32" s="2">
        <v>44337</v>
      </c>
      <c r="I32" s="1" t="s">
        <v>874</v>
      </c>
      <c r="J32" s="3"/>
      <c r="K32" s="3">
        <v>5000</v>
      </c>
      <c r="L32" s="3">
        <f t="shared" si="1"/>
        <v>5870</v>
      </c>
      <c r="M32" s="60"/>
    </row>
    <row r="33" spans="1:14">
      <c r="A33" s="2"/>
      <c r="B33" s="6"/>
      <c r="C33" s="3"/>
      <c r="D33" s="3"/>
      <c r="E33" s="3">
        <f t="shared" si="0"/>
        <v>512.02999999999702</v>
      </c>
      <c r="F33" s="1"/>
      <c r="H33" s="2">
        <v>44337</v>
      </c>
      <c r="I33" s="1" t="s">
        <v>923</v>
      </c>
      <c r="J33" s="3">
        <v>4280</v>
      </c>
      <c r="K33" s="3"/>
      <c r="L33" s="3">
        <f t="shared" si="1"/>
        <v>1590</v>
      </c>
      <c r="M33" s="60">
        <f>+J33/2</f>
        <v>2140</v>
      </c>
    </row>
    <row r="34" spans="1:14">
      <c r="A34" s="2"/>
      <c r="B34" s="6"/>
      <c r="C34" s="3"/>
      <c r="D34" s="3"/>
      <c r="E34" s="3">
        <f t="shared" si="0"/>
        <v>512.02999999999702</v>
      </c>
      <c r="F34" s="1"/>
      <c r="H34" s="2">
        <v>44337</v>
      </c>
      <c r="I34" s="6" t="s">
        <v>924</v>
      </c>
      <c r="J34" s="3">
        <v>1430</v>
      </c>
      <c r="K34" s="3"/>
      <c r="L34" s="3">
        <f t="shared" si="1"/>
        <v>160</v>
      </c>
      <c r="M34" s="60">
        <f>+J34/2</f>
        <v>715</v>
      </c>
    </row>
    <row r="35" spans="1:14">
      <c r="A35" s="2"/>
      <c r="B35" s="6"/>
      <c r="C35" s="3"/>
      <c r="D35" s="3"/>
      <c r="E35" s="3">
        <f t="shared" si="0"/>
        <v>512.02999999999702</v>
      </c>
      <c r="F35" s="1"/>
      <c r="H35" s="114">
        <v>44339</v>
      </c>
      <c r="I35" s="1" t="s">
        <v>874</v>
      </c>
      <c r="J35" s="3"/>
      <c r="K35" s="3">
        <v>3000</v>
      </c>
      <c r="L35" s="3">
        <f t="shared" si="1"/>
        <v>3160</v>
      </c>
      <c r="M35" s="60"/>
    </row>
    <row r="36" spans="1:14">
      <c r="A36" s="2"/>
      <c r="B36" s="6"/>
      <c r="C36" s="3"/>
      <c r="D36" s="3"/>
      <c r="E36" s="3">
        <f t="shared" si="0"/>
        <v>512.02999999999702</v>
      </c>
      <c r="F36" s="1"/>
      <c r="H36" s="114">
        <v>44339</v>
      </c>
      <c r="I36" s="1" t="s">
        <v>925</v>
      </c>
      <c r="J36" s="3">
        <v>2000</v>
      </c>
      <c r="K36" s="3"/>
      <c r="L36" s="3">
        <f t="shared" si="1"/>
        <v>1160</v>
      </c>
      <c r="M36" s="60">
        <v>1000</v>
      </c>
    </row>
    <row r="37" spans="1:14">
      <c r="A37" s="2"/>
      <c r="B37" s="6"/>
      <c r="C37" s="3"/>
      <c r="D37" s="3"/>
      <c r="E37" s="3">
        <f t="shared" si="0"/>
        <v>512.02999999999702</v>
      </c>
      <c r="F37" s="1"/>
      <c r="H37" s="114">
        <v>44343</v>
      </c>
      <c r="I37" s="6" t="s">
        <v>83</v>
      </c>
      <c r="J37" s="3">
        <v>1000</v>
      </c>
      <c r="K37" s="3"/>
      <c r="L37" s="3">
        <f t="shared" si="1"/>
        <v>160</v>
      </c>
      <c r="M37" s="60">
        <f>+J37/2</f>
        <v>500</v>
      </c>
      <c r="N37" s="57"/>
    </row>
    <row r="38" spans="1:14">
      <c r="E38" s="33">
        <f t="shared" si="0"/>
        <v>512.02999999999702</v>
      </c>
      <c r="H38" s="114">
        <v>44344</v>
      </c>
      <c r="I38" s="6" t="s">
        <v>926</v>
      </c>
      <c r="J38" s="10">
        <v>240</v>
      </c>
      <c r="K38" s="1"/>
      <c r="L38" s="3">
        <f t="shared" si="1"/>
        <v>-80</v>
      </c>
      <c r="M38" s="59"/>
    </row>
    <row r="39" spans="1:14">
      <c r="E39" s="3">
        <f t="shared" si="0"/>
        <v>512.02999999999702</v>
      </c>
      <c r="H39" s="2"/>
      <c r="I39" s="59"/>
      <c r="J39" s="60"/>
      <c r="K39" s="60"/>
      <c r="L39" s="3">
        <f t="shared" si="1"/>
        <v>-80</v>
      </c>
      <c r="M39" s="59"/>
    </row>
    <row r="40" spans="1:14">
      <c r="E40" s="3">
        <f t="shared" si="0"/>
        <v>512.02999999999702</v>
      </c>
      <c r="H40" s="2"/>
      <c r="I40" s="1"/>
      <c r="J40" s="3"/>
      <c r="K40" s="3"/>
      <c r="L40" s="3">
        <f t="shared" si="1"/>
        <v>-80</v>
      </c>
      <c r="M40" s="96"/>
    </row>
    <row r="41" spans="1:14">
      <c r="E41" s="3">
        <f t="shared" si="0"/>
        <v>512.02999999999702</v>
      </c>
      <c r="H41" s="2"/>
      <c r="I41" s="1"/>
      <c r="J41" s="3"/>
      <c r="K41" s="3"/>
      <c r="L41" s="3">
        <f t="shared" si="1"/>
        <v>-80</v>
      </c>
      <c r="M41" s="126"/>
      <c r="N41" s="57"/>
    </row>
    <row r="42" spans="1:14">
      <c r="E42" s="3">
        <f t="shared" si="0"/>
        <v>512.02999999999702</v>
      </c>
      <c r="H42" s="2"/>
      <c r="I42" s="1"/>
      <c r="J42" s="3"/>
      <c r="K42" s="3"/>
      <c r="L42" s="3">
        <f t="shared" si="1"/>
        <v>-80</v>
      </c>
      <c r="M42" s="127"/>
    </row>
    <row r="43" spans="1:14">
      <c r="E43" s="3">
        <f t="shared" si="0"/>
        <v>512.02999999999702</v>
      </c>
      <c r="H43" s="2"/>
      <c r="I43" s="6"/>
      <c r="J43" s="3"/>
      <c r="K43" s="3"/>
      <c r="L43" s="3">
        <f t="shared" si="1"/>
        <v>-80</v>
      </c>
      <c r="M43" s="44"/>
    </row>
    <row r="44" spans="1:14">
      <c r="E44" s="3">
        <f t="shared" si="0"/>
        <v>512.02999999999702</v>
      </c>
      <c r="H44" s="2"/>
      <c r="I44" s="6"/>
      <c r="J44" s="3"/>
      <c r="K44" s="3"/>
      <c r="L44" s="3">
        <f t="shared" si="1"/>
        <v>-80</v>
      </c>
      <c r="M44" s="76"/>
    </row>
    <row r="45" spans="1:14">
      <c r="E45" s="3">
        <f t="shared" si="0"/>
        <v>512.02999999999702</v>
      </c>
      <c r="H45" s="2"/>
      <c r="I45" s="1"/>
      <c r="J45" s="3"/>
      <c r="K45" s="3"/>
      <c r="L45" s="3">
        <f t="shared" si="1"/>
        <v>-80</v>
      </c>
      <c r="M45" s="1"/>
    </row>
    <row r="46" spans="1:14">
      <c r="H46" s="2"/>
      <c r="I46" s="1"/>
      <c r="J46" s="3"/>
      <c r="K46" s="3"/>
      <c r="L46" s="3">
        <f t="shared" si="1"/>
        <v>-80</v>
      </c>
      <c r="M46" s="1"/>
    </row>
    <row r="47" spans="1:14">
      <c r="H47" s="2"/>
      <c r="I47" s="1"/>
      <c r="J47" s="3"/>
      <c r="K47" s="3"/>
      <c r="L47" s="3">
        <f t="shared" si="1"/>
        <v>-80</v>
      </c>
      <c r="M47" s="64"/>
      <c r="N47" s="83"/>
    </row>
    <row r="48" spans="1:14">
      <c r="H48" s="2"/>
      <c r="I48" s="1"/>
      <c r="J48" s="3"/>
      <c r="K48" s="3"/>
      <c r="L48" s="3">
        <f t="shared" si="1"/>
        <v>-80</v>
      </c>
      <c r="M48" s="1"/>
    </row>
    <row r="49" spans="8:14">
      <c r="H49" s="2"/>
      <c r="I49" s="1"/>
      <c r="J49" s="3"/>
      <c r="K49" s="3"/>
      <c r="L49" s="3">
        <f t="shared" si="1"/>
        <v>-80</v>
      </c>
      <c r="M49" s="44"/>
    </row>
    <row r="50" spans="8:14">
      <c r="H50" s="2"/>
      <c r="I50" s="1"/>
      <c r="J50" s="3"/>
      <c r="K50" s="3"/>
      <c r="L50" s="3">
        <f t="shared" si="1"/>
        <v>-80</v>
      </c>
      <c r="M50" s="1"/>
    </row>
    <row r="51" spans="8:14">
      <c r="H51" s="2"/>
      <c r="I51" s="1"/>
      <c r="J51" s="3"/>
      <c r="K51" s="3"/>
      <c r="L51" s="3">
        <f t="shared" si="1"/>
        <v>-80</v>
      </c>
      <c r="M51" s="1"/>
    </row>
    <row r="52" spans="8:14">
      <c r="H52" s="2"/>
      <c r="I52" s="6"/>
      <c r="J52" s="3"/>
      <c r="K52" s="3"/>
      <c r="L52" s="3">
        <f t="shared" si="1"/>
        <v>-80</v>
      </c>
      <c r="M52" s="44"/>
    </row>
    <row r="53" spans="8:14">
      <c r="H53" s="2"/>
      <c r="I53" s="1"/>
      <c r="J53" s="3"/>
      <c r="K53" s="3"/>
      <c r="L53" s="3">
        <f t="shared" si="1"/>
        <v>-80</v>
      </c>
      <c r="M53" s="1"/>
      <c r="N53" s="41"/>
    </row>
    <row r="54" spans="8:14">
      <c r="H54" s="2"/>
      <c r="I54" s="1"/>
      <c r="J54" s="3"/>
      <c r="K54" s="3"/>
      <c r="L54" s="3">
        <f t="shared" si="1"/>
        <v>-80</v>
      </c>
      <c r="M54" s="1"/>
    </row>
    <row r="55" spans="8:14">
      <c r="H55" s="2"/>
      <c r="I55" s="1"/>
      <c r="J55" s="3"/>
      <c r="K55" s="3"/>
      <c r="L55" s="3">
        <f t="shared" si="1"/>
        <v>-80</v>
      </c>
      <c r="M55" s="1"/>
    </row>
    <row r="56" spans="8:14">
      <c r="H56" s="2"/>
      <c r="I56" s="1"/>
      <c r="J56" s="3"/>
      <c r="K56" s="3"/>
      <c r="L56" s="3">
        <f t="shared" si="1"/>
        <v>-80</v>
      </c>
      <c r="M56" s="1"/>
    </row>
    <row r="57" spans="8:14">
      <c r="H57" s="2"/>
      <c r="I57" s="1"/>
      <c r="J57" s="3"/>
      <c r="K57" s="3"/>
      <c r="L57" s="3">
        <f t="shared" ref="L57:L59" si="2">+L56-J57+K57</f>
        <v>-80</v>
      </c>
      <c r="M57" s="1"/>
    </row>
    <row r="58" spans="8:14">
      <c r="H58" s="2"/>
      <c r="I58" s="1"/>
      <c r="J58" s="3"/>
      <c r="K58" s="3"/>
      <c r="L58" s="3">
        <f t="shared" si="2"/>
        <v>-80</v>
      </c>
      <c r="M58" s="64"/>
    </row>
    <row r="59" spans="8:14">
      <c r="H59" s="1"/>
      <c r="I59" s="1"/>
      <c r="J59" s="3"/>
      <c r="K59" s="3"/>
      <c r="L59" s="3">
        <f t="shared" si="2"/>
        <v>-80</v>
      </c>
      <c r="M59" s="1"/>
    </row>
    <row r="60" spans="8:14">
      <c r="H60" s="1"/>
      <c r="I60" s="1"/>
      <c r="J60" s="3"/>
      <c r="K60" s="3"/>
      <c r="L60" s="1"/>
      <c r="M60" s="1"/>
    </row>
    <row r="61" spans="8:14">
      <c r="H61" s="1"/>
      <c r="I61" s="1"/>
      <c r="J61" s="3"/>
      <c r="K61" s="3"/>
      <c r="L61" s="1"/>
      <c r="M61" s="1"/>
    </row>
    <row r="62" spans="8:14">
      <c r="H62" s="1"/>
      <c r="I62" s="1"/>
      <c r="J62" s="3"/>
      <c r="K62" s="3"/>
      <c r="L62" s="1"/>
      <c r="M62" s="1"/>
    </row>
    <row r="63" spans="8:14">
      <c r="J63" s="4"/>
      <c r="K63" s="4"/>
    </row>
    <row r="64" spans="8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8:8">
      <c r="H1048576" s="2">
        <v>44317</v>
      </c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2724-89D6-074E-8C21-6BC7066273F5}">
  <dimension ref="A1:R1048576"/>
  <sheetViews>
    <sheetView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27.33203125" bestFit="1" customWidth="1"/>
    <col min="3" max="4" width="11.5" style="4" bestFit="1" customWidth="1"/>
    <col min="5" max="5" width="11.5" bestFit="1" customWidth="1"/>
    <col min="6" max="6" width="16.5" bestFit="1" customWidth="1"/>
    <col min="7" max="7" width="11.5" bestFit="1" customWidth="1"/>
    <col min="8" max="8" width="7.33203125" bestFit="1" customWidth="1"/>
    <col min="9" max="9" width="32.83203125" bestFit="1" customWidth="1"/>
    <col min="10" max="10" width="12.5" bestFit="1" customWidth="1"/>
    <col min="11" max="12" width="11.5" bestFit="1" customWidth="1"/>
    <col min="13" max="13" width="10.5" bestFit="1" customWidth="1"/>
    <col min="15" max="15" width="11.1640625" customWidth="1"/>
  </cols>
  <sheetData>
    <row r="1" spans="1:18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8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143" t="s">
        <v>880</v>
      </c>
      <c r="P2" s="133"/>
      <c r="Q2" s="133"/>
      <c r="R2" s="134"/>
    </row>
    <row r="3" spans="1:18">
      <c r="A3" s="2">
        <v>44346</v>
      </c>
      <c r="B3" s="473" t="s">
        <v>144</v>
      </c>
      <c r="C3" s="474"/>
      <c r="D3" s="475"/>
      <c r="E3" s="3">
        <v>512.03</v>
      </c>
      <c r="F3" s="31" t="s">
        <v>929</v>
      </c>
      <c r="G3" s="32">
        <f>+D4</f>
        <v>65579.710000000006</v>
      </c>
      <c r="H3" s="2">
        <v>44346</v>
      </c>
      <c r="I3" s="473" t="s">
        <v>627</v>
      </c>
      <c r="J3" s="474"/>
      <c r="K3" s="475"/>
      <c r="L3" s="3">
        <v>20</v>
      </c>
      <c r="M3" s="37"/>
      <c r="O3" s="135">
        <v>500</v>
      </c>
      <c r="P3" s="108" t="s">
        <v>934</v>
      </c>
      <c r="Q3" s="108"/>
      <c r="R3" s="136"/>
    </row>
    <row r="4" spans="1:18">
      <c r="A4" s="2">
        <v>44346</v>
      </c>
      <c r="B4" s="1" t="s">
        <v>864</v>
      </c>
      <c r="C4" s="3"/>
      <c r="D4" s="3">
        <v>65579.710000000006</v>
      </c>
      <c r="E4" s="3">
        <f>+E3-C4+D4</f>
        <v>66091.740000000005</v>
      </c>
      <c r="F4" s="44"/>
      <c r="G4" s="39" t="s">
        <v>170</v>
      </c>
      <c r="H4" s="2"/>
      <c r="I4" s="1" t="s">
        <v>936</v>
      </c>
      <c r="J4" s="154"/>
      <c r="K4" s="3">
        <v>1400</v>
      </c>
      <c r="L4" s="3">
        <f>+L3+K4-J4</f>
        <v>1420</v>
      </c>
      <c r="M4" s="95"/>
      <c r="O4" s="135">
        <v>500</v>
      </c>
      <c r="P4" s="108" t="s">
        <v>935</v>
      </c>
      <c r="Q4" s="108"/>
      <c r="R4" s="136"/>
    </row>
    <row r="5" spans="1:18">
      <c r="A5" s="2">
        <v>44346</v>
      </c>
      <c r="B5" s="1" t="s">
        <v>930</v>
      </c>
      <c r="C5" s="3">
        <v>1472.85</v>
      </c>
      <c r="D5" s="3"/>
      <c r="E5" s="3">
        <f t="shared" ref="E5:E11" si="0">+E4-C5+D5</f>
        <v>64618.890000000007</v>
      </c>
      <c r="F5" s="60">
        <f>+C5/2</f>
        <v>736.42499999999995</v>
      </c>
      <c r="G5" s="56">
        <f>+E34+L59</f>
        <v>8115.2500000000018</v>
      </c>
      <c r="H5" s="58">
        <v>44350</v>
      </c>
      <c r="I5" s="1" t="s">
        <v>566</v>
      </c>
      <c r="J5" s="3"/>
      <c r="K5" s="3">
        <v>3000</v>
      </c>
      <c r="L5" s="3">
        <f t="shared" ref="L5:L20" si="1">+L4+K5-J5</f>
        <v>4420</v>
      </c>
      <c r="M5" s="96"/>
      <c r="O5" s="135">
        <v>500</v>
      </c>
      <c r="P5" s="108" t="s">
        <v>937</v>
      </c>
      <c r="Q5" s="108"/>
      <c r="R5" s="136"/>
    </row>
    <row r="6" spans="1:18">
      <c r="A6" s="2">
        <v>44346</v>
      </c>
      <c r="B6" s="1" t="s">
        <v>931</v>
      </c>
      <c r="C6" s="60">
        <f>312.05+65.53</f>
        <v>377.58000000000004</v>
      </c>
      <c r="D6" s="3"/>
      <c r="E6" s="3">
        <f t="shared" si="0"/>
        <v>64241.310000000005</v>
      </c>
      <c r="F6" s="53"/>
      <c r="G6" s="41"/>
      <c r="H6" s="2">
        <v>44351</v>
      </c>
      <c r="I6" s="1" t="s">
        <v>566</v>
      </c>
      <c r="J6" s="3"/>
      <c r="K6" s="3">
        <v>15000</v>
      </c>
      <c r="L6" s="3">
        <f t="shared" si="1"/>
        <v>19420</v>
      </c>
      <c r="M6" s="96"/>
      <c r="O6" s="135">
        <f>+(833.333333333333)*5</f>
        <v>4166.6666666666652</v>
      </c>
      <c r="P6" s="108" t="s">
        <v>938</v>
      </c>
      <c r="Q6" s="108"/>
      <c r="R6" s="136"/>
    </row>
    <row r="7" spans="1:18">
      <c r="A7" s="2">
        <v>44346</v>
      </c>
      <c r="B7" s="59" t="s">
        <v>932</v>
      </c>
      <c r="C7" s="3">
        <v>5000</v>
      </c>
      <c r="D7" s="3"/>
      <c r="E7" s="3">
        <f t="shared" si="0"/>
        <v>59241.310000000005</v>
      </c>
      <c r="F7" s="53"/>
      <c r="G7" s="41"/>
      <c r="H7" s="58">
        <v>44350</v>
      </c>
      <c r="I7" s="1" t="s">
        <v>941</v>
      </c>
      <c r="J7" s="3">
        <f>150+250</f>
        <v>400</v>
      </c>
      <c r="K7" s="3"/>
      <c r="L7" s="3">
        <f t="shared" si="1"/>
        <v>19020</v>
      </c>
      <c r="M7" s="60"/>
      <c r="O7" s="135">
        <v>800</v>
      </c>
      <c r="P7" s="108" t="s">
        <v>939</v>
      </c>
      <c r="Q7" s="108"/>
      <c r="R7" s="136"/>
    </row>
    <row r="8" spans="1:18">
      <c r="A8" s="58">
        <v>44346</v>
      </c>
      <c r="B8" s="59" t="s">
        <v>933</v>
      </c>
      <c r="C8" s="60">
        <v>2600</v>
      </c>
      <c r="D8" s="3"/>
      <c r="E8" s="3">
        <f t="shared" si="0"/>
        <v>56641.310000000005</v>
      </c>
      <c r="F8" s="60"/>
      <c r="H8" s="2">
        <v>44352</v>
      </c>
      <c r="I8" s="1" t="s">
        <v>687</v>
      </c>
      <c r="J8" s="60">
        <v>933</v>
      </c>
      <c r="K8" s="60"/>
      <c r="L8" s="3">
        <f t="shared" si="1"/>
        <v>18087</v>
      </c>
      <c r="M8" s="96">
        <v>300</v>
      </c>
      <c r="O8" s="135">
        <f>2500/2</f>
        <v>1250</v>
      </c>
      <c r="P8" s="108" t="s">
        <v>957</v>
      </c>
      <c r="Q8" s="108"/>
      <c r="R8" s="136"/>
    </row>
    <row r="9" spans="1:18">
      <c r="A9" s="58">
        <v>44350</v>
      </c>
      <c r="B9" s="1" t="s">
        <v>566</v>
      </c>
      <c r="C9" s="3">
        <v>3000</v>
      </c>
      <c r="D9" s="3"/>
      <c r="E9" s="3">
        <f t="shared" si="0"/>
        <v>53641.310000000005</v>
      </c>
      <c r="F9" s="59"/>
      <c r="H9" s="2">
        <v>44351</v>
      </c>
      <c r="I9" s="98" t="s">
        <v>942</v>
      </c>
      <c r="J9" s="3">
        <v>3600</v>
      </c>
      <c r="K9" s="3"/>
      <c r="L9" s="3">
        <f t="shared" si="1"/>
        <v>14487</v>
      </c>
      <c r="M9" s="96"/>
      <c r="O9" s="135">
        <f>3400/2</f>
        <v>1700</v>
      </c>
      <c r="P9" s="108" t="s">
        <v>955</v>
      </c>
      <c r="Q9" s="108"/>
      <c r="R9" s="136"/>
    </row>
    <row r="10" spans="1:18">
      <c r="A10" s="58">
        <v>44350</v>
      </c>
      <c r="B10" s="1" t="s">
        <v>101</v>
      </c>
      <c r="C10" s="3">
        <v>3460.47</v>
      </c>
      <c r="D10" s="3"/>
      <c r="E10" s="3">
        <f t="shared" si="0"/>
        <v>50180.840000000004</v>
      </c>
      <c r="F10" s="3"/>
      <c r="H10" s="2">
        <v>44351</v>
      </c>
      <c r="I10" s="1" t="s">
        <v>943</v>
      </c>
      <c r="J10" s="3">
        <v>1700</v>
      </c>
      <c r="K10" s="3"/>
      <c r="L10" s="3">
        <f t="shared" si="1"/>
        <v>12787</v>
      </c>
      <c r="M10" s="96"/>
      <c r="N10" s="57"/>
      <c r="O10" s="135">
        <v>490</v>
      </c>
      <c r="P10" s="108" t="s">
        <v>956</v>
      </c>
      <c r="Q10" s="108"/>
      <c r="R10" s="136"/>
    </row>
    <row r="11" spans="1:18" ht="17">
      <c r="A11" s="2">
        <v>44351</v>
      </c>
      <c r="B11" s="59" t="s">
        <v>566</v>
      </c>
      <c r="C11" s="3">
        <v>15000</v>
      </c>
      <c r="D11" s="3"/>
      <c r="E11" s="3">
        <f t="shared" si="0"/>
        <v>35180.840000000004</v>
      </c>
      <c r="F11" s="60"/>
      <c r="H11" s="2">
        <v>44351</v>
      </c>
      <c r="I11" s="109" t="s">
        <v>944</v>
      </c>
      <c r="J11" s="60">
        <v>4000</v>
      </c>
      <c r="K11" s="3"/>
      <c r="L11" s="3">
        <f t="shared" si="1"/>
        <v>8787</v>
      </c>
      <c r="M11" s="96"/>
      <c r="N11" s="57"/>
      <c r="O11" s="135">
        <v>5500</v>
      </c>
      <c r="P11" s="108" t="s">
        <v>967</v>
      </c>
      <c r="Q11" s="108"/>
      <c r="R11" s="136"/>
    </row>
    <row r="12" spans="1:18">
      <c r="A12" s="58">
        <v>44353</v>
      </c>
      <c r="B12" s="59" t="s">
        <v>947</v>
      </c>
      <c r="C12" s="60">
        <v>800</v>
      </c>
      <c r="D12" s="3"/>
      <c r="E12" s="3">
        <f t="shared" ref="E12:E45" si="2">+E11-C12+D12</f>
        <v>34380.840000000004</v>
      </c>
      <c r="F12" s="162"/>
      <c r="G12" s="41"/>
      <c r="H12" s="2">
        <v>44351</v>
      </c>
      <c r="I12" s="1" t="s">
        <v>945</v>
      </c>
      <c r="J12" s="3">
        <v>1800</v>
      </c>
      <c r="K12" s="3"/>
      <c r="L12" s="3">
        <f t="shared" si="1"/>
        <v>6987</v>
      </c>
      <c r="M12" s="148"/>
      <c r="N12" s="57"/>
      <c r="O12" s="178">
        <f>SUM(O3:O11)</f>
        <v>15406.666666666664</v>
      </c>
      <c r="P12" s="179" t="s">
        <v>966</v>
      </c>
      <c r="Q12" s="179"/>
      <c r="R12" s="180"/>
    </row>
    <row r="13" spans="1:18">
      <c r="A13" s="58">
        <v>44354</v>
      </c>
      <c r="B13" s="1" t="s">
        <v>949</v>
      </c>
      <c r="C13" s="3"/>
      <c r="D13" s="3">
        <v>4000</v>
      </c>
      <c r="E13" s="60">
        <f t="shared" si="2"/>
        <v>38380.840000000004</v>
      </c>
      <c r="F13" s="60"/>
      <c r="H13" s="2">
        <v>44351</v>
      </c>
      <c r="I13" s="1" t="s">
        <v>946</v>
      </c>
      <c r="J13" s="3">
        <v>400</v>
      </c>
      <c r="K13" s="3"/>
      <c r="L13" s="3">
        <f t="shared" si="1"/>
        <v>6587</v>
      </c>
      <c r="M13" s="59"/>
      <c r="O13" s="135"/>
      <c r="P13" s="108"/>
      <c r="Q13" s="108"/>
      <c r="R13" s="136"/>
    </row>
    <row r="14" spans="1:18">
      <c r="A14" s="2">
        <v>44355</v>
      </c>
      <c r="B14" s="59" t="s">
        <v>950</v>
      </c>
      <c r="C14" s="60">
        <v>2500</v>
      </c>
      <c r="D14" s="3"/>
      <c r="E14" s="60">
        <f t="shared" si="2"/>
        <v>35880.840000000004</v>
      </c>
      <c r="F14" s="60">
        <f>+C14</f>
        <v>2500</v>
      </c>
      <c r="G14" s="57"/>
      <c r="H14" s="2">
        <v>44352</v>
      </c>
      <c r="I14" s="1" t="s">
        <v>627</v>
      </c>
      <c r="J14" s="3">
        <v>407</v>
      </c>
      <c r="K14" s="3"/>
      <c r="L14" s="3">
        <f t="shared" si="1"/>
        <v>6180</v>
      </c>
      <c r="M14" s="96"/>
      <c r="O14" s="178">
        <f>-F5-F14-M8-M18-M19-M20-F16-M26</f>
        <v>-5411.4250000000002</v>
      </c>
      <c r="P14" s="179" t="s">
        <v>954</v>
      </c>
      <c r="Q14" s="179"/>
      <c r="R14" s="180"/>
    </row>
    <row r="15" spans="1:18">
      <c r="A15" s="2">
        <v>44356</v>
      </c>
      <c r="B15" s="1" t="s">
        <v>948</v>
      </c>
      <c r="C15" s="3">
        <v>3500</v>
      </c>
      <c r="D15" s="3"/>
      <c r="E15" s="60">
        <f t="shared" si="2"/>
        <v>32380.840000000004</v>
      </c>
      <c r="F15" s="60"/>
      <c r="H15" s="2">
        <v>44352</v>
      </c>
      <c r="I15" s="1"/>
      <c r="J15" s="3">
        <v>1050</v>
      </c>
      <c r="K15" s="3"/>
      <c r="L15" s="3">
        <f t="shared" si="1"/>
        <v>5130</v>
      </c>
      <c r="M15" s="96"/>
      <c r="O15" s="164"/>
      <c r="P15" s="92"/>
      <c r="Q15" s="92"/>
      <c r="R15" s="136"/>
    </row>
    <row r="16" spans="1:18">
      <c r="A16" s="2">
        <v>44358</v>
      </c>
      <c r="B16" s="59" t="s">
        <v>958</v>
      </c>
      <c r="C16" s="60">
        <v>300</v>
      </c>
      <c r="D16" s="115"/>
      <c r="E16" s="60">
        <f t="shared" si="2"/>
        <v>32080.840000000004</v>
      </c>
      <c r="F16" s="60">
        <f>+C16/2</f>
        <v>150</v>
      </c>
      <c r="H16" s="58">
        <v>44352</v>
      </c>
      <c r="I16" s="1" t="s">
        <v>951</v>
      </c>
      <c r="J16" s="3">
        <v>2000</v>
      </c>
      <c r="K16" s="1"/>
      <c r="L16" s="3">
        <f t="shared" si="1"/>
        <v>3130</v>
      </c>
      <c r="M16" s="60"/>
      <c r="O16" s="181">
        <f>+O12+O14</f>
        <v>9995.241666666665</v>
      </c>
      <c r="P16" s="182" t="s">
        <v>971</v>
      </c>
      <c r="Q16" s="179"/>
      <c r="R16" s="180"/>
    </row>
    <row r="17" spans="1:18">
      <c r="A17" s="58">
        <v>44358</v>
      </c>
      <c r="B17" s="59" t="s">
        <v>566</v>
      </c>
      <c r="C17" s="60">
        <v>7000</v>
      </c>
      <c r="D17" s="3"/>
      <c r="E17" s="60">
        <f t="shared" si="2"/>
        <v>25080.840000000004</v>
      </c>
      <c r="F17" s="76"/>
      <c r="H17" s="58">
        <v>44352</v>
      </c>
      <c r="I17" s="1" t="s">
        <v>951</v>
      </c>
      <c r="J17" s="10"/>
      <c r="K17" s="3">
        <v>1200</v>
      </c>
      <c r="L17" s="3">
        <f t="shared" si="1"/>
        <v>4330</v>
      </c>
      <c r="M17" s="96"/>
      <c r="Q17" s="92"/>
    </row>
    <row r="18" spans="1:18">
      <c r="A18" s="2">
        <v>44360</v>
      </c>
      <c r="B18" s="59" t="s">
        <v>959</v>
      </c>
      <c r="C18" s="60"/>
      <c r="D18" s="3">
        <v>833</v>
      </c>
      <c r="E18" s="60">
        <v>25914.080000000002</v>
      </c>
      <c r="F18" s="76"/>
      <c r="H18" s="58">
        <v>44353</v>
      </c>
      <c r="I18" s="36" t="s">
        <v>952</v>
      </c>
      <c r="J18" s="37">
        <v>920</v>
      </c>
      <c r="K18" s="3"/>
      <c r="L18" s="3">
        <f t="shared" si="1"/>
        <v>3410</v>
      </c>
      <c r="M18" s="60">
        <v>200</v>
      </c>
      <c r="N18" s="57"/>
      <c r="O18" s="97">
        <v>1150</v>
      </c>
      <c r="P18" s="57" t="s">
        <v>987</v>
      </c>
      <c r="Q18" s="92"/>
    </row>
    <row r="19" spans="1:18">
      <c r="A19" s="58">
        <v>44361</v>
      </c>
      <c r="B19" s="59" t="s">
        <v>972</v>
      </c>
      <c r="C19" s="60">
        <v>9995</v>
      </c>
      <c r="D19" s="159"/>
      <c r="E19" s="60">
        <f t="shared" si="2"/>
        <v>15919.080000000002</v>
      </c>
      <c r="F19" s="59"/>
      <c r="H19" s="58">
        <v>44355</v>
      </c>
      <c r="I19" s="6" t="s">
        <v>83</v>
      </c>
      <c r="J19" s="10">
        <v>2200</v>
      </c>
      <c r="K19" s="10"/>
      <c r="L19" s="3">
        <f t="shared" si="1"/>
        <v>1210</v>
      </c>
      <c r="M19" s="37">
        <f>+J19/2</f>
        <v>1100</v>
      </c>
      <c r="Q19" s="92"/>
    </row>
    <row r="20" spans="1:18">
      <c r="A20" s="58">
        <v>44362</v>
      </c>
      <c r="B20" s="1" t="s">
        <v>973</v>
      </c>
      <c r="C20" s="10">
        <v>2170</v>
      </c>
      <c r="D20" s="3"/>
      <c r="E20" s="60">
        <f t="shared" si="2"/>
        <v>13749.080000000002</v>
      </c>
      <c r="F20" s="60">
        <v>300</v>
      </c>
      <c r="H20" s="58">
        <v>44356</v>
      </c>
      <c r="I20" s="6" t="s">
        <v>970</v>
      </c>
      <c r="J20" s="10">
        <v>800</v>
      </c>
      <c r="K20" s="3"/>
      <c r="L20" s="3">
        <f t="shared" si="1"/>
        <v>410</v>
      </c>
      <c r="M20" s="60">
        <v>300</v>
      </c>
      <c r="O20" s="186">
        <f>833*2</f>
        <v>1666</v>
      </c>
      <c r="P20" s="133" t="s">
        <v>940</v>
      </c>
      <c r="Q20" s="133"/>
      <c r="R20" s="134"/>
    </row>
    <row r="21" spans="1:18">
      <c r="A21" s="58">
        <v>44363</v>
      </c>
      <c r="B21" s="59" t="s">
        <v>980</v>
      </c>
      <c r="C21" s="60">
        <v>950</v>
      </c>
      <c r="D21" s="3"/>
      <c r="E21" s="60">
        <f t="shared" si="2"/>
        <v>12799.080000000002</v>
      </c>
      <c r="F21" s="59"/>
      <c r="H21" s="58"/>
      <c r="I21" s="8" t="s">
        <v>953</v>
      </c>
      <c r="J21" s="10">
        <v>410</v>
      </c>
      <c r="K21" s="3"/>
      <c r="L21" s="3">
        <f t="shared" ref="L21:L56" si="3">+L20+K21-J21</f>
        <v>0</v>
      </c>
      <c r="M21" s="60"/>
      <c r="O21" s="187">
        <v>-650</v>
      </c>
      <c r="P21" s="108" t="s">
        <v>1005</v>
      </c>
      <c r="Q21" s="166"/>
      <c r="R21" s="136"/>
    </row>
    <row r="22" spans="1:18">
      <c r="A22" s="58">
        <v>44364</v>
      </c>
      <c r="B22" s="1" t="s">
        <v>981</v>
      </c>
      <c r="C22" s="10">
        <v>1500</v>
      </c>
      <c r="D22" s="60"/>
      <c r="E22" s="60">
        <f t="shared" si="2"/>
        <v>11299.080000000002</v>
      </c>
      <c r="F22" s="60"/>
      <c r="H22" s="58">
        <v>44358</v>
      </c>
      <c r="I22" s="6" t="s">
        <v>566</v>
      </c>
      <c r="J22" s="10"/>
      <c r="K22" s="3">
        <v>7000</v>
      </c>
      <c r="L22" s="3">
        <f t="shared" si="3"/>
        <v>7000</v>
      </c>
      <c r="M22" s="60"/>
      <c r="O22" s="135">
        <v>-1016</v>
      </c>
      <c r="P22" s="108" t="s">
        <v>1006</v>
      </c>
      <c r="Q22" s="108"/>
      <c r="R22" s="136"/>
    </row>
    <row r="23" spans="1:18">
      <c r="A23" s="58">
        <v>44364</v>
      </c>
      <c r="B23" s="36" t="s">
        <v>982</v>
      </c>
      <c r="C23" s="37">
        <v>350</v>
      </c>
      <c r="D23" s="3"/>
      <c r="E23" s="3">
        <f t="shared" si="2"/>
        <v>10949.080000000002</v>
      </c>
      <c r="F23" s="60">
        <f>+C23/2</f>
        <v>175</v>
      </c>
      <c r="H23" s="58">
        <v>44359</v>
      </c>
      <c r="I23" s="59" t="s">
        <v>960</v>
      </c>
      <c r="J23" s="3">
        <v>300</v>
      </c>
      <c r="K23" s="3"/>
      <c r="L23" s="3">
        <f t="shared" si="3"/>
        <v>6700</v>
      </c>
      <c r="M23" s="96"/>
      <c r="N23" s="90"/>
      <c r="O23" s="188">
        <f>+SUM(O20:O22)</f>
        <v>0</v>
      </c>
      <c r="P23" s="138" t="s">
        <v>1007</v>
      </c>
      <c r="Q23" s="138"/>
      <c r="R23" s="139"/>
    </row>
    <row r="24" spans="1:18">
      <c r="A24" s="58">
        <v>44366</v>
      </c>
      <c r="B24" s="1" t="s">
        <v>983</v>
      </c>
      <c r="C24" s="3">
        <v>850</v>
      </c>
      <c r="D24" s="3"/>
      <c r="E24" s="3">
        <f t="shared" si="2"/>
        <v>10099.080000000002</v>
      </c>
      <c r="F24" s="60"/>
      <c r="G24" s="41"/>
      <c r="H24" s="58">
        <v>44359</v>
      </c>
      <c r="I24" s="1" t="s">
        <v>961</v>
      </c>
      <c r="J24" s="3">
        <v>500</v>
      </c>
      <c r="K24" s="3"/>
      <c r="L24" s="3">
        <f t="shared" si="3"/>
        <v>6200</v>
      </c>
      <c r="M24" s="60"/>
      <c r="N24" s="57"/>
    </row>
    <row r="25" spans="1:18">
      <c r="A25" s="2">
        <v>44370</v>
      </c>
      <c r="B25" s="59" t="s">
        <v>997</v>
      </c>
      <c r="C25" s="115"/>
      <c r="D25" s="3">
        <v>1200</v>
      </c>
      <c r="E25" s="3">
        <f t="shared" si="2"/>
        <v>11299.080000000002</v>
      </c>
      <c r="F25" s="60"/>
      <c r="H25" s="58">
        <v>44359</v>
      </c>
      <c r="I25" s="6" t="s">
        <v>962</v>
      </c>
      <c r="J25" s="3">
        <v>200</v>
      </c>
      <c r="K25" s="3"/>
      <c r="L25" s="3">
        <f t="shared" si="3"/>
        <v>6000</v>
      </c>
      <c r="M25" s="60"/>
      <c r="O25" s="132">
        <v>200</v>
      </c>
      <c r="P25" s="133" t="s">
        <v>974</v>
      </c>
      <c r="Q25" s="133"/>
      <c r="R25" s="134"/>
    </row>
    <row r="26" spans="1:18">
      <c r="A26" s="2">
        <v>44371</v>
      </c>
      <c r="B26" s="1" t="s">
        <v>996</v>
      </c>
      <c r="C26" s="3">
        <f>499.28+104.85</f>
        <v>604.13</v>
      </c>
      <c r="D26" s="3"/>
      <c r="E26" s="3">
        <f t="shared" si="2"/>
        <v>10694.950000000003</v>
      </c>
      <c r="F26" s="36"/>
      <c r="H26" s="58">
        <v>44360</v>
      </c>
      <c r="I26" s="1" t="s">
        <v>963</v>
      </c>
      <c r="J26" s="3">
        <v>250</v>
      </c>
      <c r="K26" s="3"/>
      <c r="L26" s="3">
        <f t="shared" si="3"/>
        <v>5750</v>
      </c>
      <c r="M26" s="60">
        <f>+J26/2</f>
        <v>125</v>
      </c>
      <c r="O26" s="135">
        <f>620/2</f>
        <v>310</v>
      </c>
      <c r="P26" s="108" t="s">
        <v>975</v>
      </c>
      <c r="Q26" s="108"/>
      <c r="R26" s="136"/>
    </row>
    <row r="27" spans="1:18">
      <c r="A27" s="2">
        <v>44371</v>
      </c>
      <c r="B27" s="1" t="s">
        <v>998</v>
      </c>
      <c r="C27" s="3"/>
      <c r="D27" s="3">
        <v>0.3</v>
      </c>
      <c r="E27" s="3">
        <f>+E26-C27+D27</f>
        <v>10695.250000000002</v>
      </c>
      <c r="F27" s="6"/>
      <c r="H27" s="58">
        <v>44361</v>
      </c>
      <c r="I27" s="1" t="s">
        <v>964</v>
      </c>
      <c r="J27" s="3">
        <v>740</v>
      </c>
      <c r="K27" s="3"/>
      <c r="L27" s="3">
        <f t="shared" si="3"/>
        <v>5010</v>
      </c>
      <c r="M27" s="159"/>
      <c r="O27" s="135">
        <v>120</v>
      </c>
      <c r="P27" s="108" t="s">
        <v>976</v>
      </c>
      <c r="Q27" s="108"/>
      <c r="R27" s="136"/>
    </row>
    <row r="28" spans="1:18">
      <c r="A28" s="63">
        <v>44374</v>
      </c>
      <c r="B28" s="6" t="s">
        <v>566</v>
      </c>
      <c r="C28" s="10">
        <v>3000</v>
      </c>
      <c r="D28" s="10"/>
      <c r="E28" s="3">
        <f t="shared" si="2"/>
        <v>7695.2500000000018</v>
      </c>
      <c r="F28" s="147"/>
      <c r="H28" s="58">
        <v>44361</v>
      </c>
      <c r="I28" s="1" t="s">
        <v>965</v>
      </c>
      <c r="J28" s="3">
        <v>5000</v>
      </c>
      <c r="K28" s="3"/>
      <c r="L28" s="3">
        <f t="shared" si="3"/>
        <v>10</v>
      </c>
      <c r="M28" s="60"/>
      <c r="O28" s="135">
        <v>1000</v>
      </c>
      <c r="P28" s="108" t="s">
        <v>977</v>
      </c>
      <c r="Q28" s="108"/>
      <c r="R28" s="136"/>
    </row>
    <row r="29" spans="1:18">
      <c r="A29" s="63">
        <v>44406</v>
      </c>
      <c r="B29" s="1" t="s">
        <v>1002</v>
      </c>
      <c r="C29" s="10"/>
      <c r="D29" s="10">
        <v>6400</v>
      </c>
      <c r="E29" s="3">
        <f t="shared" si="2"/>
        <v>14095.250000000002</v>
      </c>
      <c r="F29" s="91"/>
      <c r="H29" s="58">
        <v>44363</v>
      </c>
      <c r="I29" s="1" t="s">
        <v>978</v>
      </c>
      <c r="J29" s="3"/>
      <c r="K29" s="3">
        <v>1000</v>
      </c>
      <c r="L29" s="3">
        <f t="shared" si="3"/>
        <v>1010</v>
      </c>
      <c r="M29" s="60"/>
      <c r="O29" s="135">
        <f>3560/2</f>
        <v>1780</v>
      </c>
      <c r="P29" s="108" t="s">
        <v>83</v>
      </c>
      <c r="Q29" s="108"/>
      <c r="R29" s="136"/>
    </row>
    <row r="30" spans="1:18">
      <c r="A30" s="63">
        <v>44406</v>
      </c>
      <c r="B30" s="59" t="s">
        <v>1003</v>
      </c>
      <c r="C30" s="60">
        <v>2200</v>
      </c>
      <c r="D30" s="3"/>
      <c r="E30" s="3">
        <f t="shared" si="2"/>
        <v>11895.250000000002</v>
      </c>
      <c r="F30" s="1"/>
      <c r="H30" s="58">
        <v>44363</v>
      </c>
      <c r="I30" s="1" t="s">
        <v>979</v>
      </c>
      <c r="J30" s="3">
        <v>830</v>
      </c>
      <c r="K30" s="3"/>
      <c r="L30" s="3">
        <f t="shared" si="3"/>
        <v>180</v>
      </c>
      <c r="M30" s="60">
        <f>+J30/2</f>
        <v>415</v>
      </c>
      <c r="N30" s="41"/>
      <c r="O30" s="135">
        <v>1112.5</v>
      </c>
      <c r="P30" s="108" t="s">
        <v>984</v>
      </c>
      <c r="Q30" s="108"/>
      <c r="R30" s="136"/>
    </row>
    <row r="31" spans="1:18">
      <c r="A31" s="63">
        <v>44406</v>
      </c>
      <c r="B31" s="158" t="s">
        <v>1004</v>
      </c>
      <c r="C31" s="159">
        <f>6000-C30</f>
        <v>3800</v>
      </c>
      <c r="D31" s="3"/>
      <c r="E31" s="3">
        <f t="shared" si="2"/>
        <v>8095.2500000000018</v>
      </c>
      <c r="F31" s="1"/>
      <c r="H31" s="2">
        <v>44363</v>
      </c>
      <c r="I31" s="1" t="s">
        <v>404</v>
      </c>
      <c r="J31" s="3">
        <v>180</v>
      </c>
      <c r="K31" s="3"/>
      <c r="L31" s="3">
        <f t="shared" si="3"/>
        <v>0</v>
      </c>
      <c r="M31" s="60"/>
      <c r="O31" s="135">
        <v>1067.5</v>
      </c>
      <c r="P31" s="108" t="s">
        <v>985</v>
      </c>
      <c r="Q31" s="108"/>
      <c r="R31" s="136"/>
    </row>
    <row r="32" spans="1:18">
      <c r="A32" s="2"/>
      <c r="B32" s="1"/>
      <c r="C32" s="3"/>
      <c r="D32" s="3"/>
      <c r="E32" s="3">
        <f t="shared" si="2"/>
        <v>8095.2500000000018</v>
      </c>
      <c r="F32" s="1"/>
      <c r="H32" s="2">
        <v>44366</v>
      </c>
      <c r="I32" s="1" t="s">
        <v>991</v>
      </c>
      <c r="J32" s="3"/>
      <c r="K32" s="3">
        <v>3000</v>
      </c>
      <c r="L32" s="3">
        <f t="shared" si="3"/>
        <v>3000</v>
      </c>
      <c r="M32" s="60"/>
      <c r="O32" s="135">
        <v>200</v>
      </c>
      <c r="P32" s="108" t="s">
        <v>993</v>
      </c>
      <c r="Q32" s="108"/>
      <c r="R32" s="136"/>
    </row>
    <row r="33" spans="1:18">
      <c r="A33" s="2"/>
      <c r="B33" s="6"/>
      <c r="C33" s="3"/>
      <c r="D33" s="3"/>
      <c r="E33" s="3">
        <f t="shared" si="2"/>
        <v>8095.2500000000018</v>
      </c>
      <c r="F33" s="1"/>
      <c r="H33" s="2">
        <v>44366</v>
      </c>
      <c r="I33" s="1" t="s">
        <v>986</v>
      </c>
      <c r="J33" s="3">
        <v>100</v>
      </c>
      <c r="K33" s="3"/>
      <c r="L33" s="3">
        <f t="shared" si="3"/>
        <v>2900</v>
      </c>
      <c r="M33" s="60"/>
      <c r="O33" s="135">
        <v>862.5</v>
      </c>
      <c r="P33" s="108" t="s">
        <v>999</v>
      </c>
      <c r="Q33" s="108"/>
      <c r="R33" s="136"/>
    </row>
    <row r="34" spans="1:18">
      <c r="A34" s="2"/>
      <c r="B34" s="6"/>
      <c r="C34" s="3"/>
      <c r="D34" s="3"/>
      <c r="E34" s="3">
        <f t="shared" si="2"/>
        <v>8095.2500000000018</v>
      </c>
      <c r="F34" s="1"/>
      <c r="H34" s="2">
        <v>44366</v>
      </c>
      <c r="I34" s="6" t="s">
        <v>988</v>
      </c>
      <c r="J34" s="3">
        <v>120</v>
      </c>
      <c r="K34" s="3"/>
      <c r="L34" s="3">
        <f t="shared" si="3"/>
        <v>2780</v>
      </c>
      <c r="M34" s="60"/>
      <c r="O34" s="135">
        <v>500</v>
      </c>
      <c r="P34" s="108" t="s">
        <v>1000</v>
      </c>
      <c r="Q34" s="108"/>
      <c r="R34" s="136"/>
    </row>
    <row r="35" spans="1:18">
      <c r="A35" s="2"/>
      <c r="B35" s="6"/>
      <c r="C35" s="3"/>
      <c r="D35" s="3"/>
      <c r="E35" s="3">
        <f t="shared" si="2"/>
        <v>8095.2500000000018</v>
      </c>
      <c r="F35" s="1"/>
      <c r="H35" s="114">
        <v>44368</v>
      </c>
      <c r="I35" s="1" t="s">
        <v>989</v>
      </c>
      <c r="J35" s="3">
        <v>600</v>
      </c>
      <c r="K35" s="3"/>
      <c r="L35" s="3">
        <f t="shared" si="3"/>
        <v>2180</v>
      </c>
      <c r="M35" s="60">
        <f>+J35/2</f>
        <v>300</v>
      </c>
      <c r="O35" s="135">
        <v>497.5</v>
      </c>
      <c r="P35" s="108" t="s">
        <v>1001</v>
      </c>
      <c r="Q35" s="108"/>
      <c r="R35" s="136"/>
    </row>
    <row r="36" spans="1:18">
      <c r="A36" s="2"/>
      <c r="B36" s="6"/>
      <c r="C36" s="3"/>
      <c r="D36" s="3"/>
      <c r="E36" s="3">
        <f t="shared" si="2"/>
        <v>8095.2500000000018</v>
      </c>
      <c r="F36" s="1"/>
      <c r="H36" s="114">
        <v>44369</v>
      </c>
      <c r="I36" s="1" t="s">
        <v>990</v>
      </c>
      <c r="J36" s="3">
        <v>120</v>
      </c>
      <c r="K36" s="3"/>
      <c r="L36" s="3">
        <f t="shared" si="3"/>
        <v>2060</v>
      </c>
      <c r="M36" s="60"/>
      <c r="O36" s="135">
        <v>910</v>
      </c>
      <c r="P36" s="108" t="s">
        <v>1019</v>
      </c>
      <c r="Q36" s="108"/>
      <c r="R36" s="136"/>
    </row>
    <row r="37" spans="1:18">
      <c r="A37" s="2"/>
      <c r="B37" s="6"/>
      <c r="C37" s="3"/>
      <c r="D37" s="3"/>
      <c r="E37" s="3">
        <f t="shared" si="2"/>
        <v>8095.2500000000018</v>
      </c>
      <c r="F37" s="1"/>
      <c r="H37" s="114">
        <v>44369</v>
      </c>
      <c r="I37" s="6" t="s">
        <v>394</v>
      </c>
      <c r="J37" s="3">
        <v>20</v>
      </c>
      <c r="K37" s="3"/>
      <c r="L37" s="3">
        <f t="shared" si="3"/>
        <v>2040</v>
      </c>
      <c r="M37" s="60"/>
      <c r="N37" s="57"/>
      <c r="O37" s="150">
        <f>SUM(O25:O36)</f>
        <v>8560</v>
      </c>
      <c r="P37" s="108" t="s">
        <v>966</v>
      </c>
      <c r="Q37" s="108"/>
      <c r="R37" s="136"/>
    </row>
    <row r="38" spans="1:18">
      <c r="E38" s="33">
        <f t="shared" si="2"/>
        <v>8095.2500000000018</v>
      </c>
      <c r="H38" s="114">
        <v>44370</v>
      </c>
      <c r="I38" s="6" t="s">
        <v>992</v>
      </c>
      <c r="J38" s="10">
        <v>1220</v>
      </c>
      <c r="K38" s="1"/>
      <c r="L38" s="3">
        <f t="shared" si="3"/>
        <v>820</v>
      </c>
      <c r="M38" s="60">
        <f>+J38/2</f>
        <v>610</v>
      </c>
      <c r="O38" s="164"/>
      <c r="P38" s="108"/>
      <c r="Q38" s="108"/>
      <c r="R38" s="136"/>
    </row>
    <row r="39" spans="1:18">
      <c r="E39" s="3">
        <f t="shared" si="2"/>
        <v>8095.2500000000018</v>
      </c>
      <c r="H39" s="114">
        <v>44370</v>
      </c>
      <c r="I39" s="59" t="s">
        <v>994</v>
      </c>
      <c r="J39" s="60">
        <v>600</v>
      </c>
      <c r="K39" s="60"/>
      <c r="L39" s="3">
        <f t="shared" si="3"/>
        <v>220</v>
      </c>
      <c r="M39" s="60">
        <f>+J39/2</f>
        <v>300</v>
      </c>
      <c r="O39" s="150">
        <f>-SUM(M29:M39)-SUM(F20:F23)</f>
        <v>-2100</v>
      </c>
      <c r="P39" s="108" t="s">
        <v>1017</v>
      </c>
      <c r="Q39" s="108"/>
      <c r="R39" s="136"/>
    </row>
    <row r="40" spans="1:18">
      <c r="E40" s="3">
        <f t="shared" si="2"/>
        <v>8095.2500000000018</v>
      </c>
      <c r="H40" s="2">
        <v>44371</v>
      </c>
      <c r="I40" s="1" t="s">
        <v>995</v>
      </c>
      <c r="J40" s="3">
        <v>220</v>
      </c>
      <c r="K40" s="3"/>
      <c r="L40" s="3">
        <f t="shared" si="3"/>
        <v>0</v>
      </c>
      <c r="M40" s="96"/>
      <c r="O40" s="164"/>
      <c r="P40" s="108"/>
      <c r="Q40" s="108"/>
      <c r="R40" s="136"/>
    </row>
    <row r="41" spans="1:18">
      <c r="E41" s="3">
        <f t="shared" si="2"/>
        <v>8095.2500000000018</v>
      </c>
      <c r="H41" s="2">
        <v>44374</v>
      </c>
      <c r="I41" s="1" t="s">
        <v>566</v>
      </c>
      <c r="J41" s="3"/>
      <c r="K41" s="3">
        <v>3000</v>
      </c>
      <c r="L41" s="3">
        <f t="shared" si="3"/>
        <v>3000</v>
      </c>
      <c r="M41" s="126"/>
      <c r="N41" s="57"/>
      <c r="O41" s="150">
        <f>+O37+O39</f>
        <v>6460</v>
      </c>
      <c r="P41" s="108" t="s">
        <v>1018</v>
      </c>
      <c r="Q41" s="108"/>
      <c r="R41" s="136"/>
    </row>
    <row r="42" spans="1:18">
      <c r="E42" s="3">
        <f t="shared" si="2"/>
        <v>8095.2500000000018</v>
      </c>
      <c r="H42" s="2">
        <v>44375</v>
      </c>
      <c r="I42" s="1" t="s">
        <v>1008</v>
      </c>
      <c r="J42" s="3">
        <v>350</v>
      </c>
      <c r="K42" s="3"/>
      <c r="L42" s="3">
        <f t="shared" si="3"/>
        <v>2650</v>
      </c>
      <c r="M42" s="127"/>
      <c r="O42" s="191"/>
      <c r="P42" s="138" t="s">
        <v>1029</v>
      </c>
      <c r="Q42" s="138"/>
      <c r="R42" s="139"/>
    </row>
    <row r="43" spans="1:18">
      <c r="E43" s="3">
        <f t="shared" si="2"/>
        <v>8095.2500000000018</v>
      </c>
      <c r="H43" s="2">
        <v>44376</v>
      </c>
      <c r="I43" s="6" t="s">
        <v>1009</v>
      </c>
      <c r="J43" s="3">
        <v>200</v>
      </c>
      <c r="K43" s="3"/>
      <c r="L43" s="3">
        <f t="shared" si="3"/>
        <v>2450</v>
      </c>
      <c r="M43" s="44"/>
    </row>
    <row r="44" spans="1:18">
      <c r="E44" s="3">
        <f t="shared" si="2"/>
        <v>8095.2500000000018</v>
      </c>
      <c r="H44" s="2">
        <v>44375</v>
      </c>
      <c r="I44" s="6" t="s">
        <v>1010</v>
      </c>
      <c r="J44" s="3">
        <v>540</v>
      </c>
      <c r="K44" s="3"/>
      <c r="L44" s="3">
        <f t="shared" si="3"/>
        <v>1910</v>
      </c>
      <c r="M44" s="76"/>
    </row>
    <row r="45" spans="1:18">
      <c r="E45" s="3">
        <f t="shared" si="2"/>
        <v>8095.2500000000018</v>
      </c>
      <c r="H45" s="2">
        <v>44375</v>
      </c>
      <c r="I45" s="1" t="s">
        <v>1011</v>
      </c>
      <c r="J45" s="3">
        <v>200</v>
      </c>
      <c r="K45" s="3"/>
      <c r="L45" s="3">
        <f t="shared" si="3"/>
        <v>1710</v>
      </c>
      <c r="M45" s="1" t="s">
        <v>1012</v>
      </c>
    </row>
    <row r="46" spans="1:18">
      <c r="H46" s="2">
        <v>44376</v>
      </c>
      <c r="I46" s="1" t="s">
        <v>1013</v>
      </c>
      <c r="J46" s="3">
        <v>1040</v>
      </c>
      <c r="K46" s="3"/>
      <c r="L46" s="3">
        <f t="shared" si="3"/>
        <v>670</v>
      </c>
      <c r="M46" s="1"/>
    </row>
    <row r="47" spans="1:18">
      <c r="H47" s="2">
        <v>44376</v>
      </c>
      <c r="I47" s="1" t="s">
        <v>1014</v>
      </c>
      <c r="J47" s="3">
        <v>180</v>
      </c>
      <c r="K47" s="3"/>
      <c r="L47" s="3">
        <f t="shared" si="3"/>
        <v>490</v>
      </c>
      <c r="M47" s="64"/>
      <c r="N47" s="83"/>
    </row>
    <row r="48" spans="1:18">
      <c r="H48" s="2">
        <v>44376</v>
      </c>
      <c r="I48" s="1" t="s">
        <v>1015</v>
      </c>
      <c r="J48" s="3">
        <v>150</v>
      </c>
      <c r="K48" s="3"/>
      <c r="L48" s="3">
        <f t="shared" si="3"/>
        <v>340</v>
      </c>
      <c r="M48" s="1"/>
    </row>
    <row r="49" spans="8:14">
      <c r="H49" s="2">
        <v>44377</v>
      </c>
      <c r="I49" s="1" t="s">
        <v>1016</v>
      </c>
      <c r="J49" s="3">
        <v>120</v>
      </c>
      <c r="K49" s="3"/>
      <c r="L49" s="3">
        <f t="shared" si="3"/>
        <v>220</v>
      </c>
      <c r="M49" s="44"/>
    </row>
    <row r="50" spans="8:14">
      <c r="H50" s="2">
        <v>44378</v>
      </c>
      <c r="I50" s="1" t="s">
        <v>1020</v>
      </c>
      <c r="J50" s="3">
        <v>200</v>
      </c>
      <c r="K50" s="3"/>
      <c r="L50" s="3">
        <f t="shared" si="3"/>
        <v>20</v>
      </c>
      <c r="M50" s="1"/>
    </row>
    <row r="51" spans="8:14">
      <c r="H51" s="2"/>
      <c r="I51" s="1"/>
      <c r="J51" s="3"/>
      <c r="K51" s="3"/>
      <c r="L51" s="3">
        <f t="shared" si="3"/>
        <v>20</v>
      </c>
      <c r="M51" s="1"/>
    </row>
    <row r="52" spans="8:14">
      <c r="H52" s="2"/>
      <c r="I52" s="6"/>
      <c r="J52" s="3"/>
      <c r="K52" s="3"/>
      <c r="L52" s="3">
        <f t="shared" si="3"/>
        <v>20</v>
      </c>
      <c r="M52" s="44"/>
    </row>
    <row r="53" spans="8:14">
      <c r="H53" s="2"/>
      <c r="I53" s="1"/>
      <c r="J53" s="3"/>
      <c r="K53" s="3"/>
      <c r="L53" s="3">
        <f t="shared" si="3"/>
        <v>20</v>
      </c>
      <c r="M53" s="1"/>
      <c r="N53" s="41"/>
    </row>
    <row r="54" spans="8:14">
      <c r="H54" s="2"/>
      <c r="I54" s="1"/>
      <c r="J54" s="3"/>
      <c r="K54" s="3"/>
      <c r="L54" s="3">
        <f t="shared" si="3"/>
        <v>20</v>
      </c>
      <c r="M54" s="1"/>
    </row>
    <row r="55" spans="8:14">
      <c r="H55" s="2"/>
      <c r="I55" s="1"/>
      <c r="J55" s="3"/>
      <c r="K55" s="3"/>
      <c r="L55" s="3">
        <f t="shared" si="3"/>
        <v>20</v>
      </c>
      <c r="M55" s="1"/>
    </row>
    <row r="56" spans="8:14">
      <c r="H56" s="2"/>
      <c r="I56" s="1"/>
      <c r="J56" s="3"/>
      <c r="K56" s="3"/>
      <c r="L56" s="3">
        <f t="shared" si="3"/>
        <v>20</v>
      </c>
      <c r="M56" s="1"/>
    </row>
    <row r="57" spans="8:14">
      <c r="H57" s="2"/>
      <c r="I57" s="1"/>
      <c r="J57" s="3"/>
      <c r="K57" s="3"/>
      <c r="L57" s="3">
        <f t="shared" ref="L57:L59" si="4">+L56-J57+K57</f>
        <v>20</v>
      </c>
      <c r="M57" s="1"/>
    </row>
    <row r="58" spans="8:14">
      <c r="H58" s="2"/>
      <c r="I58" s="1"/>
      <c r="J58" s="3"/>
      <c r="K58" s="3"/>
      <c r="L58" s="3">
        <f t="shared" si="4"/>
        <v>20</v>
      </c>
      <c r="M58" s="64"/>
    </row>
    <row r="59" spans="8:14">
      <c r="H59" s="1"/>
      <c r="I59" s="1"/>
      <c r="J59" s="3"/>
      <c r="K59" s="3"/>
      <c r="L59" s="3">
        <f t="shared" si="4"/>
        <v>20</v>
      </c>
      <c r="M59" s="1"/>
    </row>
    <row r="60" spans="8:14">
      <c r="H60" s="1"/>
      <c r="I60" s="1"/>
      <c r="J60" s="3"/>
      <c r="K60" s="3"/>
      <c r="L60" s="1"/>
      <c r="M60" s="1"/>
    </row>
    <row r="61" spans="8:14">
      <c r="H61" s="1"/>
      <c r="I61" s="1"/>
      <c r="J61" s="3"/>
      <c r="K61" s="3"/>
      <c r="L61" s="1"/>
      <c r="M61" s="1"/>
    </row>
    <row r="62" spans="8:14">
      <c r="H62" s="1"/>
      <c r="I62" s="1"/>
      <c r="J62" s="3"/>
      <c r="K62" s="3"/>
      <c r="L62" s="1"/>
      <c r="M62" s="1"/>
    </row>
    <row r="63" spans="8:14">
      <c r="J63" s="4"/>
      <c r="K63" s="4"/>
    </row>
    <row r="64" spans="8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355C-4E3B-4A49-A3FD-02EDE280718A}">
  <dimension ref="A1:S1048576"/>
  <sheetViews>
    <sheetView topLeftCell="C22"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31.83203125" bestFit="1" customWidth="1"/>
    <col min="3" max="3" width="11.5" style="4" bestFit="1" customWidth="1"/>
    <col min="4" max="4" width="12.33203125" style="4" customWidth="1"/>
    <col min="5" max="5" width="13" customWidth="1"/>
    <col min="6" max="6" width="16.5" bestFit="1" customWidth="1"/>
    <col min="7" max="7" width="19.6640625" customWidth="1"/>
    <col min="8" max="8" width="7.33203125" bestFit="1" customWidth="1"/>
    <col min="9" max="9" width="32.83203125" bestFit="1" customWidth="1"/>
    <col min="10" max="10" width="12.5" bestFit="1" customWidth="1"/>
    <col min="11" max="12" width="12" bestFit="1" customWidth="1"/>
    <col min="13" max="13" width="12.83203125" customWidth="1"/>
    <col min="15" max="15" width="12.5" style="4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132">
        <v>1150</v>
      </c>
      <c r="P2" s="133" t="s">
        <v>987</v>
      </c>
      <c r="Q2" s="134"/>
      <c r="R2" s="57"/>
    </row>
    <row r="3" spans="1:19">
      <c r="A3" s="2">
        <v>44378</v>
      </c>
      <c r="B3" s="473" t="s">
        <v>144</v>
      </c>
      <c r="C3" s="474"/>
      <c r="D3" s="475"/>
      <c r="E3" s="3">
        <v>8095.25</v>
      </c>
      <c r="F3" s="31" t="s">
        <v>1021</v>
      </c>
      <c r="G3" s="32">
        <f>+D5</f>
        <v>65579</v>
      </c>
      <c r="H3" s="2">
        <v>44378</v>
      </c>
      <c r="I3" s="473" t="s">
        <v>144</v>
      </c>
      <c r="J3" s="474"/>
      <c r="K3" s="475"/>
      <c r="L3" s="3">
        <v>20</v>
      </c>
      <c r="M3" s="37"/>
      <c r="O3" s="135">
        <v>-2200</v>
      </c>
      <c r="P3" s="108" t="s">
        <v>1030</v>
      </c>
      <c r="Q3" s="136"/>
      <c r="R3" s="57"/>
    </row>
    <row r="4" spans="1:19">
      <c r="A4" s="2">
        <v>44378</v>
      </c>
      <c r="B4" s="1" t="s">
        <v>1022</v>
      </c>
      <c r="C4" s="3">
        <v>5000</v>
      </c>
      <c r="D4" s="3"/>
      <c r="E4" s="3">
        <f>+E3-C4+D4</f>
        <v>3095.25</v>
      </c>
      <c r="F4" s="44"/>
      <c r="G4" s="39" t="s">
        <v>170</v>
      </c>
      <c r="H4" s="2">
        <v>44378</v>
      </c>
      <c r="I4" s="1" t="s">
        <v>1022</v>
      </c>
      <c r="J4" s="154"/>
      <c r="K4" s="3">
        <v>5000</v>
      </c>
      <c r="L4" s="3">
        <f>+L3+K4-J4</f>
        <v>5020</v>
      </c>
      <c r="M4" s="95"/>
      <c r="O4" s="135">
        <v>-310</v>
      </c>
      <c r="P4" s="192" t="s">
        <v>1037</v>
      </c>
      <c r="Q4" s="136"/>
    </row>
    <row r="5" spans="1:19">
      <c r="A5" s="2">
        <v>44378</v>
      </c>
      <c r="B5" s="1" t="s">
        <v>1021</v>
      </c>
      <c r="C5" s="3"/>
      <c r="D5" s="3">
        <v>65579</v>
      </c>
      <c r="E5" s="3">
        <f t="shared" ref="E5:E59" si="0">+E4-C5+D5</f>
        <v>68674.25</v>
      </c>
      <c r="F5" s="60">
        <f>+C5/2</f>
        <v>0</v>
      </c>
      <c r="G5" s="56">
        <f>+E34+L59</f>
        <v>3737.0299999999997</v>
      </c>
      <c r="H5" s="2">
        <v>44378</v>
      </c>
      <c r="I5" s="1" t="s">
        <v>83</v>
      </c>
      <c r="J5" s="3">
        <v>1350</v>
      </c>
      <c r="K5" s="3"/>
      <c r="L5" s="3">
        <f t="shared" ref="L5:L56" si="1">+L4+K5-J5</f>
        <v>3670</v>
      </c>
      <c r="M5" s="96">
        <f>+J5/2</f>
        <v>675</v>
      </c>
      <c r="O5" s="135">
        <v>3000</v>
      </c>
      <c r="P5" s="108" t="s">
        <v>1049</v>
      </c>
      <c r="Q5" s="136"/>
    </row>
    <row r="6" spans="1:19">
      <c r="A6" s="2">
        <v>44378</v>
      </c>
      <c r="B6" s="1" t="s">
        <v>1026</v>
      </c>
      <c r="C6" s="60">
        <v>700</v>
      </c>
      <c r="D6" s="3"/>
      <c r="E6" s="3">
        <f t="shared" si="0"/>
        <v>67974.25</v>
      </c>
      <c r="F6" s="59"/>
      <c r="G6" s="41"/>
      <c r="H6" s="2">
        <v>44378</v>
      </c>
      <c r="I6" s="1" t="s">
        <v>1028</v>
      </c>
      <c r="J6" s="3">
        <v>300</v>
      </c>
      <c r="K6" s="3"/>
      <c r="L6" s="3">
        <f t="shared" si="1"/>
        <v>3370</v>
      </c>
      <c r="M6" s="96"/>
      <c r="O6" s="137">
        <f>+SUM(O2:O5)</f>
        <v>1640</v>
      </c>
      <c r="P6" s="138" t="s">
        <v>1050</v>
      </c>
      <c r="Q6" s="139"/>
    </row>
    <row r="7" spans="1:19">
      <c r="A7" s="2">
        <v>44378</v>
      </c>
      <c r="B7" s="59" t="s">
        <v>1027</v>
      </c>
      <c r="C7" s="3">
        <v>2163.16</v>
      </c>
      <c r="D7" s="3"/>
      <c r="E7" s="3">
        <f t="shared" si="0"/>
        <v>65811.09</v>
      </c>
      <c r="F7" s="60">
        <v>1000</v>
      </c>
      <c r="G7" s="189"/>
      <c r="H7" s="58">
        <v>44381</v>
      </c>
      <c r="I7" s="59" t="s">
        <v>1033</v>
      </c>
      <c r="J7" s="3"/>
      <c r="K7" s="3">
        <v>15000</v>
      </c>
      <c r="L7" s="3">
        <f t="shared" si="1"/>
        <v>18370</v>
      </c>
      <c r="M7" s="60"/>
    </row>
    <row r="8" spans="1:19">
      <c r="A8" s="2">
        <v>44378</v>
      </c>
      <c r="B8" s="59" t="s">
        <v>1031</v>
      </c>
      <c r="C8" s="60">
        <v>2600</v>
      </c>
      <c r="D8" s="3"/>
      <c r="E8" s="3">
        <f t="shared" si="0"/>
        <v>63211.09</v>
      </c>
      <c r="F8" s="197"/>
      <c r="G8" s="190"/>
      <c r="H8" s="58">
        <v>44381</v>
      </c>
      <c r="I8" s="1" t="s">
        <v>1034</v>
      </c>
      <c r="J8" s="60"/>
      <c r="K8" s="60">
        <v>1500</v>
      </c>
      <c r="L8" s="3">
        <f t="shared" si="1"/>
        <v>19870</v>
      </c>
      <c r="M8" s="96"/>
    </row>
    <row r="9" spans="1:19">
      <c r="A9" s="2">
        <v>44378</v>
      </c>
      <c r="B9" s="59" t="s">
        <v>1032</v>
      </c>
      <c r="C9" s="3">
        <v>5000</v>
      </c>
      <c r="D9" s="3"/>
      <c r="E9" s="3">
        <f t="shared" si="0"/>
        <v>58211.09</v>
      </c>
      <c r="F9" s="59"/>
      <c r="G9" s="189"/>
      <c r="H9" s="2">
        <v>44380</v>
      </c>
      <c r="I9" s="98" t="s">
        <v>1038</v>
      </c>
      <c r="J9" s="3">
        <v>250</v>
      </c>
      <c r="K9" s="3"/>
      <c r="L9" s="3">
        <f t="shared" si="1"/>
        <v>19620</v>
      </c>
      <c r="M9" s="96"/>
      <c r="O9" s="218">
        <v>200</v>
      </c>
      <c r="P9" s="219" t="s">
        <v>974</v>
      </c>
      <c r="Q9" s="219"/>
      <c r="R9" s="219"/>
      <c r="S9" s="220"/>
    </row>
    <row r="10" spans="1:19">
      <c r="A10" s="58">
        <v>44381</v>
      </c>
      <c r="B10" s="1" t="s">
        <v>101</v>
      </c>
      <c r="C10" s="3">
        <v>3450.09</v>
      </c>
      <c r="D10" s="3"/>
      <c r="E10" s="3">
        <f t="shared" si="0"/>
        <v>54761</v>
      </c>
      <c r="F10" s="60"/>
      <c r="H10" s="2">
        <v>44379</v>
      </c>
      <c r="I10" s="1" t="s">
        <v>1041</v>
      </c>
      <c r="J10" s="3">
        <v>820</v>
      </c>
      <c r="K10" s="3"/>
      <c r="L10" s="3">
        <f t="shared" si="1"/>
        <v>18800</v>
      </c>
      <c r="M10" s="96"/>
      <c r="N10" s="57"/>
      <c r="O10" s="221">
        <v>310</v>
      </c>
      <c r="P10" s="108" t="s">
        <v>975</v>
      </c>
      <c r="Q10" s="108"/>
      <c r="R10" s="108"/>
      <c r="S10" s="222"/>
    </row>
    <row r="11" spans="1:19" ht="17">
      <c r="A11" s="58">
        <v>44381</v>
      </c>
      <c r="B11" s="59" t="s">
        <v>28</v>
      </c>
      <c r="C11" s="3">
        <f>+(160+124.5+210+198)</f>
        <v>692.5</v>
      </c>
      <c r="D11" s="3"/>
      <c r="E11" s="3">
        <f t="shared" si="0"/>
        <v>54068.5</v>
      </c>
      <c r="F11" s="60">
        <f>+C11/2</f>
        <v>346.25</v>
      </c>
      <c r="H11" s="2">
        <v>44378</v>
      </c>
      <c r="I11" s="109" t="s">
        <v>1042</v>
      </c>
      <c r="J11" s="60">
        <v>1300</v>
      </c>
      <c r="K11" s="3"/>
      <c r="L11" s="3">
        <f t="shared" si="1"/>
        <v>17500</v>
      </c>
      <c r="M11" s="96"/>
      <c r="N11" s="57"/>
      <c r="O11" s="221">
        <v>120</v>
      </c>
      <c r="P11" s="108" t="s">
        <v>976</v>
      </c>
      <c r="Q11" s="108"/>
      <c r="R11" s="108"/>
      <c r="S11" s="222"/>
    </row>
    <row r="12" spans="1:19">
      <c r="A12" s="58">
        <v>44381</v>
      </c>
      <c r="B12" s="59" t="s">
        <v>1035</v>
      </c>
      <c r="C12" s="60">
        <f>159.6+88</f>
        <v>247.6</v>
      </c>
      <c r="D12" s="3"/>
      <c r="E12" s="3">
        <f t="shared" si="0"/>
        <v>53820.9</v>
      </c>
      <c r="F12" s="198"/>
      <c r="G12" s="41"/>
      <c r="H12" s="2">
        <v>44378</v>
      </c>
      <c r="I12" s="1" t="s">
        <v>1043</v>
      </c>
      <c r="J12" s="3"/>
      <c r="K12" s="3">
        <v>300</v>
      </c>
      <c r="L12" s="3">
        <v>17350</v>
      </c>
      <c r="M12" s="148"/>
      <c r="N12" s="57"/>
      <c r="O12" s="221">
        <v>1000</v>
      </c>
      <c r="P12" s="108" t="s">
        <v>977</v>
      </c>
      <c r="Q12" s="108"/>
      <c r="R12" s="108"/>
      <c r="S12" s="222"/>
    </row>
    <row r="13" spans="1:19">
      <c r="A13" s="58">
        <v>44381</v>
      </c>
      <c r="B13" s="59" t="s">
        <v>1036</v>
      </c>
      <c r="C13" s="60">
        <f>73.25+157+77.17+3</f>
        <v>310.42</v>
      </c>
      <c r="D13" s="3"/>
      <c r="E13" s="3">
        <f t="shared" si="0"/>
        <v>53510.48</v>
      </c>
      <c r="F13" s="60"/>
      <c r="H13" s="2">
        <v>44385</v>
      </c>
      <c r="I13" s="59" t="s">
        <v>83</v>
      </c>
      <c r="J13" s="3">
        <v>1500</v>
      </c>
      <c r="K13" s="3"/>
      <c r="L13" s="3">
        <f t="shared" si="1"/>
        <v>15850</v>
      </c>
      <c r="M13" s="59">
        <f>+J13/2</f>
        <v>750</v>
      </c>
      <c r="O13" s="221">
        <v>1780</v>
      </c>
      <c r="P13" s="108" t="s">
        <v>83</v>
      </c>
      <c r="Q13" s="108"/>
      <c r="R13" s="108"/>
      <c r="S13" s="222"/>
    </row>
    <row r="14" spans="1:19">
      <c r="A14" s="58">
        <v>44381</v>
      </c>
      <c r="B14" s="59" t="s">
        <v>1033</v>
      </c>
      <c r="C14" s="60">
        <v>15000</v>
      </c>
      <c r="D14" s="3"/>
      <c r="E14" s="3">
        <f t="shared" si="0"/>
        <v>38510.480000000003</v>
      </c>
      <c r="F14" s="60"/>
      <c r="G14" s="57"/>
      <c r="H14" s="2">
        <v>44385</v>
      </c>
      <c r="I14" s="1" t="s">
        <v>1045</v>
      </c>
      <c r="J14" s="3">
        <v>320</v>
      </c>
      <c r="K14" s="3"/>
      <c r="L14" s="3">
        <f t="shared" si="1"/>
        <v>15530</v>
      </c>
      <c r="M14" s="96"/>
      <c r="O14" s="221">
        <v>1112.5</v>
      </c>
      <c r="P14" s="108" t="s">
        <v>984</v>
      </c>
      <c r="Q14" s="108"/>
      <c r="R14" s="108"/>
      <c r="S14" s="222"/>
    </row>
    <row r="15" spans="1:19">
      <c r="A15" s="2">
        <v>44382</v>
      </c>
      <c r="B15" s="1" t="s">
        <v>1039</v>
      </c>
      <c r="C15" s="3">
        <v>1500</v>
      </c>
      <c r="D15" s="3"/>
      <c r="E15" s="3">
        <f t="shared" si="0"/>
        <v>37010.480000000003</v>
      </c>
      <c r="F15" s="60"/>
      <c r="H15" s="2">
        <v>44385</v>
      </c>
      <c r="I15" s="1" t="s">
        <v>1046</v>
      </c>
      <c r="J15" s="3">
        <v>13700</v>
      </c>
      <c r="K15" s="3"/>
      <c r="L15" s="3">
        <f t="shared" si="1"/>
        <v>1830</v>
      </c>
      <c r="M15" s="96">
        <f>+J15/2</f>
        <v>6850</v>
      </c>
      <c r="O15" s="221">
        <v>1067.5</v>
      </c>
      <c r="P15" s="108" t="s">
        <v>985</v>
      </c>
      <c r="Q15" s="108"/>
      <c r="R15" s="108"/>
      <c r="S15" s="222"/>
    </row>
    <row r="16" spans="1:19">
      <c r="A16" s="2">
        <v>44382</v>
      </c>
      <c r="B16" s="59" t="s">
        <v>1040</v>
      </c>
      <c r="C16" s="60"/>
      <c r="D16" s="60">
        <v>410</v>
      </c>
      <c r="E16" s="3">
        <f t="shared" si="0"/>
        <v>37420.480000000003</v>
      </c>
      <c r="F16" s="60"/>
      <c r="H16" s="58">
        <v>44384</v>
      </c>
      <c r="I16" s="1" t="s">
        <v>1047</v>
      </c>
      <c r="J16" s="3">
        <v>1000</v>
      </c>
      <c r="K16" s="1"/>
      <c r="L16" s="3">
        <f t="shared" si="1"/>
        <v>830</v>
      </c>
      <c r="M16" s="60">
        <f>+J16/2</f>
        <v>500</v>
      </c>
      <c r="O16" s="221">
        <v>200</v>
      </c>
      <c r="P16" s="108" t="s">
        <v>993</v>
      </c>
      <c r="Q16" s="108"/>
      <c r="R16" s="108"/>
      <c r="S16" s="222"/>
    </row>
    <row r="17" spans="1:19">
      <c r="A17" s="2">
        <v>44385</v>
      </c>
      <c r="B17" s="59" t="s">
        <v>83</v>
      </c>
      <c r="C17" s="60">
        <v>3150</v>
      </c>
      <c r="D17" s="3"/>
      <c r="E17" s="3">
        <f t="shared" si="0"/>
        <v>34270.480000000003</v>
      </c>
      <c r="F17" s="60">
        <f>+C17/2</f>
        <v>1575</v>
      </c>
      <c r="H17" s="58">
        <v>44384</v>
      </c>
      <c r="I17" s="1" t="s">
        <v>892</v>
      </c>
      <c r="J17" s="10">
        <v>830</v>
      </c>
      <c r="K17" s="3"/>
      <c r="L17" s="3">
        <f t="shared" si="1"/>
        <v>0</v>
      </c>
      <c r="M17" s="96">
        <f>+J17/2</f>
        <v>415</v>
      </c>
      <c r="O17" s="221">
        <v>862.5</v>
      </c>
      <c r="P17" s="108" t="s">
        <v>999</v>
      </c>
      <c r="Q17" s="108"/>
      <c r="R17" s="108"/>
      <c r="S17" s="222"/>
    </row>
    <row r="18" spans="1:19">
      <c r="A18" s="2">
        <v>44386</v>
      </c>
      <c r="B18" s="59" t="s">
        <v>1044</v>
      </c>
      <c r="C18" s="60">
        <v>4000</v>
      </c>
      <c r="D18" s="3"/>
      <c r="E18" s="3">
        <f t="shared" si="0"/>
        <v>30270.480000000003</v>
      </c>
      <c r="F18" s="60"/>
      <c r="H18" s="58">
        <v>44391</v>
      </c>
      <c r="I18" s="59" t="s">
        <v>1071</v>
      </c>
      <c r="J18" s="3"/>
      <c r="K18" s="3">
        <v>25000</v>
      </c>
      <c r="L18" s="3">
        <f>+L17-J18+K18</f>
        <v>25000</v>
      </c>
      <c r="M18" s="60"/>
      <c r="N18" s="57"/>
      <c r="O18" s="221">
        <v>500</v>
      </c>
      <c r="P18" s="108" t="s">
        <v>1000</v>
      </c>
      <c r="Q18" s="108"/>
      <c r="R18" s="108"/>
      <c r="S18" s="222"/>
    </row>
    <row r="19" spans="1:19">
      <c r="A19" s="58">
        <v>44388</v>
      </c>
      <c r="B19" s="59" t="s">
        <v>1059</v>
      </c>
      <c r="C19" s="60">
        <v>1640</v>
      </c>
      <c r="D19" s="159"/>
      <c r="E19" s="3">
        <f t="shared" si="0"/>
        <v>28630.480000000003</v>
      </c>
      <c r="F19" s="59"/>
      <c r="H19" s="58">
        <v>44393</v>
      </c>
      <c r="I19" s="1" t="s">
        <v>1051</v>
      </c>
      <c r="J19" s="3">
        <v>170</v>
      </c>
      <c r="K19" s="3"/>
      <c r="L19" s="3">
        <f t="shared" ref="L19:L28" si="2">+L18-J19+K19</f>
        <v>24830</v>
      </c>
      <c r="M19" s="37"/>
      <c r="O19" s="221">
        <v>497.5</v>
      </c>
      <c r="P19" s="108" t="s">
        <v>1001</v>
      </c>
      <c r="Q19" s="108"/>
      <c r="R19" s="108"/>
      <c r="S19" s="222"/>
    </row>
    <row r="20" spans="1:19">
      <c r="A20" s="58">
        <v>44391</v>
      </c>
      <c r="B20" s="1" t="s">
        <v>1060</v>
      </c>
      <c r="C20" s="10"/>
      <c r="D20" s="3">
        <v>19550</v>
      </c>
      <c r="E20" s="3">
        <f t="shared" si="0"/>
        <v>48180.480000000003</v>
      </c>
      <c r="F20" s="60"/>
      <c r="H20" s="58">
        <v>44393</v>
      </c>
      <c r="I20" s="6" t="s">
        <v>1052</v>
      </c>
      <c r="J20" s="3">
        <v>3500</v>
      </c>
      <c r="K20" s="3"/>
      <c r="L20" s="3">
        <f t="shared" si="2"/>
        <v>21330</v>
      </c>
      <c r="M20" s="60"/>
      <c r="O20" s="221">
        <v>910</v>
      </c>
      <c r="P20" s="108" t="s">
        <v>1019</v>
      </c>
      <c r="Q20" s="108"/>
      <c r="R20" s="108"/>
      <c r="S20" s="222"/>
    </row>
    <row r="21" spans="1:19">
      <c r="A21" s="58">
        <v>44391</v>
      </c>
      <c r="B21" s="59" t="s">
        <v>1061</v>
      </c>
      <c r="C21" s="60">
        <v>15000</v>
      </c>
      <c r="D21" s="3"/>
      <c r="E21" s="3">
        <f t="shared" si="0"/>
        <v>33180.480000000003</v>
      </c>
      <c r="F21" s="59"/>
      <c r="H21" s="58">
        <v>44393</v>
      </c>
      <c r="I21" s="1" t="s">
        <v>1053</v>
      </c>
      <c r="J21" s="3">
        <v>12000</v>
      </c>
      <c r="K21" s="3"/>
      <c r="L21" s="3">
        <f t="shared" si="2"/>
        <v>9330</v>
      </c>
      <c r="M21" s="60"/>
      <c r="O21" s="221">
        <v>785</v>
      </c>
      <c r="P21" s="108" t="s">
        <v>1024</v>
      </c>
      <c r="Q21" s="108"/>
      <c r="R21" s="108"/>
      <c r="S21" s="222"/>
    </row>
    <row r="22" spans="1:19">
      <c r="A22" s="58">
        <v>44391</v>
      </c>
      <c r="B22" s="59" t="s">
        <v>1061</v>
      </c>
      <c r="C22" s="37">
        <v>10000</v>
      </c>
      <c r="D22" s="60"/>
      <c r="E22" s="3">
        <f t="shared" si="0"/>
        <v>23180.480000000003</v>
      </c>
      <c r="F22" s="60"/>
      <c r="H22" s="58">
        <v>44393</v>
      </c>
      <c r="I22" s="1" t="s">
        <v>1054</v>
      </c>
      <c r="J22" s="60">
        <v>990</v>
      </c>
      <c r="K22" s="3"/>
      <c r="L22" s="3">
        <f t="shared" si="2"/>
        <v>8340</v>
      </c>
      <c r="M22" s="60"/>
      <c r="O22" s="221">
        <v>3250</v>
      </c>
      <c r="P22" s="108" t="s">
        <v>1023</v>
      </c>
      <c r="Q22" s="108"/>
      <c r="R22" s="108"/>
      <c r="S22" s="222"/>
    </row>
    <row r="23" spans="1:19">
      <c r="A23" s="58">
        <v>44392</v>
      </c>
      <c r="B23" s="36" t="s">
        <v>1062</v>
      </c>
      <c r="C23" s="37">
        <v>837</v>
      </c>
      <c r="D23" s="3"/>
      <c r="E23" s="3">
        <f t="shared" si="0"/>
        <v>22343.480000000003</v>
      </c>
      <c r="F23" s="193"/>
      <c r="H23" s="58">
        <v>44393</v>
      </c>
      <c r="I23" s="1" t="s">
        <v>878</v>
      </c>
      <c r="J23" s="3">
        <v>2300</v>
      </c>
      <c r="K23" s="3"/>
      <c r="L23" s="3">
        <f t="shared" si="2"/>
        <v>6040</v>
      </c>
      <c r="M23" s="96"/>
      <c r="N23" s="90"/>
      <c r="O23" s="223">
        <v>11000</v>
      </c>
      <c r="P23" s="26" t="s">
        <v>1073</v>
      </c>
      <c r="Q23" s="108"/>
      <c r="R23" s="108"/>
      <c r="S23" s="222"/>
    </row>
    <row r="24" spans="1:19">
      <c r="A24" s="58">
        <v>44393</v>
      </c>
      <c r="B24" s="1" t="s">
        <v>1063</v>
      </c>
      <c r="C24" s="60">
        <v>3300.4</v>
      </c>
      <c r="D24" s="3"/>
      <c r="E24" s="3">
        <f t="shared" si="0"/>
        <v>19043.080000000002</v>
      </c>
      <c r="F24" s="60"/>
      <c r="G24" s="41"/>
      <c r="H24" s="58">
        <v>44392</v>
      </c>
      <c r="I24" s="1" t="s">
        <v>1056</v>
      </c>
      <c r="J24" s="3">
        <v>700</v>
      </c>
      <c r="K24" s="3"/>
      <c r="L24" s="3">
        <f t="shared" si="2"/>
        <v>5340</v>
      </c>
      <c r="M24" s="60"/>
      <c r="N24" s="57"/>
      <c r="O24" s="221">
        <v>300</v>
      </c>
      <c r="P24" s="108" t="s">
        <v>1074</v>
      </c>
      <c r="Q24" s="108"/>
      <c r="R24" s="108"/>
      <c r="S24" s="222"/>
    </row>
    <row r="25" spans="1:19">
      <c r="A25" s="2">
        <v>44396</v>
      </c>
      <c r="B25" s="59" t="s">
        <v>1064</v>
      </c>
      <c r="C25" s="60">
        <v>2200</v>
      </c>
      <c r="D25" s="3"/>
      <c r="E25" s="3">
        <f t="shared" si="0"/>
        <v>16843.080000000002</v>
      </c>
      <c r="F25" s="60">
        <f>+C25/2</f>
        <v>1100</v>
      </c>
      <c r="H25" s="58">
        <v>44392</v>
      </c>
      <c r="I25" s="1" t="s">
        <v>1055</v>
      </c>
      <c r="J25" s="3">
        <v>1800</v>
      </c>
      <c r="K25" s="3"/>
      <c r="L25" s="3">
        <f t="shared" si="2"/>
        <v>3540</v>
      </c>
      <c r="M25" s="60">
        <v>900</v>
      </c>
      <c r="O25" s="221">
        <f>+SUM(O9:O24)</f>
        <v>23895</v>
      </c>
      <c r="P25" s="108" t="s">
        <v>966</v>
      </c>
      <c r="Q25" s="18"/>
      <c r="R25" s="18"/>
      <c r="S25" s="222"/>
    </row>
    <row r="26" spans="1:19">
      <c r="A26" s="2">
        <v>44396</v>
      </c>
      <c r="B26" s="1" t="s">
        <v>1065</v>
      </c>
      <c r="C26" s="3">
        <v>515</v>
      </c>
      <c r="D26" s="3"/>
      <c r="E26" s="3">
        <f t="shared" si="0"/>
        <v>16328.080000000002</v>
      </c>
      <c r="F26" s="36"/>
      <c r="H26" s="58">
        <v>44392</v>
      </c>
      <c r="I26" s="1" t="s">
        <v>1057</v>
      </c>
      <c r="J26" s="60">
        <v>440</v>
      </c>
      <c r="K26" s="3"/>
      <c r="L26" s="3">
        <f t="shared" si="2"/>
        <v>3100</v>
      </c>
      <c r="M26" s="60"/>
      <c r="O26" s="223"/>
      <c r="P26" s="18"/>
      <c r="Q26" s="18"/>
      <c r="R26" s="18"/>
      <c r="S26" s="222"/>
    </row>
    <row r="27" spans="1:19">
      <c r="A27" s="2">
        <v>44397</v>
      </c>
      <c r="B27" s="1" t="s">
        <v>1066</v>
      </c>
      <c r="C27" s="3"/>
      <c r="D27" s="3">
        <v>0.28000000000000003</v>
      </c>
      <c r="E27" s="3">
        <f t="shared" si="0"/>
        <v>16328.360000000002</v>
      </c>
      <c r="F27" s="6"/>
      <c r="H27" s="58">
        <v>44392</v>
      </c>
      <c r="I27" s="1" t="s">
        <v>1058</v>
      </c>
      <c r="J27" s="3">
        <v>1000</v>
      </c>
      <c r="K27" s="3"/>
      <c r="L27" s="3">
        <f t="shared" si="2"/>
        <v>2100</v>
      </c>
      <c r="M27" s="60">
        <v>300</v>
      </c>
      <c r="O27" s="221">
        <v>-2100</v>
      </c>
      <c r="P27" s="108" t="s">
        <v>1017</v>
      </c>
      <c r="Q27" s="108"/>
      <c r="R27" s="108"/>
      <c r="S27" s="222"/>
    </row>
    <row r="28" spans="1:19">
      <c r="A28" s="63">
        <v>44399</v>
      </c>
      <c r="B28" s="6" t="s">
        <v>101</v>
      </c>
      <c r="C28" s="10">
        <v>4350</v>
      </c>
      <c r="D28" s="10"/>
      <c r="E28" s="3">
        <f t="shared" si="0"/>
        <v>11978.360000000002</v>
      </c>
      <c r="F28" s="147"/>
      <c r="H28" s="2">
        <v>44397</v>
      </c>
      <c r="I28" s="1" t="s">
        <v>1072</v>
      </c>
      <c r="J28" s="3">
        <v>1000</v>
      </c>
      <c r="K28" s="3"/>
      <c r="L28" s="3">
        <f t="shared" si="2"/>
        <v>1100</v>
      </c>
      <c r="M28" s="60"/>
      <c r="O28" s="221">
        <f>-SUM(F6:F18)-SUM(M5:M32)+F25</f>
        <v>-12211.25</v>
      </c>
      <c r="P28" s="108" t="s">
        <v>1048</v>
      </c>
      <c r="Q28" s="108"/>
      <c r="R28" s="108"/>
      <c r="S28" s="222"/>
    </row>
    <row r="29" spans="1:19">
      <c r="A29" s="63">
        <v>44399</v>
      </c>
      <c r="B29" s="59" t="s">
        <v>1067</v>
      </c>
      <c r="C29" s="37">
        <v>680</v>
      </c>
      <c r="D29" s="10"/>
      <c r="E29" s="3">
        <f t="shared" si="0"/>
        <v>11298.360000000002</v>
      </c>
      <c r="F29" s="37">
        <f>+C29/2</f>
        <v>340</v>
      </c>
      <c r="H29" s="2">
        <v>44399</v>
      </c>
      <c r="I29" s="6" t="s">
        <v>554</v>
      </c>
      <c r="J29" s="3"/>
      <c r="K29" s="3"/>
      <c r="L29" s="3">
        <v>0</v>
      </c>
      <c r="M29" s="60"/>
      <c r="O29" s="221">
        <f>+SUM(O27:O28)</f>
        <v>-14311.25</v>
      </c>
      <c r="P29" s="108" t="s">
        <v>1025</v>
      </c>
      <c r="Q29" s="108"/>
      <c r="R29" s="108"/>
      <c r="S29" s="222"/>
    </row>
    <row r="30" spans="1:19">
      <c r="A30" s="63">
        <v>44399</v>
      </c>
      <c r="B30" s="59" t="s">
        <v>1068</v>
      </c>
      <c r="C30" s="60">
        <v>2900</v>
      </c>
      <c r="D30" s="3"/>
      <c r="E30" s="3">
        <f t="shared" si="0"/>
        <v>8398.3600000000024</v>
      </c>
      <c r="F30" s="1"/>
      <c r="H30" s="2">
        <v>44400</v>
      </c>
      <c r="I30" s="1" t="s">
        <v>1076</v>
      </c>
      <c r="J30" s="1"/>
      <c r="K30" s="3">
        <v>3000</v>
      </c>
      <c r="L30" s="3">
        <f>+L29+K30-J30</f>
        <v>3000</v>
      </c>
      <c r="M30" s="194" t="s">
        <v>1075</v>
      </c>
      <c r="N30" s="41"/>
      <c r="O30" s="221"/>
      <c r="P30" s="108"/>
      <c r="Q30" s="108"/>
      <c r="R30" s="108"/>
      <c r="S30" s="222"/>
    </row>
    <row r="31" spans="1:19">
      <c r="A31" s="63">
        <v>44399</v>
      </c>
      <c r="B31" s="59" t="s">
        <v>1069</v>
      </c>
      <c r="C31" s="60">
        <f>7290-C30</f>
        <v>4390</v>
      </c>
      <c r="D31" s="3"/>
      <c r="E31" s="3">
        <v>4102.03</v>
      </c>
      <c r="F31" s="59"/>
      <c r="H31" s="2">
        <v>44400</v>
      </c>
      <c r="I31" s="1" t="s">
        <v>1077</v>
      </c>
      <c r="J31" s="1"/>
      <c r="K31" s="3">
        <v>170</v>
      </c>
      <c r="L31" s="3">
        <f t="shared" ref="L31:L51" si="3">+L30+K31-J31</f>
        <v>3170</v>
      </c>
      <c r="M31" s="60"/>
      <c r="O31" s="221">
        <f>+O25+O29</f>
        <v>9583.75</v>
      </c>
      <c r="P31" s="108" t="s">
        <v>1080</v>
      </c>
      <c r="Q31" s="108"/>
      <c r="R31" s="108"/>
      <c r="S31" s="222"/>
    </row>
    <row r="32" spans="1:19">
      <c r="A32" s="196">
        <v>44399</v>
      </c>
      <c r="B32" s="59" t="s">
        <v>1070</v>
      </c>
      <c r="C32" s="60">
        <v>1450</v>
      </c>
      <c r="D32" s="3"/>
      <c r="E32" s="3">
        <f t="shared" si="0"/>
        <v>2652.0299999999997</v>
      </c>
      <c r="F32" s="59"/>
      <c r="H32" s="2">
        <v>44400</v>
      </c>
      <c r="I32" s="1" t="s">
        <v>1079</v>
      </c>
      <c r="J32" s="3"/>
      <c r="K32" s="3">
        <v>4390</v>
      </c>
      <c r="L32" s="3">
        <f t="shared" si="3"/>
        <v>7560</v>
      </c>
      <c r="M32" s="76"/>
      <c r="O32" s="223">
        <f>-J33</f>
        <v>-2950</v>
      </c>
      <c r="P32" s="108" t="s">
        <v>1081</v>
      </c>
      <c r="Q32" s="18"/>
      <c r="R32" s="18"/>
      <c r="S32" s="222"/>
    </row>
    <row r="33" spans="1:19">
      <c r="A33" s="2">
        <v>44400</v>
      </c>
      <c r="B33" s="6" t="s">
        <v>1078</v>
      </c>
      <c r="C33" s="3">
        <v>700</v>
      </c>
      <c r="D33" s="3"/>
      <c r="E33" s="3">
        <f t="shared" si="0"/>
        <v>1952.0299999999997</v>
      </c>
      <c r="F33" s="60">
        <v>175</v>
      </c>
      <c r="H33" s="2">
        <v>44401</v>
      </c>
      <c r="I33" s="1" t="s">
        <v>1081</v>
      </c>
      <c r="J33" s="3">
        <f>+K32-1440</f>
        <v>2950</v>
      </c>
      <c r="K33" s="3"/>
      <c r="L33" s="3">
        <f t="shared" si="3"/>
        <v>4610</v>
      </c>
      <c r="M33" s="60"/>
      <c r="O33" s="224">
        <f>+O31+O32</f>
        <v>6633.75</v>
      </c>
      <c r="P33" s="18"/>
      <c r="Q33" s="18"/>
      <c r="R33" s="18"/>
      <c r="S33" s="222"/>
    </row>
    <row r="34" spans="1:19">
      <c r="A34" s="2">
        <v>44400</v>
      </c>
      <c r="B34" s="6" t="s">
        <v>1083</v>
      </c>
      <c r="C34" s="3"/>
      <c r="D34" s="3">
        <v>1675</v>
      </c>
      <c r="E34" s="3">
        <f t="shared" si="0"/>
        <v>3627.0299999999997</v>
      </c>
      <c r="F34" s="59"/>
      <c r="H34" s="2">
        <v>44401</v>
      </c>
      <c r="I34" s="1" t="s">
        <v>1084</v>
      </c>
      <c r="J34" s="3"/>
      <c r="K34" s="3">
        <v>2000</v>
      </c>
      <c r="L34" s="3">
        <f t="shared" si="3"/>
        <v>6610</v>
      </c>
      <c r="M34" s="60"/>
      <c r="O34" s="221">
        <v>910.5</v>
      </c>
      <c r="P34" s="26" t="s">
        <v>1102</v>
      </c>
      <c r="Q34" s="108"/>
      <c r="R34" s="108"/>
      <c r="S34" s="222"/>
    </row>
    <row r="35" spans="1:19">
      <c r="A35" s="2">
        <v>44400</v>
      </c>
      <c r="B35" s="6" t="s">
        <v>1082</v>
      </c>
      <c r="C35" s="3">
        <v>499.28</v>
      </c>
      <c r="D35" s="3"/>
      <c r="E35" s="3">
        <f t="shared" si="0"/>
        <v>3127.75</v>
      </c>
      <c r="F35" s="59"/>
      <c r="H35" s="2">
        <v>44400</v>
      </c>
      <c r="I35" s="1" t="s">
        <v>1085</v>
      </c>
      <c r="J35" s="3">
        <v>300</v>
      </c>
      <c r="K35" s="3"/>
      <c r="L35" s="3">
        <f t="shared" si="3"/>
        <v>6310</v>
      </c>
      <c r="M35" s="60"/>
      <c r="O35" s="221">
        <v>425</v>
      </c>
      <c r="P35" s="26" t="s">
        <v>1103</v>
      </c>
      <c r="Q35" s="108"/>
      <c r="R35" s="108"/>
      <c r="S35" s="222"/>
    </row>
    <row r="36" spans="1:19">
      <c r="A36" s="2">
        <v>44400</v>
      </c>
      <c r="B36" s="6" t="s">
        <v>1082</v>
      </c>
      <c r="C36" s="3">
        <v>104.85</v>
      </c>
      <c r="D36" s="3"/>
      <c r="E36" s="3">
        <f t="shared" si="0"/>
        <v>3022.9</v>
      </c>
      <c r="F36" s="59"/>
      <c r="H36" s="2">
        <v>44400</v>
      </c>
      <c r="I36" s="1" t="s">
        <v>1086</v>
      </c>
      <c r="J36" s="3">
        <v>600</v>
      </c>
      <c r="K36" s="3"/>
      <c r="L36" s="3">
        <f t="shared" si="3"/>
        <v>5710</v>
      </c>
      <c r="M36" s="60">
        <f>+J36/2</f>
        <v>300</v>
      </c>
      <c r="O36" s="221">
        <v>313</v>
      </c>
      <c r="P36" s="26" t="s">
        <v>1104</v>
      </c>
      <c r="Q36" s="108"/>
      <c r="R36" s="108"/>
      <c r="S36" s="222"/>
    </row>
    <row r="37" spans="1:19">
      <c r="A37" s="199">
        <v>44403</v>
      </c>
      <c r="B37" s="200" t="s">
        <v>1087</v>
      </c>
      <c r="C37" s="201"/>
      <c r="D37" s="201">
        <v>1675</v>
      </c>
      <c r="E37" s="201">
        <f t="shared" si="0"/>
        <v>4697.8999999999996</v>
      </c>
      <c r="F37" s="29"/>
      <c r="H37" s="114">
        <v>44404</v>
      </c>
      <c r="I37" s="6" t="s">
        <v>83</v>
      </c>
      <c r="J37" s="3">
        <v>5600</v>
      </c>
      <c r="K37" s="3"/>
      <c r="L37" s="3">
        <f t="shared" si="3"/>
        <v>110</v>
      </c>
      <c r="M37" s="60">
        <f>+J37/2</f>
        <v>2800</v>
      </c>
      <c r="N37" s="57"/>
      <c r="O37" s="221">
        <v>-250</v>
      </c>
      <c r="P37" s="26" t="s">
        <v>1106</v>
      </c>
      <c r="Q37" s="108"/>
      <c r="R37" s="108"/>
      <c r="S37" s="222"/>
    </row>
    <row r="38" spans="1:19">
      <c r="A38" s="208">
        <v>44406</v>
      </c>
      <c r="B38" s="202" t="s">
        <v>1088</v>
      </c>
      <c r="C38" s="203">
        <v>1220</v>
      </c>
      <c r="D38" s="203"/>
      <c r="E38" s="203">
        <f t="shared" si="0"/>
        <v>3477.8999999999996</v>
      </c>
      <c r="F38" s="202"/>
      <c r="H38" s="212"/>
      <c r="I38" s="12"/>
      <c r="J38" s="13"/>
      <c r="K38" s="13"/>
      <c r="L38" s="13">
        <f t="shared" si="3"/>
        <v>110</v>
      </c>
      <c r="M38" s="215"/>
      <c r="O38" s="221">
        <v>450</v>
      </c>
      <c r="P38" s="26" t="s">
        <v>1105</v>
      </c>
      <c r="Q38" s="108"/>
      <c r="R38" s="108"/>
      <c r="S38" s="222"/>
    </row>
    <row r="39" spans="1:19">
      <c r="A39" s="209"/>
      <c r="B39" s="209"/>
      <c r="C39" s="210"/>
      <c r="D39" s="210"/>
      <c r="E39" s="210">
        <f t="shared" si="0"/>
        <v>3477.8999999999996</v>
      </c>
      <c r="F39" s="211"/>
      <c r="G39" s="195"/>
      <c r="H39" s="212"/>
      <c r="I39" s="214"/>
      <c r="J39" s="215"/>
      <c r="K39" s="215"/>
      <c r="L39" s="13">
        <f t="shared" si="3"/>
        <v>110</v>
      </c>
      <c r="M39" s="213"/>
      <c r="O39" s="229">
        <v>-900</v>
      </c>
      <c r="P39" s="108" t="s">
        <v>1107</v>
      </c>
      <c r="Q39" s="108"/>
      <c r="R39" s="108"/>
      <c r="S39" s="222"/>
    </row>
    <row r="40" spans="1:19">
      <c r="A40" s="209"/>
      <c r="B40" s="209"/>
      <c r="C40" s="210"/>
      <c r="D40" s="210"/>
      <c r="E40" s="210">
        <f t="shared" si="0"/>
        <v>3477.8999999999996</v>
      </c>
      <c r="F40" s="211"/>
      <c r="G40" s="195"/>
      <c r="H40" s="2"/>
      <c r="I40" s="1"/>
      <c r="J40" s="3"/>
      <c r="K40" s="3"/>
      <c r="L40" s="3">
        <f t="shared" si="3"/>
        <v>110</v>
      </c>
      <c r="M40" s="64"/>
      <c r="O40" s="221">
        <v>-250</v>
      </c>
      <c r="P40" s="108" t="s">
        <v>1108</v>
      </c>
      <c r="Q40" s="108"/>
      <c r="R40" s="108"/>
      <c r="S40" s="222"/>
    </row>
    <row r="41" spans="1:19">
      <c r="A41" s="202"/>
      <c r="B41" s="202"/>
      <c r="C41" s="203"/>
      <c r="D41" s="203"/>
      <c r="E41" s="203">
        <f t="shared" si="0"/>
        <v>3477.8999999999996</v>
      </c>
      <c r="F41" s="204"/>
      <c r="G41" s="195"/>
      <c r="H41" s="2"/>
      <c r="I41" s="1"/>
      <c r="J41" s="3"/>
      <c r="K41" s="3"/>
      <c r="L41" s="3">
        <f t="shared" si="3"/>
        <v>110</v>
      </c>
      <c r="M41" s="126"/>
      <c r="N41" s="57"/>
      <c r="O41" s="223">
        <f>-M36-M37-F33</f>
        <v>-3275</v>
      </c>
      <c r="P41" s="26" t="s">
        <v>1109</v>
      </c>
      <c r="Q41" s="18"/>
      <c r="R41" s="18"/>
      <c r="S41" s="222"/>
    </row>
    <row r="42" spans="1:19">
      <c r="A42" s="202"/>
      <c r="B42" s="202"/>
      <c r="C42" s="203"/>
      <c r="D42" s="203"/>
      <c r="E42" s="203">
        <f t="shared" si="0"/>
        <v>3477.8999999999996</v>
      </c>
      <c r="F42" s="204"/>
      <c r="G42" s="195"/>
      <c r="H42" s="2"/>
      <c r="I42" s="1"/>
      <c r="J42" s="3"/>
      <c r="K42" s="3"/>
      <c r="L42" s="3">
        <f t="shared" si="3"/>
        <v>110</v>
      </c>
      <c r="M42" s="127"/>
      <c r="O42" s="225">
        <f>+SUM(O33:O41)</f>
        <v>4057.25</v>
      </c>
      <c r="P42" s="226" t="s">
        <v>1110</v>
      </c>
      <c r="Q42" s="227"/>
      <c r="R42" s="227"/>
      <c r="S42" s="228"/>
    </row>
    <row r="43" spans="1:19">
      <c r="A43" s="202"/>
      <c r="B43" s="202"/>
      <c r="C43" s="203"/>
      <c r="D43" s="203"/>
      <c r="E43" s="203">
        <f t="shared" si="0"/>
        <v>3477.8999999999996</v>
      </c>
      <c r="F43" s="204"/>
      <c r="G43" s="195"/>
      <c r="H43" s="2"/>
      <c r="I43" s="6"/>
      <c r="J43" s="3"/>
      <c r="K43" s="3"/>
      <c r="L43" s="3">
        <f t="shared" si="3"/>
        <v>110</v>
      </c>
      <c r="M43" s="44"/>
      <c r="O43" s="230">
        <f>-'Agosto 2021'!F14-'Agosto 2021'!F17</f>
        <v>-1432.5</v>
      </c>
      <c r="P43" s="231" t="s">
        <v>1111</v>
      </c>
      <c r="Q43" s="232"/>
      <c r="R43" s="232"/>
      <c r="S43" s="233"/>
    </row>
    <row r="44" spans="1:19">
      <c r="A44" s="202"/>
      <c r="B44" s="202"/>
      <c r="C44" s="203"/>
      <c r="D44" s="203"/>
      <c r="E44" s="203">
        <f t="shared" si="0"/>
        <v>3477.8999999999996</v>
      </c>
      <c r="F44" s="202"/>
      <c r="H44" s="2"/>
      <c r="I44" s="6"/>
      <c r="J44" s="3"/>
      <c r="K44" s="3"/>
      <c r="L44" s="3">
        <f t="shared" si="3"/>
        <v>110</v>
      </c>
      <c r="M44" s="76"/>
      <c r="O44" s="225">
        <f>+O42+O43</f>
        <v>2624.75</v>
      </c>
      <c r="P44" s="226" t="s">
        <v>1112</v>
      </c>
      <c r="Q44" s="227"/>
      <c r="R44" s="227"/>
      <c r="S44" s="228"/>
    </row>
    <row r="45" spans="1:19">
      <c r="A45" s="202"/>
      <c r="B45" s="202"/>
      <c r="C45" s="203"/>
      <c r="D45" s="203"/>
      <c r="E45" s="203">
        <f t="shared" si="0"/>
        <v>3477.8999999999996</v>
      </c>
      <c r="F45" s="205"/>
      <c r="G45" s="92"/>
      <c r="H45" s="2"/>
      <c r="I45" s="1"/>
      <c r="J45" s="3"/>
      <c r="K45" s="3"/>
      <c r="L45" s="3">
        <f t="shared" si="3"/>
        <v>110</v>
      </c>
      <c r="M45" s="1"/>
    </row>
    <row r="46" spans="1:19">
      <c r="A46" s="202"/>
      <c r="B46" s="202"/>
      <c r="C46" s="203"/>
      <c r="D46" s="203"/>
      <c r="E46" s="203">
        <f t="shared" si="0"/>
        <v>3477.8999999999996</v>
      </c>
      <c r="F46" s="206"/>
      <c r="G46" s="92"/>
      <c r="H46" s="2"/>
      <c r="I46" s="1"/>
      <c r="J46" s="3"/>
      <c r="K46" s="3"/>
      <c r="L46" s="3">
        <f t="shared" si="3"/>
        <v>110</v>
      </c>
      <c r="M46" s="1"/>
    </row>
    <row r="47" spans="1:19">
      <c r="A47" s="202"/>
      <c r="B47" s="202"/>
      <c r="C47" s="203"/>
      <c r="D47" s="203"/>
      <c r="E47" s="203">
        <f t="shared" si="0"/>
        <v>3477.8999999999996</v>
      </c>
      <c r="F47" s="206"/>
      <c r="G47" s="92"/>
      <c r="H47" s="2"/>
      <c r="I47" s="1"/>
      <c r="J47" s="3"/>
      <c r="K47" s="3"/>
      <c r="L47" s="3">
        <f t="shared" si="3"/>
        <v>110</v>
      </c>
      <c r="M47" s="64"/>
      <c r="N47" s="83"/>
    </row>
    <row r="48" spans="1:19">
      <c r="A48" s="202"/>
      <c r="B48" s="202"/>
      <c r="C48" s="203"/>
      <c r="D48" s="203"/>
      <c r="E48" s="203">
        <f t="shared" si="0"/>
        <v>3477.8999999999996</v>
      </c>
      <c r="F48" s="203"/>
      <c r="H48" s="2"/>
      <c r="I48" s="1"/>
      <c r="J48" s="3"/>
      <c r="K48" s="3"/>
      <c r="L48" s="3">
        <f t="shared" si="3"/>
        <v>110</v>
      </c>
      <c r="M48" s="1"/>
    </row>
    <row r="49" spans="1:14">
      <c r="A49" s="202"/>
      <c r="B49" s="202"/>
      <c r="C49" s="203"/>
      <c r="D49" s="203"/>
      <c r="E49" s="203">
        <f t="shared" si="0"/>
        <v>3477.8999999999996</v>
      </c>
      <c r="F49" s="207"/>
      <c r="H49" s="2"/>
      <c r="I49" s="1"/>
      <c r="J49" s="3"/>
      <c r="K49" s="3"/>
      <c r="L49" s="3">
        <f t="shared" si="3"/>
        <v>110</v>
      </c>
      <c r="M49" s="44"/>
    </row>
    <row r="50" spans="1:14">
      <c r="A50" s="202"/>
      <c r="B50" s="202"/>
      <c r="C50" s="203"/>
      <c r="D50" s="203"/>
      <c r="E50" s="203">
        <f t="shared" si="0"/>
        <v>3477.8999999999996</v>
      </c>
      <c r="F50" s="202"/>
      <c r="H50" s="2"/>
      <c r="I50" s="1"/>
      <c r="J50" s="3"/>
      <c r="K50" s="3"/>
      <c r="L50" s="3">
        <f t="shared" si="3"/>
        <v>110</v>
      </c>
      <c r="M50" s="1"/>
    </row>
    <row r="51" spans="1:14">
      <c r="A51" s="202"/>
      <c r="B51" s="202"/>
      <c r="C51" s="203"/>
      <c r="D51" s="203"/>
      <c r="E51" s="203">
        <f t="shared" si="0"/>
        <v>3477.8999999999996</v>
      </c>
      <c r="F51" s="202"/>
      <c r="H51" s="2"/>
      <c r="I51" s="1"/>
      <c r="J51" s="3"/>
      <c r="K51" s="3"/>
      <c r="L51" s="3">
        <f t="shared" si="3"/>
        <v>110</v>
      </c>
      <c r="M51" s="1"/>
    </row>
    <row r="52" spans="1:14">
      <c r="A52" s="202"/>
      <c r="B52" s="202"/>
      <c r="C52" s="203"/>
      <c r="D52" s="203"/>
      <c r="E52" s="203">
        <f t="shared" si="0"/>
        <v>3477.8999999999996</v>
      </c>
      <c r="F52" s="202"/>
      <c r="H52" s="2"/>
      <c r="I52" s="6"/>
      <c r="J52" s="3"/>
      <c r="K52" s="3"/>
      <c r="L52" s="3">
        <f t="shared" si="1"/>
        <v>110</v>
      </c>
      <c r="M52" s="44"/>
    </row>
    <row r="53" spans="1:14">
      <c r="A53" s="202"/>
      <c r="B53" s="202"/>
      <c r="C53" s="203"/>
      <c r="D53" s="203"/>
      <c r="E53" s="203">
        <f t="shared" si="0"/>
        <v>3477.8999999999996</v>
      </c>
      <c r="F53" s="202"/>
      <c r="H53" s="2"/>
      <c r="I53" s="1"/>
      <c r="J53" s="3"/>
      <c r="K53" s="3"/>
      <c r="L53" s="3">
        <f t="shared" si="1"/>
        <v>110</v>
      </c>
      <c r="M53" s="1"/>
      <c r="N53" s="41"/>
    </row>
    <row r="54" spans="1:14">
      <c r="E54" s="33">
        <f t="shared" si="0"/>
        <v>3477.8999999999996</v>
      </c>
      <c r="H54" s="2"/>
      <c r="I54" s="1"/>
      <c r="J54" s="3"/>
      <c r="K54" s="3"/>
      <c r="L54" s="3">
        <f t="shared" si="1"/>
        <v>110</v>
      </c>
      <c r="M54" s="1"/>
    </row>
    <row r="55" spans="1:14">
      <c r="E55" s="3">
        <f t="shared" si="0"/>
        <v>3477.8999999999996</v>
      </c>
      <c r="H55" s="2"/>
      <c r="I55" s="1"/>
      <c r="J55" s="3"/>
      <c r="K55" s="3"/>
      <c r="L55" s="3">
        <f t="shared" si="1"/>
        <v>110</v>
      </c>
      <c r="M55" s="1"/>
    </row>
    <row r="56" spans="1:14">
      <c r="E56" s="3">
        <f t="shared" si="0"/>
        <v>3477.8999999999996</v>
      </c>
      <c r="H56" s="2"/>
      <c r="I56" s="1"/>
      <c r="J56" s="3"/>
      <c r="K56" s="3"/>
      <c r="L56" s="3">
        <f t="shared" si="1"/>
        <v>110</v>
      </c>
      <c r="M56" s="1"/>
    </row>
    <row r="57" spans="1:14">
      <c r="E57" s="3">
        <f t="shared" si="0"/>
        <v>3477.8999999999996</v>
      </c>
      <c r="H57" s="2"/>
      <c r="I57" s="1"/>
      <c r="J57" s="3"/>
      <c r="K57" s="3"/>
      <c r="L57" s="3">
        <f t="shared" ref="L57:L59" si="4">+L56-J57+K57</f>
        <v>110</v>
      </c>
      <c r="M57" s="1"/>
    </row>
    <row r="58" spans="1:14">
      <c r="E58" s="3">
        <f t="shared" si="0"/>
        <v>3477.8999999999996</v>
      </c>
      <c r="H58" s="2"/>
      <c r="I58" s="1"/>
      <c r="J58" s="3"/>
      <c r="K58" s="3"/>
      <c r="L58" s="3">
        <f t="shared" si="4"/>
        <v>110</v>
      </c>
      <c r="M58" s="64"/>
    </row>
    <row r="59" spans="1:14">
      <c r="E59" s="3">
        <f t="shared" si="0"/>
        <v>3477.8999999999996</v>
      </c>
      <c r="H59" s="1"/>
      <c r="I59" s="1"/>
      <c r="J59" s="3"/>
      <c r="K59" s="3"/>
      <c r="L59" s="3">
        <f t="shared" si="4"/>
        <v>110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EB6B-EBEB-E24D-9FBD-449C5BA9F903}">
  <dimension ref="A1:T1048576"/>
  <sheetViews>
    <sheetView showGridLines="0" topLeftCell="A33"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27.33203125" bestFit="1" customWidth="1"/>
    <col min="3" max="3" width="11.5" style="4" bestFit="1" customWidth="1"/>
    <col min="4" max="4" width="12.33203125" style="4" customWidth="1"/>
    <col min="5" max="5" width="13" customWidth="1"/>
    <col min="6" max="6" width="16.5" bestFit="1" customWidth="1"/>
    <col min="7" max="7" width="11.33203125" customWidth="1"/>
    <col min="8" max="8" width="7.33203125" bestFit="1" customWidth="1"/>
    <col min="9" max="9" width="35.33203125" bestFit="1" customWidth="1"/>
    <col min="10" max="11" width="12.5" bestFit="1" customWidth="1"/>
    <col min="12" max="12" width="12" bestFit="1" customWidth="1"/>
    <col min="13" max="13" width="12.83203125" customWidth="1"/>
    <col min="14" max="14" width="7.33203125" customWidth="1"/>
    <col min="15" max="15" width="17.6640625" style="4" customWidth="1"/>
    <col min="16" max="16" width="11.5" bestFit="1" customWidth="1"/>
  </cols>
  <sheetData>
    <row r="1" spans="1:17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7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7">
      <c r="A3" s="2">
        <v>44409</v>
      </c>
      <c r="B3" s="473" t="s">
        <v>144</v>
      </c>
      <c r="C3" s="474"/>
      <c r="D3" s="475"/>
      <c r="E3" s="3">
        <v>3477.9</v>
      </c>
      <c r="F3" s="31" t="s">
        <v>1089</v>
      </c>
      <c r="G3" s="32">
        <f>+D4+D8+D18</f>
        <v>67096.37</v>
      </c>
      <c r="H3" s="2">
        <v>44409</v>
      </c>
      <c r="I3" s="473" t="s">
        <v>144</v>
      </c>
      <c r="J3" s="474"/>
      <c r="K3" s="475"/>
      <c r="L3" s="3">
        <v>0</v>
      </c>
      <c r="M3" s="37"/>
      <c r="Q3" s="18"/>
    </row>
    <row r="4" spans="1:17">
      <c r="A4" s="2">
        <v>44409</v>
      </c>
      <c r="B4" s="1" t="s">
        <v>1089</v>
      </c>
      <c r="C4" s="3"/>
      <c r="D4" s="3">
        <v>35000</v>
      </c>
      <c r="E4" s="3">
        <f>+E3-C4+D4</f>
        <v>38477.9</v>
      </c>
      <c r="F4" s="44"/>
      <c r="G4" s="39" t="s">
        <v>170</v>
      </c>
      <c r="H4" s="2">
        <v>44416</v>
      </c>
      <c r="I4" s="1" t="s">
        <v>1115</v>
      </c>
      <c r="J4" s="154"/>
      <c r="K4" s="3"/>
      <c r="L4" s="3">
        <v>910</v>
      </c>
      <c r="M4" s="95"/>
      <c r="O4" s="239" t="s">
        <v>1116</v>
      </c>
      <c r="P4" s="234"/>
      <c r="Q4" s="18"/>
    </row>
    <row r="5" spans="1:17">
      <c r="A5" s="2">
        <v>44410</v>
      </c>
      <c r="B5" s="1" t="s">
        <v>1090</v>
      </c>
      <c r="C5" s="3">
        <v>1123.6500000000001</v>
      </c>
      <c r="D5" s="3"/>
      <c r="E5" s="3">
        <f t="shared" ref="E5:E59" si="0">+E4-C5+D5</f>
        <v>37354.25</v>
      </c>
      <c r="F5" s="60"/>
      <c r="G5" s="56">
        <f>+E57+L30+L58</f>
        <v>40493.81</v>
      </c>
      <c r="H5" s="2">
        <v>44416</v>
      </c>
      <c r="I5" s="1" t="s">
        <v>1120</v>
      </c>
      <c r="J5" s="3">
        <v>910</v>
      </c>
      <c r="K5" s="3"/>
      <c r="L5" s="3">
        <f t="shared" ref="L5:L32" si="1">+L4+K5-J5</f>
        <v>0</v>
      </c>
      <c r="M5" s="96"/>
      <c r="O5" s="235" t="s">
        <v>1152</v>
      </c>
      <c r="P5" s="237">
        <v>450</v>
      </c>
      <c r="Q5" s="18"/>
    </row>
    <row r="6" spans="1:17">
      <c r="A6" s="2">
        <v>44410</v>
      </c>
      <c r="B6" s="1" t="s">
        <v>1091</v>
      </c>
      <c r="C6" s="60">
        <f>1800*2</f>
        <v>3600</v>
      </c>
      <c r="D6" s="3"/>
      <c r="E6" s="3">
        <f t="shared" si="0"/>
        <v>33754.25</v>
      </c>
      <c r="F6" s="59"/>
      <c r="G6" s="41"/>
      <c r="H6" s="58">
        <v>44417</v>
      </c>
      <c r="I6" s="36" t="s">
        <v>566</v>
      </c>
      <c r="J6" s="243"/>
      <c r="K6" s="243">
        <v>15000</v>
      </c>
      <c r="L6" s="3">
        <f t="shared" si="1"/>
        <v>15000</v>
      </c>
      <c r="M6" s="96"/>
      <c r="O6" s="235" t="s">
        <v>1151</v>
      </c>
      <c r="P6" s="237">
        <v>2400</v>
      </c>
      <c r="Q6" s="18"/>
    </row>
    <row r="7" spans="1:17">
      <c r="A7" s="2">
        <v>44411</v>
      </c>
      <c r="B7" s="59" t="s">
        <v>1092</v>
      </c>
      <c r="C7" s="3">
        <v>965.28</v>
      </c>
      <c r="D7" s="3"/>
      <c r="E7" s="3">
        <f t="shared" si="0"/>
        <v>32788.97</v>
      </c>
      <c r="F7" s="60"/>
      <c r="G7" s="189"/>
      <c r="H7" s="58"/>
      <c r="I7" s="59" t="s">
        <v>1123</v>
      </c>
      <c r="J7" s="60">
        <v>3250</v>
      </c>
      <c r="K7" s="3"/>
      <c r="L7" s="3">
        <f t="shared" si="1"/>
        <v>11750</v>
      </c>
      <c r="M7" s="60"/>
      <c r="O7" s="235" t="s">
        <v>1142</v>
      </c>
      <c r="P7" s="237">
        <v>420</v>
      </c>
      <c r="Q7" s="18"/>
    </row>
    <row r="8" spans="1:17">
      <c r="A8" s="2">
        <v>44411</v>
      </c>
      <c r="B8" s="1" t="s">
        <v>1089</v>
      </c>
      <c r="C8" s="60"/>
      <c r="D8" s="3">
        <v>22096.37</v>
      </c>
      <c r="E8" s="3">
        <f t="shared" si="0"/>
        <v>54885.34</v>
      </c>
      <c r="F8" s="197"/>
      <c r="G8" s="190"/>
      <c r="H8" s="58">
        <v>44417</v>
      </c>
      <c r="I8" s="1" t="s">
        <v>1124</v>
      </c>
      <c r="J8" s="60">
        <v>7750</v>
      </c>
      <c r="K8" s="60"/>
      <c r="L8" s="3">
        <f t="shared" si="1"/>
        <v>4000</v>
      </c>
      <c r="M8" s="96"/>
      <c r="O8" s="236"/>
      <c r="P8" s="238"/>
    </row>
    <row r="9" spans="1:17">
      <c r="A9" s="2">
        <v>44411</v>
      </c>
      <c r="B9" s="59" t="s">
        <v>1094</v>
      </c>
      <c r="C9" s="3">
        <v>3500</v>
      </c>
      <c r="D9" s="3"/>
      <c r="E9" s="3">
        <f t="shared" si="0"/>
        <v>51385.34</v>
      </c>
      <c r="F9" s="59"/>
      <c r="G9" s="189"/>
      <c r="H9" s="2">
        <v>44420</v>
      </c>
      <c r="I9" s="98" t="s">
        <v>1125</v>
      </c>
      <c r="J9" s="3">
        <v>1250</v>
      </c>
      <c r="K9" s="3"/>
      <c r="L9" s="3">
        <f t="shared" si="1"/>
        <v>2750</v>
      </c>
      <c r="M9" s="96"/>
      <c r="O9" s="241" t="s">
        <v>47</v>
      </c>
      <c r="P9" s="240">
        <f>+SUM(P5:P8)</f>
        <v>3270</v>
      </c>
    </row>
    <row r="10" spans="1:17">
      <c r="A10" s="2">
        <v>44411</v>
      </c>
      <c r="B10" s="1" t="s">
        <v>1093</v>
      </c>
      <c r="C10" s="3">
        <v>3200</v>
      </c>
      <c r="D10" s="3"/>
      <c r="E10" s="3">
        <f t="shared" si="0"/>
        <v>48185.34</v>
      </c>
      <c r="F10" s="60"/>
      <c r="H10" s="2">
        <v>44419</v>
      </c>
      <c r="I10" s="216" t="s">
        <v>1126</v>
      </c>
      <c r="J10" s="217">
        <v>450</v>
      </c>
      <c r="K10" s="3"/>
      <c r="L10" s="3">
        <f t="shared" si="1"/>
        <v>2300</v>
      </c>
      <c r="M10" s="96"/>
      <c r="N10" s="57"/>
    </row>
    <row r="11" spans="1:17" ht="17">
      <c r="A11" s="2">
        <v>44411</v>
      </c>
      <c r="B11" s="59" t="s">
        <v>1095</v>
      </c>
      <c r="C11" s="3">
        <v>5000</v>
      </c>
      <c r="D11" s="3"/>
      <c r="E11" s="3">
        <f t="shared" si="0"/>
        <v>43185.34</v>
      </c>
      <c r="F11" s="60"/>
      <c r="H11" s="2">
        <v>44419</v>
      </c>
      <c r="I11" s="109" t="s">
        <v>1129</v>
      </c>
      <c r="J11" s="60">
        <v>400</v>
      </c>
      <c r="K11" s="3"/>
      <c r="L11" s="3">
        <f t="shared" si="1"/>
        <v>1900</v>
      </c>
      <c r="M11" s="96"/>
      <c r="N11" s="57"/>
      <c r="O11" s="255" t="s">
        <v>111</v>
      </c>
      <c r="P11" s="256"/>
    </row>
    <row r="12" spans="1:17">
      <c r="A12" s="2">
        <v>44411</v>
      </c>
      <c r="B12" s="59" t="s">
        <v>1096</v>
      </c>
      <c r="C12" s="60">
        <v>4000</v>
      </c>
      <c r="D12" s="3"/>
      <c r="E12" s="3">
        <f t="shared" si="0"/>
        <v>39185.339999999997</v>
      </c>
      <c r="F12" s="198"/>
      <c r="G12" s="41"/>
      <c r="H12" s="2">
        <v>44418</v>
      </c>
      <c r="I12" s="1" t="s">
        <v>1128</v>
      </c>
      <c r="J12" s="3">
        <v>600</v>
      </c>
      <c r="K12" s="3"/>
      <c r="L12" s="3">
        <f t="shared" si="1"/>
        <v>1300</v>
      </c>
      <c r="M12" s="148">
        <f>+J12/2</f>
        <v>300</v>
      </c>
      <c r="N12" s="57"/>
      <c r="O12" s="249" t="s">
        <v>1118</v>
      </c>
      <c r="P12" s="250">
        <v>928.5</v>
      </c>
    </row>
    <row r="13" spans="1:17">
      <c r="A13" s="2">
        <v>44411</v>
      </c>
      <c r="B13" s="104" t="s">
        <v>1097</v>
      </c>
      <c r="C13" s="3">
        <v>1800</v>
      </c>
      <c r="D13" s="3"/>
      <c r="E13" s="3">
        <f t="shared" si="0"/>
        <v>37385.339999999997</v>
      </c>
      <c r="F13" s="60"/>
      <c r="H13" s="2">
        <v>44418</v>
      </c>
      <c r="I13" s="59" t="s">
        <v>1130</v>
      </c>
      <c r="J13" s="3"/>
      <c r="K13" s="3">
        <v>4000</v>
      </c>
      <c r="L13" s="3">
        <f t="shared" si="1"/>
        <v>5300</v>
      </c>
      <c r="M13" s="59"/>
      <c r="O13" s="170" t="s">
        <v>1119</v>
      </c>
      <c r="P13" s="251">
        <v>550</v>
      </c>
    </row>
    <row r="14" spans="1:17">
      <c r="A14" s="58">
        <v>44412</v>
      </c>
      <c r="B14" s="59" t="s">
        <v>1098</v>
      </c>
      <c r="C14" s="60">
        <v>2100</v>
      </c>
      <c r="D14" s="3"/>
      <c r="E14" s="3">
        <f t="shared" si="0"/>
        <v>35285.339999999997</v>
      </c>
      <c r="F14" s="60">
        <f>+C14/2</f>
        <v>1050</v>
      </c>
      <c r="G14" s="57"/>
      <c r="H14" s="2">
        <v>44421</v>
      </c>
      <c r="I14" s="1" t="s">
        <v>1131</v>
      </c>
      <c r="J14" s="3">
        <v>800</v>
      </c>
      <c r="K14" s="3"/>
      <c r="L14" s="3">
        <f t="shared" si="1"/>
        <v>4500</v>
      </c>
      <c r="M14" s="96"/>
      <c r="O14" s="252" t="s">
        <v>1127</v>
      </c>
      <c r="P14" s="251">
        <f>930/2</f>
        <v>465</v>
      </c>
    </row>
    <row r="15" spans="1:17">
      <c r="A15" s="58">
        <v>44412</v>
      </c>
      <c r="B15" s="1" t="s">
        <v>101</v>
      </c>
      <c r="C15" s="3">
        <v>4229.8999999999996</v>
      </c>
      <c r="D15" s="3"/>
      <c r="E15" s="3">
        <f t="shared" si="0"/>
        <v>31055.439999999995</v>
      </c>
      <c r="F15" s="60"/>
      <c r="H15" s="2">
        <v>44421</v>
      </c>
      <c r="I15" s="1" t="s">
        <v>1132</v>
      </c>
      <c r="J15" s="3">
        <v>650</v>
      </c>
      <c r="K15" s="3"/>
      <c r="L15" s="3">
        <f t="shared" si="1"/>
        <v>3850</v>
      </c>
      <c r="M15" s="96">
        <f>+J15/2</f>
        <v>325</v>
      </c>
      <c r="O15" s="156" t="s">
        <v>1138</v>
      </c>
      <c r="P15" s="251">
        <f>510/2</f>
        <v>255</v>
      </c>
    </row>
    <row r="16" spans="1:17">
      <c r="A16" s="2">
        <v>44414</v>
      </c>
      <c r="B16" s="59" t="s">
        <v>1099</v>
      </c>
      <c r="C16" s="60"/>
      <c r="D16" s="60">
        <v>400</v>
      </c>
      <c r="E16" s="3">
        <f t="shared" si="0"/>
        <v>31455.439999999995</v>
      </c>
      <c r="F16" s="60"/>
      <c r="H16" s="2">
        <v>44421</v>
      </c>
      <c r="I16" s="1" t="s">
        <v>1133</v>
      </c>
      <c r="J16" s="3">
        <v>100</v>
      </c>
      <c r="K16" s="3"/>
      <c r="L16" s="3">
        <f t="shared" si="1"/>
        <v>3750</v>
      </c>
      <c r="M16" s="60"/>
      <c r="O16" s="156" t="s">
        <v>1141</v>
      </c>
      <c r="P16" s="251">
        <f>+(3130+1320)/2</f>
        <v>2225</v>
      </c>
    </row>
    <row r="17" spans="1:20">
      <c r="A17" s="2">
        <v>44416</v>
      </c>
      <c r="B17" s="59" t="s">
        <v>1100</v>
      </c>
      <c r="C17" s="60">
        <v>765</v>
      </c>
      <c r="D17" s="3"/>
      <c r="E17" s="3">
        <f t="shared" si="0"/>
        <v>30690.439999999995</v>
      </c>
      <c r="F17" s="60">
        <f>+C17/2</f>
        <v>382.5</v>
      </c>
      <c r="H17" s="2">
        <v>44421</v>
      </c>
      <c r="I17" s="1" t="s">
        <v>1134</v>
      </c>
      <c r="J17" s="10">
        <v>600</v>
      </c>
      <c r="K17" s="3"/>
      <c r="L17" s="3">
        <f t="shared" si="1"/>
        <v>3150</v>
      </c>
      <c r="M17" s="96"/>
      <c r="O17" s="156" t="s">
        <v>1150</v>
      </c>
      <c r="P17" s="251">
        <f>600/2</f>
        <v>300</v>
      </c>
    </row>
    <row r="18" spans="1:20">
      <c r="A18" s="2">
        <v>44416</v>
      </c>
      <c r="B18" s="59" t="s">
        <v>1101</v>
      </c>
      <c r="C18" s="60"/>
      <c r="D18" s="3">
        <v>10000</v>
      </c>
      <c r="E18" s="3">
        <f t="shared" si="0"/>
        <v>40690.439999999995</v>
      </c>
      <c r="F18" s="60"/>
      <c r="H18" s="2">
        <v>44421</v>
      </c>
      <c r="I18" s="59" t="s">
        <v>1135</v>
      </c>
      <c r="J18" s="3">
        <v>200</v>
      </c>
      <c r="K18" s="3"/>
      <c r="L18" s="3">
        <f t="shared" si="1"/>
        <v>2950</v>
      </c>
      <c r="M18" s="60">
        <f>+J18/2</f>
        <v>100</v>
      </c>
      <c r="N18" s="57"/>
      <c r="O18" s="156" t="s">
        <v>1171</v>
      </c>
      <c r="P18" s="251">
        <f>2750/2</f>
        <v>1375</v>
      </c>
    </row>
    <row r="19" spans="1:20">
      <c r="A19" s="2">
        <v>44416</v>
      </c>
      <c r="B19" s="59" t="s">
        <v>1113</v>
      </c>
      <c r="C19" s="60">
        <v>2500</v>
      </c>
      <c r="D19" s="159"/>
      <c r="E19" s="3">
        <f t="shared" si="0"/>
        <v>38190.439999999995</v>
      </c>
      <c r="F19" s="59"/>
      <c r="H19" s="2">
        <v>44421</v>
      </c>
      <c r="I19" s="1" t="s">
        <v>1136</v>
      </c>
      <c r="J19" s="3">
        <v>750</v>
      </c>
      <c r="K19" s="3"/>
      <c r="L19" s="3">
        <f t="shared" si="1"/>
        <v>2200</v>
      </c>
      <c r="M19" s="37"/>
      <c r="O19" s="156" t="s">
        <v>1160</v>
      </c>
      <c r="P19" s="251">
        <v>15000</v>
      </c>
    </row>
    <row r="20" spans="1:20">
      <c r="A20" s="2">
        <v>44416</v>
      </c>
      <c r="B20" s="1" t="s">
        <v>1114</v>
      </c>
      <c r="C20" s="10">
        <v>1100</v>
      </c>
      <c r="D20" s="3"/>
      <c r="E20" s="3">
        <f t="shared" si="0"/>
        <v>37090.439999999995</v>
      </c>
      <c r="F20" s="60"/>
      <c r="H20" s="58">
        <v>44423</v>
      </c>
      <c r="I20" s="6" t="s">
        <v>1137</v>
      </c>
      <c r="J20" s="3">
        <v>100</v>
      </c>
      <c r="K20" s="3"/>
      <c r="L20" s="3">
        <f t="shared" si="1"/>
        <v>2100</v>
      </c>
      <c r="M20" s="60"/>
      <c r="O20" s="246" t="s">
        <v>1159</v>
      </c>
      <c r="P20" s="247">
        <f>-SUM(F20:F38)-SUM(M11:M28)+F45</f>
        <v>-6428.3899999999994</v>
      </c>
    </row>
    <row r="21" spans="1:20">
      <c r="A21" s="2">
        <v>44416</v>
      </c>
      <c r="B21" s="1" t="s">
        <v>1120</v>
      </c>
      <c r="C21" s="60">
        <v>910</v>
      </c>
      <c r="D21" s="3"/>
      <c r="E21" s="3">
        <f t="shared" si="0"/>
        <v>36180.439999999995</v>
      </c>
      <c r="F21" s="96">
        <f>+C21</f>
        <v>910</v>
      </c>
      <c r="H21" s="58">
        <v>44424</v>
      </c>
      <c r="I21" s="1" t="s">
        <v>1139</v>
      </c>
      <c r="J21" s="3">
        <f>960+120</f>
        <v>1080</v>
      </c>
      <c r="K21" s="3"/>
      <c r="L21" s="3">
        <f t="shared" si="1"/>
        <v>1020</v>
      </c>
      <c r="M21" s="60">
        <f>+J21/2</f>
        <v>540</v>
      </c>
      <c r="O21" s="157" t="s">
        <v>1166</v>
      </c>
      <c r="P21" s="248">
        <f>(-3700/2)-1000</f>
        <v>-2850</v>
      </c>
    </row>
    <row r="22" spans="1:20">
      <c r="A22" s="58">
        <v>44417</v>
      </c>
      <c r="B22" s="59" t="s">
        <v>1121</v>
      </c>
      <c r="C22" s="37">
        <v>1021.78</v>
      </c>
      <c r="D22" s="60"/>
      <c r="E22" s="3">
        <f t="shared" si="0"/>
        <v>35158.659999999996</v>
      </c>
      <c r="F22" s="60">
        <f>+C22/2</f>
        <v>510.89</v>
      </c>
      <c r="H22" s="58">
        <v>44424</v>
      </c>
      <c r="I22" s="1" t="s">
        <v>1140</v>
      </c>
      <c r="J22" s="60">
        <v>600</v>
      </c>
      <c r="K22" s="3"/>
      <c r="L22" s="3">
        <f t="shared" si="1"/>
        <v>420</v>
      </c>
      <c r="M22" s="60">
        <f>+J22/2</f>
        <v>300</v>
      </c>
      <c r="O22" s="257" t="s">
        <v>1158</v>
      </c>
      <c r="P22" s="258">
        <f>+SUM(P12:P21)</f>
        <v>11820.11</v>
      </c>
      <c r="Q22" s="259" t="s">
        <v>1182</v>
      </c>
      <c r="R22" s="259"/>
      <c r="S22" s="259"/>
      <c r="T22" s="259"/>
    </row>
    <row r="23" spans="1:20">
      <c r="A23" s="58">
        <v>44417</v>
      </c>
      <c r="B23" s="36" t="s">
        <v>566</v>
      </c>
      <c r="C23" s="243">
        <v>15000</v>
      </c>
      <c r="D23" s="3"/>
      <c r="E23" s="3">
        <f t="shared" si="0"/>
        <v>20158.659999999996</v>
      </c>
      <c r="F23" s="60"/>
      <c r="H23" s="58">
        <v>44428</v>
      </c>
      <c r="I23" s="1" t="s">
        <v>1145</v>
      </c>
      <c r="J23" s="3"/>
      <c r="K23" s="3">
        <v>1000</v>
      </c>
      <c r="L23" s="3">
        <f t="shared" si="1"/>
        <v>1420</v>
      </c>
      <c r="M23" s="96"/>
      <c r="N23" s="90"/>
      <c r="P23" s="41"/>
    </row>
    <row r="24" spans="1:20">
      <c r="A24" s="58">
        <v>44420</v>
      </c>
      <c r="B24" s="216" t="s">
        <v>1122</v>
      </c>
      <c r="C24" s="217">
        <v>2000</v>
      </c>
      <c r="D24" s="3"/>
      <c r="E24" s="3">
        <f t="shared" si="0"/>
        <v>18158.659999999996</v>
      </c>
      <c r="F24" s="60"/>
      <c r="G24" s="41"/>
      <c r="H24" s="58">
        <v>44428</v>
      </c>
      <c r="I24" s="1" t="s">
        <v>1153</v>
      </c>
      <c r="J24" s="3"/>
      <c r="K24" s="3">
        <v>510</v>
      </c>
      <c r="L24" s="3">
        <f t="shared" si="1"/>
        <v>1930</v>
      </c>
      <c r="M24" s="60"/>
      <c r="N24" s="57"/>
      <c r="O24" s="242" t="s">
        <v>1143</v>
      </c>
    </row>
    <row r="25" spans="1:20">
      <c r="A25" s="2">
        <v>44422</v>
      </c>
      <c r="B25" s="59" t="s">
        <v>101</v>
      </c>
      <c r="C25" s="60">
        <v>3501</v>
      </c>
      <c r="D25" s="3"/>
      <c r="E25" s="3">
        <f t="shared" si="0"/>
        <v>14657.659999999996</v>
      </c>
      <c r="F25" s="60"/>
      <c r="H25" s="58">
        <v>44428</v>
      </c>
      <c r="I25" s="1" t="s">
        <v>1156</v>
      </c>
      <c r="J25" s="3">
        <v>200</v>
      </c>
      <c r="K25" s="3"/>
      <c r="L25" s="3">
        <f t="shared" si="1"/>
        <v>1730</v>
      </c>
      <c r="M25" s="60"/>
      <c r="O25" s="4" t="s">
        <v>1144</v>
      </c>
      <c r="P25" s="4">
        <v>2665</v>
      </c>
    </row>
    <row r="26" spans="1:20">
      <c r="A26" s="63">
        <v>44428</v>
      </c>
      <c r="B26" s="1" t="s">
        <v>1146</v>
      </c>
      <c r="C26" s="3">
        <v>490</v>
      </c>
      <c r="D26" s="3"/>
      <c r="E26" s="3">
        <f t="shared" si="0"/>
        <v>14167.659999999996</v>
      </c>
      <c r="F26" s="36"/>
      <c r="H26" s="58">
        <v>44429</v>
      </c>
      <c r="I26" s="1" t="s">
        <v>1155</v>
      </c>
      <c r="J26" s="60">
        <v>250</v>
      </c>
      <c r="K26" s="3"/>
      <c r="L26" s="3">
        <f t="shared" si="1"/>
        <v>1480</v>
      </c>
      <c r="M26" s="60"/>
    </row>
    <row r="27" spans="1:20">
      <c r="A27" s="63">
        <v>44428</v>
      </c>
      <c r="B27" s="1" t="s">
        <v>1153</v>
      </c>
      <c r="C27" s="3">
        <v>1350</v>
      </c>
      <c r="D27" s="3"/>
      <c r="E27" s="3">
        <f t="shared" si="0"/>
        <v>12817.659999999996</v>
      </c>
      <c r="F27" s="36"/>
      <c r="H27" s="58">
        <v>44429</v>
      </c>
      <c r="I27" s="1" t="s">
        <v>1157</v>
      </c>
      <c r="J27" s="3">
        <v>200</v>
      </c>
      <c r="K27" s="3"/>
      <c r="L27" s="3">
        <f t="shared" si="1"/>
        <v>1280</v>
      </c>
      <c r="M27" s="60"/>
    </row>
    <row r="28" spans="1:20">
      <c r="A28" s="63">
        <v>44428</v>
      </c>
      <c r="B28" s="6" t="s">
        <v>1154</v>
      </c>
      <c r="C28" s="10">
        <v>1830</v>
      </c>
      <c r="D28" s="10"/>
      <c r="E28" s="3">
        <f t="shared" si="0"/>
        <v>10987.659999999996</v>
      </c>
      <c r="F28" s="37"/>
      <c r="H28" s="2">
        <v>44435</v>
      </c>
      <c r="I28" s="1" t="s">
        <v>1165</v>
      </c>
      <c r="J28" s="3">
        <v>510</v>
      </c>
      <c r="K28" s="3"/>
      <c r="L28" s="3">
        <f t="shared" si="1"/>
        <v>770</v>
      </c>
      <c r="M28" s="60">
        <v>350</v>
      </c>
      <c r="O28" s="481" t="s">
        <v>1174</v>
      </c>
      <c r="P28" s="482"/>
      <c r="Q28" s="260"/>
      <c r="R28" s="256"/>
    </row>
    <row r="29" spans="1:20">
      <c r="A29" s="63">
        <v>44425</v>
      </c>
      <c r="B29" s="59" t="s">
        <v>1056</v>
      </c>
      <c r="C29" s="37">
        <v>700</v>
      </c>
      <c r="D29" s="10"/>
      <c r="E29" s="3">
        <f t="shared" si="0"/>
        <v>10287.659999999996</v>
      </c>
      <c r="F29" s="37"/>
      <c r="H29" s="2">
        <v>44436</v>
      </c>
      <c r="I29" s="6" t="s">
        <v>1115</v>
      </c>
      <c r="J29" s="3"/>
      <c r="K29" s="3"/>
      <c r="L29" s="3">
        <v>1200</v>
      </c>
      <c r="M29" s="60"/>
      <c r="O29" s="261" t="s">
        <v>1175</v>
      </c>
      <c r="P29" s="262">
        <f>590+200</f>
        <v>790</v>
      </c>
      <c r="Q29" s="263" t="s">
        <v>1178</v>
      </c>
      <c r="R29" s="264"/>
    </row>
    <row r="30" spans="1:20">
      <c r="A30" s="63">
        <v>44430</v>
      </c>
      <c r="B30" s="59" t="s">
        <v>1147</v>
      </c>
      <c r="C30" s="60">
        <v>3500</v>
      </c>
      <c r="D30" s="3"/>
      <c r="E30" s="3">
        <f t="shared" si="0"/>
        <v>6787.6599999999962</v>
      </c>
      <c r="F30" s="59"/>
      <c r="H30" s="2">
        <v>44438</v>
      </c>
      <c r="I30" s="1" t="s">
        <v>1172</v>
      </c>
      <c r="J30" s="3">
        <v>1000</v>
      </c>
      <c r="K30" s="3"/>
      <c r="L30" s="3">
        <f t="shared" si="1"/>
        <v>200</v>
      </c>
      <c r="M30" s="194"/>
      <c r="N30" s="41"/>
      <c r="O30" s="261" t="s">
        <v>1176</v>
      </c>
      <c r="P30" s="262">
        <f>475+120</f>
        <v>595</v>
      </c>
      <c r="Q30" s="263" t="s">
        <v>1178</v>
      </c>
      <c r="R30" s="264"/>
    </row>
    <row r="31" spans="1:20">
      <c r="A31" s="63">
        <v>44431</v>
      </c>
      <c r="B31" s="59" t="s">
        <v>1148</v>
      </c>
      <c r="C31" s="60">
        <v>1104</v>
      </c>
      <c r="D31" s="3"/>
      <c r="E31" s="3">
        <f t="shared" si="0"/>
        <v>5683.6599999999962</v>
      </c>
      <c r="F31" s="59"/>
      <c r="H31" s="2">
        <v>44438</v>
      </c>
      <c r="I31" s="1" t="s">
        <v>1173</v>
      </c>
      <c r="J31" s="3">
        <v>100</v>
      </c>
      <c r="K31" s="3"/>
      <c r="L31" s="3">
        <f t="shared" si="1"/>
        <v>100</v>
      </c>
      <c r="M31" s="60"/>
      <c r="O31" s="261" t="s">
        <v>1177</v>
      </c>
      <c r="P31" s="262">
        <v>1030</v>
      </c>
      <c r="Q31" s="263" t="s">
        <v>1179</v>
      </c>
      <c r="R31" s="264"/>
    </row>
    <row r="32" spans="1:20">
      <c r="A32" s="63">
        <v>44431</v>
      </c>
      <c r="B32" s="59" t="s">
        <v>1149</v>
      </c>
      <c r="C32" s="60">
        <v>360</v>
      </c>
      <c r="D32" s="3"/>
      <c r="E32" s="3">
        <f t="shared" si="0"/>
        <v>5323.6599999999962</v>
      </c>
      <c r="F32" s="60">
        <f>+C32/2</f>
        <v>180</v>
      </c>
      <c r="H32" s="208">
        <v>44438</v>
      </c>
      <c r="I32" s="202" t="s">
        <v>566</v>
      </c>
      <c r="J32" s="3"/>
      <c r="K32" s="3">
        <v>15000</v>
      </c>
      <c r="L32" s="3">
        <f t="shared" si="1"/>
        <v>15100</v>
      </c>
      <c r="M32" s="76"/>
      <c r="O32" s="261" t="s">
        <v>1183</v>
      </c>
      <c r="P32" s="263">
        <v>500</v>
      </c>
      <c r="Q32" s="263" t="s">
        <v>1179</v>
      </c>
      <c r="R32" s="264"/>
    </row>
    <row r="33" spans="1:18">
      <c r="A33" s="2">
        <v>44431</v>
      </c>
      <c r="B33" s="6" t="s">
        <v>1066</v>
      </c>
      <c r="C33" s="3"/>
      <c r="D33" s="3">
        <v>0.18</v>
      </c>
      <c r="E33" s="3">
        <f t="shared" si="0"/>
        <v>5323.8399999999965</v>
      </c>
      <c r="F33" s="60"/>
      <c r="H33" s="2">
        <v>44439</v>
      </c>
      <c r="I33" s="1" t="s">
        <v>1181</v>
      </c>
      <c r="J33" s="3">
        <v>7000</v>
      </c>
      <c r="K33" s="3"/>
      <c r="L33" s="3">
        <f t="shared" ref="L33:L51" si="2">+L32+K33-J33</f>
        <v>8100</v>
      </c>
      <c r="M33" s="60"/>
      <c r="O33" s="261" t="s">
        <v>35</v>
      </c>
      <c r="P33" s="262">
        <v>510</v>
      </c>
      <c r="Q33" s="263" t="s">
        <v>1178</v>
      </c>
      <c r="R33" s="264"/>
    </row>
    <row r="34" spans="1:18">
      <c r="A34" s="2">
        <v>44433</v>
      </c>
      <c r="B34" s="6" t="s">
        <v>83</v>
      </c>
      <c r="C34" s="3">
        <v>4770</v>
      </c>
      <c r="D34" s="3"/>
      <c r="E34" s="3">
        <f t="shared" si="0"/>
        <v>553.83999999999651</v>
      </c>
      <c r="F34" s="60">
        <f>+C34/2</f>
        <v>2385</v>
      </c>
      <c r="H34" s="2"/>
      <c r="I34" s="1"/>
      <c r="J34" s="3"/>
      <c r="K34" s="3"/>
      <c r="L34" s="3">
        <f t="shared" si="2"/>
        <v>8100</v>
      </c>
      <c r="M34" s="60"/>
      <c r="O34" s="265" t="s">
        <v>47</v>
      </c>
      <c r="P34" s="262">
        <f>+SUM(P29:P33)</f>
        <v>3425</v>
      </c>
      <c r="Q34" s="263"/>
      <c r="R34" s="264"/>
    </row>
    <row r="35" spans="1:18">
      <c r="A35" s="2">
        <v>44433</v>
      </c>
      <c r="B35" s="6" t="s">
        <v>375</v>
      </c>
      <c r="C35" s="3"/>
      <c r="D35" s="3">
        <v>15000</v>
      </c>
      <c r="E35" s="3">
        <f t="shared" si="0"/>
        <v>15553.839999999997</v>
      </c>
      <c r="F35" s="59"/>
      <c r="H35" s="2"/>
      <c r="I35" s="1"/>
      <c r="J35" s="3"/>
      <c r="K35" s="3"/>
      <c r="L35" s="3">
        <f t="shared" si="2"/>
        <v>8100</v>
      </c>
      <c r="M35" s="76"/>
      <c r="O35" s="265" t="s">
        <v>1180</v>
      </c>
      <c r="P35" s="262">
        <f>+P34/4</f>
        <v>856.25</v>
      </c>
      <c r="Q35" s="263"/>
      <c r="R35" s="264"/>
    </row>
    <row r="36" spans="1:18">
      <c r="A36" s="2">
        <v>44434</v>
      </c>
      <c r="B36" s="6" t="s">
        <v>1161</v>
      </c>
      <c r="C36" s="3">
        <v>1025</v>
      </c>
      <c r="D36" s="3"/>
      <c r="E36" s="3">
        <f t="shared" si="0"/>
        <v>14528.839999999997</v>
      </c>
      <c r="F36" s="59"/>
      <c r="H36" s="2"/>
      <c r="I36" s="1"/>
      <c r="J36" s="3"/>
      <c r="K36" s="3"/>
      <c r="L36" s="3">
        <f t="shared" si="2"/>
        <v>8100</v>
      </c>
      <c r="M36" s="76"/>
      <c r="O36" s="261"/>
      <c r="P36" s="263"/>
      <c r="Q36" s="263"/>
      <c r="R36" s="264"/>
    </row>
    <row r="37" spans="1:18">
      <c r="A37" s="2">
        <v>44434</v>
      </c>
      <c r="B37" s="200" t="s">
        <v>1162</v>
      </c>
      <c r="C37" s="201">
        <v>12500</v>
      </c>
      <c r="D37" s="201"/>
      <c r="E37" s="3">
        <f t="shared" si="0"/>
        <v>2028.8399999999965</v>
      </c>
      <c r="F37" s="245"/>
      <c r="H37" s="114"/>
      <c r="I37" s="6"/>
      <c r="J37" s="3"/>
      <c r="K37" s="3"/>
      <c r="L37" s="3">
        <f t="shared" si="2"/>
        <v>8100</v>
      </c>
      <c r="M37" s="76"/>
      <c r="N37" s="57"/>
      <c r="O37" s="261" t="s">
        <v>1184</v>
      </c>
      <c r="P37" s="266">
        <f>+P31+P32</f>
        <v>1530</v>
      </c>
      <c r="Q37" s="266">
        <f>+P37-P35</f>
        <v>673.75</v>
      </c>
      <c r="R37" s="267">
        <f>+P35-Q37</f>
        <v>182.5</v>
      </c>
    </row>
    <row r="38" spans="1:18">
      <c r="A38" s="2">
        <v>44434</v>
      </c>
      <c r="B38" s="202" t="s">
        <v>1120</v>
      </c>
      <c r="C38" s="203">
        <v>1820</v>
      </c>
      <c r="D38" s="203"/>
      <c r="E38" s="3">
        <f t="shared" si="0"/>
        <v>208.83999999999651</v>
      </c>
      <c r="F38" s="205">
        <f>+C38/2</f>
        <v>910</v>
      </c>
      <c r="H38" s="114"/>
      <c r="I38" s="6"/>
      <c r="J38" s="10"/>
      <c r="K38" s="3"/>
      <c r="L38" s="3">
        <f t="shared" si="2"/>
        <v>8100</v>
      </c>
      <c r="M38" s="76"/>
      <c r="O38" s="268" t="s">
        <v>231</v>
      </c>
      <c r="P38" s="269">
        <f>+P33+P30+P29</f>
        <v>1895</v>
      </c>
      <c r="Q38" s="269">
        <f>+P38-P35</f>
        <v>1038.75</v>
      </c>
      <c r="R38" s="270">
        <f>+Q38-R37</f>
        <v>856.25</v>
      </c>
    </row>
    <row r="39" spans="1:18">
      <c r="A39" s="208">
        <v>44435</v>
      </c>
      <c r="B39" s="202" t="s">
        <v>1163</v>
      </c>
      <c r="C39" s="203"/>
      <c r="D39" s="203">
        <v>35000</v>
      </c>
      <c r="E39" s="3">
        <f t="shared" si="0"/>
        <v>35208.839999999997</v>
      </c>
      <c r="F39" s="204"/>
      <c r="G39" s="195"/>
      <c r="H39" s="114"/>
      <c r="I39" s="59"/>
      <c r="J39" s="60"/>
      <c r="K39" s="60"/>
      <c r="L39" s="3">
        <f t="shared" si="2"/>
        <v>8100</v>
      </c>
      <c r="M39" s="76"/>
    </row>
    <row r="40" spans="1:18">
      <c r="A40" s="208">
        <v>44435</v>
      </c>
      <c r="B40" s="202" t="s">
        <v>1164</v>
      </c>
      <c r="C40" s="203">
        <v>715</v>
      </c>
      <c r="D40" s="203"/>
      <c r="E40" s="3">
        <f t="shared" si="0"/>
        <v>34493.839999999997</v>
      </c>
      <c r="F40" s="204"/>
      <c r="G40" s="195"/>
      <c r="H40" s="2"/>
      <c r="I40" s="1"/>
      <c r="J40" s="3"/>
      <c r="K40" s="3"/>
      <c r="L40" s="3">
        <f t="shared" si="2"/>
        <v>8100</v>
      </c>
      <c r="M40" s="64"/>
    </row>
    <row r="41" spans="1:18">
      <c r="A41" s="208">
        <v>44435</v>
      </c>
      <c r="B41" s="202" t="s">
        <v>101</v>
      </c>
      <c r="C41" s="203">
        <v>3499.92</v>
      </c>
      <c r="D41" s="203"/>
      <c r="E41" s="3">
        <f t="shared" si="0"/>
        <v>30993.919999999998</v>
      </c>
      <c r="F41" s="204"/>
      <c r="G41" s="195"/>
      <c r="H41" s="2"/>
      <c r="I41" s="1"/>
      <c r="J41" s="3"/>
      <c r="K41" s="3"/>
      <c r="L41" s="3">
        <f t="shared" si="2"/>
        <v>8100</v>
      </c>
      <c r="M41" s="126"/>
      <c r="N41" s="57"/>
    </row>
    <row r="42" spans="1:18">
      <c r="A42" s="208">
        <v>44436</v>
      </c>
      <c r="B42" s="202" t="s">
        <v>1167</v>
      </c>
      <c r="C42" s="203">
        <v>1870</v>
      </c>
      <c r="D42" s="203"/>
      <c r="E42" s="203">
        <f t="shared" si="0"/>
        <v>29123.919999999998</v>
      </c>
      <c r="F42" s="204"/>
      <c r="G42" s="195"/>
      <c r="H42" s="2"/>
      <c r="I42" s="1"/>
      <c r="J42" s="3"/>
      <c r="K42" s="3"/>
      <c r="L42" s="3">
        <f t="shared" si="2"/>
        <v>8100</v>
      </c>
      <c r="M42" s="127"/>
    </row>
    <row r="43" spans="1:18">
      <c r="A43" s="208">
        <v>44436</v>
      </c>
      <c r="B43" s="253" t="s">
        <v>1168</v>
      </c>
      <c r="C43" s="204">
        <v>510</v>
      </c>
      <c r="D43" s="203"/>
      <c r="E43" s="203">
        <f t="shared" si="0"/>
        <v>28613.919999999998</v>
      </c>
      <c r="F43" s="204">
        <f>+C43/2</f>
        <v>255</v>
      </c>
      <c r="G43" s="195"/>
      <c r="H43" s="2"/>
      <c r="I43" s="6"/>
      <c r="J43" s="3"/>
      <c r="K43" s="3"/>
      <c r="L43" s="3">
        <f t="shared" si="2"/>
        <v>8100</v>
      </c>
      <c r="M43" s="44"/>
    </row>
    <row r="44" spans="1:18">
      <c r="A44" s="208">
        <v>44436</v>
      </c>
      <c r="B44" s="202" t="s">
        <v>1169</v>
      </c>
      <c r="C44" s="203">
        <f>1308-C43</f>
        <v>798</v>
      </c>
      <c r="D44" s="203"/>
      <c r="E44" s="203">
        <f t="shared" si="0"/>
        <v>27815.919999999998</v>
      </c>
      <c r="F44" s="254"/>
      <c r="H44" s="2"/>
      <c r="I44" s="6"/>
      <c r="J44" s="3"/>
      <c r="K44" s="3"/>
      <c r="L44" s="3">
        <f t="shared" si="2"/>
        <v>8100</v>
      </c>
      <c r="M44" s="76"/>
    </row>
    <row r="45" spans="1:18">
      <c r="A45" s="208">
        <v>44437</v>
      </c>
      <c r="B45" s="202" t="s">
        <v>1170</v>
      </c>
      <c r="C45" s="203">
        <v>765</v>
      </c>
      <c r="D45" s="203"/>
      <c r="E45" s="203">
        <f t="shared" si="0"/>
        <v>27050.92</v>
      </c>
      <c r="F45" s="205">
        <f>+C45/2</f>
        <v>382.5</v>
      </c>
      <c r="G45" s="92"/>
      <c r="H45" s="2"/>
      <c r="I45" s="1"/>
      <c r="J45" s="3"/>
      <c r="K45" s="3"/>
      <c r="L45" s="3">
        <f t="shared" si="2"/>
        <v>8100</v>
      </c>
      <c r="M45" s="1"/>
    </row>
    <row r="46" spans="1:18">
      <c r="A46" s="208">
        <v>44437</v>
      </c>
      <c r="B46" s="202" t="s">
        <v>1163</v>
      </c>
      <c r="C46" s="203"/>
      <c r="D46" s="203">
        <v>24963</v>
      </c>
      <c r="E46" s="203">
        <f t="shared" si="0"/>
        <v>52013.919999999998</v>
      </c>
      <c r="F46" s="206"/>
      <c r="G46" s="92"/>
      <c r="H46" s="2"/>
      <c r="I46" s="1"/>
      <c r="J46" s="3"/>
      <c r="K46" s="3"/>
      <c r="L46" s="3">
        <f t="shared" si="2"/>
        <v>8100</v>
      </c>
      <c r="M46" s="1"/>
    </row>
    <row r="47" spans="1:18">
      <c r="A47" s="208">
        <v>44438</v>
      </c>
      <c r="B47" s="202" t="s">
        <v>566</v>
      </c>
      <c r="C47" s="203">
        <v>15000</v>
      </c>
      <c r="D47" s="203"/>
      <c r="E47" s="203">
        <f t="shared" si="0"/>
        <v>37013.919999999998</v>
      </c>
      <c r="F47" s="206"/>
      <c r="G47" s="92"/>
      <c r="H47" s="2"/>
      <c r="I47" s="1"/>
      <c r="J47" s="3"/>
      <c r="K47" s="3"/>
      <c r="L47" s="3">
        <f t="shared" si="2"/>
        <v>8100</v>
      </c>
      <c r="M47" s="64"/>
      <c r="N47" s="83"/>
    </row>
    <row r="48" spans="1:18">
      <c r="A48" s="2">
        <v>44439</v>
      </c>
      <c r="B48" s="1" t="s">
        <v>1181</v>
      </c>
      <c r="C48" s="203">
        <v>4820.1099999999997</v>
      </c>
      <c r="D48" s="203"/>
      <c r="E48" s="203">
        <f t="shared" si="0"/>
        <v>32193.809999999998</v>
      </c>
      <c r="F48" s="203"/>
      <c r="H48" s="2"/>
      <c r="I48" s="1"/>
      <c r="J48" s="3"/>
      <c r="K48" s="3"/>
      <c r="L48" s="3">
        <f t="shared" si="2"/>
        <v>8100</v>
      </c>
      <c r="M48" s="1"/>
    </row>
    <row r="49" spans="1:14">
      <c r="A49" s="209"/>
      <c r="B49" s="209"/>
      <c r="C49" s="210"/>
      <c r="D49" s="210"/>
      <c r="E49" s="210">
        <f t="shared" si="0"/>
        <v>32193.809999999998</v>
      </c>
      <c r="F49" s="272"/>
      <c r="H49" s="2"/>
      <c r="I49" s="1"/>
      <c r="J49" s="3"/>
      <c r="K49" s="3"/>
      <c r="L49" s="3">
        <f t="shared" si="2"/>
        <v>8100</v>
      </c>
      <c r="M49" s="44"/>
    </row>
    <row r="50" spans="1:14">
      <c r="A50" s="209"/>
      <c r="B50" s="209"/>
      <c r="C50" s="210"/>
      <c r="D50" s="210"/>
      <c r="E50" s="210">
        <f t="shared" si="0"/>
        <v>32193.809999999998</v>
      </c>
      <c r="F50" s="209"/>
      <c r="H50" s="2"/>
      <c r="I50" s="1"/>
      <c r="J50" s="3"/>
      <c r="K50" s="3"/>
      <c r="L50" s="3">
        <f t="shared" si="2"/>
        <v>8100</v>
      </c>
      <c r="M50" s="1"/>
    </row>
    <row r="51" spans="1:14">
      <c r="A51" s="202"/>
      <c r="B51" s="202"/>
      <c r="C51" s="203"/>
      <c r="D51" s="203"/>
      <c r="E51" s="203">
        <f t="shared" si="0"/>
        <v>32193.809999999998</v>
      </c>
      <c r="F51" s="202"/>
      <c r="H51" s="2"/>
      <c r="I51" s="1"/>
      <c r="J51" s="3"/>
      <c r="K51" s="3"/>
      <c r="L51" s="3">
        <f t="shared" si="2"/>
        <v>8100</v>
      </c>
      <c r="M51" s="1"/>
    </row>
    <row r="52" spans="1:14">
      <c r="A52" s="202"/>
      <c r="B52" s="202"/>
      <c r="C52" s="203"/>
      <c r="D52" s="203"/>
      <c r="E52" s="203">
        <f t="shared" si="0"/>
        <v>32193.809999999998</v>
      </c>
      <c r="F52" s="202"/>
      <c r="H52" s="2"/>
      <c r="I52" s="6"/>
      <c r="J52" s="3"/>
      <c r="K52" s="3"/>
      <c r="L52" s="3">
        <f t="shared" ref="L52:L56" si="3">+L51+K52-J52</f>
        <v>8100</v>
      </c>
      <c r="M52" s="44"/>
    </row>
    <row r="53" spans="1:14">
      <c r="A53" s="202"/>
      <c r="B53" s="202"/>
      <c r="C53" s="203"/>
      <c r="D53" s="203"/>
      <c r="E53" s="203">
        <f t="shared" si="0"/>
        <v>32193.809999999998</v>
      </c>
      <c r="F53" s="202"/>
      <c r="H53" s="2"/>
      <c r="I53" s="1"/>
      <c r="J53" s="3"/>
      <c r="K53" s="3"/>
      <c r="L53" s="3">
        <f t="shared" si="3"/>
        <v>8100</v>
      </c>
      <c r="M53" s="1"/>
      <c r="N53" s="41"/>
    </row>
    <row r="54" spans="1:14">
      <c r="E54" s="33">
        <f t="shared" si="0"/>
        <v>32193.809999999998</v>
      </c>
      <c r="H54" s="2"/>
      <c r="I54" s="1"/>
      <c r="J54" s="3"/>
      <c r="K54" s="3"/>
      <c r="L54" s="3">
        <f t="shared" si="3"/>
        <v>8100</v>
      </c>
      <c r="M54" s="1"/>
    </row>
    <row r="55" spans="1:14">
      <c r="E55" s="3">
        <f t="shared" si="0"/>
        <v>32193.809999999998</v>
      </c>
      <c r="H55" s="2"/>
      <c r="I55" s="1"/>
      <c r="J55" s="3"/>
      <c r="K55" s="3"/>
      <c r="L55" s="3">
        <f t="shared" si="3"/>
        <v>8100</v>
      </c>
      <c r="M55" s="1"/>
    </row>
    <row r="56" spans="1:14">
      <c r="E56" s="3">
        <f t="shared" si="0"/>
        <v>32193.809999999998</v>
      </c>
      <c r="H56" s="2"/>
      <c r="I56" s="1"/>
      <c r="J56" s="3"/>
      <c r="K56" s="3"/>
      <c r="L56" s="3">
        <f t="shared" si="3"/>
        <v>8100</v>
      </c>
      <c r="M56" s="1"/>
    </row>
    <row r="57" spans="1:14">
      <c r="E57" s="3">
        <f t="shared" si="0"/>
        <v>32193.809999999998</v>
      </c>
      <c r="H57" s="2"/>
      <c r="I57" s="1"/>
      <c r="J57" s="3"/>
      <c r="K57" s="3"/>
      <c r="L57" s="3">
        <f t="shared" ref="L57:L59" si="4">+L56-J57+K57</f>
        <v>8100</v>
      </c>
      <c r="M57" s="1"/>
    </row>
    <row r="58" spans="1:14">
      <c r="E58" s="3">
        <f t="shared" si="0"/>
        <v>32193.809999999998</v>
      </c>
      <c r="H58" s="2"/>
      <c r="I58" s="1"/>
      <c r="J58" s="3"/>
      <c r="K58" s="3"/>
      <c r="L58" s="3">
        <f t="shared" si="4"/>
        <v>8100</v>
      </c>
      <c r="M58" s="64"/>
    </row>
    <row r="59" spans="1:14">
      <c r="E59" s="3">
        <f t="shared" si="0"/>
        <v>32193.809999999998</v>
      </c>
      <c r="H59" s="1"/>
      <c r="I59" s="1"/>
      <c r="J59" s="3"/>
      <c r="K59" s="3"/>
      <c r="L59" s="3">
        <f t="shared" si="4"/>
        <v>8100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5">
    <mergeCell ref="A1:F1"/>
    <mergeCell ref="H1:M1"/>
    <mergeCell ref="B3:D3"/>
    <mergeCell ref="I3:K3"/>
    <mergeCell ref="O28:P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7EEF-2937-664F-A534-20D746FDDC03}">
  <dimension ref="A1:F113"/>
  <sheetViews>
    <sheetView topLeftCell="A5" workbookViewId="0">
      <selection activeCell="I67" sqref="I67"/>
    </sheetView>
  </sheetViews>
  <sheetFormatPr baseColWidth="10" defaultRowHeight="16"/>
  <cols>
    <col min="1" max="1" width="7.1640625" bestFit="1" customWidth="1"/>
    <col min="2" max="2" width="24.5" bestFit="1" customWidth="1"/>
    <col min="3" max="4" width="11.5" style="4" bestFit="1" customWidth="1"/>
    <col min="5" max="5" width="11.5" bestFit="1" customWidth="1"/>
    <col min="6" max="6" width="47.5" bestFit="1" customWidth="1"/>
  </cols>
  <sheetData>
    <row r="1" spans="1:6">
      <c r="A1" s="1" t="s">
        <v>0</v>
      </c>
      <c r="B1" s="1" t="s">
        <v>1</v>
      </c>
      <c r="C1" s="3" t="s">
        <v>5</v>
      </c>
      <c r="D1" s="3" t="s">
        <v>6</v>
      </c>
      <c r="E1" s="3" t="s">
        <v>2</v>
      </c>
      <c r="F1" s="1" t="s">
        <v>3</v>
      </c>
    </row>
    <row r="2" spans="1:6">
      <c r="A2" s="2">
        <v>43891</v>
      </c>
      <c r="B2" s="1" t="s">
        <v>4</v>
      </c>
      <c r="C2" s="3"/>
      <c r="D2" s="3">
        <v>16900</v>
      </c>
      <c r="E2" s="3">
        <f>D2</f>
        <v>16900</v>
      </c>
      <c r="F2" s="1"/>
    </row>
    <row r="3" spans="1:6">
      <c r="A3" s="2">
        <v>43891</v>
      </c>
      <c r="B3" s="1" t="s">
        <v>99</v>
      </c>
      <c r="C3" s="3">
        <v>500</v>
      </c>
      <c r="D3" s="3"/>
      <c r="E3" s="3">
        <f>E2+D3-C3</f>
        <v>16400</v>
      </c>
      <c r="F3" s="1"/>
    </row>
    <row r="4" spans="1:6">
      <c r="A4" s="2">
        <v>43892</v>
      </c>
      <c r="B4" s="1" t="s">
        <v>35</v>
      </c>
      <c r="C4" s="3">
        <v>600</v>
      </c>
      <c r="D4" s="3"/>
      <c r="E4" s="3">
        <f t="shared" ref="E4:E39" si="0">E3+D4-C4</f>
        <v>15800</v>
      </c>
      <c r="F4" s="1"/>
    </row>
    <row r="5" spans="1:6">
      <c r="A5" s="2">
        <v>43892</v>
      </c>
      <c r="B5" s="1" t="s">
        <v>61</v>
      </c>
      <c r="C5" s="3">
        <v>800</v>
      </c>
      <c r="D5" s="3"/>
      <c r="E5" s="3">
        <f t="shared" si="0"/>
        <v>15000</v>
      </c>
      <c r="F5" s="1"/>
    </row>
    <row r="6" spans="1:6">
      <c r="A6" s="2">
        <v>43892</v>
      </c>
      <c r="B6" s="1" t="s">
        <v>100</v>
      </c>
      <c r="C6" s="3">
        <v>2200</v>
      </c>
      <c r="D6" s="3"/>
      <c r="E6" s="3">
        <f t="shared" si="0"/>
        <v>12800</v>
      </c>
      <c r="F6" s="1"/>
    </row>
    <row r="7" spans="1:6">
      <c r="A7" s="2">
        <v>43892</v>
      </c>
      <c r="B7" s="1" t="s">
        <v>17</v>
      </c>
      <c r="C7" s="3">
        <v>800</v>
      </c>
      <c r="D7" s="3"/>
      <c r="E7" s="3">
        <f t="shared" si="0"/>
        <v>12000</v>
      </c>
      <c r="F7" s="1"/>
    </row>
    <row r="8" spans="1:6">
      <c r="A8" s="2">
        <v>43893</v>
      </c>
      <c r="B8" s="1" t="s">
        <v>33</v>
      </c>
      <c r="C8" s="3">
        <v>4000</v>
      </c>
      <c r="D8" s="3"/>
      <c r="E8" s="3">
        <f t="shared" si="0"/>
        <v>8000</v>
      </c>
      <c r="F8" s="1"/>
    </row>
    <row r="9" spans="1:6">
      <c r="A9" s="2">
        <v>43893</v>
      </c>
      <c r="B9" s="1" t="s">
        <v>22</v>
      </c>
      <c r="C9" s="3">
        <v>2000</v>
      </c>
      <c r="D9" s="3"/>
      <c r="E9" s="3">
        <f t="shared" si="0"/>
        <v>6000</v>
      </c>
      <c r="F9" s="1" t="s">
        <v>102</v>
      </c>
    </row>
    <row r="10" spans="1:6">
      <c r="A10" s="2">
        <v>43893</v>
      </c>
      <c r="B10" s="1" t="s">
        <v>103</v>
      </c>
      <c r="C10" s="3">
        <v>2000</v>
      </c>
      <c r="D10" s="3"/>
      <c r="E10" s="3">
        <f t="shared" si="0"/>
        <v>4000</v>
      </c>
      <c r="F10" s="1" t="s">
        <v>104</v>
      </c>
    </row>
    <row r="11" spans="1:6">
      <c r="A11" s="2">
        <v>43895</v>
      </c>
      <c r="B11" s="1" t="s">
        <v>105</v>
      </c>
      <c r="C11" s="3"/>
      <c r="D11" s="3">
        <v>19000</v>
      </c>
      <c r="E11" s="3">
        <f t="shared" si="0"/>
        <v>23000</v>
      </c>
      <c r="F11" s="1"/>
    </row>
    <row r="12" spans="1:6">
      <c r="A12" s="2">
        <v>43896</v>
      </c>
      <c r="B12" s="1" t="s">
        <v>106</v>
      </c>
      <c r="C12" s="3">
        <v>600</v>
      </c>
      <c r="D12" s="3"/>
      <c r="E12" s="3">
        <f t="shared" si="0"/>
        <v>22400</v>
      </c>
      <c r="F12" s="1"/>
    </row>
    <row r="13" spans="1:6">
      <c r="A13" s="2">
        <v>43896</v>
      </c>
      <c r="B13" s="1" t="s">
        <v>107</v>
      </c>
      <c r="C13" s="3">
        <v>400</v>
      </c>
      <c r="D13" s="3"/>
      <c r="E13" s="3">
        <f t="shared" si="0"/>
        <v>22000</v>
      </c>
      <c r="F13" s="1" t="s">
        <v>108</v>
      </c>
    </row>
    <row r="14" spans="1:6">
      <c r="A14" s="2">
        <v>43897</v>
      </c>
      <c r="B14" s="1" t="s">
        <v>18</v>
      </c>
      <c r="C14" s="3">
        <v>1000</v>
      </c>
      <c r="D14" s="3"/>
      <c r="E14" s="3">
        <f t="shared" si="0"/>
        <v>21000</v>
      </c>
      <c r="F14" s="1"/>
    </row>
    <row r="15" spans="1:6">
      <c r="A15" s="2">
        <v>43898</v>
      </c>
      <c r="B15" s="1" t="s">
        <v>109</v>
      </c>
      <c r="C15" s="3"/>
      <c r="D15" s="3">
        <v>1000</v>
      </c>
      <c r="E15" s="3">
        <f t="shared" si="0"/>
        <v>22000</v>
      </c>
      <c r="F15" s="1"/>
    </row>
    <row r="16" spans="1:6">
      <c r="A16" s="2">
        <v>43898</v>
      </c>
      <c r="B16" s="1" t="s">
        <v>110</v>
      </c>
      <c r="C16" s="3">
        <v>420</v>
      </c>
      <c r="D16" s="3"/>
      <c r="E16" s="3">
        <f t="shared" si="0"/>
        <v>21580</v>
      </c>
      <c r="F16" s="1"/>
    </row>
    <row r="17" spans="1:6">
      <c r="A17" s="2">
        <v>43898</v>
      </c>
      <c r="B17" s="1" t="s">
        <v>20</v>
      </c>
      <c r="C17" s="3">
        <v>2000</v>
      </c>
      <c r="D17" s="3"/>
      <c r="E17" s="3">
        <f t="shared" si="0"/>
        <v>19580</v>
      </c>
      <c r="F17" s="1" t="s">
        <v>116</v>
      </c>
    </row>
    <row r="18" spans="1:6">
      <c r="A18" s="2">
        <v>43898</v>
      </c>
      <c r="B18" s="1" t="s">
        <v>107</v>
      </c>
      <c r="C18" s="3">
        <v>1000</v>
      </c>
      <c r="D18" s="3"/>
      <c r="E18" s="3">
        <f t="shared" si="0"/>
        <v>18580</v>
      </c>
      <c r="F18" s="1"/>
    </row>
    <row r="19" spans="1:6">
      <c r="A19" s="2">
        <v>43898</v>
      </c>
      <c r="B19" s="1" t="s">
        <v>17</v>
      </c>
      <c r="C19" s="3">
        <v>1080</v>
      </c>
      <c r="D19" s="3"/>
      <c r="E19" s="3">
        <f t="shared" si="0"/>
        <v>17500</v>
      </c>
      <c r="F19" s="1"/>
    </row>
    <row r="20" spans="1:6">
      <c r="A20" s="2">
        <v>43901</v>
      </c>
      <c r="B20" s="1" t="s">
        <v>42</v>
      </c>
      <c r="C20" s="3">
        <v>10000</v>
      </c>
      <c r="D20" s="3"/>
      <c r="E20" s="3">
        <f t="shared" si="0"/>
        <v>7500</v>
      </c>
      <c r="F20" s="1"/>
    </row>
    <row r="21" spans="1:6">
      <c r="A21" s="2">
        <v>43901</v>
      </c>
      <c r="B21" s="1" t="s">
        <v>112</v>
      </c>
      <c r="C21" s="3">
        <v>1400</v>
      </c>
      <c r="D21" s="3"/>
      <c r="E21" s="3">
        <f t="shared" si="0"/>
        <v>6100</v>
      </c>
      <c r="F21" s="1"/>
    </row>
    <row r="22" spans="1:6">
      <c r="A22" s="2">
        <v>43903</v>
      </c>
      <c r="B22" s="1" t="s">
        <v>113</v>
      </c>
      <c r="C22" s="3">
        <f>470+300+80</f>
        <v>850</v>
      </c>
      <c r="D22" s="3"/>
      <c r="E22" s="3">
        <f t="shared" si="0"/>
        <v>5250</v>
      </c>
      <c r="F22" s="1"/>
    </row>
    <row r="23" spans="1:6">
      <c r="A23" s="2">
        <v>43904</v>
      </c>
      <c r="B23" s="1" t="s">
        <v>114</v>
      </c>
      <c r="C23" s="3">
        <f>900+250</f>
        <v>1150</v>
      </c>
      <c r="D23" s="3"/>
      <c r="E23" s="3">
        <f t="shared" si="0"/>
        <v>4100</v>
      </c>
      <c r="F23" s="1"/>
    </row>
    <row r="24" spans="1:6">
      <c r="A24" s="2">
        <v>43906</v>
      </c>
      <c r="B24" s="1" t="s">
        <v>115</v>
      </c>
      <c r="C24" s="3"/>
      <c r="D24" s="3">
        <v>7000</v>
      </c>
      <c r="E24" s="3">
        <f t="shared" si="0"/>
        <v>11100</v>
      </c>
      <c r="F24" s="1"/>
    </row>
    <row r="25" spans="1:6">
      <c r="A25" s="2">
        <v>43908</v>
      </c>
      <c r="B25" s="1" t="s">
        <v>22</v>
      </c>
      <c r="C25" s="3">
        <v>2000</v>
      </c>
      <c r="D25" s="3"/>
      <c r="E25" s="3">
        <f t="shared" si="0"/>
        <v>9100</v>
      </c>
      <c r="F25" s="1"/>
    </row>
    <row r="26" spans="1:6">
      <c r="A26" s="2">
        <v>43908</v>
      </c>
      <c r="B26" s="1" t="s">
        <v>117</v>
      </c>
      <c r="C26" s="3">
        <v>2200</v>
      </c>
      <c r="D26" s="3"/>
      <c r="E26" s="3">
        <f t="shared" si="0"/>
        <v>6900</v>
      </c>
      <c r="F26" s="1"/>
    </row>
    <row r="27" spans="1:6">
      <c r="A27" s="2">
        <v>43908</v>
      </c>
      <c r="B27" s="1" t="s">
        <v>115</v>
      </c>
      <c r="C27" s="3"/>
      <c r="D27" s="3">
        <v>3000</v>
      </c>
      <c r="E27" s="3">
        <f t="shared" si="0"/>
        <v>9900</v>
      </c>
      <c r="F27" s="1"/>
    </row>
    <row r="28" spans="1:6">
      <c r="A28" s="2">
        <v>43909</v>
      </c>
      <c r="B28" s="1" t="s">
        <v>17</v>
      </c>
      <c r="C28" s="3">
        <v>900</v>
      </c>
      <c r="D28" s="3"/>
      <c r="E28" s="3">
        <f t="shared" si="0"/>
        <v>9000</v>
      </c>
      <c r="F28" s="1"/>
    </row>
    <row r="29" spans="1:6">
      <c r="A29" s="2">
        <v>43909</v>
      </c>
      <c r="B29" s="1" t="s">
        <v>99</v>
      </c>
      <c r="C29" s="3">
        <v>100</v>
      </c>
      <c r="D29" s="3"/>
      <c r="E29" s="3">
        <f t="shared" si="0"/>
        <v>8900</v>
      </c>
      <c r="F29" s="1"/>
    </row>
    <row r="30" spans="1:6">
      <c r="A30" s="2">
        <v>43916</v>
      </c>
      <c r="B30" s="1" t="s">
        <v>20</v>
      </c>
      <c r="C30" s="3">
        <v>5900</v>
      </c>
      <c r="D30" s="3"/>
      <c r="E30" s="3">
        <f t="shared" si="0"/>
        <v>3000</v>
      </c>
      <c r="F30" s="1"/>
    </row>
    <row r="31" spans="1:6">
      <c r="A31" s="2">
        <v>43916</v>
      </c>
      <c r="B31" s="1" t="s">
        <v>109</v>
      </c>
      <c r="C31" s="3"/>
      <c r="D31" s="3">
        <v>2750</v>
      </c>
      <c r="E31" s="3">
        <f t="shared" si="0"/>
        <v>5750</v>
      </c>
      <c r="F31" s="1"/>
    </row>
    <row r="32" spans="1:6">
      <c r="A32" s="2">
        <v>43916</v>
      </c>
      <c r="B32" s="1" t="s">
        <v>118</v>
      </c>
      <c r="C32" s="3">
        <v>2750</v>
      </c>
      <c r="D32" s="3"/>
      <c r="E32" s="3">
        <f t="shared" si="0"/>
        <v>3000</v>
      </c>
      <c r="F32" s="1" t="s">
        <v>119</v>
      </c>
    </row>
    <row r="33" spans="1:6">
      <c r="A33" s="2">
        <v>43916</v>
      </c>
      <c r="B33" s="1" t="s">
        <v>120</v>
      </c>
      <c r="C33" s="3"/>
      <c r="D33" s="3">
        <v>3000</v>
      </c>
      <c r="E33" s="3">
        <f t="shared" si="0"/>
        <v>6000</v>
      </c>
      <c r="F33" s="1"/>
    </row>
    <row r="34" spans="1:6">
      <c r="A34" s="2">
        <v>43917</v>
      </c>
      <c r="B34" s="1" t="s">
        <v>83</v>
      </c>
      <c r="C34" s="3">
        <v>900</v>
      </c>
      <c r="D34" s="3"/>
      <c r="E34" s="3">
        <f t="shared" si="0"/>
        <v>5100</v>
      </c>
      <c r="F34" s="1"/>
    </row>
    <row r="35" spans="1:6">
      <c r="A35" s="2">
        <v>43920</v>
      </c>
      <c r="B35" s="1" t="s">
        <v>120</v>
      </c>
      <c r="C35" s="3"/>
      <c r="D35" s="3">
        <v>2900</v>
      </c>
      <c r="E35" s="3">
        <f t="shared" si="0"/>
        <v>8000</v>
      </c>
      <c r="F35" s="1"/>
    </row>
    <row r="36" spans="1:6">
      <c r="A36" s="2">
        <v>43921</v>
      </c>
      <c r="B36" s="1" t="s">
        <v>33</v>
      </c>
      <c r="C36" s="3">
        <v>6000</v>
      </c>
      <c r="D36" s="3"/>
      <c r="E36" s="3">
        <f t="shared" si="0"/>
        <v>2000</v>
      </c>
      <c r="F36" s="1"/>
    </row>
    <row r="37" spans="1:6">
      <c r="A37" s="2">
        <v>43925</v>
      </c>
      <c r="B37" s="1" t="s">
        <v>126</v>
      </c>
      <c r="C37" s="3">
        <v>2000</v>
      </c>
      <c r="D37" s="3"/>
      <c r="E37" s="3">
        <f t="shared" si="0"/>
        <v>0</v>
      </c>
      <c r="F37" s="1"/>
    </row>
    <row r="38" spans="1:6">
      <c r="A38" s="12"/>
      <c r="B38" s="12"/>
      <c r="C38" s="13"/>
      <c r="D38" s="13"/>
      <c r="E38" s="13">
        <f t="shared" si="0"/>
        <v>0</v>
      </c>
      <c r="F38" s="12"/>
    </row>
    <row r="39" spans="1:6">
      <c r="A39" s="15"/>
      <c r="B39" s="15"/>
      <c r="C39" s="16"/>
      <c r="D39" s="16"/>
      <c r="E39" s="16">
        <f t="shared" si="0"/>
        <v>0</v>
      </c>
      <c r="F39" s="15"/>
    </row>
    <row r="40" spans="1:6">
      <c r="A40" s="18"/>
      <c r="B40" s="18"/>
      <c r="C40" s="19"/>
      <c r="D40" s="19"/>
      <c r="E40" s="19"/>
      <c r="F40" s="18"/>
    </row>
    <row r="41" spans="1:6">
      <c r="A41" s="18"/>
      <c r="B41" s="18"/>
      <c r="C41" s="19"/>
      <c r="D41" s="19"/>
      <c r="E41" s="19"/>
      <c r="F41" s="18"/>
    </row>
    <row r="42" spans="1:6">
      <c r="A42" s="18"/>
      <c r="B42" s="18"/>
      <c r="C42" s="19"/>
      <c r="D42" s="19"/>
      <c r="E42" s="19"/>
      <c r="F42" s="18"/>
    </row>
    <row r="43" spans="1:6">
      <c r="A43" s="18"/>
      <c r="B43" s="18"/>
      <c r="C43" s="19"/>
      <c r="D43" s="19"/>
      <c r="E43" s="19"/>
      <c r="F43" s="18"/>
    </row>
    <row r="44" spans="1:6">
      <c r="A44" s="18"/>
      <c r="B44" s="18"/>
      <c r="C44" s="19"/>
      <c r="D44" s="19"/>
      <c r="E44" s="19"/>
      <c r="F44" s="18"/>
    </row>
    <row r="45" spans="1:6">
      <c r="A45" s="18"/>
      <c r="B45" s="18"/>
      <c r="C45" s="19"/>
      <c r="D45" s="19"/>
      <c r="E45" s="19"/>
      <c r="F45" s="18"/>
    </row>
    <row r="46" spans="1:6">
      <c r="A46" s="18"/>
      <c r="B46" s="18"/>
      <c r="C46" s="19"/>
      <c r="D46" s="19"/>
      <c r="E46" s="19"/>
      <c r="F46" s="18"/>
    </row>
    <row r="47" spans="1:6">
      <c r="A47" s="18"/>
      <c r="B47" s="18"/>
      <c r="C47" s="19"/>
      <c r="D47" s="19"/>
      <c r="E47" s="19"/>
      <c r="F47" s="18"/>
    </row>
    <row r="48" spans="1:6">
      <c r="A48" s="18"/>
      <c r="B48" s="18"/>
      <c r="C48" s="19"/>
      <c r="D48" s="19"/>
      <c r="E48" s="19"/>
      <c r="F48" s="18"/>
    </row>
    <row r="49" spans="1:6">
      <c r="A49" s="18"/>
      <c r="B49" s="18"/>
      <c r="C49" s="19"/>
      <c r="D49" s="19"/>
      <c r="E49" s="19"/>
      <c r="F49" s="18"/>
    </row>
    <row r="50" spans="1:6">
      <c r="A50" s="18"/>
      <c r="B50" s="18"/>
      <c r="C50" s="19"/>
      <c r="D50" s="19"/>
      <c r="E50" s="19"/>
      <c r="F50" s="18"/>
    </row>
    <row r="51" spans="1:6">
      <c r="A51" s="18"/>
      <c r="B51" s="18"/>
      <c r="C51" s="19"/>
      <c r="D51" s="19"/>
      <c r="E51" s="19"/>
      <c r="F51" s="18"/>
    </row>
    <row r="52" spans="1:6">
      <c r="A52" s="18"/>
      <c r="B52" s="18"/>
      <c r="C52" s="19"/>
      <c r="D52" s="19"/>
      <c r="E52" s="19"/>
      <c r="F52" s="18"/>
    </row>
    <row r="53" spans="1:6">
      <c r="A53" s="18"/>
      <c r="B53" s="18"/>
      <c r="C53" s="19"/>
      <c r="D53" s="19"/>
      <c r="E53" s="19"/>
      <c r="F53" s="18"/>
    </row>
    <row r="54" spans="1:6">
      <c r="A54" s="18"/>
      <c r="B54" s="18"/>
      <c r="C54" s="19"/>
      <c r="D54" s="19"/>
      <c r="E54" s="19"/>
      <c r="F54" s="18"/>
    </row>
    <row r="55" spans="1:6">
      <c r="A55" s="18"/>
      <c r="B55" s="18"/>
      <c r="C55" s="19"/>
      <c r="D55" s="19"/>
      <c r="E55" s="19"/>
      <c r="F55" s="18"/>
    </row>
    <row r="56" spans="1:6">
      <c r="A56" s="18"/>
      <c r="B56" s="18"/>
      <c r="C56" s="19"/>
      <c r="D56" s="19"/>
      <c r="E56" s="19"/>
      <c r="F56" s="18"/>
    </row>
    <row r="57" spans="1:6">
      <c r="A57" s="18"/>
      <c r="B57" s="18"/>
      <c r="C57" s="19"/>
      <c r="D57" s="19"/>
      <c r="E57" s="19"/>
      <c r="F57" s="18"/>
    </row>
    <row r="58" spans="1:6">
      <c r="A58" s="18"/>
      <c r="B58" s="18"/>
      <c r="C58" s="19"/>
      <c r="D58" s="19"/>
      <c r="E58" s="19"/>
      <c r="F58" s="18"/>
    </row>
    <row r="59" spans="1:6">
      <c r="A59" s="18"/>
      <c r="B59" s="18"/>
      <c r="C59" s="19"/>
      <c r="D59" s="19"/>
      <c r="E59" s="19"/>
      <c r="F59" s="18"/>
    </row>
    <row r="60" spans="1:6">
      <c r="A60" s="18"/>
      <c r="B60" s="18"/>
      <c r="C60" s="19"/>
      <c r="D60" s="19"/>
      <c r="E60" s="19"/>
      <c r="F60" s="18"/>
    </row>
    <row r="61" spans="1:6">
      <c r="A61" s="18"/>
      <c r="B61" s="18"/>
      <c r="C61" s="19"/>
      <c r="D61" s="19"/>
      <c r="E61" s="19"/>
      <c r="F61" s="18"/>
    </row>
    <row r="62" spans="1:6">
      <c r="A62" s="18"/>
      <c r="B62" s="18"/>
      <c r="C62" s="19"/>
      <c r="D62" s="19"/>
      <c r="E62" s="19"/>
      <c r="F62" s="18"/>
    </row>
    <row r="63" spans="1:6">
      <c r="A63" s="18"/>
      <c r="B63" s="18"/>
      <c r="C63" s="19"/>
      <c r="D63" s="19"/>
      <c r="E63" s="19"/>
      <c r="F63" s="18"/>
    </row>
    <row r="64" spans="1:6">
      <c r="A64" s="18"/>
      <c r="B64" s="18"/>
      <c r="C64" s="19"/>
      <c r="D64" s="19"/>
      <c r="E64" s="19"/>
      <c r="F64" s="18"/>
    </row>
    <row r="65" spans="1:6">
      <c r="A65" s="18"/>
      <c r="B65" s="18"/>
      <c r="C65" s="19"/>
      <c r="D65" s="19"/>
      <c r="E65" s="19"/>
      <c r="F65" s="18"/>
    </row>
    <row r="66" spans="1:6">
      <c r="A66" s="18"/>
      <c r="B66" s="18"/>
      <c r="C66" s="19"/>
      <c r="D66" s="19"/>
      <c r="E66" s="19"/>
      <c r="F66" s="18"/>
    </row>
    <row r="67" spans="1:6">
      <c r="A67" s="18"/>
      <c r="B67" s="18"/>
      <c r="C67" s="19"/>
      <c r="D67" s="19"/>
      <c r="E67" s="19"/>
      <c r="F67" s="18"/>
    </row>
    <row r="68" spans="1:6">
      <c r="A68" s="18"/>
      <c r="B68" s="18"/>
      <c r="C68" s="19"/>
      <c r="D68" s="19"/>
      <c r="E68" s="19"/>
      <c r="F68" s="18"/>
    </row>
    <row r="69" spans="1:6">
      <c r="A69" s="18"/>
      <c r="B69" s="18"/>
      <c r="C69" s="19"/>
      <c r="D69" s="19"/>
      <c r="E69" s="19"/>
      <c r="F69" s="18"/>
    </row>
    <row r="70" spans="1:6">
      <c r="A70" s="18"/>
      <c r="B70" s="18"/>
      <c r="C70" s="19"/>
      <c r="D70" s="19"/>
      <c r="E70" s="19"/>
      <c r="F70" s="18"/>
    </row>
    <row r="71" spans="1:6">
      <c r="A71" s="18"/>
      <c r="B71" s="18"/>
      <c r="C71" s="19"/>
      <c r="D71" s="19"/>
      <c r="E71" s="19"/>
      <c r="F71" s="18"/>
    </row>
    <row r="72" spans="1:6">
      <c r="A72" s="18"/>
      <c r="B72" s="18"/>
      <c r="C72" s="19"/>
      <c r="D72" s="19"/>
      <c r="E72" s="19"/>
      <c r="F72" s="18"/>
    </row>
    <row r="73" spans="1:6">
      <c r="A73" s="18"/>
      <c r="B73" s="18"/>
      <c r="C73" s="19"/>
      <c r="D73" s="19"/>
      <c r="E73" s="19"/>
      <c r="F73" s="18"/>
    </row>
    <row r="74" spans="1:6">
      <c r="A74" s="18"/>
      <c r="B74" s="18"/>
      <c r="C74" s="19"/>
      <c r="D74" s="19"/>
      <c r="E74" s="19"/>
      <c r="F74" s="18"/>
    </row>
    <row r="75" spans="1:6">
      <c r="A75" s="18"/>
      <c r="B75" s="18"/>
      <c r="C75" s="19"/>
      <c r="D75" s="19"/>
      <c r="E75" s="19"/>
      <c r="F75" s="18"/>
    </row>
    <row r="76" spans="1:6">
      <c r="A76" s="18"/>
      <c r="B76" s="18"/>
      <c r="C76" s="19"/>
      <c r="D76" s="19"/>
      <c r="E76" s="19"/>
      <c r="F76" s="18"/>
    </row>
    <row r="77" spans="1:6">
      <c r="A77" s="18"/>
      <c r="B77" s="18"/>
      <c r="C77" s="19"/>
      <c r="D77" s="19"/>
      <c r="E77" s="19"/>
      <c r="F77" s="18"/>
    </row>
    <row r="78" spans="1:6">
      <c r="A78" s="18"/>
      <c r="B78" s="18"/>
      <c r="C78" s="19"/>
      <c r="D78" s="19"/>
      <c r="E78" s="19"/>
      <c r="F78" s="18"/>
    </row>
    <row r="79" spans="1:6">
      <c r="A79" s="18"/>
      <c r="B79" s="18"/>
      <c r="C79" s="19"/>
      <c r="D79" s="19"/>
      <c r="E79" s="19"/>
      <c r="F79" s="18"/>
    </row>
    <row r="80" spans="1:6">
      <c r="A80" s="18"/>
      <c r="B80" s="18"/>
      <c r="C80" s="19"/>
      <c r="D80" s="19"/>
      <c r="E80" s="19"/>
      <c r="F80" s="18"/>
    </row>
    <row r="81" spans="1:6">
      <c r="A81" s="18"/>
      <c r="B81" s="18"/>
      <c r="C81" s="19"/>
      <c r="D81" s="19"/>
      <c r="E81" s="19"/>
      <c r="F81" s="18"/>
    </row>
    <row r="82" spans="1:6">
      <c r="A82" s="18"/>
      <c r="B82" s="18"/>
      <c r="C82" s="19"/>
      <c r="D82" s="19"/>
      <c r="E82" s="19"/>
      <c r="F82" s="18"/>
    </row>
    <row r="83" spans="1:6">
      <c r="A83" s="18"/>
      <c r="B83" s="18"/>
      <c r="C83" s="19"/>
      <c r="D83" s="19"/>
      <c r="E83" s="19"/>
      <c r="F83" s="18"/>
    </row>
    <row r="84" spans="1:6">
      <c r="E84" s="33">
        <f t="shared" ref="E84:E113" si="1">E83+D84-C84</f>
        <v>0</v>
      </c>
    </row>
    <row r="85" spans="1:6">
      <c r="E85" s="3">
        <f t="shared" si="1"/>
        <v>0</v>
      </c>
    </row>
    <row r="86" spans="1:6">
      <c r="E86" s="3">
        <f t="shared" si="1"/>
        <v>0</v>
      </c>
    </row>
    <row r="87" spans="1:6">
      <c r="E87" s="3">
        <f t="shared" si="1"/>
        <v>0</v>
      </c>
    </row>
    <row r="88" spans="1:6">
      <c r="E88" s="3">
        <f t="shared" si="1"/>
        <v>0</v>
      </c>
    </row>
    <row r="89" spans="1:6">
      <c r="E89" s="3">
        <f t="shared" si="1"/>
        <v>0</v>
      </c>
    </row>
    <row r="90" spans="1:6">
      <c r="E90" s="3">
        <f t="shared" si="1"/>
        <v>0</v>
      </c>
    </row>
    <row r="91" spans="1:6">
      <c r="E91" s="3">
        <f t="shared" si="1"/>
        <v>0</v>
      </c>
    </row>
    <row r="92" spans="1:6">
      <c r="E92" s="3">
        <f t="shared" si="1"/>
        <v>0</v>
      </c>
    </row>
    <row r="93" spans="1:6">
      <c r="E93" s="3">
        <f t="shared" si="1"/>
        <v>0</v>
      </c>
    </row>
    <row r="94" spans="1:6">
      <c r="E94" s="3">
        <f t="shared" si="1"/>
        <v>0</v>
      </c>
    </row>
    <row r="95" spans="1:6">
      <c r="E95" s="3">
        <f t="shared" si="1"/>
        <v>0</v>
      </c>
    </row>
    <row r="96" spans="1:6">
      <c r="E96" s="3">
        <f t="shared" si="1"/>
        <v>0</v>
      </c>
    </row>
    <row r="97" spans="5:5">
      <c r="E97" s="3">
        <f t="shared" si="1"/>
        <v>0</v>
      </c>
    </row>
    <row r="98" spans="5:5">
      <c r="E98" s="3">
        <f t="shared" si="1"/>
        <v>0</v>
      </c>
    </row>
    <row r="99" spans="5:5">
      <c r="E99" s="3">
        <f t="shared" si="1"/>
        <v>0</v>
      </c>
    </row>
    <row r="100" spans="5:5">
      <c r="E100" s="3">
        <f t="shared" si="1"/>
        <v>0</v>
      </c>
    </row>
    <row r="101" spans="5:5">
      <c r="E101" s="3">
        <f t="shared" si="1"/>
        <v>0</v>
      </c>
    </row>
    <row r="102" spans="5:5">
      <c r="E102" s="3">
        <f t="shared" si="1"/>
        <v>0</v>
      </c>
    </row>
    <row r="103" spans="5:5">
      <c r="E103" s="3">
        <f t="shared" si="1"/>
        <v>0</v>
      </c>
    </row>
    <row r="104" spans="5:5">
      <c r="E104" s="3">
        <f t="shared" si="1"/>
        <v>0</v>
      </c>
    </row>
    <row r="105" spans="5:5">
      <c r="E105" s="3">
        <f t="shared" si="1"/>
        <v>0</v>
      </c>
    </row>
    <row r="106" spans="5:5">
      <c r="E106" s="3">
        <f t="shared" si="1"/>
        <v>0</v>
      </c>
    </row>
    <row r="107" spans="5:5">
      <c r="E107" s="3">
        <f t="shared" si="1"/>
        <v>0</v>
      </c>
    </row>
    <row r="108" spans="5:5">
      <c r="E108" s="3">
        <f t="shared" si="1"/>
        <v>0</v>
      </c>
    </row>
    <row r="109" spans="5:5">
      <c r="E109" s="3">
        <f t="shared" si="1"/>
        <v>0</v>
      </c>
    </row>
    <row r="110" spans="5:5">
      <c r="E110" s="3">
        <f t="shared" si="1"/>
        <v>0</v>
      </c>
    </row>
    <row r="111" spans="5:5">
      <c r="E111" s="3">
        <f t="shared" si="1"/>
        <v>0</v>
      </c>
    </row>
    <row r="112" spans="5:5">
      <c r="E112" s="3">
        <f t="shared" si="1"/>
        <v>0</v>
      </c>
    </row>
    <row r="113" spans="5:5">
      <c r="E113" s="3">
        <f t="shared" si="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2BC2-13CB-BB44-BD86-3C417AA6B367}">
  <dimension ref="A1:T1048576"/>
  <sheetViews>
    <sheetView showGridLines="0" zoomScale="93"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27.33203125" bestFit="1" customWidth="1"/>
    <col min="3" max="3" width="12" style="4" bestFit="1" customWidth="1"/>
    <col min="4" max="4" width="12.33203125" style="4" customWidth="1"/>
    <col min="5" max="5" width="13" customWidth="1"/>
    <col min="6" max="6" width="16.5" bestFit="1" customWidth="1"/>
    <col min="7" max="7" width="12" bestFit="1" customWidth="1"/>
    <col min="8" max="8" width="7.33203125" bestFit="1" customWidth="1"/>
    <col min="9" max="9" width="35.33203125" bestFit="1" customWidth="1"/>
    <col min="10" max="11" width="12.5" bestFit="1" customWidth="1"/>
    <col min="12" max="12" width="12" bestFit="1" customWidth="1"/>
    <col min="13" max="13" width="12.83203125" customWidth="1"/>
    <col min="14" max="14" width="7.33203125" customWidth="1"/>
    <col min="15" max="15" width="19.83203125" style="4" customWidth="1"/>
    <col min="16" max="16" width="12" bestFit="1" customWidth="1"/>
  </cols>
  <sheetData>
    <row r="1" spans="1:18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8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8">
      <c r="A3" s="2">
        <v>44440</v>
      </c>
      <c r="B3" s="473" t="s">
        <v>144</v>
      </c>
      <c r="C3" s="474"/>
      <c r="D3" s="475"/>
      <c r="E3" s="3">
        <v>32193.809999999998</v>
      </c>
      <c r="F3" s="34"/>
      <c r="G3" s="271" t="s">
        <v>170</v>
      </c>
      <c r="H3" s="2">
        <v>44444</v>
      </c>
      <c r="I3" s="473" t="s">
        <v>1191</v>
      </c>
      <c r="J3" s="474"/>
      <c r="K3" s="475"/>
      <c r="L3" s="3">
        <v>2350</v>
      </c>
      <c r="M3" s="37"/>
      <c r="Q3" s="18"/>
    </row>
    <row r="4" spans="1:18">
      <c r="A4" s="2">
        <v>44440</v>
      </c>
      <c r="B4" s="1" t="s">
        <v>1185</v>
      </c>
      <c r="C4" s="3">
        <v>5730</v>
      </c>
      <c r="D4" s="3"/>
      <c r="E4" s="3">
        <f>+E3-C4+D4</f>
        <v>26463.809999999998</v>
      </c>
      <c r="F4" s="44"/>
      <c r="G4" s="56">
        <f>+E57+L30</f>
        <v>21588.9</v>
      </c>
      <c r="H4" s="2">
        <v>44443</v>
      </c>
      <c r="I4" s="1" t="s">
        <v>83</v>
      </c>
      <c r="J4" s="3">
        <v>400</v>
      </c>
      <c r="K4" s="3"/>
      <c r="L4" s="3">
        <f>+L3-J4+K4</f>
        <v>1950</v>
      </c>
      <c r="M4" s="95"/>
      <c r="Q4" s="18"/>
    </row>
    <row r="5" spans="1:18">
      <c r="A5" s="2">
        <v>44440</v>
      </c>
      <c r="B5" s="1" t="s">
        <v>566</v>
      </c>
      <c r="C5" s="3">
        <v>10000</v>
      </c>
      <c r="D5" s="3"/>
      <c r="E5" s="3">
        <f>+E4-C5+D5</f>
        <v>16463.809999999998</v>
      </c>
      <c r="F5" s="60"/>
      <c r="G5" s="41"/>
      <c r="H5" s="2">
        <v>44444</v>
      </c>
      <c r="I5" s="1" t="s">
        <v>1194</v>
      </c>
      <c r="J5" s="3"/>
      <c r="K5" s="3">
        <v>400</v>
      </c>
      <c r="L5" s="3">
        <f t="shared" ref="L5:L59" si="0">+L4-J5+K5</f>
        <v>2350</v>
      </c>
      <c r="M5" s="96"/>
      <c r="P5" s="41"/>
      <c r="Q5" s="18"/>
    </row>
    <row r="6" spans="1:18">
      <c r="A6" s="2">
        <v>44444</v>
      </c>
      <c r="B6" s="1" t="s">
        <v>1192</v>
      </c>
      <c r="C6" s="60"/>
      <c r="D6" s="3">
        <v>17410</v>
      </c>
      <c r="E6" s="3">
        <f t="shared" ref="E6:E53" si="1">+E5-C6+D6</f>
        <v>33873.81</v>
      </c>
      <c r="F6" s="59"/>
      <c r="G6" s="189"/>
      <c r="H6" s="2">
        <v>44444</v>
      </c>
      <c r="I6" s="36" t="s">
        <v>1200</v>
      </c>
      <c r="J6" s="243">
        <v>1200</v>
      </c>
      <c r="K6" s="243"/>
      <c r="L6" s="3">
        <f t="shared" si="0"/>
        <v>1150</v>
      </c>
      <c r="M6" s="96"/>
      <c r="O6" s="242"/>
      <c r="Q6" s="18"/>
    </row>
    <row r="7" spans="1:18">
      <c r="A7" s="2">
        <v>44444</v>
      </c>
      <c r="B7" s="59" t="s">
        <v>1193</v>
      </c>
      <c r="C7" s="3">
        <v>2665</v>
      </c>
      <c r="D7" s="3"/>
      <c r="E7" s="3">
        <f t="shared" si="1"/>
        <v>31208.809999999998</v>
      </c>
      <c r="F7" s="60"/>
      <c r="G7" s="190"/>
      <c r="H7" s="58"/>
      <c r="I7" s="59" t="s">
        <v>1209</v>
      </c>
      <c r="J7" s="60">
        <v>660</v>
      </c>
      <c r="K7" s="3"/>
      <c r="L7" s="3">
        <f t="shared" si="0"/>
        <v>490</v>
      </c>
      <c r="M7" s="76">
        <f>+J7</f>
        <v>660</v>
      </c>
      <c r="P7" s="4"/>
      <c r="Q7" s="18"/>
    </row>
    <row r="8" spans="1:18">
      <c r="A8" s="2">
        <v>44444</v>
      </c>
      <c r="B8" s="59" t="s">
        <v>1095</v>
      </c>
      <c r="C8" s="3">
        <v>5000</v>
      </c>
      <c r="D8" s="3"/>
      <c r="E8" s="3">
        <f t="shared" si="1"/>
        <v>26208.809999999998</v>
      </c>
      <c r="F8" s="197"/>
      <c r="G8" s="189"/>
      <c r="H8" s="58">
        <v>44457</v>
      </c>
      <c r="I8" s="473" t="s">
        <v>1210</v>
      </c>
      <c r="J8" s="474"/>
      <c r="K8" s="475"/>
      <c r="L8" s="3">
        <v>6730</v>
      </c>
      <c r="M8" s="96"/>
    </row>
    <row r="9" spans="1:18">
      <c r="A9" s="2">
        <v>44444</v>
      </c>
      <c r="B9" s="1" t="s">
        <v>1114</v>
      </c>
      <c r="C9" s="3">
        <v>1100</v>
      </c>
      <c r="D9" s="3"/>
      <c r="E9" s="3">
        <f t="shared" si="1"/>
        <v>25108.809999999998</v>
      </c>
      <c r="F9" s="59"/>
      <c r="H9" s="2">
        <v>44458</v>
      </c>
      <c r="I9" s="98" t="s">
        <v>1211</v>
      </c>
      <c r="J9" s="3">
        <v>85</v>
      </c>
      <c r="K9" s="3"/>
      <c r="L9" s="3">
        <f t="shared" si="0"/>
        <v>6645</v>
      </c>
      <c r="M9" s="96"/>
      <c r="O9" s="278" t="s">
        <v>1186</v>
      </c>
      <c r="P9" s="130"/>
    </row>
    <row r="10" spans="1:18">
      <c r="A10" s="2">
        <v>44444</v>
      </c>
      <c r="B10" s="1" t="s">
        <v>1093</v>
      </c>
      <c r="C10" s="3">
        <v>3200</v>
      </c>
      <c r="D10" s="3"/>
      <c r="E10" s="3">
        <v>21898.81</v>
      </c>
      <c r="F10" s="60"/>
      <c r="G10" s="92"/>
      <c r="H10" s="2">
        <v>44458</v>
      </c>
      <c r="I10" s="59" t="s">
        <v>1212</v>
      </c>
      <c r="J10" s="60">
        <v>700</v>
      </c>
      <c r="K10" s="3"/>
      <c r="L10" s="3">
        <f t="shared" si="0"/>
        <v>5945</v>
      </c>
      <c r="M10" s="64">
        <f>+J10/2</f>
        <v>350</v>
      </c>
      <c r="N10" s="57"/>
      <c r="O10" s="156" t="s">
        <v>1187</v>
      </c>
      <c r="P10" s="251">
        <v>1300</v>
      </c>
    </row>
    <row r="11" spans="1:18" ht="17">
      <c r="A11" s="2">
        <v>44445</v>
      </c>
      <c r="B11" s="59" t="s">
        <v>1199</v>
      </c>
      <c r="C11" s="3">
        <v>565</v>
      </c>
      <c r="D11" s="3"/>
      <c r="E11" s="3">
        <f t="shared" si="1"/>
        <v>21333.81</v>
      </c>
      <c r="F11" s="60"/>
      <c r="G11" s="41"/>
      <c r="H11" s="2">
        <v>44459</v>
      </c>
      <c r="I11" s="109" t="s">
        <v>1213</v>
      </c>
      <c r="J11" s="60">
        <v>700</v>
      </c>
      <c r="K11" s="3"/>
      <c r="L11" s="3">
        <f t="shared" si="0"/>
        <v>5245</v>
      </c>
      <c r="M11" s="96"/>
      <c r="N11" s="57"/>
      <c r="O11" s="156" t="s">
        <v>1188</v>
      </c>
      <c r="P11" s="251">
        <v>2600</v>
      </c>
    </row>
    <row r="12" spans="1:18">
      <c r="A12" s="2">
        <v>44445</v>
      </c>
      <c r="B12" s="1" t="s">
        <v>83</v>
      </c>
      <c r="C12" s="60">
        <f>2315-C11</f>
        <v>1750</v>
      </c>
      <c r="D12" s="3"/>
      <c r="E12" s="3">
        <f t="shared" si="1"/>
        <v>19583.810000000001</v>
      </c>
      <c r="F12" s="198"/>
      <c r="H12" s="2"/>
      <c r="I12" s="1"/>
      <c r="J12" s="3"/>
      <c r="K12" s="3"/>
      <c r="L12" s="3">
        <f t="shared" si="0"/>
        <v>5245</v>
      </c>
      <c r="M12" s="148"/>
      <c r="N12" s="57"/>
      <c r="O12" s="156" t="s">
        <v>1189</v>
      </c>
      <c r="P12" s="251">
        <v>4450</v>
      </c>
    </row>
    <row r="13" spans="1:18">
      <c r="A13" s="2">
        <v>44447</v>
      </c>
      <c r="B13" s="104" t="s">
        <v>101</v>
      </c>
      <c r="C13" s="3">
        <v>4258.51</v>
      </c>
      <c r="D13" s="3"/>
      <c r="E13" s="3">
        <f t="shared" si="1"/>
        <v>15325.300000000001</v>
      </c>
      <c r="F13" s="60"/>
      <c r="G13" s="57"/>
      <c r="H13" s="2"/>
      <c r="I13" s="59"/>
      <c r="J13" s="3"/>
      <c r="K13" s="3"/>
      <c r="L13" s="3">
        <f t="shared" si="0"/>
        <v>5245</v>
      </c>
      <c r="M13" s="59"/>
      <c r="O13" s="156" t="s">
        <v>1190</v>
      </c>
      <c r="P13" s="251">
        <v>687</v>
      </c>
    </row>
    <row r="14" spans="1:18">
      <c r="A14" s="2">
        <v>44447</v>
      </c>
      <c r="B14" s="59" t="s">
        <v>807</v>
      </c>
      <c r="C14" s="60">
        <v>5000</v>
      </c>
      <c r="D14" s="3"/>
      <c r="E14" s="3">
        <f t="shared" si="1"/>
        <v>10325.300000000001</v>
      </c>
      <c r="F14" s="60"/>
      <c r="H14" s="2"/>
      <c r="I14" s="1"/>
      <c r="J14" s="3"/>
      <c r="K14" s="3"/>
      <c r="L14" s="3">
        <f t="shared" si="0"/>
        <v>5245</v>
      </c>
      <c r="M14" s="96"/>
      <c r="O14" s="156" t="s">
        <v>1201</v>
      </c>
      <c r="P14" s="251">
        <v>5000</v>
      </c>
    </row>
    <row r="15" spans="1:18">
      <c r="A15" s="2">
        <v>44447</v>
      </c>
      <c r="B15" s="1" t="s">
        <v>1202</v>
      </c>
      <c r="C15" s="3"/>
      <c r="D15" s="3">
        <v>8000</v>
      </c>
      <c r="E15" s="3">
        <f t="shared" si="1"/>
        <v>18325.300000000003</v>
      </c>
      <c r="F15" s="60"/>
      <c r="H15" s="2"/>
      <c r="I15" s="1"/>
      <c r="J15" s="3"/>
      <c r="K15" s="3"/>
      <c r="L15" s="3">
        <f t="shared" si="0"/>
        <v>5245</v>
      </c>
      <c r="M15" s="96"/>
      <c r="O15" s="157"/>
      <c r="P15" s="279">
        <f>SUM(P10:P14)</f>
        <v>14037</v>
      </c>
      <c r="Q15" s="277" t="s">
        <v>1206</v>
      </c>
      <c r="R15" s="277"/>
    </row>
    <row r="16" spans="1:18">
      <c r="A16" s="2">
        <v>44448</v>
      </c>
      <c r="B16" s="59" t="s">
        <v>1203</v>
      </c>
      <c r="C16" s="60"/>
      <c r="D16" s="60">
        <v>14050</v>
      </c>
      <c r="E16" s="3">
        <f t="shared" si="1"/>
        <v>32375.300000000003</v>
      </c>
      <c r="F16" s="60"/>
      <c r="H16" s="2"/>
      <c r="I16" s="1"/>
      <c r="J16" s="3"/>
      <c r="K16" s="3"/>
      <c r="L16" s="3">
        <f t="shared" si="0"/>
        <v>5245</v>
      </c>
      <c r="M16" s="60"/>
      <c r="O16" s="242" t="s">
        <v>111</v>
      </c>
    </row>
    <row r="17" spans="1:20">
      <c r="A17" s="2">
        <v>44449</v>
      </c>
      <c r="B17" s="59" t="s">
        <v>1204</v>
      </c>
      <c r="C17" s="60">
        <v>15000</v>
      </c>
      <c r="D17" s="3"/>
      <c r="E17" s="3">
        <f t="shared" si="1"/>
        <v>17375.300000000003</v>
      </c>
      <c r="F17" s="60"/>
      <c r="H17" s="2"/>
      <c r="I17" s="1"/>
      <c r="J17" s="10"/>
      <c r="K17" s="3"/>
      <c r="L17" s="3">
        <f t="shared" si="0"/>
        <v>5245</v>
      </c>
      <c r="M17" s="96"/>
      <c r="O17" s="274" t="s">
        <v>1198</v>
      </c>
      <c r="P17" s="250">
        <f>+-(7551-687)/3</f>
        <v>-2288</v>
      </c>
    </row>
    <row r="18" spans="1:20">
      <c r="A18" s="2">
        <v>44450</v>
      </c>
      <c r="B18" s="59" t="s">
        <v>1205</v>
      </c>
      <c r="C18" s="60"/>
      <c r="D18" s="3">
        <v>2000</v>
      </c>
      <c r="E18" s="3">
        <f t="shared" si="1"/>
        <v>19375.300000000003</v>
      </c>
      <c r="F18" s="60"/>
      <c r="H18" s="2"/>
      <c r="I18" s="59"/>
      <c r="J18" s="3"/>
      <c r="K18" s="3"/>
      <c r="L18" s="3">
        <f t="shared" si="0"/>
        <v>5245</v>
      </c>
      <c r="M18" s="60"/>
      <c r="N18" s="57"/>
      <c r="O18" s="252" t="s">
        <v>1195</v>
      </c>
      <c r="P18" s="149">
        <v>1920</v>
      </c>
    </row>
    <row r="19" spans="1:20">
      <c r="A19" s="2">
        <v>44452</v>
      </c>
      <c r="B19" s="59" t="s">
        <v>238</v>
      </c>
      <c r="C19" s="60">
        <v>3031.4</v>
      </c>
      <c r="D19" s="159"/>
      <c r="E19" s="3">
        <f t="shared" si="1"/>
        <v>16343.900000000003</v>
      </c>
      <c r="F19" s="76">
        <f>+C19/2</f>
        <v>1515.7</v>
      </c>
      <c r="H19" s="2"/>
      <c r="I19" s="1"/>
      <c r="J19" s="3"/>
      <c r="K19" s="3"/>
      <c r="L19" s="3">
        <f t="shared" si="0"/>
        <v>5245</v>
      </c>
      <c r="M19" s="37"/>
      <c r="O19" s="275" t="s">
        <v>1196</v>
      </c>
      <c r="P19" s="276">
        <f>+P17+P18</f>
        <v>-368</v>
      </c>
      <c r="Q19" s="277" t="s">
        <v>1197</v>
      </c>
      <c r="R19" s="277"/>
      <c r="S19" s="277"/>
      <c r="T19" s="277"/>
    </row>
    <row r="20" spans="1:20">
      <c r="A20" s="2"/>
      <c r="B20" s="1"/>
      <c r="C20" s="10"/>
      <c r="D20" s="3"/>
      <c r="E20" s="3">
        <f t="shared" si="1"/>
        <v>16343.900000000003</v>
      </c>
      <c r="F20" s="60"/>
      <c r="H20" s="58"/>
      <c r="I20" s="6"/>
      <c r="J20" s="3"/>
      <c r="K20" s="3"/>
      <c r="L20" s="3">
        <f t="shared" si="0"/>
        <v>5245</v>
      </c>
      <c r="M20" s="60"/>
    </row>
    <row r="21" spans="1:20">
      <c r="A21" s="2"/>
      <c r="B21" s="1"/>
      <c r="C21" s="60"/>
      <c r="D21" s="3"/>
      <c r="E21" s="3">
        <f t="shared" si="1"/>
        <v>16343.900000000003</v>
      </c>
      <c r="F21" s="96"/>
      <c r="H21" s="58"/>
      <c r="I21" s="1"/>
      <c r="J21" s="3"/>
      <c r="K21" s="3"/>
      <c r="L21" s="3">
        <f t="shared" si="0"/>
        <v>5245</v>
      </c>
      <c r="M21" s="60"/>
      <c r="O21" s="246" t="s">
        <v>1196</v>
      </c>
      <c r="P21" s="247">
        <f>-F19-M7</f>
        <v>-2175.6999999999998</v>
      </c>
    </row>
    <row r="22" spans="1:20">
      <c r="A22" s="58"/>
      <c r="B22" s="59"/>
      <c r="C22" s="37"/>
      <c r="D22" s="60"/>
      <c r="E22" s="3">
        <f t="shared" si="1"/>
        <v>16343.900000000003</v>
      </c>
      <c r="F22" s="60"/>
      <c r="H22" s="58"/>
      <c r="I22" s="1"/>
      <c r="J22" s="60"/>
      <c r="K22" s="3"/>
      <c r="L22" s="3">
        <f t="shared" si="0"/>
        <v>5245</v>
      </c>
      <c r="M22" s="60"/>
      <c r="O22" s="156" t="s">
        <v>1207</v>
      </c>
      <c r="P22" s="177">
        <f>+'Gastos fijos'!N17</f>
        <v>0</v>
      </c>
    </row>
    <row r="23" spans="1:20">
      <c r="A23" s="58"/>
      <c r="B23" s="36"/>
      <c r="C23" s="243"/>
      <c r="D23" s="3"/>
      <c r="E23" s="3">
        <f t="shared" si="1"/>
        <v>16343.900000000003</v>
      </c>
      <c r="F23" s="60"/>
      <c r="G23" s="41"/>
      <c r="H23" s="58"/>
      <c r="I23" s="1"/>
      <c r="J23" s="3"/>
      <c r="K23" s="3"/>
      <c r="L23" s="3">
        <f t="shared" si="0"/>
        <v>5245</v>
      </c>
      <c r="M23" s="96"/>
      <c r="N23" s="90"/>
      <c r="O23" s="156" t="s">
        <v>1208</v>
      </c>
      <c r="P23" s="251">
        <f>-1500/2</f>
        <v>-750</v>
      </c>
    </row>
    <row r="24" spans="1:20">
      <c r="A24" s="58"/>
      <c r="B24" s="216"/>
      <c r="C24" s="217"/>
      <c r="D24" s="3"/>
      <c r="E24" s="3">
        <f t="shared" si="1"/>
        <v>16343.900000000003</v>
      </c>
      <c r="F24" s="60"/>
      <c r="H24" s="58"/>
      <c r="I24" s="1"/>
      <c r="J24" s="3"/>
      <c r="K24" s="3"/>
      <c r="L24" s="3">
        <f t="shared" si="0"/>
        <v>5245</v>
      </c>
      <c r="M24" s="60"/>
      <c r="N24" s="57"/>
      <c r="O24" s="156" t="s">
        <v>1214</v>
      </c>
      <c r="P24" s="251">
        <v>1850</v>
      </c>
    </row>
    <row r="25" spans="1:20">
      <c r="A25" s="2"/>
      <c r="B25" s="59"/>
      <c r="C25" s="60"/>
      <c r="D25" s="3"/>
      <c r="E25" s="3">
        <f t="shared" si="1"/>
        <v>16343.900000000003</v>
      </c>
      <c r="F25" s="60"/>
      <c r="H25" s="58"/>
      <c r="I25" s="1"/>
      <c r="J25" s="3"/>
      <c r="K25" s="3"/>
      <c r="L25" s="3">
        <f t="shared" si="0"/>
        <v>5245</v>
      </c>
      <c r="M25" s="60"/>
      <c r="O25" s="156" t="s">
        <v>1215</v>
      </c>
      <c r="P25" s="251">
        <f>1900/2</f>
        <v>950</v>
      </c>
    </row>
    <row r="26" spans="1:20">
      <c r="A26" s="63"/>
      <c r="B26" s="1"/>
      <c r="C26" s="3"/>
      <c r="D26" s="3"/>
      <c r="E26" s="3">
        <f t="shared" si="1"/>
        <v>16343.900000000003</v>
      </c>
      <c r="F26" s="36"/>
      <c r="H26" s="58"/>
      <c r="I26" s="1"/>
      <c r="J26" s="60"/>
      <c r="K26" s="3"/>
      <c r="L26" s="3">
        <f t="shared" si="0"/>
        <v>5245</v>
      </c>
      <c r="M26" s="60"/>
      <c r="O26" s="156" t="s">
        <v>1216</v>
      </c>
      <c r="P26" s="251">
        <v>825</v>
      </c>
    </row>
    <row r="27" spans="1:20">
      <c r="A27" s="63"/>
      <c r="B27" s="1"/>
      <c r="C27" s="3"/>
      <c r="D27" s="3"/>
      <c r="E27" s="3">
        <f t="shared" si="1"/>
        <v>16343.900000000003</v>
      </c>
      <c r="F27" s="36"/>
      <c r="H27" s="58"/>
      <c r="I27" s="1"/>
      <c r="J27" s="3"/>
      <c r="K27" s="3"/>
      <c r="L27" s="3">
        <f t="shared" si="0"/>
        <v>5245</v>
      </c>
      <c r="M27" s="60"/>
      <c r="O27" s="156" t="s">
        <v>1217</v>
      </c>
      <c r="P27" s="251">
        <f>883/2</f>
        <v>441.5</v>
      </c>
    </row>
    <row r="28" spans="1:20">
      <c r="A28" s="63"/>
      <c r="B28" s="6"/>
      <c r="C28" s="10"/>
      <c r="D28" s="10"/>
      <c r="E28" s="3">
        <f t="shared" si="1"/>
        <v>16343.900000000003</v>
      </c>
      <c r="F28" s="37"/>
      <c r="H28" s="2"/>
      <c r="I28" s="1"/>
      <c r="J28" s="3"/>
      <c r="K28" s="3"/>
      <c r="L28" s="3">
        <f t="shared" si="0"/>
        <v>5245</v>
      </c>
      <c r="M28" s="60"/>
      <c r="O28" s="156" t="s">
        <v>1218</v>
      </c>
      <c r="P28" s="251">
        <v>1140</v>
      </c>
    </row>
    <row r="29" spans="1:20">
      <c r="A29" s="63"/>
      <c r="B29" s="59"/>
      <c r="C29" s="37"/>
      <c r="D29" s="10"/>
      <c r="E29" s="3">
        <f t="shared" si="1"/>
        <v>16343.900000000003</v>
      </c>
      <c r="F29" s="37"/>
      <c r="H29" s="2"/>
      <c r="I29" s="6"/>
      <c r="J29" s="3"/>
      <c r="K29" s="3"/>
      <c r="L29" s="3">
        <f t="shared" si="0"/>
        <v>5245</v>
      </c>
      <c r="M29" s="60"/>
      <c r="O29" s="156" t="s">
        <v>1219</v>
      </c>
      <c r="P29" s="251">
        <v>200</v>
      </c>
    </row>
    <row r="30" spans="1:20">
      <c r="A30" s="63"/>
      <c r="B30" s="59"/>
      <c r="C30" s="60"/>
      <c r="D30" s="3"/>
      <c r="E30" s="3">
        <f t="shared" si="1"/>
        <v>16343.900000000003</v>
      </c>
      <c r="F30" s="59"/>
      <c r="H30" s="2"/>
      <c r="I30" s="1"/>
      <c r="J30" s="3"/>
      <c r="K30" s="3"/>
      <c r="L30" s="3">
        <f t="shared" si="0"/>
        <v>5245</v>
      </c>
      <c r="M30" s="194"/>
      <c r="N30" s="41"/>
      <c r="O30" s="156"/>
      <c r="P30" s="149"/>
    </row>
    <row r="31" spans="1:20">
      <c r="A31" s="63"/>
      <c r="B31" s="59"/>
      <c r="C31" s="60"/>
      <c r="D31" s="3"/>
      <c r="E31" s="3">
        <f t="shared" si="1"/>
        <v>16343.900000000003</v>
      </c>
      <c r="F31" s="59"/>
      <c r="H31" s="2"/>
      <c r="I31" s="1"/>
      <c r="J31" s="3"/>
      <c r="K31" s="3"/>
      <c r="L31" s="3">
        <f t="shared" si="0"/>
        <v>5245</v>
      </c>
      <c r="M31" s="60"/>
      <c r="O31" s="280" t="s">
        <v>1220</v>
      </c>
      <c r="P31" s="281">
        <f>SUM(P21:P24)</f>
        <v>-1075.6999999999998</v>
      </c>
      <c r="Q31" s="277" t="s">
        <v>1221</v>
      </c>
      <c r="R31" s="277"/>
    </row>
    <row r="32" spans="1:20">
      <c r="A32" s="63"/>
      <c r="B32" s="59"/>
      <c r="C32" s="60"/>
      <c r="D32" s="3"/>
      <c r="E32" s="3">
        <f t="shared" si="1"/>
        <v>16343.900000000003</v>
      </c>
      <c r="F32" s="60"/>
      <c r="H32" s="208"/>
      <c r="I32" s="202"/>
      <c r="J32" s="3"/>
      <c r="K32" s="3"/>
      <c r="L32" s="3">
        <f t="shared" si="0"/>
        <v>5245</v>
      </c>
      <c r="M32" s="76"/>
      <c r="P32" s="4"/>
    </row>
    <row r="33" spans="1:16">
      <c r="A33" s="2"/>
      <c r="B33" s="6"/>
      <c r="C33" s="3"/>
      <c r="D33" s="3"/>
      <c r="E33" s="3">
        <f t="shared" si="1"/>
        <v>16343.900000000003</v>
      </c>
      <c r="F33" s="60"/>
      <c r="H33" s="2"/>
      <c r="I33" s="1"/>
      <c r="J33" s="3"/>
      <c r="K33" s="3"/>
      <c r="L33" s="3">
        <f t="shared" si="0"/>
        <v>5245</v>
      </c>
      <c r="M33" s="60"/>
      <c r="P33" s="4"/>
    </row>
    <row r="34" spans="1:16">
      <c r="A34" s="2"/>
      <c r="B34" s="6"/>
      <c r="C34" s="3"/>
      <c r="D34" s="3"/>
      <c r="E34" s="3">
        <f t="shared" si="1"/>
        <v>16343.900000000003</v>
      </c>
      <c r="F34" s="60"/>
      <c r="H34" s="2"/>
      <c r="I34" s="1"/>
      <c r="J34" s="3"/>
      <c r="K34" s="3"/>
      <c r="L34" s="3">
        <f t="shared" si="0"/>
        <v>5245</v>
      </c>
      <c r="M34" s="60"/>
    </row>
    <row r="35" spans="1:16">
      <c r="A35" s="2"/>
      <c r="B35" s="6"/>
      <c r="C35" s="3"/>
      <c r="D35" s="3"/>
      <c r="E35" s="3">
        <f t="shared" si="1"/>
        <v>16343.900000000003</v>
      </c>
      <c r="F35" s="59"/>
      <c r="H35" s="2"/>
      <c r="I35" s="1"/>
      <c r="J35" s="3"/>
      <c r="K35" s="3"/>
      <c r="L35" s="3">
        <f t="shared" si="0"/>
        <v>5245</v>
      </c>
      <c r="M35" s="76"/>
    </row>
    <row r="36" spans="1:16">
      <c r="A36" s="2"/>
      <c r="B36" s="6"/>
      <c r="C36" s="3"/>
      <c r="D36" s="3"/>
      <c r="E36" s="3">
        <f t="shared" si="1"/>
        <v>16343.900000000003</v>
      </c>
      <c r="F36" s="59"/>
      <c r="H36" s="2"/>
      <c r="I36" s="1"/>
      <c r="J36" s="3"/>
      <c r="K36" s="3"/>
      <c r="L36" s="3">
        <f t="shared" si="0"/>
        <v>5245</v>
      </c>
      <c r="M36" s="76"/>
    </row>
    <row r="37" spans="1:16">
      <c r="A37" s="2"/>
      <c r="B37" s="200"/>
      <c r="C37" s="201"/>
      <c r="D37" s="201"/>
      <c r="E37" s="3">
        <f t="shared" si="1"/>
        <v>16343.900000000003</v>
      </c>
      <c r="F37" s="245"/>
      <c r="H37" s="114"/>
      <c r="I37" s="6"/>
      <c r="J37" s="3"/>
      <c r="K37" s="3"/>
      <c r="L37" s="3">
        <f t="shared" si="0"/>
        <v>5245</v>
      </c>
      <c r="M37" s="76"/>
      <c r="N37" s="57"/>
    </row>
    <row r="38" spans="1:16">
      <c r="A38" s="2"/>
      <c r="B38" s="202"/>
      <c r="C38" s="203"/>
      <c r="D38" s="203"/>
      <c r="E38" s="3">
        <f t="shared" si="1"/>
        <v>16343.900000000003</v>
      </c>
      <c r="F38" s="205"/>
      <c r="G38" s="195"/>
      <c r="H38" s="114"/>
      <c r="I38" s="6"/>
      <c r="J38" s="10"/>
      <c r="K38" s="3"/>
      <c r="L38" s="3">
        <f t="shared" si="0"/>
        <v>5245</v>
      </c>
      <c r="M38" s="76"/>
    </row>
    <row r="39" spans="1:16">
      <c r="A39" s="208"/>
      <c r="B39" s="202"/>
      <c r="C39" s="203"/>
      <c r="D39" s="203"/>
      <c r="E39" s="3">
        <f t="shared" si="1"/>
        <v>16343.900000000003</v>
      </c>
      <c r="F39" s="204"/>
      <c r="G39" s="195"/>
      <c r="H39" s="114"/>
      <c r="I39" s="59"/>
      <c r="J39" s="60"/>
      <c r="K39" s="60"/>
      <c r="L39" s="3">
        <f t="shared" si="0"/>
        <v>5245</v>
      </c>
      <c r="M39" s="76"/>
    </row>
    <row r="40" spans="1:16">
      <c r="A40" s="208"/>
      <c r="B40" s="202"/>
      <c r="C40" s="203"/>
      <c r="D40" s="203"/>
      <c r="E40" s="3">
        <f t="shared" si="1"/>
        <v>16343.900000000003</v>
      </c>
      <c r="F40" s="204"/>
      <c r="G40" s="195"/>
      <c r="H40" s="2"/>
      <c r="I40" s="1"/>
      <c r="J40" s="3"/>
      <c r="K40" s="3"/>
      <c r="L40" s="3">
        <f t="shared" si="0"/>
        <v>5245</v>
      </c>
      <c r="M40" s="64"/>
    </row>
    <row r="41" spans="1:16">
      <c r="A41" s="208"/>
      <c r="B41" s="202"/>
      <c r="C41" s="203"/>
      <c r="D41" s="203"/>
      <c r="E41" s="3">
        <f t="shared" si="1"/>
        <v>16343.900000000003</v>
      </c>
      <c r="F41" s="204"/>
      <c r="G41" s="195"/>
      <c r="H41" s="2"/>
      <c r="I41" s="1"/>
      <c r="J41" s="3"/>
      <c r="K41" s="3"/>
      <c r="L41" s="3">
        <f t="shared" si="0"/>
        <v>5245</v>
      </c>
      <c r="M41" s="126"/>
      <c r="N41" s="57"/>
    </row>
    <row r="42" spans="1:16">
      <c r="A42" s="208"/>
      <c r="B42" s="202"/>
      <c r="C42" s="203"/>
      <c r="D42" s="203"/>
      <c r="E42" s="3">
        <f t="shared" si="1"/>
        <v>16343.900000000003</v>
      </c>
      <c r="F42" s="204"/>
      <c r="G42" s="195"/>
      <c r="H42" s="2"/>
      <c r="I42" s="1"/>
      <c r="J42" s="3"/>
      <c r="K42" s="3"/>
      <c r="L42" s="3">
        <f t="shared" si="0"/>
        <v>5245</v>
      </c>
      <c r="M42" s="127"/>
    </row>
    <row r="43" spans="1:16">
      <c r="A43" s="208"/>
      <c r="B43" s="253"/>
      <c r="C43" s="204"/>
      <c r="D43" s="203"/>
      <c r="E43" s="3">
        <f t="shared" si="1"/>
        <v>16343.900000000003</v>
      </c>
      <c r="F43" s="204"/>
      <c r="H43" s="2"/>
      <c r="I43" s="6"/>
      <c r="J43" s="3"/>
      <c r="K43" s="3"/>
      <c r="L43" s="3">
        <f t="shared" si="0"/>
        <v>5245</v>
      </c>
      <c r="M43" s="44"/>
    </row>
    <row r="44" spans="1:16">
      <c r="A44" s="208"/>
      <c r="B44" s="202"/>
      <c r="C44" s="203"/>
      <c r="D44" s="203"/>
      <c r="E44" s="3">
        <f t="shared" si="1"/>
        <v>16343.900000000003</v>
      </c>
      <c r="F44" s="254"/>
      <c r="G44" s="92"/>
      <c r="H44" s="2"/>
      <c r="I44" s="6"/>
      <c r="J44" s="3"/>
      <c r="K44" s="3"/>
      <c r="L44" s="3">
        <f t="shared" si="0"/>
        <v>5245</v>
      </c>
      <c r="M44" s="76"/>
    </row>
    <row r="45" spans="1:16">
      <c r="A45" s="208"/>
      <c r="B45" s="202"/>
      <c r="C45" s="203"/>
      <c r="D45" s="203"/>
      <c r="E45" s="3">
        <f t="shared" si="1"/>
        <v>16343.900000000003</v>
      </c>
      <c r="F45" s="205"/>
      <c r="G45" s="92"/>
      <c r="H45" s="2"/>
      <c r="I45" s="1"/>
      <c r="J45" s="3"/>
      <c r="K45" s="3"/>
      <c r="L45" s="3">
        <f t="shared" si="0"/>
        <v>5245</v>
      </c>
      <c r="M45" s="1"/>
    </row>
    <row r="46" spans="1:16">
      <c r="A46" s="208"/>
      <c r="B46" s="202"/>
      <c r="C46" s="203"/>
      <c r="D46" s="203"/>
      <c r="E46" s="3">
        <f t="shared" si="1"/>
        <v>16343.900000000003</v>
      </c>
      <c r="F46" s="206"/>
      <c r="G46" s="92"/>
      <c r="H46" s="2"/>
      <c r="I46" s="1"/>
      <c r="J46" s="3"/>
      <c r="K46" s="3"/>
      <c r="L46" s="3">
        <f t="shared" si="0"/>
        <v>5245</v>
      </c>
      <c r="M46" s="1"/>
    </row>
    <row r="47" spans="1:16">
      <c r="A47" s="208"/>
      <c r="B47" s="202"/>
      <c r="C47" s="203"/>
      <c r="D47" s="203"/>
      <c r="E47" s="3">
        <f t="shared" si="1"/>
        <v>16343.900000000003</v>
      </c>
      <c r="F47" s="206"/>
      <c r="H47" s="2"/>
      <c r="I47" s="1"/>
      <c r="J47" s="3"/>
      <c r="K47" s="3"/>
      <c r="L47" s="3">
        <f t="shared" si="0"/>
        <v>5245</v>
      </c>
      <c r="M47" s="64"/>
      <c r="N47" s="83"/>
    </row>
    <row r="48" spans="1:16">
      <c r="A48" s="2"/>
      <c r="B48" s="1"/>
      <c r="C48" s="203"/>
      <c r="D48" s="203"/>
      <c r="E48" s="3">
        <f t="shared" si="1"/>
        <v>16343.900000000003</v>
      </c>
      <c r="F48" s="203"/>
      <c r="H48" s="2"/>
      <c r="I48" s="1"/>
      <c r="J48" s="3"/>
      <c r="K48" s="3"/>
      <c r="L48" s="3">
        <f t="shared" si="0"/>
        <v>5245</v>
      </c>
      <c r="M48" s="1"/>
    </row>
    <row r="49" spans="1:14">
      <c r="A49" s="202"/>
      <c r="B49" s="202"/>
      <c r="C49" s="203"/>
      <c r="D49" s="203"/>
      <c r="E49" s="3">
        <f t="shared" si="1"/>
        <v>16343.900000000003</v>
      </c>
      <c r="F49" s="207"/>
      <c r="H49" s="2"/>
      <c r="I49" s="1"/>
      <c r="J49" s="3"/>
      <c r="K49" s="3"/>
      <c r="L49" s="3">
        <f t="shared" si="0"/>
        <v>5245</v>
      </c>
      <c r="M49" s="44"/>
    </row>
    <row r="50" spans="1:14">
      <c r="A50" s="202"/>
      <c r="B50" s="202"/>
      <c r="C50" s="203"/>
      <c r="D50" s="203"/>
      <c r="E50" s="3">
        <f t="shared" si="1"/>
        <v>16343.900000000003</v>
      </c>
      <c r="F50" s="202"/>
      <c r="H50" s="2"/>
      <c r="I50" s="1"/>
      <c r="J50" s="3"/>
      <c r="K50" s="3"/>
      <c r="L50" s="3">
        <f t="shared" si="0"/>
        <v>5245</v>
      </c>
      <c r="M50" s="1"/>
    </row>
    <row r="51" spans="1:14">
      <c r="A51" s="202"/>
      <c r="B51" s="202"/>
      <c r="C51" s="203"/>
      <c r="D51" s="203"/>
      <c r="E51" s="3">
        <f t="shared" si="1"/>
        <v>16343.900000000003</v>
      </c>
      <c r="F51" s="202"/>
      <c r="H51" s="2"/>
      <c r="I51" s="1"/>
      <c r="J51" s="3"/>
      <c r="K51" s="3"/>
      <c r="L51" s="3">
        <f t="shared" si="0"/>
        <v>5245</v>
      </c>
      <c r="M51" s="1"/>
    </row>
    <row r="52" spans="1:14">
      <c r="A52" s="202"/>
      <c r="B52" s="202"/>
      <c r="C52" s="203"/>
      <c r="D52" s="203"/>
      <c r="E52" s="3">
        <f t="shared" si="1"/>
        <v>16343.900000000003</v>
      </c>
      <c r="F52" s="202"/>
      <c r="H52" s="2"/>
      <c r="I52" s="6"/>
      <c r="J52" s="3"/>
      <c r="K52" s="3"/>
      <c r="L52" s="3">
        <f t="shared" si="0"/>
        <v>5245</v>
      </c>
      <c r="M52" s="44"/>
    </row>
    <row r="53" spans="1:14">
      <c r="A53" s="202"/>
      <c r="B53" s="202"/>
      <c r="C53" s="203"/>
      <c r="D53" s="203"/>
      <c r="E53" s="3">
        <f t="shared" si="1"/>
        <v>16343.900000000003</v>
      </c>
      <c r="F53" s="202"/>
      <c r="H53" s="2"/>
      <c r="I53" s="1"/>
      <c r="J53" s="3"/>
      <c r="K53" s="3"/>
      <c r="L53" s="3">
        <f t="shared" si="0"/>
        <v>5245</v>
      </c>
      <c r="M53" s="1"/>
      <c r="N53" s="41"/>
    </row>
    <row r="54" spans="1:14">
      <c r="E54" s="33">
        <f t="shared" ref="E54:E59" si="2">+E53-C54+D54</f>
        <v>16343.900000000003</v>
      </c>
      <c r="H54" s="2"/>
      <c r="I54" s="1"/>
      <c r="J54" s="3"/>
      <c r="K54" s="3"/>
      <c r="L54" s="3">
        <f t="shared" si="0"/>
        <v>5245</v>
      </c>
      <c r="M54" s="1"/>
    </row>
    <row r="55" spans="1:14">
      <c r="E55" s="3">
        <f t="shared" si="2"/>
        <v>16343.900000000003</v>
      </c>
      <c r="H55" s="2"/>
      <c r="I55" s="1"/>
      <c r="J55" s="3"/>
      <c r="K55" s="3"/>
      <c r="L55" s="3">
        <f t="shared" si="0"/>
        <v>5245</v>
      </c>
      <c r="M55" s="1"/>
    </row>
    <row r="56" spans="1:14">
      <c r="E56" s="3">
        <f t="shared" si="2"/>
        <v>16343.900000000003</v>
      </c>
      <c r="H56" s="2"/>
      <c r="I56" s="1"/>
      <c r="J56" s="3"/>
      <c r="K56" s="3"/>
      <c r="L56" s="3">
        <f t="shared" si="0"/>
        <v>5245</v>
      </c>
      <c r="M56" s="1"/>
    </row>
    <row r="57" spans="1:14">
      <c r="E57" s="3">
        <f t="shared" si="2"/>
        <v>16343.900000000003</v>
      </c>
      <c r="H57" s="2"/>
      <c r="I57" s="1"/>
      <c r="J57" s="3"/>
      <c r="K57" s="3"/>
      <c r="L57" s="3">
        <f t="shared" si="0"/>
        <v>5245</v>
      </c>
      <c r="M57" s="1"/>
    </row>
    <row r="58" spans="1:14">
      <c r="E58" s="3">
        <f t="shared" si="2"/>
        <v>16343.900000000003</v>
      </c>
      <c r="H58" s="2"/>
      <c r="I58" s="1"/>
      <c r="J58" s="3"/>
      <c r="K58" s="3"/>
      <c r="L58" s="3">
        <f t="shared" si="0"/>
        <v>5245</v>
      </c>
      <c r="M58" s="64"/>
    </row>
    <row r="59" spans="1:14">
      <c r="E59" s="3">
        <f t="shared" si="2"/>
        <v>16343.900000000003</v>
      </c>
      <c r="H59" s="1"/>
      <c r="I59" s="1"/>
      <c r="J59" s="3"/>
      <c r="K59" s="3"/>
      <c r="L59" s="3">
        <f t="shared" si="0"/>
        <v>5245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5">
    <mergeCell ref="A1:F1"/>
    <mergeCell ref="H1:M1"/>
    <mergeCell ref="B3:D3"/>
    <mergeCell ref="I3:K3"/>
    <mergeCell ref="I8:K8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B1C9-96B9-5C4E-96EC-3817EC61DC9B}">
  <dimension ref="A1:S1048576"/>
  <sheetViews>
    <sheetView showGridLines="0" zoomScale="93" workbookViewId="0">
      <selection activeCell="H25" sqref="H25:M26"/>
    </sheetView>
  </sheetViews>
  <sheetFormatPr baseColWidth="10" defaultRowHeight="16"/>
  <cols>
    <col min="1" max="1" width="7.33203125" bestFit="1" customWidth="1"/>
    <col min="2" max="2" width="27.33203125" bestFit="1" customWidth="1"/>
    <col min="3" max="3" width="12" style="4" bestFit="1" customWidth="1"/>
    <col min="4" max="4" width="12.33203125" style="4" customWidth="1"/>
    <col min="5" max="5" width="13" customWidth="1"/>
    <col min="6" max="6" width="16.5" bestFit="1" customWidth="1"/>
    <col min="7" max="7" width="12" bestFit="1" customWidth="1"/>
    <col min="8" max="8" width="7.33203125" bestFit="1" customWidth="1"/>
    <col min="9" max="9" width="37.1640625" customWidth="1"/>
    <col min="10" max="11" width="12.5" bestFit="1" customWidth="1"/>
    <col min="12" max="12" width="12" bestFit="1" customWidth="1"/>
    <col min="13" max="13" width="12.83203125" customWidth="1"/>
    <col min="14" max="14" width="7.33203125" customWidth="1"/>
    <col min="15" max="15" width="19.83203125" style="4" customWidth="1"/>
    <col min="16" max="16" width="12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9">
      <c r="A3" s="2"/>
      <c r="B3" s="282"/>
      <c r="C3" s="283"/>
      <c r="D3" s="283"/>
      <c r="E3" s="3"/>
      <c r="F3" s="34"/>
      <c r="G3" s="271" t="s">
        <v>170</v>
      </c>
      <c r="H3" s="2"/>
      <c r="I3" s="282" t="s">
        <v>4</v>
      </c>
      <c r="J3" s="287"/>
      <c r="K3" s="287"/>
      <c r="L3" s="3">
        <v>90</v>
      </c>
      <c r="M3" s="37"/>
      <c r="O3" s="246" t="s">
        <v>1233</v>
      </c>
      <c r="P3" s="250">
        <f>1350/2</f>
        <v>675</v>
      </c>
      <c r="Q3" s="18"/>
    </row>
    <row r="4" spans="1:19">
      <c r="A4" s="2">
        <v>44472</v>
      </c>
      <c r="B4" s="1" t="s">
        <v>1224</v>
      </c>
      <c r="C4" s="3">
        <v>8675</v>
      </c>
      <c r="D4" s="3"/>
      <c r="E4" s="3">
        <f>+E3-C4+D4</f>
        <v>-8675</v>
      </c>
      <c r="F4" s="44"/>
      <c r="G4" s="56">
        <f>+E57+L30</f>
        <v>2127.4899999999998</v>
      </c>
      <c r="H4" s="2">
        <v>44475</v>
      </c>
      <c r="I4" s="1" t="s">
        <v>1071</v>
      </c>
      <c r="J4" s="3"/>
      <c r="K4" s="3">
        <v>15000</v>
      </c>
      <c r="L4" s="3">
        <f>+L3-J4+K4</f>
        <v>15090</v>
      </c>
      <c r="M4" s="95"/>
      <c r="O4" s="156" t="s">
        <v>1238</v>
      </c>
      <c r="P4" s="251">
        <f>2820/2</f>
        <v>1410</v>
      </c>
      <c r="Q4" s="18"/>
    </row>
    <row r="5" spans="1:19">
      <c r="A5" s="2">
        <v>44472</v>
      </c>
      <c r="B5" s="1" t="s">
        <v>1049</v>
      </c>
      <c r="C5" s="3">
        <v>10225</v>
      </c>
      <c r="D5" s="3"/>
      <c r="E5" s="3">
        <f t="shared" ref="E5:E13" si="0">+E4-C5+D5</f>
        <v>-18900</v>
      </c>
      <c r="F5" s="60"/>
      <c r="G5" s="41"/>
      <c r="H5" s="2">
        <v>44475</v>
      </c>
      <c r="I5" s="284" t="s">
        <v>1225</v>
      </c>
      <c r="J5" s="3">
        <v>3000</v>
      </c>
      <c r="K5" s="3"/>
      <c r="L5" s="3">
        <f t="shared" ref="L5:L25" si="1">+L4-J5+K5</f>
        <v>12090</v>
      </c>
      <c r="M5" s="96"/>
      <c r="O5" s="156" t="s">
        <v>1244</v>
      </c>
      <c r="P5" s="251">
        <v>8550</v>
      </c>
      <c r="Q5" s="18"/>
    </row>
    <row r="6" spans="1:19">
      <c r="A6" s="2">
        <v>44472</v>
      </c>
      <c r="B6" s="1" t="s">
        <v>1192</v>
      </c>
      <c r="C6" s="60"/>
      <c r="D6" s="3">
        <v>75000</v>
      </c>
      <c r="E6" s="3">
        <f t="shared" si="0"/>
        <v>56100</v>
      </c>
      <c r="F6" s="59"/>
      <c r="G6" s="189"/>
      <c r="H6" s="2">
        <v>44475</v>
      </c>
      <c r="I6" s="285" t="s">
        <v>1229</v>
      </c>
      <c r="J6" s="243">
        <v>265</v>
      </c>
      <c r="K6" s="243"/>
      <c r="L6" s="3">
        <f t="shared" si="1"/>
        <v>11825</v>
      </c>
      <c r="M6" s="96">
        <v>120</v>
      </c>
      <c r="O6" s="156" t="s">
        <v>1245</v>
      </c>
      <c r="P6" s="251">
        <f>4000/2</f>
        <v>2000</v>
      </c>
      <c r="Q6" s="18"/>
    </row>
    <row r="7" spans="1:19">
      <c r="A7" s="2">
        <v>44472</v>
      </c>
      <c r="B7" s="59" t="s">
        <v>1222</v>
      </c>
      <c r="C7" s="3">
        <v>5000</v>
      </c>
      <c r="D7" s="3"/>
      <c r="E7" s="3">
        <f t="shared" si="0"/>
        <v>51100</v>
      </c>
      <c r="F7" s="60"/>
      <c r="G7" s="190"/>
      <c r="H7" s="2">
        <v>44475</v>
      </c>
      <c r="I7" s="286" t="s">
        <v>1230</v>
      </c>
      <c r="J7" s="60">
        <v>260</v>
      </c>
      <c r="K7" s="3"/>
      <c r="L7" s="3">
        <f t="shared" si="1"/>
        <v>11565</v>
      </c>
      <c r="M7" s="60"/>
      <c r="O7" s="156" t="s">
        <v>1248</v>
      </c>
      <c r="P7" s="251">
        <f>2850*0.9</f>
        <v>2565</v>
      </c>
    </row>
    <row r="8" spans="1:19">
      <c r="A8" s="2">
        <v>44472</v>
      </c>
      <c r="B8" s="59" t="s">
        <v>1095</v>
      </c>
      <c r="C8" s="3">
        <v>5000</v>
      </c>
      <c r="D8" s="3"/>
      <c r="E8" s="3">
        <f t="shared" si="0"/>
        <v>46100</v>
      </c>
      <c r="F8" s="197"/>
      <c r="G8" s="189"/>
      <c r="H8" s="2">
        <v>44475</v>
      </c>
      <c r="I8" s="282" t="s">
        <v>1231</v>
      </c>
      <c r="J8" s="287">
        <v>680</v>
      </c>
      <c r="K8" s="287"/>
      <c r="L8" s="3">
        <f t="shared" si="1"/>
        <v>10885</v>
      </c>
      <c r="M8" s="96"/>
      <c r="O8" s="156" t="s">
        <v>1251</v>
      </c>
      <c r="P8" s="251">
        <f>250/2</f>
        <v>125</v>
      </c>
    </row>
    <row r="9" spans="1:19">
      <c r="A9" s="2">
        <v>44472</v>
      </c>
      <c r="B9" s="1" t="s">
        <v>1223</v>
      </c>
      <c r="C9" s="3">
        <v>1100</v>
      </c>
      <c r="D9" s="3"/>
      <c r="E9" s="3">
        <f t="shared" si="0"/>
        <v>45000</v>
      </c>
      <c r="F9" s="59"/>
      <c r="H9" s="2">
        <v>44475</v>
      </c>
      <c r="I9" s="98" t="s">
        <v>1232</v>
      </c>
      <c r="J9" s="3">
        <f>6500-J8</f>
        <v>5820</v>
      </c>
      <c r="K9" s="3"/>
      <c r="L9" s="3">
        <f t="shared" si="1"/>
        <v>5065</v>
      </c>
      <c r="M9" s="96">
        <f>+J9/2</f>
        <v>2910</v>
      </c>
      <c r="O9" s="156" t="s">
        <v>1256</v>
      </c>
      <c r="P9" s="251">
        <f>1200/2</f>
        <v>600</v>
      </c>
    </row>
    <row r="10" spans="1:19">
      <c r="A10" s="2">
        <v>44472</v>
      </c>
      <c r="B10" s="1" t="s">
        <v>1093</v>
      </c>
      <c r="C10" s="3">
        <v>3200</v>
      </c>
      <c r="D10" s="3"/>
      <c r="E10" s="3">
        <f t="shared" si="0"/>
        <v>41800</v>
      </c>
      <c r="F10" s="60"/>
      <c r="G10" s="92"/>
      <c r="H10" s="2">
        <v>44477</v>
      </c>
      <c r="I10" s="286" t="s">
        <v>1234</v>
      </c>
      <c r="J10" s="60">
        <v>1500</v>
      </c>
      <c r="K10" s="3"/>
      <c r="L10" s="3">
        <f t="shared" si="1"/>
        <v>3565</v>
      </c>
      <c r="M10" s="96"/>
      <c r="N10" s="57"/>
      <c r="O10" s="156" t="s">
        <v>574</v>
      </c>
      <c r="P10" s="251">
        <f>1550/2</f>
        <v>775</v>
      </c>
    </row>
    <row r="11" spans="1:19">
      <c r="A11" s="2">
        <v>44472</v>
      </c>
      <c r="B11" s="59" t="s">
        <v>251</v>
      </c>
      <c r="C11" s="3"/>
      <c r="D11" s="3"/>
      <c r="E11" s="3">
        <f>40000+7382</f>
        <v>47382</v>
      </c>
      <c r="F11" s="60"/>
      <c r="G11" s="41"/>
      <c r="H11" s="2">
        <v>44477</v>
      </c>
      <c r="I11" s="286" t="s">
        <v>1235</v>
      </c>
      <c r="J11" s="60">
        <v>250</v>
      </c>
      <c r="K11" s="3"/>
      <c r="L11" s="3">
        <f t="shared" si="1"/>
        <v>3315</v>
      </c>
      <c r="M11" s="96"/>
      <c r="N11" s="57"/>
      <c r="O11" s="156" t="s">
        <v>1257</v>
      </c>
      <c r="P11" s="251">
        <f>840/2</f>
        <v>420</v>
      </c>
    </row>
    <row r="12" spans="1:19">
      <c r="A12" s="2">
        <v>44475</v>
      </c>
      <c r="B12" s="1" t="s">
        <v>1071</v>
      </c>
      <c r="C12" s="60">
        <v>15000</v>
      </c>
      <c r="D12" s="3"/>
      <c r="E12" s="3">
        <f t="shared" si="0"/>
        <v>32382</v>
      </c>
      <c r="F12" s="198"/>
      <c r="H12" s="2">
        <v>44477</v>
      </c>
      <c r="I12" s="286" t="s">
        <v>1236</v>
      </c>
      <c r="J12" s="3">
        <v>500</v>
      </c>
      <c r="K12" s="3"/>
      <c r="L12" s="3">
        <f t="shared" si="1"/>
        <v>2815</v>
      </c>
      <c r="M12" s="148"/>
      <c r="N12" s="57"/>
      <c r="O12" s="156" t="s">
        <v>1258</v>
      </c>
      <c r="P12" s="251">
        <f>2100/2</f>
        <v>1050</v>
      </c>
    </row>
    <row r="13" spans="1:19">
      <c r="A13" s="2">
        <v>44475</v>
      </c>
      <c r="B13" s="284" t="s">
        <v>1225</v>
      </c>
      <c r="C13" s="3"/>
      <c r="D13" s="3">
        <v>3000</v>
      </c>
      <c r="E13" s="3">
        <f t="shared" si="0"/>
        <v>35382</v>
      </c>
      <c r="F13" s="60"/>
      <c r="G13" s="57"/>
      <c r="H13" s="2">
        <v>44477</v>
      </c>
      <c r="I13" s="286" t="s">
        <v>1237</v>
      </c>
      <c r="J13" s="3">
        <v>500</v>
      </c>
      <c r="K13" s="3"/>
      <c r="L13" s="3">
        <f t="shared" si="1"/>
        <v>2315</v>
      </c>
      <c r="M13" s="96">
        <f>+J13+250+250</f>
        <v>1000</v>
      </c>
      <c r="O13" s="156"/>
      <c r="P13" s="149"/>
    </row>
    <row r="14" spans="1:19">
      <c r="A14" s="2">
        <v>44477</v>
      </c>
      <c r="B14" s="59" t="s">
        <v>101</v>
      </c>
      <c r="C14" s="60">
        <v>3600</v>
      </c>
      <c r="D14" s="3"/>
      <c r="E14" s="3">
        <f t="shared" ref="E14:E59" si="2">+E13-C14+D14</f>
        <v>31782</v>
      </c>
      <c r="F14" s="60"/>
      <c r="H14" s="2">
        <v>44476</v>
      </c>
      <c r="I14" s="1" t="s">
        <v>1239</v>
      </c>
      <c r="J14" s="3">
        <v>2050</v>
      </c>
      <c r="K14" s="3"/>
      <c r="L14" s="3">
        <v>250</v>
      </c>
      <c r="M14" s="96">
        <f>+J14/2</f>
        <v>1025</v>
      </c>
      <c r="O14" s="290" t="s">
        <v>1159</v>
      </c>
      <c r="P14" s="295">
        <f>-SUM(M6:M22)</f>
        <v>-5698.5</v>
      </c>
    </row>
    <row r="15" spans="1:19">
      <c r="A15" s="2">
        <v>44477</v>
      </c>
      <c r="B15" s="1" t="s">
        <v>1228</v>
      </c>
      <c r="C15" s="3">
        <v>3500</v>
      </c>
      <c r="D15" s="3"/>
      <c r="E15" s="3">
        <f t="shared" si="2"/>
        <v>28282</v>
      </c>
      <c r="F15" s="60"/>
      <c r="H15" s="2">
        <v>44478</v>
      </c>
      <c r="I15" s="1" t="s">
        <v>1240</v>
      </c>
      <c r="J15" s="3"/>
      <c r="K15" s="3">
        <v>200</v>
      </c>
      <c r="L15" s="3">
        <f t="shared" si="1"/>
        <v>450</v>
      </c>
      <c r="M15" s="96"/>
      <c r="O15" s="156"/>
      <c r="P15" s="149"/>
    </row>
    <row r="16" spans="1:19">
      <c r="A16" s="2">
        <v>44478</v>
      </c>
      <c r="B16" s="59" t="s">
        <v>1226</v>
      </c>
      <c r="C16" s="60"/>
      <c r="D16" s="60">
        <v>750</v>
      </c>
      <c r="E16" s="3">
        <f t="shared" si="2"/>
        <v>29032</v>
      </c>
      <c r="F16" s="60"/>
      <c r="H16" s="2">
        <v>44486</v>
      </c>
      <c r="I16" s="1" t="s">
        <v>1071</v>
      </c>
      <c r="J16" s="3"/>
      <c r="K16" s="3">
        <v>7000</v>
      </c>
      <c r="L16" s="3">
        <f t="shared" si="1"/>
        <v>7450</v>
      </c>
      <c r="M16" s="60"/>
      <c r="O16" s="291" t="s">
        <v>1260</v>
      </c>
      <c r="P16" s="292">
        <f>SUM(P3:P14)</f>
        <v>12471.5</v>
      </c>
      <c r="Q16" s="293" t="s">
        <v>1261</v>
      </c>
      <c r="R16" s="293"/>
      <c r="S16" s="294"/>
    </row>
    <row r="17" spans="1:16">
      <c r="A17" s="2">
        <v>44478</v>
      </c>
      <c r="B17" s="59" t="s">
        <v>1227</v>
      </c>
      <c r="C17" s="60">
        <v>600</v>
      </c>
      <c r="D17" s="3"/>
      <c r="E17" s="3">
        <f t="shared" si="2"/>
        <v>28432</v>
      </c>
      <c r="F17" s="60"/>
      <c r="H17" s="2">
        <v>44486</v>
      </c>
      <c r="I17" s="1" t="s">
        <v>1249</v>
      </c>
      <c r="J17" s="10">
        <f>6900*0.9</f>
        <v>6210</v>
      </c>
      <c r="K17" s="3"/>
      <c r="L17" s="3">
        <f t="shared" si="1"/>
        <v>1240</v>
      </c>
      <c r="M17" s="96"/>
      <c r="O17"/>
    </row>
    <row r="18" spans="1:16">
      <c r="A18" s="2">
        <v>44479</v>
      </c>
      <c r="B18" s="59" t="s">
        <v>1241</v>
      </c>
      <c r="C18" s="60">
        <v>1500</v>
      </c>
      <c r="D18" s="3"/>
      <c r="E18" s="3">
        <f t="shared" si="2"/>
        <v>26932</v>
      </c>
      <c r="F18" s="60"/>
      <c r="H18" s="2">
        <v>44486</v>
      </c>
      <c r="I18" s="1" t="s">
        <v>1250</v>
      </c>
      <c r="J18" s="3"/>
      <c r="K18" s="3">
        <v>2000</v>
      </c>
      <c r="L18" s="3">
        <f t="shared" si="1"/>
        <v>3240</v>
      </c>
      <c r="M18" s="60"/>
      <c r="N18" s="57"/>
      <c r="O18" s="298"/>
      <c r="P18" s="298"/>
    </row>
    <row r="19" spans="1:16">
      <c r="A19" s="2">
        <v>44483</v>
      </c>
      <c r="B19" s="59" t="s">
        <v>1242</v>
      </c>
      <c r="C19" s="60">
        <v>400</v>
      </c>
      <c r="D19" s="159"/>
      <c r="E19" s="3">
        <f t="shared" si="2"/>
        <v>26532</v>
      </c>
      <c r="F19" s="76"/>
      <c r="H19" s="2">
        <v>44487</v>
      </c>
      <c r="I19" s="1" t="s">
        <v>1252</v>
      </c>
      <c r="J19" s="3">
        <v>600</v>
      </c>
      <c r="K19" s="3"/>
      <c r="L19" s="3">
        <f t="shared" si="1"/>
        <v>2640</v>
      </c>
      <c r="M19" s="37"/>
      <c r="O19" s="288"/>
      <c r="P19" s="288"/>
    </row>
    <row r="20" spans="1:16">
      <c r="A20" s="2">
        <v>44483</v>
      </c>
      <c r="B20" s="1" t="s">
        <v>1243</v>
      </c>
      <c r="C20" s="10">
        <v>400</v>
      </c>
      <c r="D20" s="3"/>
      <c r="E20" s="3">
        <f t="shared" si="2"/>
        <v>26132</v>
      </c>
      <c r="F20" s="60"/>
      <c r="H20" s="58">
        <v>44481</v>
      </c>
      <c r="I20" s="6" t="s">
        <v>1253</v>
      </c>
      <c r="J20" s="3">
        <v>90</v>
      </c>
      <c r="K20" s="3"/>
      <c r="L20" s="3">
        <f t="shared" si="1"/>
        <v>2550</v>
      </c>
      <c r="M20" s="60"/>
      <c r="O20" s="289" t="s">
        <v>1270</v>
      </c>
      <c r="P20" s="288">
        <v>800</v>
      </c>
    </row>
    <row r="21" spans="1:16">
      <c r="A21" s="2">
        <v>44486</v>
      </c>
      <c r="B21" s="1" t="s">
        <v>1246</v>
      </c>
      <c r="C21" s="60"/>
      <c r="D21" s="3">
        <v>1000</v>
      </c>
      <c r="E21" s="3">
        <f t="shared" si="2"/>
        <v>27132</v>
      </c>
      <c r="F21" s="96"/>
      <c r="H21" s="58">
        <v>44486</v>
      </c>
      <c r="I21" s="1" t="s">
        <v>1254</v>
      </c>
      <c r="J21" s="3">
        <v>557</v>
      </c>
      <c r="K21" s="3"/>
      <c r="L21" s="3">
        <f t="shared" si="1"/>
        <v>1993</v>
      </c>
      <c r="M21" s="60">
        <f>+J21/2</f>
        <v>278.5</v>
      </c>
      <c r="O21"/>
    </row>
    <row r="22" spans="1:16">
      <c r="A22" s="2">
        <v>44486</v>
      </c>
      <c r="B22" s="59" t="s">
        <v>1071</v>
      </c>
      <c r="C22" s="37">
        <v>7000</v>
      </c>
      <c r="D22" s="60"/>
      <c r="E22" s="3">
        <f t="shared" si="2"/>
        <v>20132</v>
      </c>
      <c r="F22" s="60"/>
      <c r="H22" s="58">
        <v>44486</v>
      </c>
      <c r="I22" s="1" t="s">
        <v>1255</v>
      </c>
      <c r="J22" s="60">
        <v>730</v>
      </c>
      <c r="K22" s="3"/>
      <c r="L22" s="3">
        <f t="shared" si="1"/>
        <v>1263</v>
      </c>
      <c r="M22" s="60">
        <f>+J22/2</f>
        <v>365</v>
      </c>
      <c r="O22" s="296" t="s">
        <v>1263</v>
      </c>
      <c r="P22" s="97">
        <v>1150</v>
      </c>
    </row>
    <row r="23" spans="1:16">
      <c r="A23" s="2">
        <v>44486</v>
      </c>
      <c r="B23" s="36" t="s">
        <v>1247</v>
      </c>
      <c r="C23" s="243">
        <v>1550</v>
      </c>
      <c r="D23" s="3"/>
      <c r="E23" s="3">
        <f t="shared" si="2"/>
        <v>18582</v>
      </c>
      <c r="F23" s="60"/>
      <c r="G23" s="41"/>
      <c r="H23" s="58">
        <v>44484</v>
      </c>
      <c r="I23" s="1" t="s">
        <v>1259</v>
      </c>
      <c r="J23" s="3">
        <v>100</v>
      </c>
      <c r="K23" s="3"/>
      <c r="L23" s="3">
        <f t="shared" si="1"/>
        <v>1163</v>
      </c>
      <c r="M23" s="96"/>
      <c r="N23" s="90"/>
      <c r="O23" s="297" t="s">
        <v>1267</v>
      </c>
      <c r="P23" s="97">
        <v>865.5</v>
      </c>
    </row>
    <row r="24" spans="1:16">
      <c r="A24" s="58">
        <v>44489</v>
      </c>
      <c r="B24" s="59" t="s">
        <v>1262</v>
      </c>
      <c r="C24" s="60">
        <v>12471.5</v>
      </c>
      <c r="D24" s="3"/>
      <c r="E24" s="3">
        <f t="shared" si="2"/>
        <v>6110.5</v>
      </c>
      <c r="F24" s="60"/>
      <c r="H24" s="58">
        <v>44490</v>
      </c>
      <c r="I24" s="1" t="s">
        <v>1264</v>
      </c>
      <c r="J24" s="3">
        <v>380</v>
      </c>
      <c r="K24" s="3"/>
      <c r="L24" s="3">
        <f t="shared" si="1"/>
        <v>783</v>
      </c>
      <c r="M24" s="60">
        <f>+J24/2</f>
        <v>190</v>
      </c>
      <c r="N24" s="57"/>
      <c r="O24" s="297" t="s">
        <v>1268</v>
      </c>
      <c r="P24" s="97">
        <v>2000</v>
      </c>
    </row>
    <row r="25" spans="1:16">
      <c r="A25" s="2">
        <v>44492</v>
      </c>
      <c r="B25" s="59" t="s">
        <v>251</v>
      </c>
      <c r="C25" s="60"/>
      <c r="D25" s="3"/>
      <c r="E25" s="3">
        <v>9282.08</v>
      </c>
      <c r="F25" s="60"/>
      <c r="H25" s="58">
        <v>44491</v>
      </c>
      <c r="I25" s="1" t="s">
        <v>1265</v>
      </c>
      <c r="J25" s="3">
        <v>200</v>
      </c>
      <c r="K25" s="3"/>
      <c r="L25" s="3">
        <f t="shared" si="1"/>
        <v>583</v>
      </c>
      <c r="M25" s="60"/>
      <c r="O25" s="296" t="s">
        <v>1269</v>
      </c>
      <c r="P25" s="97">
        <v>397</v>
      </c>
    </row>
    <row r="26" spans="1:16">
      <c r="A26" s="2">
        <v>44492</v>
      </c>
      <c r="B26" s="1" t="s">
        <v>1266</v>
      </c>
      <c r="C26" s="3">
        <v>3500</v>
      </c>
      <c r="D26" s="3"/>
      <c r="E26" s="3">
        <f>+E25-C26+D26</f>
        <v>5782.08</v>
      </c>
      <c r="F26" s="36"/>
      <c r="H26" s="58">
        <v>44494</v>
      </c>
      <c r="I26" s="1" t="s">
        <v>1273</v>
      </c>
      <c r="J26" s="60">
        <v>220</v>
      </c>
      <c r="K26" s="3"/>
      <c r="L26" s="3">
        <f t="shared" ref="L26:L59" si="3">+L25-J26+K26</f>
        <v>363</v>
      </c>
      <c r="M26" s="60"/>
      <c r="O26" s="57" t="s">
        <v>1271</v>
      </c>
      <c r="P26" s="97">
        <v>292.5</v>
      </c>
    </row>
    <row r="27" spans="1:16">
      <c r="A27" s="63">
        <v>44493</v>
      </c>
      <c r="B27" s="36" t="s">
        <v>1276</v>
      </c>
      <c r="C27" s="3"/>
      <c r="D27" s="3">
        <v>1550</v>
      </c>
      <c r="E27" s="3">
        <f t="shared" ref="E27:E51" si="4">+E26-C27+D27</f>
        <v>7332.08</v>
      </c>
      <c r="F27" s="36"/>
      <c r="H27" s="58">
        <v>44495</v>
      </c>
      <c r="I27" s="1" t="s">
        <v>1274</v>
      </c>
      <c r="J27" s="3">
        <v>130</v>
      </c>
      <c r="K27" s="3"/>
      <c r="L27" s="3">
        <f t="shared" si="3"/>
        <v>233</v>
      </c>
      <c r="M27" s="60">
        <f>+J27</f>
        <v>130</v>
      </c>
      <c r="O27" s="57" t="s">
        <v>1272</v>
      </c>
      <c r="P27" s="97">
        <v>1150</v>
      </c>
    </row>
    <row r="28" spans="1:16">
      <c r="A28" s="63">
        <v>44494</v>
      </c>
      <c r="B28" s="6" t="s">
        <v>1082</v>
      </c>
      <c r="C28" s="10">
        <v>168.5</v>
      </c>
      <c r="D28" s="10"/>
      <c r="E28" s="3">
        <f t="shared" si="4"/>
        <v>7163.58</v>
      </c>
      <c r="F28" s="37"/>
      <c r="H28" s="2">
        <v>44493</v>
      </c>
      <c r="I28" s="1" t="s">
        <v>1275</v>
      </c>
      <c r="J28" s="3"/>
      <c r="K28" s="3">
        <v>1000</v>
      </c>
      <c r="L28" s="3">
        <f t="shared" si="3"/>
        <v>1233</v>
      </c>
      <c r="M28" s="60"/>
      <c r="O28" s="57"/>
      <c r="P28" s="97"/>
    </row>
    <row r="29" spans="1:16">
      <c r="A29" s="63">
        <v>44494</v>
      </c>
      <c r="B29" s="6" t="s">
        <v>1082</v>
      </c>
      <c r="C29" s="37">
        <v>35.39</v>
      </c>
      <c r="D29" s="10"/>
      <c r="E29" s="3">
        <f t="shared" si="4"/>
        <v>7128.19</v>
      </c>
      <c r="F29" s="37"/>
      <c r="H29" s="2">
        <v>44493</v>
      </c>
      <c r="I29" s="6" t="s">
        <v>994</v>
      </c>
      <c r="J29" s="3">
        <v>685</v>
      </c>
      <c r="K29" s="3"/>
      <c r="L29" s="3">
        <v>420</v>
      </c>
      <c r="M29" s="60"/>
      <c r="O29" s="57"/>
      <c r="P29" s="97"/>
    </row>
    <row r="30" spans="1:16">
      <c r="A30" s="63">
        <v>44496</v>
      </c>
      <c r="B30" s="59" t="s">
        <v>1277</v>
      </c>
      <c r="C30" s="60">
        <v>1320</v>
      </c>
      <c r="D30" s="3"/>
      <c r="E30" s="3">
        <f t="shared" si="4"/>
        <v>5808.19</v>
      </c>
      <c r="F30" s="59"/>
      <c r="H30" s="2"/>
      <c r="I30" s="1"/>
      <c r="J30" s="3"/>
      <c r="K30" s="3"/>
      <c r="L30" s="3">
        <f t="shared" si="3"/>
        <v>420</v>
      </c>
      <c r="M30" s="194"/>
      <c r="N30" s="41"/>
      <c r="O30" s="57"/>
      <c r="P30" s="97"/>
    </row>
    <row r="31" spans="1:16">
      <c r="A31" s="63">
        <v>44497</v>
      </c>
      <c r="B31" s="59" t="s">
        <v>101</v>
      </c>
      <c r="C31" s="60">
        <v>4100.7</v>
      </c>
      <c r="D31" s="3"/>
      <c r="E31" s="3">
        <f t="shared" si="4"/>
        <v>1707.4899999999998</v>
      </c>
      <c r="F31" s="59"/>
      <c r="H31" s="2"/>
      <c r="I31" s="1"/>
      <c r="J31" s="3"/>
      <c r="K31" s="3"/>
      <c r="L31" s="3">
        <f t="shared" si="3"/>
        <v>420</v>
      </c>
      <c r="M31" s="60"/>
      <c r="O31"/>
    </row>
    <row r="32" spans="1:16">
      <c r="A32" s="11"/>
      <c r="B32" s="214"/>
      <c r="C32" s="215"/>
      <c r="D32" s="13"/>
      <c r="E32" s="13">
        <f t="shared" si="4"/>
        <v>1707.4899999999998</v>
      </c>
      <c r="F32" s="215"/>
      <c r="H32" s="208"/>
      <c r="I32" s="202"/>
      <c r="J32" s="3"/>
      <c r="K32" s="3"/>
      <c r="L32" s="3">
        <f t="shared" si="3"/>
        <v>420</v>
      </c>
      <c r="M32" s="76"/>
      <c r="P32" s="4"/>
    </row>
    <row r="33" spans="1:16">
      <c r="A33" s="11"/>
      <c r="B33" s="12"/>
      <c r="C33" s="13"/>
      <c r="D33" s="13"/>
      <c r="E33" s="13">
        <f t="shared" si="4"/>
        <v>1707.4899999999998</v>
      </c>
      <c r="F33" s="215"/>
      <c r="H33" s="2"/>
      <c r="I33" s="1"/>
      <c r="J33" s="3"/>
      <c r="K33" s="3"/>
      <c r="L33" s="3">
        <f t="shared" si="3"/>
        <v>420</v>
      </c>
      <c r="M33" s="60"/>
      <c r="P33" s="4"/>
    </row>
    <row r="34" spans="1:16">
      <c r="A34" s="2"/>
      <c r="B34" s="6"/>
      <c r="C34" s="3"/>
      <c r="D34" s="3"/>
      <c r="E34" s="3">
        <f t="shared" si="4"/>
        <v>1707.4899999999998</v>
      </c>
      <c r="F34" s="60"/>
      <c r="H34" s="2"/>
      <c r="I34" s="1"/>
      <c r="J34" s="3"/>
      <c r="K34" s="3"/>
      <c r="L34" s="3">
        <f t="shared" si="3"/>
        <v>420</v>
      </c>
      <c r="M34" s="60"/>
    </row>
    <row r="35" spans="1:16">
      <c r="A35" s="2"/>
      <c r="B35" s="6"/>
      <c r="C35" s="3"/>
      <c r="D35" s="3"/>
      <c r="E35" s="3">
        <f t="shared" si="4"/>
        <v>1707.4899999999998</v>
      </c>
      <c r="F35" s="59"/>
      <c r="H35" s="2"/>
      <c r="I35" s="1"/>
      <c r="J35" s="3"/>
      <c r="K35" s="3"/>
      <c r="L35" s="3">
        <f t="shared" si="3"/>
        <v>420</v>
      </c>
      <c r="M35" s="76"/>
    </row>
    <row r="36" spans="1:16">
      <c r="A36" s="2"/>
      <c r="B36" s="6"/>
      <c r="C36" s="3"/>
      <c r="D36" s="3"/>
      <c r="E36" s="3">
        <f t="shared" si="4"/>
        <v>1707.4899999999998</v>
      </c>
      <c r="F36" s="59"/>
      <c r="H36" s="2"/>
      <c r="I36" s="1"/>
      <c r="J36" s="3"/>
      <c r="K36" s="3"/>
      <c r="L36" s="3">
        <f t="shared" si="3"/>
        <v>420</v>
      </c>
      <c r="M36" s="76"/>
    </row>
    <row r="37" spans="1:16">
      <c r="A37" s="2"/>
      <c r="B37" s="200"/>
      <c r="C37" s="201"/>
      <c r="D37" s="201"/>
      <c r="E37" s="3">
        <f t="shared" si="4"/>
        <v>1707.4899999999998</v>
      </c>
      <c r="F37" s="245"/>
      <c r="H37" s="114"/>
      <c r="I37" s="6"/>
      <c r="J37" s="3"/>
      <c r="K37" s="3"/>
      <c r="L37" s="3">
        <f t="shared" si="3"/>
        <v>420</v>
      </c>
      <c r="M37" s="76"/>
      <c r="N37" s="57"/>
    </row>
    <row r="38" spans="1:16">
      <c r="A38" s="2"/>
      <c r="B38" s="202"/>
      <c r="C38" s="203"/>
      <c r="D38" s="203"/>
      <c r="E38" s="3">
        <f t="shared" si="4"/>
        <v>1707.4899999999998</v>
      </c>
      <c r="F38" s="205"/>
      <c r="G38" s="195"/>
      <c r="H38" s="114"/>
      <c r="I38" s="6"/>
      <c r="J38" s="10"/>
      <c r="K38" s="3"/>
      <c r="L38" s="3">
        <f t="shared" si="3"/>
        <v>420</v>
      </c>
      <c r="M38" s="76"/>
    </row>
    <row r="39" spans="1:16">
      <c r="A39" s="208"/>
      <c r="B39" s="202"/>
      <c r="C39" s="203"/>
      <c r="D39" s="203"/>
      <c r="E39" s="3">
        <f t="shared" si="4"/>
        <v>1707.4899999999998</v>
      </c>
      <c r="F39" s="204"/>
      <c r="G39" s="195"/>
      <c r="H39" s="114"/>
      <c r="I39" s="59"/>
      <c r="J39" s="60"/>
      <c r="K39" s="60"/>
      <c r="L39" s="3">
        <f t="shared" si="3"/>
        <v>420</v>
      </c>
      <c r="M39" s="76"/>
    </row>
    <row r="40" spans="1:16">
      <c r="A40" s="208"/>
      <c r="B40" s="202"/>
      <c r="C40" s="203"/>
      <c r="D40" s="203"/>
      <c r="E40" s="3">
        <f t="shared" si="4"/>
        <v>1707.4899999999998</v>
      </c>
      <c r="F40" s="204"/>
      <c r="G40" s="195"/>
      <c r="H40" s="2"/>
      <c r="I40" s="1"/>
      <c r="J40" s="3"/>
      <c r="K40" s="3"/>
      <c r="L40" s="3">
        <f t="shared" si="3"/>
        <v>420</v>
      </c>
      <c r="M40" s="64"/>
    </row>
    <row r="41" spans="1:16">
      <c r="A41" s="208"/>
      <c r="B41" s="202"/>
      <c r="C41" s="203"/>
      <c r="D41" s="203"/>
      <c r="E41" s="3">
        <f>+E40-C41+D41</f>
        <v>1707.4899999999998</v>
      </c>
      <c r="F41" s="204"/>
      <c r="G41" s="195"/>
      <c r="H41" s="2"/>
      <c r="I41" s="1"/>
      <c r="J41" s="3"/>
      <c r="K41" s="3"/>
      <c r="L41" s="3">
        <f t="shared" si="3"/>
        <v>420</v>
      </c>
      <c r="M41" s="126"/>
      <c r="N41" s="57"/>
    </row>
    <row r="42" spans="1:16">
      <c r="A42" s="208"/>
      <c r="B42" s="202"/>
      <c r="C42" s="203"/>
      <c r="D42" s="203"/>
      <c r="E42" s="3">
        <f t="shared" si="4"/>
        <v>1707.4899999999998</v>
      </c>
      <c r="F42" s="204"/>
      <c r="G42" s="195"/>
      <c r="H42" s="2"/>
      <c r="I42" s="1"/>
      <c r="J42" s="3"/>
      <c r="K42" s="3"/>
      <c r="L42" s="3">
        <f t="shared" si="3"/>
        <v>420</v>
      </c>
      <c r="M42" s="127"/>
    </row>
    <row r="43" spans="1:16">
      <c r="A43" s="208"/>
      <c r="B43" s="253"/>
      <c r="C43" s="204"/>
      <c r="D43" s="203"/>
      <c r="E43" s="3">
        <f t="shared" si="4"/>
        <v>1707.4899999999998</v>
      </c>
      <c r="F43" s="204"/>
      <c r="H43" s="2"/>
      <c r="I43" s="6"/>
      <c r="J43" s="3"/>
      <c r="K43" s="3"/>
      <c r="L43" s="3">
        <f t="shared" si="3"/>
        <v>420</v>
      </c>
      <c r="M43" s="44"/>
    </row>
    <row r="44" spans="1:16">
      <c r="A44" s="208"/>
      <c r="B44" s="202"/>
      <c r="C44" s="203"/>
      <c r="D44" s="203"/>
      <c r="E44" s="3">
        <f t="shared" si="4"/>
        <v>1707.4899999999998</v>
      </c>
      <c r="F44" s="254"/>
      <c r="G44" s="92"/>
      <c r="H44" s="2"/>
      <c r="I44" s="6"/>
      <c r="J44" s="3"/>
      <c r="K44" s="3"/>
      <c r="L44" s="3">
        <f t="shared" si="3"/>
        <v>420</v>
      </c>
      <c r="M44" s="76"/>
    </row>
    <row r="45" spans="1:16">
      <c r="A45" s="208"/>
      <c r="B45" s="202"/>
      <c r="C45" s="203"/>
      <c r="D45" s="203"/>
      <c r="E45" s="3">
        <f t="shared" si="4"/>
        <v>1707.4899999999998</v>
      </c>
      <c r="F45" s="205"/>
      <c r="G45" s="92"/>
      <c r="H45" s="2"/>
      <c r="I45" s="1"/>
      <c r="J45" s="3"/>
      <c r="K45" s="3"/>
      <c r="L45" s="3">
        <f t="shared" si="3"/>
        <v>420</v>
      </c>
      <c r="M45" s="1"/>
    </row>
    <row r="46" spans="1:16">
      <c r="A46" s="208"/>
      <c r="B46" s="202"/>
      <c r="C46" s="203"/>
      <c r="D46" s="203"/>
      <c r="E46" s="3">
        <f t="shared" si="4"/>
        <v>1707.4899999999998</v>
      </c>
      <c r="F46" s="206"/>
      <c r="G46" s="92"/>
      <c r="H46" s="2"/>
      <c r="I46" s="1"/>
      <c r="J46" s="3"/>
      <c r="K46" s="3"/>
      <c r="L46" s="3">
        <f t="shared" si="3"/>
        <v>420</v>
      </c>
      <c r="M46" s="1"/>
    </row>
    <row r="47" spans="1:16">
      <c r="A47" s="208"/>
      <c r="B47" s="202"/>
      <c r="C47" s="203"/>
      <c r="D47" s="203"/>
      <c r="E47" s="3">
        <f t="shared" si="4"/>
        <v>1707.4899999999998</v>
      </c>
      <c r="F47" s="206"/>
      <c r="H47" s="2"/>
      <c r="I47" s="1"/>
      <c r="J47" s="3"/>
      <c r="K47" s="3"/>
      <c r="L47" s="3">
        <f t="shared" si="3"/>
        <v>420</v>
      </c>
      <c r="M47" s="64"/>
      <c r="N47" s="83"/>
    </row>
    <row r="48" spans="1:16">
      <c r="A48" s="2"/>
      <c r="B48" s="1"/>
      <c r="C48" s="203"/>
      <c r="D48" s="203"/>
      <c r="E48" s="3">
        <f t="shared" si="4"/>
        <v>1707.4899999999998</v>
      </c>
      <c r="F48" s="203"/>
      <c r="H48" s="2"/>
      <c r="I48" s="1"/>
      <c r="J48" s="3"/>
      <c r="K48" s="3"/>
      <c r="L48" s="3">
        <f t="shared" si="3"/>
        <v>420</v>
      </c>
      <c r="M48" s="1"/>
    </row>
    <row r="49" spans="1:14">
      <c r="A49" s="202"/>
      <c r="B49" s="202"/>
      <c r="C49" s="203"/>
      <c r="D49" s="203"/>
      <c r="E49" s="3">
        <f t="shared" si="4"/>
        <v>1707.4899999999998</v>
      </c>
      <c r="F49" s="207"/>
      <c r="H49" s="2"/>
      <c r="I49" s="1"/>
      <c r="J49" s="3"/>
      <c r="K49" s="3"/>
      <c r="L49" s="3">
        <f t="shared" si="3"/>
        <v>420</v>
      </c>
      <c r="M49" s="44"/>
    </row>
    <row r="50" spans="1:14">
      <c r="A50" s="202"/>
      <c r="B50" s="202"/>
      <c r="C50" s="203"/>
      <c r="D50" s="203"/>
      <c r="E50" s="3">
        <f t="shared" si="4"/>
        <v>1707.4899999999998</v>
      </c>
      <c r="F50" s="202"/>
      <c r="H50" s="2"/>
      <c r="I50" s="1"/>
      <c r="J50" s="3"/>
      <c r="K50" s="3"/>
      <c r="L50" s="3">
        <f t="shared" si="3"/>
        <v>420</v>
      </c>
      <c r="M50" s="1"/>
    </row>
    <row r="51" spans="1:14">
      <c r="A51" s="202"/>
      <c r="B51" s="202"/>
      <c r="C51" s="203"/>
      <c r="D51" s="203"/>
      <c r="E51" s="3">
        <f t="shared" si="4"/>
        <v>1707.4899999999998</v>
      </c>
      <c r="F51" s="202"/>
      <c r="H51" s="2"/>
      <c r="I51" s="1"/>
      <c r="J51" s="3"/>
      <c r="K51" s="3"/>
      <c r="L51" s="3">
        <f t="shared" si="3"/>
        <v>420</v>
      </c>
      <c r="M51" s="1"/>
    </row>
    <row r="52" spans="1:14">
      <c r="A52" s="202"/>
      <c r="B52" s="202"/>
      <c r="C52" s="203"/>
      <c r="D52" s="203"/>
      <c r="E52" s="3">
        <f t="shared" si="2"/>
        <v>1707.4899999999998</v>
      </c>
      <c r="F52" s="202"/>
      <c r="H52" s="2"/>
      <c r="I52" s="6"/>
      <c r="J52" s="3"/>
      <c r="K52" s="3"/>
      <c r="L52" s="3">
        <f t="shared" si="3"/>
        <v>420</v>
      </c>
      <c r="M52" s="44"/>
    </row>
    <row r="53" spans="1:14">
      <c r="A53" s="202"/>
      <c r="B53" s="202"/>
      <c r="C53" s="203"/>
      <c r="D53" s="203"/>
      <c r="E53" s="3">
        <f t="shared" si="2"/>
        <v>1707.4899999999998</v>
      </c>
      <c r="F53" s="202"/>
      <c r="H53" s="2"/>
      <c r="I53" s="1"/>
      <c r="J53" s="3"/>
      <c r="K53" s="3"/>
      <c r="L53" s="3">
        <f t="shared" si="3"/>
        <v>420</v>
      </c>
      <c r="M53" s="1"/>
      <c r="N53" s="41"/>
    </row>
    <row r="54" spans="1:14">
      <c r="E54" s="33">
        <f t="shared" si="2"/>
        <v>1707.4899999999998</v>
      </c>
      <c r="H54" s="2"/>
      <c r="I54" s="1"/>
      <c r="J54" s="3"/>
      <c r="K54" s="3"/>
      <c r="L54" s="3">
        <f t="shared" si="3"/>
        <v>420</v>
      </c>
      <c r="M54" s="1"/>
    </row>
    <row r="55" spans="1:14">
      <c r="E55" s="3">
        <f t="shared" si="2"/>
        <v>1707.4899999999998</v>
      </c>
      <c r="H55" s="2"/>
      <c r="I55" s="1"/>
      <c r="J55" s="3"/>
      <c r="K55" s="3"/>
      <c r="L55" s="3">
        <f t="shared" si="3"/>
        <v>420</v>
      </c>
      <c r="M55" s="1"/>
    </row>
    <row r="56" spans="1:14">
      <c r="E56" s="3">
        <f t="shared" si="2"/>
        <v>1707.4899999999998</v>
      </c>
      <c r="H56" s="2"/>
      <c r="I56" s="1"/>
      <c r="J56" s="3"/>
      <c r="K56" s="3"/>
      <c r="L56" s="3">
        <f t="shared" si="3"/>
        <v>420</v>
      </c>
      <c r="M56" s="1"/>
    </row>
    <row r="57" spans="1:14">
      <c r="E57" s="3">
        <f t="shared" si="2"/>
        <v>1707.4899999999998</v>
      </c>
      <c r="H57" s="2"/>
      <c r="I57" s="1"/>
      <c r="J57" s="3"/>
      <c r="K57" s="3"/>
      <c r="L57" s="3">
        <f t="shared" si="3"/>
        <v>420</v>
      </c>
      <c r="M57" s="1"/>
    </row>
    <row r="58" spans="1:14">
      <c r="E58" s="3">
        <f t="shared" si="2"/>
        <v>1707.4899999999998</v>
      </c>
      <c r="H58" s="2"/>
      <c r="I58" s="1"/>
      <c r="J58" s="3"/>
      <c r="K58" s="3"/>
      <c r="L58" s="3">
        <f t="shared" si="3"/>
        <v>420</v>
      </c>
      <c r="M58" s="64"/>
    </row>
    <row r="59" spans="1:14">
      <c r="E59" s="3">
        <f t="shared" si="2"/>
        <v>1707.4899999999998</v>
      </c>
      <c r="H59" s="1"/>
      <c r="I59" s="1"/>
      <c r="J59" s="3"/>
      <c r="K59" s="3"/>
      <c r="L59" s="3">
        <f t="shared" si="3"/>
        <v>420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2CC5-8FA3-DE4E-A96B-89C0D981100E}">
  <dimension ref="A1:S1048576"/>
  <sheetViews>
    <sheetView showGridLines="0" workbookViewId="0">
      <selection activeCell="B13" sqref="B13:B14"/>
    </sheetView>
  </sheetViews>
  <sheetFormatPr baseColWidth="10" defaultRowHeight="16"/>
  <cols>
    <col min="1" max="1" width="7.33203125" bestFit="1" customWidth="1"/>
    <col min="2" max="2" width="27.33203125" bestFit="1" customWidth="1"/>
    <col min="3" max="3" width="12" style="4" bestFit="1" customWidth="1"/>
    <col min="4" max="4" width="12.33203125" style="4" customWidth="1"/>
    <col min="5" max="5" width="13" customWidth="1"/>
    <col min="6" max="6" width="16.5" bestFit="1" customWidth="1"/>
    <col min="7" max="7" width="12" bestFit="1" customWidth="1"/>
    <col min="8" max="8" width="7.33203125" bestFit="1" customWidth="1"/>
    <col min="9" max="9" width="37.1640625" customWidth="1"/>
    <col min="10" max="11" width="12.5" bestFit="1" customWidth="1"/>
    <col min="12" max="12" width="12" bestFit="1" customWidth="1"/>
    <col min="13" max="13" width="12.83203125" customWidth="1"/>
    <col min="14" max="14" width="7.33203125" customWidth="1"/>
    <col min="15" max="15" width="19.83203125" style="4" customWidth="1"/>
    <col min="16" max="16" width="12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9">
      <c r="A3" s="2"/>
      <c r="B3" s="1" t="s">
        <v>4</v>
      </c>
      <c r="C3" s="283"/>
      <c r="D3" s="283"/>
      <c r="E3" s="3">
        <v>1707.49</v>
      </c>
      <c r="F3" s="34"/>
      <c r="G3" s="271" t="s">
        <v>170</v>
      </c>
      <c r="H3" s="2"/>
      <c r="I3" s="282"/>
      <c r="J3" s="287"/>
      <c r="K3" s="287"/>
      <c r="L3" s="3"/>
      <c r="M3" s="37"/>
      <c r="O3" s="300" t="s">
        <v>1263</v>
      </c>
      <c r="P3" s="93">
        <v>1150</v>
      </c>
      <c r="Q3" s="21"/>
      <c r="R3" s="21"/>
      <c r="S3" s="21"/>
    </row>
    <row r="4" spans="1:19">
      <c r="A4" s="2">
        <v>44501</v>
      </c>
      <c r="B4" s="1" t="s">
        <v>1284</v>
      </c>
      <c r="C4" s="3"/>
      <c r="D4" s="3">
        <v>75068</v>
      </c>
      <c r="E4" s="3">
        <f>+E3-C4+D4</f>
        <v>76775.490000000005</v>
      </c>
      <c r="F4" s="44"/>
      <c r="G4" s="56">
        <f>+E57+L30</f>
        <v>3098.18</v>
      </c>
      <c r="H4" s="2">
        <v>44509</v>
      </c>
      <c r="I4" s="1" t="s">
        <v>1308</v>
      </c>
      <c r="J4" s="3"/>
      <c r="K4" s="3">
        <v>20000</v>
      </c>
      <c r="L4" s="3">
        <f>+L3-J4+K4</f>
        <v>20000</v>
      </c>
      <c r="M4" s="95" t="s">
        <v>1311</v>
      </c>
      <c r="O4" s="301" t="s">
        <v>1267</v>
      </c>
      <c r="P4" s="93">
        <v>865.5</v>
      </c>
      <c r="Q4" s="21"/>
      <c r="R4" s="21"/>
      <c r="S4" s="21"/>
    </row>
    <row r="5" spans="1:19">
      <c r="A5" s="2">
        <v>44507</v>
      </c>
      <c r="B5" s="1" t="s">
        <v>1279</v>
      </c>
      <c r="C5" s="3">
        <v>800</v>
      </c>
      <c r="D5" s="3"/>
      <c r="E5" s="3">
        <f t="shared" ref="E5:E59" si="0">+E4-C5+D5</f>
        <v>75975.490000000005</v>
      </c>
      <c r="F5" s="60"/>
      <c r="G5" s="41"/>
      <c r="H5" s="2">
        <v>44509</v>
      </c>
      <c r="I5" s="284" t="s">
        <v>1299</v>
      </c>
      <c r="J5" s="3">
        <v>13500</v>
      </c>
      <c r="K5" s="3"/>
      <c r="L5" s="3">
        <f t="shared" ref="L5:L59" si="1">+L4-J5+K5</f>
        <v>6500</v>
      </c>
      <c r="M5" s="96">
        <f>+J5/2</f>
        <v>6750</v>
      </c>
      <c r="O5" s="301" t="s">
        <v>1268</v>
      </c>
      <c r="P5" s="93">
        <v>2000</v>
      </c>
      <c r="Q5" s="21"/>
      <c r="R5" s="21"/>
      <c r="S5" s="21"/>
    </row>
    <row r="6" spans="1:19">
      <c r="A6" s="2">
        <v>44502</v>
      </c>
      <c r="B6" s="59" t="s">
        <v>1280</v>
      </c>
      <c r="C6" s="60">
        <v>1101.69</v>
      </c>
      <c r="D6" s="3"/>
      <c r="E6" s="3">
        <f t="shared" si="0"/>
        <v>74873.8</v>
      </c>
      <c r="F6" s="59"/>
      <c r="G6" s="189"/>
      <c r="H6" s="2">
        <v>44509</v>
      </c>
      <c r="I6" s="285" t="s">
        <v>1302</v>
      </c>
      <c r="J6" s="243">
        <v>270</v>
      </c>
      <c r="K6" s="243"/>
      <c r="L6" s="3">
        <f t="shared" si="1"/>
        <v>6230</v>
      </c>
      <c r="M6" s="96"/>
      <c r="O6" s="300" t="s">
        <v>1269</v>
      </c>
      <c r="P6" s="93">
        <v>397</v>
      </c>
      <c r="Q6" s="21"/>
      <c r="R6" s="21"/>
      <c r="S6" s="21"/>
    </row>
    <row r="7" spans="1:19">
      <c r="A7" s="2">
        <v>44502</v>
      </c>
      <c r="B7" s="59" t="s">
        <v>1281</v>
      </c>
      <c r="C7" s="60">
        <v>1750</v>
      </c>
      <c r="D7" s="3"/>
      <c r="E7" s="3">
        <f t="shared" si="0"/>
        <v>73123.8</v>
      </c>
      <c r="F7" s="60"/>
      <c r="G7" s="190"/>
      <c r="H7" s="2">
        <v>44509</v>
      </c>
      <c r="I7" s="286" t="s">
        <v>892</v>
      </c>
      <c r="J7" s="60">
        <v>500</v>
      </c>
      <c r="K7" s="3"/>
      <c r="L7" s="3">
        <f t="shared" si="1"/>
        <v>5730</v>
      </c>
      <c r="M7" s="60"/>
      <c r="O7" s="92" t="s">
        <v>1271</v>
      </c>
      <c r="P7" s="93">
        <v>292.5</v>
      </c>
      <c r="Q7" s="21"/>
      <c r="R7" s="21"/>
      <c r="S7" s="21"/>
    </row>
    <row r="8" spans="1:19">
      <c r="A8" s="58">
        <v>44504</v>
      </c>
      <c r="B8" s="59" t="s">
        <v>1282</v>
      </c>
      <c r="C8" s="60">
        <v>3500</v>
      </c>
      <c r="D8" s="3"/>
      <c r="E8" s="3">
        <f t="shared" si="0"/>
        <v>69623.8</v>
      </c>
      <c r="F8" s="197"/>
      <c r="G8" s="189"/>
      <c r="H8" s="2">
        <v>44509</v>
      </c>
      <c r="I8" s="282" t="s">
        <v>1301</v>
      </c>
      <c r="J8" s="287">
        <v>670</v>
      </c>
      <c r="K8" s="287"/>
      <c r="L8" s="3">
        <f t="shared" si="1"/>
        <v>5060</v>
      </c>
      <c r="M8" s="96">
        <f>+J8/2</f>
        <v>335</v>
      </c>
      <c r="O8" s="92" t="s">
        <v>1272</v>
      </c>
      <c r="P8" s="93">
        <v>1150</v>
      </c>
      <c r="Q8" s="21"/>
      <c r="R8" s="21"/>
      <c r="S8" s="21"/>
    </row>
    <row r="9" spans="1:19">
      <c r="A9" s="58">
        <v>44504</v>
      </c>
      <c r="B9" s="59" t="s">
        <v>1283</v>
      </c>
      <c r="C9" s="205">
        <v>674.36</v>
      </c>
      <c r="D9" s="3"/>
      <c r="E9" s="3">
        <f t="shared" si="0"/>
        <v>68949.440000000002</v>
      </c>
      <c r="F9" s="59"/>
      <c r="H9" s="2">
        <v>44509</v>
      </c>
      <c r="I9" s="98" t="s">
        <v>1300</v>
      </c>
      <c r="J9" s="3">
        <v>340</v>
      </c>
      <c r="K9" s="3"/>
      <c r="L9" s="3">
        <f t="shared" si="1"/>
        <v>4720</v>
      </c>
      <c r="M9" s="96"/>
      <c r="O9" s="155" t="s">
        <v>1278</v>
      </c>
      <c r="P9" s="155">
        <v>-450</v>
      </c>
      <c r="Q9" s="21"/>
      <c r="R9" s="21"/>
      <c r="S9" s="21"/>
    </row>
    <row r="10" spans="1:19">
      <c r="A10" s="2">
        <v>44504</v>
      </c>
      <c r="B10" s="59" t="s">
        <v>1285</v>
      </c>
      <c r="C10" s="60"/>
      <c r="D10" s="3">
        <v>8000</v>
      </c>
      <c r="E10" s="3">
        <f t="shared" si="0"/>
        <v>76949.440000000002</v>
      </c>
      <c r="F10" s="60"/>
      <c r="G10" s="92"/>
      <c r="H10" s="2">
        <v>44510</v>
      </c>
      <c r="I10" s="286" t="s">
        <v>1308</v>
      </c>
      <c r="J10" s="60"/>
      <c r="K10" s="3">
        <v>20000</v>
      </c>
      <c r="L10" s="3">
        <f t="shared" si="1"/>
        <v>24720</v>
      </c>
      <c r="M10" s="96"/>
      <c r="N10" s="57"/>
      <c r="O10" s="155" t="s">
        <v>1287</v>
      </c>
      <c r="P10" s="155">
        <v>900</v>
      </c>
      <c r="Q10" s="21"/>
      <c r="R10" s="21"/>
      <c r="S10" s="21"/>
    </row>
    <row r="11" spans="1:19">
      <c r="A11" s="2">
        <v>44508</v>
      </c>
      <c r="B11" s="59" t="s">
        <v>1286</v>
      </c>
      <c r="C11" s="60">
        <v>3080</v>
      </c>
      <c r="D11" s="3"/>
      <c r="E11" s="3">
        <f t="shared" si="0"/>
        <v>73869.440000000002</v>
      </c>
      <c r="F11" s="60"/>
      <c r="G11" s="41"/>
      <c r="H11" s="2">
        <v>44510</v>
      </c>
      <c r="I11" s="286" t="s">
        <v>1310</v>
      </c>
      <c r="J11" s="76">
        <v>10000</v>
      </c>
      <c r="K11" s="3"/>
      <c r="L11" s="3">
        <f t="shared" si="1"/>
        <v>14720</v>
      </c>
      <c r="M11" s="96"/>
      <c r="N11" s="57"/>
      <c r="O11" s="155" t="s">
        <v>1288</v>
      </c>
      <c r="P11" s="155">
        <v>370</v>
      </c>
      <c r="Q11" s="21"/>
      <c r="R11" s="21"/>
      <c r="S11" s="21"/>
    </row>
    <row r="12" spans="1:19">
      <c r="A12" s="2">
        <v>44508</v>
      </c>
      <c r="B12" s="59" t="s">
        <v>1294</v>
      </c>
      <c r="C12" s="60">
        <v>3500</v>
      </c>
      <c r="D12" s="3"/>
      <c r="E12" s="3">
        <f t="shared" si="0"/>
        <v>70369.440000000002</v>
      </c>
      <c r="F12" s="198"/>
      <c r="H12" s="2">
        <v>44510</v>
      </c>
      <c r="I12" s="286" t="s">
        <v>1310</v>
      </c>
      <c r="J12" s="76">
        <v>1500</v>
      </c>
      <c r="K12" s="3"/>
      <c r="L12" s="3">
        <f t="shared" si="1"/>
        <v>13220</v>
      </c>
      <c r="M12" s="148"/>
      <c r="N12" s="57"/>
      <c r="O12" s="155" t="s">
        <v>1289</v>
      </c>
      <c r="P12" s="155">
        <v>907</v>
      </c>
      <c r="Q12" s="21"/>
      <c r="R12" s="21"/>
      <c r="S12" s="21"/>
    </row>
    <row r="13" spans="1:19">
      <c r="A13" s="2">
        <v>44508</v>
      </c>
      <c r="B13" s="59" t="s">
        <v>1296</v>
      </c>
      <c r="C13" s="60">
        <v>1100</v>
      </c>
      <c r="D13" s="3"/>
      <c r="E13" s="3">
        <f t="shared" si="0"/>
        <v>69269.440000000002</v>
      </c>
      <c r="F13" s="60"/>
      <c r="G13" s="57"/>
      <c r="H13" s="2">
        <v>44510</v>
      </c>
      <c r="I13" s="286" t="s">
        <v>1232</v>
      </c>
      <c r="J13" s="3">
        <v>3500</v>
      </c>
      <c r="K13" s="3"/>
      <c r="L13" s="3">
        <f t="shared" si="1"/>
        <v>9720</v>
      </c>
      <c r="M13" s="64">
        <f>+J13/2</f>
        <v>1750</v>
      </c>
      <c r="O13" s="155" t="s">
        <v>1290</v>
      </c>
      <c r="P13" s="155">
        <f>500/2</f>
        <v>250</v>
      </c>
      <c r="Q13" s="21"/>
      <c r="R13" s="21"/>
      <c r="S13" s="21"/>
    </row>
    <row r="14" spans="1:19">
      <c r="A14" s="2">
        <v>44508</v>
      </c>
      <c r="B14" s="59" t="s">
        <v>1295</v>
      </c>
      <c r="C14" s="60">
        <v>5000</v>
      </c>
      <c r="D14" s="3"/>
      <c r="E14" s="3">
        <f t="shared" si="0"/>
        <v>64269.440000000002</v>
      </c>
      <c r="F14" s="60"/>
      <c r="H14" s="2">
        <v>44516</v>
      </c>
      <c r="I14" s="1" t="s">
        <v>394</v>
      </c>
      <c r="J14" s="3">
        <v>500</v>
      </c>
      <c r="K14" s="3"/>
      <c r="L14" s="3">
        <f t="shared" si="1"/>
        <v>9220</v>
      </c>
      <c r="M14" s="96"/>
      <c r="O14" s="155" t="s">
        <v>1291</v>
      </c>
      <c r="P14" s="155">
        <v>3000</v>
      </c>
      <c r="Q14" s="21"/>
      <c r="R14" s="21"/>
      <c r="S14" s="21"/>
    </row>
    <row r="15" spans="1:19">
      <c r="A15" s="2">
        <v>44509</v>
      </c>
      <c r="B15" s="59" t="s">
        <v>1297</v>
      </c>
      <c r="C15" s="60">
        <v>4500</v>
      </c>
      <c r="D15" s="3"/>
      <c r="E15" s="3">
        <f t="shared" si="0"/>
        <v>59769.440000000002</v>
      </c>
      <c r="F15" s="60"/>
      <c r="H15" s="2">
        <v>44513</v>
      </c>
      <c r="I15" s="1" t="s">
        <v>1312</v>
      </c>
      <c r="J15" s="3">
        <v>1500</v>
      </c>
      <c r="K15" s="3"/>
      <c r="L15" s="3">
        <f t="shared" si="1"/>
        <v>7720</v>
      </c>
      <c r="M15" s="96">
        <f>+J15/2</f>
        <v>750</v>
      </c>
      <c r="O15" s="155" t="s">
        <v>1292</v>
      </c>
      <c r="P15" s="155">
        <f>820/2</f>
        <v>410</v>
      </c>
      <c r="Q15" s="21"/>
      <c r="R15" s="21"/>
      <c r="S15" s="21"/>
    </row>
    <row r="16" spans="1:19">
      <c r="A16" s="2">
        <v>44508</v>
      </c>
      <c r="B16" s="59" t="s">
        <v>1298</v>
      </c>
      <c r="C16" s="60"/>
      <c r="D16" s="60">
        <v>1170</v>
      </c>
      <c r="E16" s="3">
        <f t="shared" si="0"/>
        <v>60939.44</v>
      </c>
      <c r="F16" s="60"/>
      <c r="H16" s="2">
        <v>44513</v>
      </c>
      <c r="I16" s="1" t="s">
        <v>1313</v>
      </c>
      <c r="J16" s="3">
        <v>1087</v>
      </c>
      <c r="K16" s="3"/>
      <c r="L16" s="3">
        <f t="shared" si="1"/>
        <v>6633</v>
      </c>
      <c r="M16" s="60">
        <f>+J16/2</f>
        <v>543.5</v>
      </c>
      <c r="O16" s="155" t="s">
        <v>1293</v>
      </c>
      <c r="P16" s="155">
        <v>825</v>
      </c>
      <c r="Q16" s="299"/>
      <c r="R16" s="299"/>
      <c r="S16" s="299"/>
    </row>
    <row r="17" spans="1:16">
      <c r="A17" s="2">
        <v>44508</v>
      </c>
      <c r="B17" s="59" t="s">
        <v>1304</v>
      </c>
      <c r="C17" s="60">
        <v>2340</v>
      </c>
      <c r="D17" s="3"/>
      <c r="E17" s="3">
        <f t="shared" si="0"/>
        <v>58599.44</v>
      </c>
      <c r="F17" s="60">
        <v>800</v>
      </c>
      <c r="H17" s="2">
        <v>44516</v>
      </c>
      <c r="I17" s="1" t="s">
        <v>1320</v>
      </c>
      <c r="J17" s="10">
        <v>10000</v>
      </c>
      <c r="K17" s="3"/>
      <c r="L17" s="3">
        <v>6500</v>
      </c>
      <c r="M17" s="96"/>
      <c r="O17" s="302" t="s">
        <v>47</v>
      </c>
      <c r="P17" s="303">
        <f>SUM(P3:P16)</f>
        <v>12067</v>
      </c>
    </row>
    <row r="18" spans="1:16">
      <c r="A18" s="2">
        <v>44508</v>
      </c>
      <c r="B18" s="59" t="s">
        <v>1305</v>
      </c>
      <c r="C18" s="60"/>
      <c r="D18" s="3">
        <v>800</v>
      </c>
      <c r="E18" s="3">
        <f t="shared" si="0"/>
        <v>59399.44</v>
      </c>
      <c r="F18" s="60"/>
      <c r="H18" s="2"/>
      <c r="I18" s="1" t="s">
        <v>1330</v>
      </c>
      <c r="J18" s="3">
        <v>2800</v>
      </c>
      <c r="K18" s="3"/>
      <c r="L18" s="3">
        <f t="shared" si="1"/>
        <v>3700</v>
      </c>
      <c r="M18" s="60"/>
      <c r="N18" s="57"/>
      <c r="O18" s="92" t="s">
        <v>1303</v>
      </c>
      <c r="P18" s="93">
        <v>22500</v>
      </c>
    </row>
    <row r="19" spans="1:16">
      <c r="A19" s="2">
        <v>44508</v>
      </c>
      <c r="B19" s="59" t="s">
        <v>1306</v>
      </c>
      <c r="C19" s="60">
        <v>330</v>
      </c>
      <c r="D19" s="159"/>
      <c r="E19" s="3">
        <f t="shared" si="0"/>
        <v>59069.440000000002</v>
      </c>
      <c r="F19" s="76"/>
      <c r="H19" s="2"/>
      <c r="I19" s="1" t="s">
        <v>1331</v>
      </c>
      <c r="J19" s="3">
        <v>450</v>
      </c>
      <c r="K19" s="3"/>
      <c r="L19" s="3">
        <v>500</v>
      </c>
      <c r="M19" s="37"/>
      <c r="O19" s="93" t="s">
        <v>1309</v>
      </c>
      <c r="P19" s="93">
        <f>-SUM(M5:M9)-F17</f>
        <v>-7885</v>
      </c>
    </row>
    <row r="20" spans="1:16">
      <c r="A20" s="2">
        <v>44509</v>
      </c>
      <c r="B20" s="59" t="s">
        <v>1307</v>
      </c>
      <c r="C20" s="54"/>
      <c r="D20" s="3">
        <v>1170</v>
      </c>
      <c r="E20" s="3">
        <f t="shared" si="0"/>
        <v>60239.44</v>
      </c>
      <c r="F20" s="60"/>
      <c r="H20" s="58"/>
      <c r="I20" s="6"/>
      <c r="J20" s="3"/>
      <c r="K20" s="3"/>
      <c r="L20" s="3">
        <f t="shared" si="1"/>
        <v>500</v>
      </c>
      <c r="M20" s="60"/>
      <c r="O20" s="304" t="s">
        <v>47</v>
      </c>
      <c r="P20" s="305">
        <f>+SUM(P17:P19)</f>
        <v>26682</v>
      </c>
    </row>
    <row r="21" spans="1:16">
      <c r="A21" s="2">
        <v>44509</v>
      </c>
      <c r="B21" s="1" t="s">
        <v>1308</v>
      </c>
      <c r="C21" s="60">
        <v>20000</v>
      </c>
      <c r="D21" s="3"/>
      <c r="E21" s="3">
        <f t="shared" si="0"/>
        <v>40239.440000000002</v>
      </c>
      <c r="F21" s="96"/>
      <c r="H21" s="58"/>
      <c r="I21" s="1"/>
      <c r="J21" s="3"/>
      <c r="K21" s="3"/>
      <c r="L21" s="3">
        <f t="shared" si="1"/>
        <v>500</v>
      </c>
      <c r="M21" s="60"/>
      <c r="O21" t="s">
        <v>1317</v>
      </c>
      <c r="P21" s="4">
        <f>950/2</f>
        <v>475</v>
      </c>
    </row>
    <row r="22" spans="1:16">
      <c r="A22" s="2">
        <v>44510</v>
      </c>
      <c r="B22" s="1" t="s">
        <v>1308</v>
      </c>
      <c r="C22" s="60">
        <v>20000</v>
      </c>
      <c r="D22" s="60"/>
      <c r="E22" s="3">
        <f t="shared" si="0"/>
        <v>20239.440000000002</v>
      </c>
      <c r="F22" s="60"/>
      <c r="H22" s="58"/>
      <c r="I22" s="1"/>
      <c r="J22" s="60"/>
      <c r="K22" s="3"/>
      <c r="L22" s="3">
        <f t="shared" si="1"/>
        <v>500</v>
      </c>
      <c r="M22" s="60"/>
      <c r="O22" s="4" t="s">
        <v>1319</v>
      </c>
      <c r="P22" s="41">
        <f>-F25-M15-M16-M13</f>
        <v>-3443.5</v>
      </c>
    </row>
    <row r="23" spans="1:16">
      <c r="A23" s="2">
        <v>44515</v>
      </c>
      <c r="B23" s="1" t="s">
        <v>101</v>
      </c>
      <c r="C23" s="205">
        <v>4403.5</v>
      </c>
      <c r="D23" s="3"/>
      <c r="E23" s="3">
        <f t="shared" si="0"/>
        <v>15835.940000000002</v>
      </c>
      <c r="F23" s="60"/>
      <c r="G23" s="41"/>
      <c r="H23" s="58"/>
      <c r="I23" s="1"/>
      <c r="J23" s="3"/>
      <c r="K23" s="3"/>
      <c r="L23" s="3">
        <f t="shared" si="1"/>
        <v>500</v>
      </c>
      <c r="M23" s="96"/>
      <c r="N23" s="90"/>
      <c r="O23" s="4" t="s">
        <v>1318</v>
      </c>
      <c r="P23" s="41">
        <f>-J11-J12</f>
        <v>-11500</v>
      </c>
    </row>
    <row r="24" spans="1:16">
      <c r="A24" s="2">
        <v>44515</v>
      </c>
      <c r="B24" s="59" t="s">
        <v>1314</v>
      </c>
      <c r="C24" s="60">
        <v>910</v>
      </c>
      <c r="D24" s="3"/>
      <c r="E24" s="3">
        <f t="shared" si="0"/>
        <v>14925.940000000002</v>
      </c>
      <c r="F24" s="60"/>
      <c r="H24" s="58"/>
      <c r="I24" s="1"/>
      <c r="J24" s="3"/>
      <c r="K24" s="3"/>
      <c r="L24" s="3">
        <f t="shared" si="1"/>
        <v>500</v>
      </c>
      <c r="M24" s="76"/>
      <c r="N24" s="57"/>
      <c r="O24" s="242" t="s">
        <v>47</v>
      </c>
      <c r="P24" s="303">
        <f>+SUM(P20:P23)</f>
        <v>12213.5</v>
      </c>
    </row>
    <row r="25" spans="1:16">
      <c r="A25" s="2">
        <v>44515</v>
      </c>
      <c r="B25" s="59" t="s">
        <v>238</v>
      </c>
      <c r="C25" s="60">
        <v>1984.28</v>
      </c>
      <c r="D25" s="3"/>
      <c r="E25" s="3">
        <f t="shared" si="0"/>
        <v>12941.660000000002</v>
      </c>
      <c r="F25" s="76">
        <v>400</v>
      </c>
      <c r="H25" s="58"/>
      <c r="I25" s="1"/>
      <c r="J25" s="3"/>
      <c r="K25" s="3"/>
      <c r="L25" s="3">
        <f t="shared" si="1"/>
        <v>500</v>
      </c>
      <c r="M25" s="60"/>
      <c r="O25" s="4" t="s">
        <v>1321</v>
      </c>
      <c r="P25" s="4">
        <v>-10000</v>
      </c>
    </row>
    <row r="26" spans="1:16">
      <c r="A26" s="2">
        <v>44515</v>
      </c>
      <c r="B26" s="59" t="s">
        <v>1315</v>
      </c>
      <c r="C26" s="3">
        <v>1205</v>
      </c>
      <c r="D26" s="3"/>
      <c r="E26" s="3">
        <f t="shared" si="0"/>
        <v>11736.660000000002</v>
      </c>
      <c r="F26" s="36"/>
      <c r="H26" s="58"/>
      <c r="I26" s="1"/>
      <c r="J26" s="60"/>
      <c r="K26" s="3"/>
      <c r="L26" s="3">
        <f t="shared" si="1"/>
        <v>500</v>
      </c>
      <c r="M26" s="60"/>
      <c r="O26" s="242" t="s">
        <v>1322</v>
      </c>
      <c r="P26" s="303">
        <f>+SUM(P24:P25)</f>
        <v>2213.5</v>
      </c>
    </row>
    <row r="27" spans="1:16">
      <c r="A27" s="2">
        <v>44515</v>
      </c>
      <c r="B27" s="59" t="s">
        <v>1316</v>
      </c>
      <c r="C27" s="3">
        <v>2140</v>
      </c>
      <c r="D27" s="3"/>
      <c r="E27" s="3">
        <f t="shared" si="0"/>
        <v>9596.6600000000017</v>
      </c>
      <c r="F27" s="36"/>
      <c r="H27" s="58"/>
      <c r="I27" s="1"/>
      <c r="J27" s="3"/>
      <c r="K27" s="3"/>
      <c r="L27" s="3">
        <f t="shared" si="1"/>
        <v>500</v>
      </c>
      <c r="M27" s="76"/>
      <c r="O27" s="4" t="s">
        <v>1323</v>
      </c>
      <c r="P27" s="4">
        <f>2500+800</f>
        <v>3300</v>
      </c>
    </row>
    <row r="28" spans="1:16">
      <c r="A28" s="63">
        <v>44524</v>
      </c>
      <c r="B28" s="6" t="s">
        <v>1324</v>
      </c>
      <c r="C28" s="10"/>
      <c r="D28" s="10">
        <f>700*3</f>
        <v>2100</v>
      </c>
      <c r="E28" s="3">
        <f t="shared" si="0"/>
        <v>11696.660000000002</v>
      </c>
      <c r="F28" s="37"/>
      <c r="H28" s="2"/>
      <c r="I28" s="1"/>
      <c r="J28" s="3"/>
      <c r="K28" s="3"/>
      <c r="L28" s="3">
        <f t="shared" si="1"/>
        <v>500</v>
      </c>
      <c r="M28" s="60"/>
      <c r="O28" s="4" t="s">
        <v>1326</v>
      </c>
      <c r="P28" s="4">
        <v>6000</v>
      </c>
    </row>
    <row r="29" spans="1:16">
      <c r="A29" s="63">
        <v>44528</v>
      </c>
      <c r="B29" s="6" t="s">
        <v>101</v>
      </c>
      <c r="C29" s="37">
        <v>4300</v>
      </c>
      <c r="D29" s="10"/>
      <c r="E29" s="3">
        <f t="shared" si="0"/>
        <v>7396.6600000000017</v>
      </c>
      <c r="F29" s="37"/>
      <c r="H29" s="2"/>
      <c r="I29" s="6"/>
      <c r="J29" s="3"/>
      <c r="K29" s="3"/>
      <c r="L29" s="3">
        <f t="shared" si="1"/>
        <v>500</v>
      </c>
      <c r="M29" s="60"/>
      <c r="O29" s="4" t="s">
        <v>1327</v>
      </c>
      <c r="P29" s="4">
        <v>2800</v>
      </c>
    </row>
    <row r="30" spans="1:16">
      <c r="A30" s="63">
        <v>44528</v>
      </c>
      <c r="B30" s="59" t="s">
        <v>1160</v>
      </c>
      <c r="C30" s="60"/>
      <c r="D30" s="3">
        <v>6000</v>
      </c>
      <c r="E30" s="3">
        <f t="shared" si="0"/>
        <v>13396.660000000002</v>
      </c>
      <c r="F30" s="59"/>
      <c r="H30" s="2"/>
      <c r="I30" s="1"/>
      <c r="J30" s="3"/>
      <c r="K30" s="3"/>
      <c r="L30" s="3">
        <f t="shared" si="1"/>
        <v>500</v>
      </c>
      <c r="M30" s="194"/>
      <c r="N30" s="41"/>
      <c r="O30" s="4" t="s">
        <v>1232</v>
      </c>
      <c r="P30" s="4">
        <f>-4500/2</f>
        <v>-2250</v>
      </c>
    </row>
    <row r="31" spans="1:16">
      <c r="A31" s="63">
        <v>44528</v>
      </c>
      <c r="B31" s="59" t="s">
        <v>1325</v>
      </c>
      <c r="C31" s="60">
        <v>6000</v>
      </c>
      <c r="D31" s="3"/>
      <c r="E31" s="3">
        <f t="shared" si="0"/>
        <v>7396.6600000000017</v>
      </c>
      <c r="F31" s="59"/>
      <c r="H31" s="2"/>
      <c r="I31" s="1"/>
      <c r="J31" s="3"/>
      <c r="K31" s="3"/>
      <c r="L31" s="3">
        <f t="shared" si="1"/>
        <v>500</v>
      </c>
      <c r="M31" s="60"/>
      <c r="O31" s="4" t="s">
        <v>1333</v>
      </c>
      <c r="P31" s="4">
        <f>-2000/2</f>
        <v>-1000</v>
      </c>
    </row>
    <row r="32" spans="1:16">
      <c r="A32" s="63">
        <v>44528</v>
      </c>
      <c r="B32" s="36" t="s">
        <v>1328</v>
      </c>
      <c r="C32" s="37"/>
      <c r="D32" s="10">
        <f>1.84+0.5</f>
        <v>2.34</v>
      </c>
      <c r="E32" s="3">
        <f t="shared" si="0"/>
        <v>7399.0000000000018</v>
      </c>
      <c r="F32" s="37"/>
      <c r="H32" s="208"/>
      <c r="I32" s="202"/>
      <c r="J32" s="3"/>
      <c r="K32" s="3"/>
      <c r="L32" s="3">
        <f t="shared" si="1"/>
        <v>500</v>
      </c>
      <c r="M32" s="76"/>
      <c r="O32" s="242" t="s">
        <v>1334</v>
      </c>
      <c r="P32" s="306">
        <f>+SUM(P26:P31)</f>
        <v>11063.5</v>
      </c>
    </row>
    <row r="33" spans="1:16">
      <c r="A33" s="63">
        <v>44528</v>
      </c>
      <c r="B33" s="6" t="s">
        <v>1329</v>
      </c>
      <c r="C33" s="10">
        <v>1300</v>
      </c>
      <c r="D33" s="10"/>
      <c r="E33" s="3">
        <v>6107.28</v>
      </c>
      <c r="F33" s="37"/>
      <c r="H33" s="2"/>
      <c r="I33" s="1"/>
      <c r="J33" s="3"/>
      <c r="K33" s="3"/>
      <c r="L33" s="3">
        <f t="shared" si="1"/>
        <v>500</v>
      </c>
      <c r="M33" s="60"/>
      <c r="O33" s="4" t="s">
        <v>1337</v>
      </c>
      <c r="P33" s="4">
        <v>-1000</v>
      </c>
    </row>
    <row r="34" spans="1:16">
      <c r="A34" s="63">
        <v>44528</v>
      </c>
      <c r="B34" s="6" t="s">
        <v>1332</v>
      </c>
      <c r="C34" s="3">
        <v>890</v>
      </c>
      <c r="D34" s="3"/>
      <c r="E34" s="3">
        <f t="shared" si="0"/>
        <v>5217.28</v>
      </c>
      <c r="F34" s="60"/>
      <c r="H34" s="2"/>
      <c r="I34" s="1"/>
      <c r="J34" s="3"/>
      <c r="K34" s="3"/>
      <c r="L34" s="3">
        <f t="shared" si="1"/>
        <v>500</v>
      </c>
      <c r="M34" s="60"/>
      <c r="P34" s="4">
        <f>+P32+P33</f>
        <v>10063.5</v>
      </c>
    </row>
    <row r="35" spans="1:16">
      <c r="A35" s="2">
        <v>44529</v>
      </c>
      <c r="B35" s="6" t="s">
        <v>1335</v>
      </c>
      <c r="C35" s="3">
        <v>1519.1</v>
      </c>
      <c r="D35" s="3"/>
      <c r="E35" s="3">
        <f t="shared" si="0"/>
        <v>3698.18</v>
      </c>
      <c r="F35" s="76">
        <f>+C35/2</f>
        <v>759.55</v>
      </c>
      <c r="H35" s="2"/>
      <c r="I35" s="1"/>
      <c r="J35" s="3"/>
      <c r="K35" s="3"/>
      <c r="L35" s="3">
        <f t="shared" si="1"/>
        <v>500</v>
      </c>
      <c r="M35" s="76"/>
    </row>
    <row r="36" spans="1:16">
      <c r="A36" s="2">
        <v>44529</v>
      </c>
      <c r="B36" s="59" t="s">
        <v>1336</v>
      </c>
      <c r="C36" s="3">
        <v>1100</v>
      </c>
      <c r="D36" s="3"/>
      <c r="E36" s="3">
        <f t="shared" si="0"/>
        <v>2598.1799999999998</v>
      </c>
      <c r="F36" s="59"/>
      <c r="H36" s="2"/>
      <c r="I36" s="1"/>
      <c r="J36" s="3"/>
      <c r="K36" s="3"/>
      <c r="L36" s="3">
        <f t="shared" si="1"/>
        <v>500</v>
      </c>
      <c r="M36" s="76"/>
    </row>
    <row r="37" spans="1:16">
      <c r="A37" s="2"/>
      <c r="B37" s="1"/>
      <c r="C37" s="3"/>
      <c r="D37" s="201"/>
      <c r="E37" s="3">
        <f t="shared" si="0"/>
        <v>2598.1799999999998</v>
      </c>
      <c r="F37" s="245"/>
      <c r="H37" s="114"/>
      <c r="I37" s="6"/>
      <c r="J37" s="3"/>
      <c r="K37" s="3"/>
      <c r="L37" s="3">
        <f t="shared" si="1"/>
        <v>500</v>
      </c>
      <c r="M37" s="76"/>
      <c r="N37" s="57"/>
      <c r="P37" s="4"/>
    </row>
    <row r="38" spans="1:16">
      <c r="A38" s="2"/>
      <c r="B38" s="1"/>
      <c r="C38" s="3"/>
      <c r="D38" s="203"/>
      <c r="E38" s="3">
        <f t="shared" si="0"/>
        <v>2598.1799999999998</v>
      </c>
      <c r="F38" s="205"/>
      <c r="G38" s="195"/>
      <c r="H38" s="114"/>
      <c r="I38" s="6"/>
      <c r="J38" s="10"/>
      <c r="K38" s="3"/>
      <c r="L38" s="3">
        <f t="shared" si="1"/>
        <v>500</v>
      </c>
      <c r="M38" s="76"/>
      <c r="P38" s="4"/>
    </row>
    <row r="39" spans="1:16">
      <c r="A39" s="208"/>
      <c r="B39" s="1"/>
      <c r="C39" s="203"/>
      <c r="D39" s="203"/>
      <c r="E39" s="3">
        <f t="shared" si="0"/>
        <v>2598.1799999999998</v>
      </c>
      <c r="F39" s="204"/>
      <c r="G39" s="195"/>
      <c r="H39" s="114"/>
      <c r="I39" s="59"/>
      <c r="J39" s="60"/>
      <c r="K39" s="60"/>
      <c r="L39" s="3">
        <f t="shared" si="1"/>
        <v>500</v>
      </c>
      <c r="M39" s="76"/>
    </row>
    <row r="40" spans="1:16">
      <c r="A40" s="208"/>
      <c r="B40" s="202"/>
      <c r="C40" s="203"/>
      <c r="D40" s="203"/>
      <c r="E40" s="3">
        <f t="shared" si="0"/>
        <v>2598.1799999999998</v>
      </c>
      <c r="F40" s="204"/>
      <c r="G40" s="195"/>
      <c r="H40" s="2"/>
      <c r="I40" s="1"/>
      <c r="J40" s="3"/>
      <c r="K40" s="3"/>
      <c r="L40" s="3">
        <f t="shared" si="1"/>
        <v>500</v>
      </c>
      <c r="M40" s="64"/>
      <c r="P40" s="4"/>
    </row>
    <row r="41" spans="1:16">
      <c r="A41" s="208"/>
      <c r="B41" s="202"/>
      <c r="C41" s="203"/>
      <c r="D41" s="203"/>
      <c r="E41" s="3">
        <f t="shared" si="0"/>
        <v>2598.1799999999998</v>
      </c>
      <c r="F41" s="204"/>
      <c r="G41" s="195"/>
      <c r="H41" s="2"/>
      <c r="I41" s="1"/>
      <c r="J41" s="3"/>
      <c r="K41" s="3"/>
      <c r="L41" s="3">
        <f t="shared" si="1"/>
        <v>500</v>
      </c>
      <c r="M41" s="126"/>
      <c r="N41" s="57"/>
    </row>
    <row r="42" spans="1:16">
      <c r="A42" s="208"/>
      <c r="B42" s="202"/>
      <c r="C42" s="203"/>
      <c r="D42" s="203"/>
      <c r="E42" s="3">
        <f t="shared" ref="E42:E51" si="2">+E41-C42+D42</f>
        <v>2598.1799999999998</v>
      </c>
      <c r="F42" s="204"/>
      <c r="G42" s="195"/>
      <c r="H42" s="2"/>
      <c r="I42" s="1"/>
      <c r="J42" s="3"/>
      <c r="K42" s="3"/>
      <c r="L42" s="3">
        <f t="shared" si="1"/>
        <v>500</v>
      </c>
      <c r="M42" s="127"/>
    </row>
    <row r="43" spans="1:16">
      <c r="A43" s="208"/>
      <c r="B43" s="253"/>
      <c r="C43" s="204"/>
      <c r="D43" s="203"/>
      <c r="E43" s="3">
        <f t="shared" si="2"/>
        <v>2598.1799999999998</v>
      </c>
      <c r="F43" s="204"/>
      <c r="H43" s="2"/>
      <c r="I43" s="6"/>
      <c r="J43" s="3"/>
      <c r="K43" s="3"/>
      <c r="L43" s="3">
        <f t="shared" si="1"/>
        <v>500</v>
      </c>
      <c r="M43" s="44"/>
    </row>
    <row r="44" spans="1:16">
      <c r="A44" s="208"/>
      <c r="B44" s="202"/>
      <c r="C44" s="203"/>
      <c r="D44" s="203"/>
      <c r="E44" s="3">
        <f t="shared" si="2"/>
        <v>2598.1799999999998</v>
      </c>
      <c r="F44" s="254"/>
      <c r="G44" s="92"/>
      <c r="H44" s="2"/>
      <c r="I44" s="6"/>
      <c r="J44" s="3"/>
      <c r="K44" s="3"/>
      <c r="L44" s="3">
        <f t="shared" si="1"/>
        <v>500</v>
      </c>
      <c r="M44" s="76"/>
    </row>
    <row r="45" spans="1:16">
      <c r="A45" s="208"/>
      <c r="B45" s="202"/>
      <c r="C45" s="203"/>
      <c r="D45" s="203"/>
      <c r="E45" s="3">
        <f t="shared" si="2"/>
        <v>2598.1799999999998</v>
      </c>
      <c r="F45" s="205"/>
      <c r="G45" s="92"/>
      <c r="H45" s="2"/>
      <c r="I45" s="1"/>
      <c r="J45" s="3"/>
      <c r="K45" s="3"/>
      <c r="L45" s="3">
        <f t="shared" si="1"/>
        <v>500</v>
      </c>
      <c r="M45" s="1"/>
    </row>
    <row r="46" spans="1:16">
      <c r="A46" s="208"/>
      <c r="B46" s="202"/>
      <c r="C46" s="203"/>
      <c r="D46" s="203"/>
      <c r="E46" s="3">
        <f t="shared" si="2"/>
        <v>2598.1799999999998</v>
      </c>
      <c r="F46" s="206"/>
      <c r="G46" s="92"/>
      <c r="H46" s="2"/>
      <c r="I46" s="1"/>
      <c r="J46" s="3"/>
      <c r="K46" s="3"/>
      <c r="L46" s="3">
        <f t="shared" si="1"/>
        <v>500</v>
      </c>
      <c r="M46" s="1"/>
    </row>
    <row r="47" spans="1:16">
      <c r="A47" s="208"/>
      <c r="B47" s="202"/>
      <c r="C47" s="203"/>
      <c r="D47" s="203"/>
      <c r="E47" s="3">
        <f t="shared" si="2"/>
        <v>2598.1799999999998</v>
      </c>
      <c r="F47" s="206"/>
      <c r="H47" s="2"/>
      <c r="I47" s="1"/>
      <c r="J47" s="3"/>
      <c r="K47" s="3"/>
      <c r="L47" s="3">
        <f t="shared" si="1"/>
        <v>500</v>
      </c>
      <c r="M47" s="64"/>
      <c r="N47" s="83"/>
    </row>
    <row r="48" spans="1:16">
      <c r="A48" s="2"/>
      <c r="B48" s="1"/>
      <c r="C48" s="203"/>
      <c r="D48" s="203"/>
      <c r="E48" s="3">
        <f t="shared" si="2"/>
        <v>2598.1799999999998</v>
      </c>
      <c r="F48" s="203"/>
      <c r="H48" s="2"/>
      <c r="I48" s="1"/>
      <c r="J48" s="3"/>
      <c r="K48" s="3"/>
      <c r="L48" s="3">
        <f t="shared" si="1"/>
        <v>500</v>
      </c>
      <c r="M48" s="1"/>
    </row>
    <row r="49" spans="1:14">
      <c r="A49" s="202"/>
      <c r="B49" s="202"/>
      <c r="C49" s="203"/>
      <c r="D49" s="203"/>
      <c r="E49" s="3">
        <f t="shared" si="2"/>
        <v>2598.1799999999998</v>
      </c>
      <c r="F49" s="207"/>
      <c r="H49" s="2"/>
      <c r="I49" s="1"/>
      <c r="J49" s="3"/>
      <c r="K49" s="3"/>
      <c r="L49" s="3">
        <f t="shared" si="1"/>
        <v>500</v>
      </c>
      <c r="M49" s="44"/>
    </row>
    <row r="50" spans="1:14">
      <c r="A50" s="202"/>
      <c r="B50" s="202"/>
      <c r="C50" s="203"/>
      <c r="D50" s="203"/>
      <c r="E50" s="3">
        <f t="shared" si="2"/>
        <v>2598.1799999999998</v>
      </c>
      <c r="F50" s="202"/>
      <c r="H50" s="2"/>
      <c r="I50" s="1"/>
      <c r="J50" s="3"/>
      <c r="K50" s="3"/>
      <c r="L50" s="3">
        <f t="shared" si="1"/>
        <v>500</v>
      </c>
      <c r="M50" s="1"/>
    </row>
    <row r="51" spans="1:14">
      <c r="A51" s="202"/>
      <c r="B51" s="202"/>
      <c r="C51" s="203"/>
      <c r="D51" s="203"/>
      <c r="E51" s="3">
        <f t="shared" si="2"/>
        <v>2598.1799999999998</v>
      </c>
      <c r="F51" s="202"/>
      <c r="H51" s="2"/>
      <c r="I51" s="1"/>
      <c r="J51" s="3"/>
      <c r="K51" s="3"/>
      <c r="L51" s="3">
        <f t="shared" si="1"/>
        <v>500</v>
      </c>
      <c r="M51" s="1"/>
    </row>
    <row r="52" spans="1:14">
      <c r="A52" s="202"/>
      <c r="B52" s="202"/>
      <c r="C52" s="203"/>
      <c r="D52" s="203"/>
      <c r="E52" s="3">
        <f t="shared" si="0"/>
        <v>2598.1799999999998</v>
      </c>
      <c r="F52" s="202"/>
      <c r="H52" s="2"/>
      <c r="I52" s="6"/>
      <c r="J52" s="3"/>
      <c r="K52" s="3"/>
      <c r="L52" s="3">
        <f t="shared" si="1"/>
        <v>500</v>
      </c>
      <c r="M52" s="44"/>
    </row>
    <row r="53" spans="1:14">
      <c r="A53" s="202"/>
      <c r="B53" s="202"/>
      <c r="C53" s="203"/>
      <c r="D53" s="203"/>
      <c r="E53" s="3">
        <f t="shared" si="0"/>
        <v>2598.1799999999998</v>
      </c>
      <c r="F53" s="202"/>
      <c r="H53" s="2"/>
      <c r="I53" s="1"/>
      <c r="J53" s="3"/>
      <c r="K53" s="3"/>
      <c r="L53" s="3">
        <f t="shared" si="1"/>
        <v>500</v>
      </c>
      <c r="M53" s="1"/>
      <c r="N53" s="41"/>
    </row>
    <row r="54" spans="1:14">
      <c r="E54" s="33">
        <f t="shared" si="0"/>
        <v>2598.1799999999998</v>
      </c>
      <c r="H54" s="2"/>
      <c r="I54" s="1"/>
      <c r="J54" s="3"/>
      <c r="K54" s="3"/>
      <c r="L54" s="3">
        <f t="shared" si="1"/>
        <v>500</v>
      </c>
      <c r="M54" s="1"/>
    </row>
    <row r="55" spans="1:14">
      <c r="E55" s="3">
        <f t="shared" si="0"/>
        <v>2598.1799999999998</v>
      </c>
      <c r="H55" s="2"/>
      <c r="I55" s="1"/>
      <c r="J55" s="3"/>
      <c r="K55" s="3"/>
      <c r="L55" s="3">
        <f t="shared" si="1"/>
        <v>500</v>
      </c>
      <c r="M55" s="1"/>
    </row>
    <row r="56" spans="1:14">
      <c r="E56" s="3">
        <f t="shared" si="0"/>
        <v>2598.1799999999998</v>
      </c>
      <c r="H56" s="2"/>
      <c r="I56" s="1"/>
      <c r="J56" s="3"/>
      <c r="K56" s="3"/>
      <c r="L56" s="3">
        <f t="shared" si="1"/>
        <v>500</v>
      </c>
      <c r="M56" s="1"/>
    </row>
    <row r="57" spans="1:14">
      <c r="E57" s="3">
        <f t="shared" si="0"/>
        <v>2598.1799999999998</v>
      </c>
      <c r="H57" s="2"/>
      <c r="I57" s="1"/>
      <c r="J57" s="3"/>
      <c r="K57" s="3"/>
      <c r="L57" s="3">
        <f t="shared" si="1"/>
        <v>500</v>
      </c>
      <c r="M57" s="1"/>
    </row>
    <row r="58" spans="1:14">
      <c r="E58" s="3">
        <f t="shared" si="0"/>
        <v>2598.1799999999998</v>
      </c>
      <c r="H58" s="2"/>
      <c r="I58" s="1"/>
      <c r="J58" s="3"/>
      <c r="K58" s="3"/>
      <c r="L58" s="3">
        <f t="shared" si="1"/>
        <v>500</v>
      </c>
      <c r="M58" s="64"/>
    </row>
    <row r="59" spans="1:14">
      <c r="E59" s="3">
        <f t="shared" si="0"/>
        <v>2598.1799999999998</v>
      </c>
      <c r="H59" s="1"/>
      <c r="I59" s="1"/>
      <c r="J59" s="3"/>
      <c r="K59" s="3"/>
      <c r="L59" s="3">
        <f t="shared" si="1"/>
        <v>500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4D24-367E-174E-B193-16FD71ADEB83}">
  <dimension ref="A1:S1048576"/>
  <sheetViews>
    <sheetView showGridLines="0" topLeftCell="A23" workbookViewId="0">
      <selection activeCell="G31" sqref="G31"/>
    </sheetView>
  </sheetViews>
  <sheetFormatPr baseColWidth="10" defaultRowHeight="16"/>
  <cols>
    <col min="1" max="1" width="7.33203125" bestFit="1" customWidth="1"/>
    <col min="2" max="2" width="27.33203125" bestFit="1" customWidth="1"/>
    <col min="3" max="3" width="12" style="4" bestFit="1" customWidth="1"/>
    <col min="4" max="4" width="12.33203125" style="4" customWidth="1"/>
    <col min="5" max="5" width="13" customWidth="1"/>
    <col min="6" max="6" width="16.5" bestFit="1" customWidth="1"/>
    <col min="7" max="7" width="12" bestFit="1" customWidth="1"/>
    <col min="8" max="8" width="7.33203125" bestFit="1" customWidth="1"/>
    <col min="9" max="9" width="37.1640625" customWidth="1"/>
    <col min="10" max="11" width="12.5" bestFit="1" customWidth="1"/>
    <col min="12" max="12" width="12" bestFit="1" customWidth="1"/>
    <col min="13" max="13" width="12.83203125" customWidth="1"/>
    <col min="14" max="14" width="7.33203125" customWidth="1"/>
    <col min="15" max="15" width="21" style="4" bestFit="1" customWidth="1"/>
    <col min="16" max="16" width="12" style="4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4" t="s">
        <v>78</v>
      </c>
      <c r="P2" s="4">
        <f>955.7/2</f>
        <v>477.85</v>
      </c>
    </row>
    <row r="3" spans="1:19">
      <c r="A3" s="2"/>
      <c r="B3" s="1" t="s">
        <v>4</v>
      </c>
      <c r="C3" s="283"/>
      <c r="D3" s="283"/>
      <c r="E3" s="3">
        <v>2598.1799999999998</v>
      </c>
      <c r="F3" s="34"/>
      <c r="G3" s="271" t="s">
        <v>170</v>
      </c>
      <c r="H3" s="2">
        <v>44538</v>
      </c>
      <c r="I3" s="282" t="s">
        <v>4</v>
      </c>
      <c r="J3" s="287"/>
      <c r="K3" s="287"/>
      <c r="L3" s="3">
        <v>7480</v>
      </c>
      <c r="M3" s="37"/>
      <c r="O3" s="4" t="s">
        <v>238</v>
      </c>
      <c r="P3" s="4">
        <v>719</v>
      </c>
      <c r="Q3" s="21"/>
      <c r="R3" s="21"/>
      <c r="S3" s="21"/>
    </row>
    <row r="4" spans="1:19">
      <c r="A4" s="2">
        <v>44530</v>
      </c>
      <c r="B4" s="1" t="s">
        <v>1338</v>
      </c>
      <c r="C4" s="3"/>
      <c r="D4" s="3">
        <v>90164</v>
      </c>
      <c r="E4" s="3">
        <f>+E3-C4+D4</f>
        <v>92762.18</v>
      </c>
      <c r="F4" s="44"/>
      <c r="G4" s="56">
        <f>+E57+L30</f>
        <v>34518.149999999994</v>
      </c>
      <c r="H4" s="2">
        <v>44544</v>
      </c>
      <c r="I4" s="1" t="s">
        <v>554</v>
      </c>
      <c r="J4" s="3"/>
      <c r="K4" s="3"/>
      <c r="L4" s="3">
        <v>860</v>
      </c>
      <c r="M4" s="95"/>
      <c r="O4" s="301" t="s">
        <v>1362</v>
      </c>
      <c r="P4" s="93">
        <v>900</v>
      </c>
      <c r="Q4" s="21"/>
      <c r="R4" s="21"/>
      <c r="S4" s="21"/>
    </row>
    <row r="5" spans="1:19">
      <c r="A5" s="2">
        <v>44531</v>
      </c>
      <c r="B5" s="1" t="s">
        <v>1339</v>
      </c>
      <c r="C5" s="3">
        <v>30000</v>
      </c>
      <c r="D5" s="3"/>
      <c r="E5" s="3">
        <f t="shared" ref="E5:E59" si="0">+E4-C5+D5</f>
        <v>62762.179999999993</v>
      </c>
      <c r="F5" s="60"/>
      <c r="G5" s="41"/>
      <c r="H5" s="2">
        <v>44552</v>
      </c>
      <c r="I5" s="284" t="s">
        <v>554</v>
      </c>
      <c r="J5" s="3"/>
      <c r="K5" s="3"/>
      <c r="L5" s="3">
        <f t="shared" ref="L5:L59" si="1">+L4-J5+K5</f>
        <v>860</v>
      </c>
      <c r="M5" s="96"/>
      <c r="O5" s="4" t="s">
        <v>1363</v>
      </c>
      <c r="P5" s="4">
        <v>1150</v>
      </c>
      <c r="Q5" s="21"/>
      <c r="R5" s="21"/>
      <c r="S5" s="21"/>
    </row>
    <row r="6" spans="1:19">
      <c r="A6" s="2">
        <v>44531</v>
      </c>
      <c r="B6" s="59" t="s">
        <v>1340</v>
      </c>
      <c r="C6" s="60">
        <v>502.25</v>
      </c>
      <c r="D6" s="3"/>
      <c r="E6" s="3">
        <f t="shared" si="0"/>
        <v>62259.929999999993</v>
      </c>
      <c r="F6" s="59"/>
      <c r="G6" s="189"/>
      <c r="H6" s="2"/>
      <c r="I6" s="285"/>
      <c r="J6" s="243"/>
      <c r="K6" s="243"/>
      <c r="L6" s="3">
        <f t="shared" si="1"/>
        <v>860</v>
      </c>
      <c r="M6" s="96"/>
      <c r="O6" s="300" t="s">
        <v>1364</v>
      </c>
      <c r="P6" s="93">
        <v>1600</v>
      </c>
      <c r="Q6" s="21"/>
      <c r="R6" s="21"/>
      <c r="S6" s="21"/>
    </row>
    <row r="7" spans="1:19">
      <c r="A7" s="2">
        <v>44533</v>
      </c>
      <c r="B7" s="59" t="s">
        <v>1341</v>
      </c>
      <c r="C7" s="60">
        <f>3400.3+3501.2</f>
        <v>6901.5</v>
      </c>
      <c r="D7" s="3"/>
      <c r="E7" s="3">
        <v>54858.43</v>
      </c>
      <c r="F7" s="60"/>
      <c r="G7" s="190"/>
      <c r="H7" s="2"/>
      <c r="I7" s="286"/>
      <c r="J7" s="60"/>
      <c r="K7" s="3"/>
      <c r="L7" s="3">
        <f t="shared" si="1"/>
        <v>860</v>
      </c>
      <c r="M7" s="60"/>
      <c r="O7" s="4" t="s">
        <v>1232</v>
      </c>
      <c r="P7" s="4">
        <v>1700</v>
      </c>
      <c r="R7" s="21"/>
      <c r="S7" s="21"/>
    </row>
    <row r="8" spans="1:19">
      <c r="A8" s="58">
        <v>44535</v>
      </c>
      <c r="B8" s="59" t="s">
        <v>1342</v>
      </c>
      <c r="C8" s="60">
        <v>1000</v>
      </c>
      <c r="D8" s="3"/>
      <c r="E8" s="3">
        <f t="shared" si="0"/>
        <v>53858.43</v>
      </c>
      <c r="F8" s="197"/>
      <c r="G8" s="189"/>
      <c r="H8" s="2"/>
      <c r="I8" s="282"/>
      <c r="J8" s="287"/>
      <c r="K8" s="287"/>
      <c r="L8" s="3">
        <f t="shared" si="1"/>
        <v>860</v>
      </c>
      <c r="M8" s="96"/>
      <c r="O8" s="92" t="s">
        <v>1367</v>
      </c>
      <c r="P8" s="93">
        <f>-SUM(F19:F30)</f>
        <v>-1641.5550000000001</v>
      </c>
      <c r="Q8" s="21"/>
      <c r="R8" s="21"/>
      <c r="S8" s="21"/>
    </row>
    <row r="9" spans="1:19">
      <c r="A9" s="58">
        <v>44535</v>
      </c>
      <c r="B9" s="59" t="s">
        <v>1343</v>
      </c>
      <c r="C9" s="60">
        <v>10063.5</v>
      </c>
      <c r="D9" s="3"/>
      <c r="E9" s="3">
        <f t="shared" si="0"/>
        <v>43794.93</v>
      </c>
      <c r="F9" s="59"/>
      <c r="H9" s="2"/>
      <c r="I9" s="98"/>
      <c r="J9" s="3"/>
      <c r="K9" s="3"/>
      <c r="L9" s="3">
        <f t="shared" si="1"/>
        <v>860</v>
      </c>
      <c r="M9" s="96"/>
      <c r="O9" s="4" t="s">
        <v>1369</v>
      </c>
      <c r="P9" s="4">
        <v>3175</v>
      </c>
      <c r="Q9" s="21"/>
      <c r="R9" s="21"/>
      <c r="S9" s="21"/>
    </row>
    <row r="10" spans="1:19">
      <c r="A10" s="58">
        <v>44535</v>
      </c>
      <c r="B10" s="59" t="s">
        <v>1344</v>
      </c>
      <c r="C10" s="60">
        <v>5000</v>
      </c>
      <c r="D10" s="3"/>
      <c r="E10" s="3">
        <f t="shared" si="0"/>
        <v>38794.93</v>
      </c>
      <c r="F10" s="60"/>
      <c r="G10" s="307"/>
      <c r="H10" s="2"/>
      <c r="I10" s="286"/>
      <c r="J10" s="60"/>
      <c r="K10" s="3"/>
      <c r="L10" s="3">
        <f t="shared" si="1"/>
        <v>860</v>
      </c>
      <c r="M10" s="96"/>
      <c r="N10" s="57"/>
      <c r="O10" s="314" t="s">
        <v>1368</v>
      </c>
      <c r="P10" s="314">
        <f>SUM(P2:P9)</f>
        <v>8080.2950000000001</v>
      </c>
      <c r="Q10" s="263" t="s">
        <v>1370</v>
      </c>
      <c r="R10" s="21"/>
      <c r="S10" s="21"/>
    </row>
    <row r="11" spans="1:19">
      <c r="A11" s="58">
        <v>44535</v>
      </c>
      <c r="B11" s="59" t="s">
        <v>1345</v>
      </c>
      <c r="C11" s="60">
        <v>1100</v>
      </c>
      <c r="D11" s="3"/>
      <c r="E11" s="3">
        <f t="shared" si="0"/>
        <v>37694.93</v>
      </c>
      <c r="F11" s="60"/>
      <c r="G11" s="308"/>
      <c r="H11" s="2"/>
      <c r="I11" s="286"/>
      <c r="J11" s="76"/>
      <c r="K11" s="3"/>
      <c r="L11" s="3">
        <f t="shared" si="1"/>
        <v>860</v>
      </c>
      <c r="M11" s="96"/>
      <c r="N11" s="57"/>
      <c r="O11" s="310"/>
      <c r="P11" s="192"/>
      <c r="Q11" s="21"/>
      <c r="R11" s="21"/>
      <c r="S11" s="21"/>
    </row>
    <row r="12" spans="1:19">
      <c r="A12" s="2">
        <v>44536</v>
      </c>
      <c r="B12" s="59" t="s">
        <v>1346</v>
      </c>
      <c r="C12" s="60">
        <v>120</v>
      </c>
      <c r="D12" s="3"/>
      <c r="E12" s="3">
        <f t="shared" si="0"/>
        <v>37574.93</v>
      </c>
      <c r="F12" s="198"/>
      <c r="H12" s="2"/>
      <c r="I12" s="286"/>
      <c r="J12" s="76"/>
      <c r="K12" s="3"/>
      <c r="L12" s="3">
        <f t="shared" si="1"/>
        <v>860</v>
      </c>
      <c r="M12" s="148"/>
      <c r="N12" s="57"/>
      <c r="O12" s="310"/>
      <c r="P12" s="192"/>
      <c r="Q12" s="21"/>
      <c r="R12" s="21"/>
      <c r="S12" s="21"/>
    </row>
    <row r="13" spans="1:19">
      <c r="A13" s="2">
        <v>44536</v>
      </c>
      <c r="B13" s="59" t="s">
        <v>1347</v>
      </c>
      <c r="C13" s="60">
        <v>760</v>
      </c>
      <c r="D13" s="3"/>
      <c r="E13" s="3">
        <f t="shared" si="0"/>
        <v>36814.93</v>
      </c>
      <c r="F13" s="60"/>
      <c r="G13" s="57"/>
      <c r="H13" s="2"/>
      <c r="I13" s="286"/>
      <c r="J13" s="3"/>
      <c r="K13" s="3"/>
      <c r="L13" s="3">
        <f t="shared" si="1"/>
        <v>860</v>
      </c>
      <c r="M13" s="64"/>
      <c r="O13" s="309"/>
      <c r="P13" s="313"/>
      <c r="Q13" s="21"/>
      <c r="R13" s="21"/>
      <c r="S13" s="21"/>
    </row>
    <row r="14" spans="1:19">
      <c r="A14" s="2">
        <v>44536</v>
      </c>
      <c r="B14" s="59" t="s">
        <v>1341</v>
      </c>
      <c r="C14" s="60">
        <f>2300+3700.4</f>
        <v>6000.4</v>
      </c>
      <c r="D14" s="3"/>
      <c r="E14" s="3">
        <f t="shared" si="0"/>
        <v>30814.53</v>
      </c>
      <c r="F14" s="60"/>
      <c r="H14" s="2"/>
      <c r="I14" s="1"/>
      <c r="J14" s="3"/>
      <c r="K14" s="3"/>
      <c r="L14" s="3">
        <f t="shared" si="1"/>
        <v>860</v>
      </c>
      <c r="M14" s="96"/>
      <c r="O14" s="309"/>
      <c r="P14" s="155"/>
      <c r="Q14" s="21"/>
      <c r="R14" s="21"/>
      <c r="S14" s="21"/>
    </row>
    <row r="15" spans="1:19">
      <c r="A15" s="2">
        <v>44538</v>
      </c>
      <c r="B15" s="59" t="s">
        <v>1348</v>
      </c>
      <c r="C15" s="60">
        <v>384</v>
      </c>
      <c r="D15" s="3"/>
      <c r="E15" s="3">
        <f t="shared" si="0"/>
        <v>30430.53</v>
      </c>
      <c r="F15" s="60"/>
      <c r="H15" s="2"/>
      <c r="I15" s="1"/>
      <c r="J15" s="3"/>
      <c r="K15" s="3"/>
      <c r="L15" s="3">
        <f t="shared" si="1"/>
        <v>860</v>
      </c>
      <c r="M15" s="96"/>
      <c r="O15" s="310"/>
      <c r="P15" s="155"/>
      <c r="Q15" s="21"/>
      <c r="R15" s="21"/>
      <c r="S15" s="21"/>
    </row>
    <row r="16" spans="1:19">
      <c r="A16" s="2">
        <v>44538</v>
      </c>
      <c r="B16" s="59" t="s">
        <v>1349</v>
      </c>
      <c r="C16" s="60">
        <v>3800</v>
      </c>
      <c r="D16" s="60"/>
      <c r="E16" s="3">
        <f t="shared" si="0"/>
        <v>26630.53</v>
      </c>
      <c r="F16" s="60"/>
      <c r="H16" s="2"/>
      <c r="I16" s="1"/>
      <c r="J16" s="3"/>
      <c r="K16" s="3"/>
      <c r="L16" s="3">
        <f t="shared" si="1"/>
        <v>860</v>
      </c>
      <c r="M16" s="60"/>
      <c r="O16" s="310"/>
      <c r="P16" s="155"/>
      <c r="Q16" s="299"/>
      <c r="R16" s="299"/>
      <c r="S16" s="299"/>
    </row>
    <row r="17" spans="1:16">
      <c r="A17" s="2">
        <v>44544</v>
      </c>
      <c r="B17" s="59" t="s">
        <v>1350</v>
      </c>
      <c r="C17" s="60">
        <v>1530</v>
      </c>
      <c r="D17" s="3"/>
      <c r="E17" s="3">
        <f t="shared" si="0"/>
        <v>25100.53</v>
      </c>
      <c r="F17" s="60"/>
      <c r="H17" s="2"/>
      <c r="I17" s="1"/>
      <c r="J17" s="10"/>
      <c r="K17" s="3"/>
      <c r="L17" s="3">
        <f t="shared" si="1"/>
        <v>860</v>
      </c>
      <c r="M17" s="96"/>
      <c r="O17" s="309"/>
      <c r="P17" s="19"/>
    </row>
    <row r="18" spans="1:16">
      <c r="A18" s="2">
        <v>44544</v>
      </c>
      <c r="B18" s="59" t="s">
        <v>1352</v>
      </c>
      <c r="C18" s="60">
        <v>890</v>
      </c>
      <c r="D18" s="3"/>
      <c r="E18" s="3">
        <f t="shared" si="0"/>
        <v>24210.53</v>
      </c>
      <c r="F18" s="60"/>
      <c r="H18" s="2"/>
      <c r="I18" s="1"/>
      <c r="J18" s="3"/>
      <c r="K18" s="3"/>
      <c r="L18" s="3">
        <f t="shared" si="1"/>
        <v>860</v>
      </c>
      <c r="M18" s="60"/>
      <c r="N18" s="57"/>
      <c r="O18" s="310"/>
      <c r="P18" s="19"/>
    </row>
    <row r="19" spans="1:16">
      <c r="A19" s="2">
        <v>44544</v>
      </c>
      <c r="B19" s="59" t="s">
        <v>1351</v>
      </c>
      <c r="C19" s="60">
        <v>1400</v>
      </c>
      <c r="D19" s="159"/>
      <c r="E19" s="3">
        <f t="shared" si="0"/>
        <v>22810.53</v>
      </c>
      <c r="F19" s="76"/>
      <c r="H19" s="2"/>
      <c r="I19" s="1"/>
      <c r="J19" s="3"/>
      <c r="K19" s="3"/>
      <c r="L19" s="3">
        <f t="shared" si="1"/>
        <v>860</v>
      </c>
      <c r="M19" s="37"/>
      <c r="O19" s="310"/>
      <c r="P19" s="19"/>
    </row>
    <row r="20" spans="1:16">
      <c r="A20" s="2">
        <v>44544</v>
      </c>
      <c r="B20" s="300" t="s">
        <v>1353</v>
      </c>
      <c r="C20" s="60">
        <v>15000</v>
      </c>
      <c r="D20" s="3"/>
      <c r="E20" s="3">
        <f t="shared" si="0"/>
        <v>7810.5299999999988</v>
      </c>
      <c r="F20" s="60"/>
      <c r="H20" s="58"/>
      <c r="I20" s="6"/>
      <c r="J20" s="3"/>
      <c r="K20" s="3"/>
      <c r="L20" s="3">
        <f t="shared" si="1"/>
        <v>860</v>
      </c>
      <c r="M20" s="60"/>
      <c r="O20" s="310"/>
      <c r="P20" s="19"/>
    </row>
    <row r="21" spans="1:16">
      <c r="A21" s="2">
        <v>44544</v>
      </c>
      <c r="B21" s="1" t="s">
        <v>1354</v>
      </c>
      <c r="C21" s="60">
        <v>1704.13</v>
      </c>
      <c r="D21" s="3"/>
      <c r="E21" s="3">
        <f t="shared" si="0"/>
        <v>6106.3999999999987</v>
      </c>
      <c r="F21" s="96">
        <f>+C21/2</f>
        <v>852.06500000000005</v>
      </c>
      <c r="H21" s="58"/>
      <c r="I21" s="1"/>
      <c r="J21" s="3"/>
      <c r="K21" s="3"/>
      <c r="L21" s="3">
        <f t="shared" si="1"/>
        <v>860</v>
      </c>
      <c r="M21" s="60"/>
      <c r="O21" s="310"/>
      <c r="P21" s="19"/>
    </row>
    <row r="22" spans="1:16">
      <c r="A22" s="2">
        <v>44545</v>
      </c>
      <c r="B22" s="1" t="s">
        <v>66</v>
      </c>
      <c r="C22" s="60">
        <v>3500.41</v>
      </c>
      <c r="D22" s="60"/>
      <c r="E22" s="3">
        <f t="shared" si="0"/>
        <v>2605.9899999999989</v>
      </c>
      <c r="F22" s="60"/>
      <c r="H22" s="58"/>
      <c r="I22" s="1"/>
      <c r="J22" s="60"/>
      <c r="K22" s="3"/>
      <c r="L22" s="3">
        <f t="shared" si="1"/>
        <v>860</v>
      </c>
      <c r="M22" s="60"/>
      <c r="O22" s="310"/>
      <c r="P22" s="19"/>
    </row>
    <row r="23" spans="1:16">
      <c r="A23" s="2">
        <v>44545</v>
      </c>
      <c r="B23" s="1" t="s">
        <v>1355</v>
      </c>
      <c r="C23" s="60">
        <v>900</v>
      </c>
      <c r="D23" s="3"/>
      <c r="E23" s="3">
        <f t="shared" si="0"/>
        <v>1705.9899999999989</v>
      </c>
      <c r="F23" s="60"/>
      <c r="G23" s="41"/>
      <c r="H23" s="58"/>
      <c r="I23" s="1"/>
      <c r="J23" s="3"/>
      <c r="K23" s="3"/>
      <c r="L23" s="3">
        <f t="shared" si="1"/>
        <v>860</v>
      </c>
      <c r="M23" s="96"/>
      <c r="N23" s="90"/>
      <c r="O23" s="311"/>
      <c r="P23" s="312"/>
    </row>
    <row r="24" spans="1:16">
      <c r="A24" s="2">
        <v>44550</v>
      </c>
      <c r="B24" s="59" t="s">
        <v>1356</v>
      </c>
      <c r="C24" s="60">
        <v>1550</v>
      </c>
      <c r="D24" s="3"/>
      <c r="E24" s="3">
        <f t="shared" si="0"/>
        <v>155.98999999999887</v>
      </c>
      <c r="F24" s="60">
        <v>200</v>
      </c>
      <c r="H24" s="58"/>
      <c r="I24" s="1"/>
      <c r="J24" s="3"/>
      <c r="K24" s="3"/>
      <c r="L24" s="3">
        <f t="shared" si="1"/>
        <v>860</v>
      </c>
      <c r="M24" s="76"/>
      <c r="N24" s="57"/>
      <c r="O24" s="310"/>
      <c r="P24" s="19"/>
    </row>
    <row r="25" spans="1:16">
      <c r="A25" s="2">
        <v>44551</v>
      </c>
      <c r="B25" s="59" t="s">
        <v>1357</v>
      </c>
      <c r="C25" s="60"/>
      <c r="D25" s="3">
        <v>0.12</v>
      </c>
      <c r="E25" s="3">
        <f t="shared" si="0"/>
        <v>156.10999999999888</v>
      </c>
      <c r="F25" s="60"/>
      <c r="H25" s="58"/>
      <c r="I25" s="1"/>
      <c r="J25" s="3"/>
      <c r="K25" s="3"/>
      <c r="L25" s="3">
        <f t="shared" si="1"/>
        <v>860</v>
      </c>
      <c r="M25" s="60"/>
    </row>
    <row r="26" spans="1:16">
      <c r="A26" s="2">
        <v>44552</v>
      </c>
      <c r="B26" s="59" t="s">
        <v>1358</v>
      </c>
      <c r="C26" s="3">
        <v>3500</v>
      </c>
      <c r="D26" s="3"/>
      <c r="E26" s="3">
        <f t="shared" si="0"/>
        <v>-3343.8900000000012</v>
      </c>
      <c r="F26" s="36"/>
      <c r="H26" s="58"/>
      <c r="I26" s="1"/>
      <c r="J26" s="60"/>
      <c r="K26" s="3"/>
      <c r="L26" s="3">
        <f t="shared" si="1"/>
        <v>860</v>
      </c>
      <c r="M26" s="60"/>
      <c r="O26" s="242"/>
      <c r="P26" s="242"/>
    </row>
    <row r="27" spans="1:16">
      <c r="A27" s="2">
        <v>44546</v>
      </c>
      <c r="B27" s="59" t="s">
        <v>1359</v>
      </c>
      <c r="C27" s="3"/>
      <c r="D27" s="3">
        <v>45521</v>
      </c>
      <c r="E27" s="3">
        <f t="shared" si="0"/>
        <v>42177.11</v>
      </c>
      <c r="F27" s="36"/>
      <c r="H27" s="58"/>
      <c r="I27" s="1"/>
      <c r="J27" s="3"/>
      <c r="K27" s="3"/>
      <c r="L27" s="3">
        <f t="shared" si="1"/>
        <v>860</v>
      </c>
      <c r="M27" s="76"/>
    </row>
    <row r="28" spans="1:16">
      <c r="A28" s="63">
        <v>44550</v>
      </c>
      <c r="B28" s="6" t="s">
        <v>1354</v>
      </c>
      <c r="C28" s="10">
        <v>750.38</v>
      </c>
      <c r="D28" s="10"/>
      <c r="E28" s="3">
        <f t="shared" si="0"/>
        <v>41426.730000000003</v>
      </c>
      <c r="F28" s="37">
        <f>+C28/2</f>
        <v>375.19</v>
      </c>
      <c r="H28" s="2"/>
      <c r="I28" s="1"/>
      <c r="J28" s="3"/>
      <c r="K28" s="3"/>
      <c r="L28" s="3">
        <f t="shared" si="1"/>
        <v>860</v>
      </c>
      <c r="M28" s="60"/>
    </row>
    <row r="29" spans="1:16">
      <c r="A29" s="63">
        <v>44550</v>
      </c>
      <c r="B29" s="6" t="s">
        <v>1365</v>
      </c>
      <c r="C29" s="37">
        <v>428.6</v>
      </c>
      <c r="D29" s="10"/>
      <c r="E29" s="3">
        <f t="shared" si="0"/>
        <v>40998.130000000005</v>
      </c>
      <c r="F29" s="37">
        <f>+C29/2</f>
        <v>214.3</v>
      </c>
      <c r="H29" s="2"/>
      <c r="I29" s="6"/>
      <c r="J29" s="3"/>
      <c r="K29" s="3"/>
      <c r="L29" s="3">
        <f t="shared" si="1"/>
        <v>860</v>
      </c>
      <c r="M29" s="60"/>
    </row>
    <row r="30" spans="1:16">
      <c r="A30" s="63">
        <v>44551</v>
      </c>
      <c r="B30" s="59" t="s">
        <v>1360</v>
      </c>
      <c r="C30" s="60"/>
      <c r="D30" s="3">
        <v>8000</v>
      </c>
      <c r="E30" s="3">
        <f t="shared" si="0"/>
        <v>48998.130000000005</v>
      </c>
      <c r="F30" s="59"/>
      <c r="H30" s="2"/>
      <c r="I30" s="1"/>
      <c r="J30" s="3"/>
      <c r="K30" s="3"/>
      <c r="L30" s="3">
        <f t="shared" si="1"/>
        <v>860</v>
      </c>
      <c r="M30" s="194"/>
      <c r="N30" s="41"/>
    </row>
    <row r="31" spans="1:16">
      <c r="A31" s="63">
        <v>44551</v>
      </c>
      <c r="B31" s="59" t="s">
        <v>1361</v>
      </c>
      <c r="C31" s="60">
        <v>4350</v>
      </c>
      <c r="D31" s="3"/>
      <c r="E31" s="3">
        <f t="shared" si="0"/>
        <v>44648.130000000005</v>
      </c>
      <c r="F31" s="59"/>
      <c r="H31" s="2"/>
      <c r="I31" s="1"/>
      <c r="J31" s="3"/>
      <c r="K31" s="3"/>
      <c r="L31" s="3">
        <f t="shared" si="1"/>
        <v>860</v>
      </c>
      <c r="M31" s="60"/>
    </row>
    <row r="32" spans="1:16">
      <c r="A32" s="63">
        <v>44552</v>
      </c>
      <c r="B32" s="36" t="s">
        <v>1366</v>
      </c>
      <c r="C32" s="37">
        <v>665</v>
      </c>
      <c r="D32" s="10"/>
      <c r="E32" s="3">
        <f t="shared" si="0"/>
        <v>43983.130000000005</v>
      </c>
      <c r="F32" s="37"/>
      <c r="H32" s="208"/>
      <c r="I32" s="202"/>
      <c r="J32" s="3"/>
      <c r="K32" s="3"/>
      <c r="L32" s="3">
        <f t="shared" si="1"/>
        <v>860</v>
      </c>
      <c r="M32" s="76"/>
      <c r="O32" s="242"/>
      <c r="P32" s="305"/>
    </row>
    <row r="33" spans="1:14">
      <c r="A33" s="63">
        <v>44552</v>
      </c>
      <c r="B33" s="6" t="s">
        <v>1371</v>
      </c>
      <c r="C33" s="10">
        <v>8080.3</v>
      </c>
      <c r="D33" s="10"/>
      <c r="E33" s="3">
        <f t="shared" si="0"/>
        <v>35902.83</v>
      </c>
      <c r="F33" s="37"/>
      <c r="H33" s="2"/>
      <c r="I33" s="1"/>
      <c r="J33" s="3"/>
      <c r="K33" s="3"/>
      <c r="L33" s="3">
        <f t="shared" si="1"/>
        <v>860</v>
      </c>
      <c r="M33" s="60"/>
    </row>
    <row r="34" spans="1:14">
      <c r="A34" s="63">
        <v>44919</v>
      </c>
      <c r="B34" s="6" t="s">
        <v>1372</v>
      </c>
      <c r="C34" s="3"/>
      <c r="D34" s="315">
        <v>15000</v>
      </c>
      <c r="E34" s="3">
        <f t="shared" si="0"/>
        <v>50902.83</v>
      </c>
      <c r="F34" s="60"/>
      <c r="H34" s="2"/>
      <c r="I34" s="1"/>
      <c r="J34" s="3"/>
      <c r="K34" s="3"/>
      <c r="L34" s="3">
        <f t="shared" si="1"/>
        <v>860</v>
      </c>
      <c r="M34" s="60"/>
    </row>
    <row r="35" spans="1:14">
      <c r="A35" s="2">
        <v>44921</v>
      </c>
      <c r="B35" s="6" t="s">
        <v>1373</v>
      </c>
      <c r="C35" s="3">
        <v>3542.3</v>
      </c>
      <c r="D35" s="3"/>
      <c r="E35" s="3">
        <f t="shared" si="0"/>
        <v>47360.53</v>
      </c>
      <c r="F35" s="105"/>
      <c r="H35" s="2"/>
      <c r="I35" s="1"/>
      <c r="J35" s="3"/>
      <c r="K35" s="3"/>
      <c r="L35" s="3">
        <f t="shared" si="1"/>
        <v>860</v>
      </c>
      <c r="M35" s="76"/>
    </row>
    <row r="36" spans="1:14">
      <c r="A36" s="2">
        <v>44921</v>
      </c>
      <c r="B36" s="59" t="s">
        <v>1374</v>
      </c>
      <c r="C36" s="3">
        <v>1050</v>
      </c>
      <c r="D36" s="3"/>
      <c r="E36" s="3">
        <f t="shared" si="0"/>
        <v>46310.53</v>
      </c>
      <c r="F36" s="105">
        <f>+C36/2</f>
        <v>525</v>
      </c>
      <c r="H36" s="2"/>
      <c r="I36" s="1"/>
      <c r="J36" s="3"/>
      <c r="K36" s="3"/>
      <c r="L36" s="3">
        <f t="shared" si="1"/>
        <v>860</v>
      </c>
      <c r="M36" s="76"/>
    </row>
    <row r="37" spans="1:14">
      <c r="A37" s="2">
        <v>44922</v>
      </c>
      <c r="B37" s="1" t="s">
        <v>1375</v>
      </c>
      <c r="C37" s="3">
        <v>500</v>
      </c>
      <c r="D37" s="3"/>
      <c r="E37" s="3">
        <f t="shared" si="0"/>
        <v>45810.53</v>
      </c>
      <c r="F37" s="325"/>
      <c r="H37" s="114"/>
      <c r="I37" s="6"/>
      <c r="J37" s="3"/>
      <c r="K37" s="3"/>
      <c r="L37" s="3">
        <f t="shared" si="1"/>
        <v>860</v>
      </c>
      <c r="M37" s="76"/>
      <c r="N37" s="57"/>
    </row>
    <row r="38" spans="1:14">
      <c r="A38" s="2">
        <v>44922</v>
      </c>
      <c r="B38" s="1" t="s">
        <v>1376</v>
      </c>
      <c r="C38" s="3"/>
      <c r="D38" s="3">
        <v>715</v>
      </c>
      <c r="E38" s="3">
        <f t="shared" si="0"/>
        <v>46525.53</v>
      </c>
      <c r="F38" s="105"/>
      <c r="G38" s="195"/>
      <c r="H38" s="114"/>
      <c r="I38" s="6"/>
      <c r="J38" s="10"/>
      <c r="K38" s="3"/>
      <c r="L38" s="3">
        <f t="shared" si="1"/>
        <v>860</v>
      </c>
      <c r="M38" s="76"/>
    </row>
    <row r="39" spans="1:14">
      <c r="A39" s="2">
        <v>44922</v>
      </c>
      <c r="B39" s="1" t="s">
        <v>1377</v>
      </c>
      <c r="C39" s="3">
        <v>4738.8</v>
      </c>
      <c r="D39" s="3"/>
      <c r="E39" s="3">
        <f t="shared" si="0"/>
        <v>41786.729999999996</v>
      </c>
      <c r="F39" s="105">
        <f>+C39/2</f>
        <v>2369.4</v>
      </c>
      <c r="G39" s="195"/>
      <c r="H39" s="114"/>
      <c r="I39" s="59"/>
      <c r="J39" s="60"/>
      <c r="K39" s="60"/>
      <c r="L39" s="3">
        <f t="shared" si="1"/>
        <v>860</v>
      </c>
      <c r="M39" s="76"/>
    </row>
    <row r="40" spans="1:14">
      <c r="A40" s="2">
        <v>44923</v>
      </c>
      <c r="B40" s="1" t="s">
        <v>1378</v>
      </c>
      <c r="C40" s="3">
        <v>1780</v>
      </c>
      <c r="D40" s="3"/>
      <c r="E40" s="3">
        <f t="shared" si="0"/>
        <v>40006.729999999996</v>
      </c>
      <c r="F40" s="105">
        <f>+C40/2</f>
        <v>890</v>
      </c>
      <c r="G40" s="195"/>
      <c r="H40" s="2"/>
      <c r="I40" s="1"/>
      <c r="J40" s="3"/>
      <c r="K40" s="3"/>
      <c r="L40" s="3">
        <f t="shared" si="1"/>
        <v>860</v>
      </c>
      <c r="M40" s="64"/>
    </row>
    <row r="41" spans="1:14">
      <c r="A41" s="2">
        <v>44924</v>
      </c>
      <c r="B41" s="1" t="s">
        <v>1379</v>
      </c>
      <c r="C41" s="3">
        <v>3950</v>
      </c>
      <c r="D41" s="3"/>
      <c r="E41" s="3">
        <f t="shared" si="0"/>
        <v>36056.729999999996</v>
      </c>
      <c r="F41" s="105"/>
      <c r="G41" s="195"/>
      <c r="H41" s="2"/>
      <c r="I41" s="1"/>
      <c r="J41" s="3"/>
      <c r="K41" s="3"/>
      <c r="L41" s="3">
        <f t="shared" si="1"/>
        <v>860</v>
      </c>
      <c r="M41" s="126"/>
      <c r="N41" s="57"/>
    </row>
    <row r="42" spans="1:14">
      <c r="A42" s="2">
        <v>44924</v>
      </c>
      <c r="B42" s="1" t="s">
        <v>1380</v>
      </c>
      <c r="C42" s="3"/>
      <c r="D42" s="3">
        <v>2000</v>
      </c>
      <c r="E42" s="3">
        <f t="shared" si="0"/>
        <v>38056.729999999996</v>
      </c>
      <c r="F42" s="105"/>
      <c r="G42" s="195"/>
      <c r="H42" s="2"/>
      <c r="I42" s="1"/>
      <c r="J42" s="3"/>
      <c r="K42" s="3"/>
      <c r="L42" s="3">
        <f t="shared" si="1"/>
        <v>860</v>
      </c>
      <c r="M42" s="127"/>
    </row>
    <row r="43" spans="1:14">
      <c r="A43" s="63">
        <v>44919</v>
      </c>
      <c r="B43" s="59" t="s">
        <v>1373</v>
      </c>
      <c r="C43" s="60">
        <v>4100.5</v>
      </c>
      <c r="D43" s="3"/>
      <c r="E43" s="3">
        <f t="shared" si="0"/>
        <v>33956.229999999996</v>
      </c>
      <c r="F43" s="217"/>
      <c r="H43" s="2"/>
      <c r="I43" s="6"/>
      <c r="J43" s="3"/>
      <c r="K43" s="3"/>
      <c r="L43" s="3">
        <f t="shared" si="1"/>
        <v>860</v>
      </c>
      <c r="M43" s="44"/>
    </row>
    <row r="44" spans="1:14">
      <c r="A44" s="2">
        <v>44924</v>
      </c>
      <c r="B44" s="1" t="s">
        <v>1381</v>
      </c>
      <c r="C44" s="3">
        <v>300</v>
      </c>
      <c r="D44" s="3"/>
      <c r="E44" s="3">
        <f t="shared" si="0"/>
        <v>33656.229999999996</v>
      </c>
      <c r="F44" s="59"/>
      <c r="G44" s="92"/>
      <c r="H44" s="2"/>
      <c r="I44" s="6"/>
      <c r="J44" s="3"/>
      <c r="K44" s="3"/>
      <c r="L44" s="3">
        <f t="shared" si="1"/>
        <v>860</v>
      </c>
      <c r="M44" s="76"/>
    </row>
    <row r="45" spans="1:14">
      <c r="A45" s="2">
        <v>44924</v>
      </c>
      <c r="B45" s="1" t="s">
        <v>1357</v>
      </c>
      <c r="C45" s="3"/>
      <c r="D45" s="3">
        <v>1.92</v>
      </c>
      <c r="E45" s="3">
        <f t="shared" si="0"/>
        <v>33658.149999999994</v>
      </c>
      <c r="F45" s="60"/>
      <c r="G45" s="92"/>
      <c r="H45" s="2"/>
      <c r="I45" s="1"/>
      <c r="J45" s="3"/>
      <c r="K45" s="3"/>
      <c r="L45" s="3">
        <f t="shared" si="1"/>
        <v>860</v>
      </c>
      <c r="M45" s="1"/>
    </row>
    <row r="46" spans="1:14">
      <c r="A46" s="11"/>
      <c r="B46" s="12"/>
      <c r="C46" s="13"/>
      <c r="D46" s="13"/>
      <c r="E46" s="13">
        <f t="shared" si="0"/>
        <v>33658.149999999994</v>
      </c>
      <c r="F46" s="316"/>
      <c r="G46" s="92"/>
      <c r="H46" s="2"/>
      <c r="I46" s="1"/>
      <c r="J46" s="3"/>
      <c r="K46" s="3"/>
      <c r="L46" s="3">
        <f t="shared" si="1"/>
        <v>860</v>
      </c>
      <c r="M46" s="1"/>
    </row>
    <row r="47" spans="1:14">
      <c r="A47" s="11"/>
      <c r="B47" s="12"/>
      <c r="C47" s="13"/>
      <c r="D47" s="13"/>
      <c r="E47" s="13">
        <f t="shared" si="0"/>
        <v>33658.149999999994</v>
      </c>
      <c r="F47" s="316"/>
      <c r="H47" s="2"/>
      <c r="I47" s="1"/>
      <c r="J47" s="3"/>
      <c r="K47" s="3"/>
      <c r="L47" s="3">
        <f t="shared" si="1"/>
        <v>860</v>
      </c>
      <c r="M47" s="64"/>
      <c r="N47" s="83"/>
    </row>
    <row r="48" spans="1:14">
      <c r="A48" s="2"/>
      <c r="B48" s="1"/>
      <c r="C48" s="3"/>
      <c r="D48" s="3"/>
      <c r="E48" s="3">
        <f t="shared" si="0"/>
        <v>33658.149999999994</v>
      </c>
      <c r="F48" s="3"/>
      <c r="H48" s="2"/>
      <c r="I48" s="1"/>
      <c r="J48" s="3"/>
      <c r="K48" s="3"/>
      <c r="L48" s="3">
        <f t="shared" si="1"/>
        <v>860</v>
      </c>
      <c r="M48" s="1"/>
    </row>
    <row r="49" spans="1:14">
      <c r="A49" s="1"/>
      <c r="B49" s="1"/>
      <c r="C49" s="3"/>
      <c r="D49" s="3"/>
      <c r="E49" s="3">
        <f t="shared" si="0"/>
        <v>33658.149999999994</v>
      </c>
      <c r="F49" s="5"/>
      <c r="H49" s="2"/>
      <c r="I49" s="1"/>
      <c r="J49" s="3"/>
      <c r="K49" s="3"/>
      <c r="L49" s="3">
        <f t="shared" si="1"/>
        <v>860</v>
      </c>
      <c r="M49" s="44"/>
    </row>
    <row r="50" spans="1:14">
      <c r="A50" s="1"/>
      <c r="B50" s="1"/>
      <c r="C50" s="3"/>
      <c r="D50" s="3"/>
      <c r="E50" s="3">
        <f t="shared" si="0"/>
        <v>33658.149999999994</v>
      </c>
      <c r="F50" s="1"/>
      <c r="H50" s="2"/>
      <c r="I50" s="1"/>
      <c r="J50" s="3"/>
      <c r="K50" s="3"/>
      <c r="L50" s="3">
        <f t="shared" si="1"/>
        <v>860</v>
      </c>
      <c r="M50" s="1"/>
    </row>
    <row r="51" spans="1:14">
      <c r="A51" s="1"/>
      <c r="B51" s="1"/>
      <c r="C51" s="3"/>
      <c r="D51" s="3"/>
      <c r="E51" s="3">
        <f t="shared" si="0"/>
        <v>33658.149999999994</v>
      </c>
      <c r="F51" s="1"/>
      <c r="H51" s="2"/>
      <c r="I51" s="1"/>
      <c r="J51" s="3"/>
      <c r="K51" s="3"/>
      <c r="L51" s="3">
        <f t="shared" si="1"/>
        <v>860</v>
      </c>
      <c r="M51" s="1"/>
    </row>
    <row r="52" spans="1:14">
      <c r="A52" s="1"/>
      <c r="B52" s="1"/>
      <c r="C52" s="3"/>
      <c r="D52" s="3"/>
      <c r="E52" s="3">
        <f t="shared" si="0"/>
        <v>33658.149999999994</v>
      </c>
      <c r="F52" s="1"/>
      <c r="H52" s="2"/>
      <c r="I52" s="6"/>
      <c r="J52" s="3"/>
      <c r="K52" s="3"/>
      <c r="L52" s="3">
        <f t="shared" si="1"/>
        <v>860</v>
      </c>
      <c r="M52" s="44"/>
    </row>
    <row r="53" spans="1:14">
      <c r="A53" s="1"/>
      <c r="B53" s="1"/>
      <c r="C53" s="3"/>
      <c r="D53" s="3"/>
      <c r="E53" s="3">
        <f t="shared" si="0"/>
        <v>33658.149999999994</v>
      </c>
      <c r="F53" s="1"/>
      <c r="H53" s="2"/>
      <c r="I53" s="1"/>
      <c r="J53" s="3"/>
      <c r="K53" s="3"/>
      <c r="L53" s="3">
        <f t="shared" si="1"/>
        <v>860</v>
      </c>
      <c r="M53" s="1"/>
      <c r="N53" s="41"/>
    </row>
    <row r="54" spans="1:14">
      <c r="E54" s="3">
        <f t="shared" si="0"/>
        <v>33658.149999999994</v>
      </c>
      <c r="H54" s="2"/>
      <c r="I54" s="1"/>
      <c r="J54" s="3"/>
      <c r="K54" s="3"/>
      <c r="L54" s="3">
        <f t="shared" si="1"/>
        <v>860</v>
      </c>
      <c r="M54" s="1"/>
    </row>
    <row r="55" spans="1:14">
      <c r="E55" s="3">
        <f t="shared" si="0"/>
        <v>33658.149999999994</v>
      </c>
      <c r="H55" s="2"/>
      <c r="I55" s="1"/>
      <c r="J55" s="3"/>
      <c r="K55" s="3"/>
      <c r="L55" s="3">
        <f t="shared" si="1"/>
        <v>860</v>
      </c>
      <c r="M55" s="1"/>
    </row>
    <row r="56" spans="1:14">
      <c r="E56" s="3">
        <f t="shared" si="0"/>
        <v>33658.149999999994</v>
      </c>
      <c r="H56" s="2"/>
      <c r="I56" s="1"/>
      <c r="J56" s="3"/>
      <c r="K56" s="3"/>
      <c r="L56" s="3">
        <f t="shared" si="1"/>
        <v>860</v>
      </c>
      <c r="M56" s="1"/>
    </row>
    <row r="57" spans="1:14">
      <c r="E57" s="3">
        <f t="shared" si="0"/>
        <v>33658.149999999994</v>
      </c>
      <c r="H57" s="2"/>
      <c r="I57" s="1"/>
      <c r="J57" s="3"/>
      <c r="K57" s="3"/>
      <c r="L57" s="3">
        <f t="shared" si="1"/>
        <v>860</v>
      </c>
      <c r="M57" s="1"/>
    </row>
    <row r="58" spans="1:14">
      <c r="E58" s="3">
        <f t="shared" si="0"/>
        <v>33658.149999999994</v>
      </c>
      <c r="H58" s="2"/>
      <c r="I58" s="1"/>
      <c r="J58" s="3"/>
      <c r="K58" s="3"/>
      <c r="L58" s="3">
        <f t="shared" si="1"/>
        <v>860</v>
      </c>
      <c r="M58" s="64"/>
    </row>
    <row r="59" spans="1:14">
      <c r="E59" s="3">
        <f t="shared" si="0"/>
        <v>33658.149999999994</v>
      </c>
      <c r="H59" s="1"/>
      <c r="I59" s="1"/>
      <c r="J59" s="3"/>
      <c r="K59" s="3"/>
      <c r="L59" s="3">
        <f t="shared" si="1"/>
        <v>860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D17F-8707-6348-B896-2AFD1F4219C6}">
  <dimension ref="A1:T1048576"/>
  <sheetViews>
    <sheetView showGridLines="0" workbookViewId="0">
      <selection activeCell="Q48" sqref="P47:Q48"/>
    </sheetView>
  </sheetViews>
  <sheetFormatPr baseColWidth="10" defaultRowHeight="16"/>
  <cols>
    <col min="1" max="1" width="7.33203125" bestFit="1" customWidth="1"/>
    <col min="2" max="2" width="27.33203125" bestFit="1" customWidth="1"/>
    <col min="3" max="3" width="12.5" style="4" bestFit="1" customWidth="1"/>
    <col min="4" max="4" width="12.33203125" style="4" customWidth="1"/>
    <col min="5" max="5" width="13" customWidth="1"/>
    <col min="6" max="6" width="10.1640625" customWidth="1"/>
    <col min="7" max="7" width="13.6640625" customWidth="1"/>
    <col min="8" max="8" width="7.33203125" bestFit="1" customWidth="1"/>
    <col min="9" max="9" width="22.83203125" customWidth="1"/>
    <col min="10" max="11" width="12.5" bestFit="1" customWidth="1"/>
    <col min="12" max="12" width="12" bestFit="1" customWidth="1"/>
    <col min="13" max="13" width="12.83203125" customWidth="1"/>
    <col min="14" max="14" width="7.33203125" customWidth="1"/>
    <col min="15" max="15" width="26.1640625" style="4" customWidth="1"/>
    <col min="16" max="16" width="12.5" style="4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67"/>
      <c r="P2" s="67"/>
      <c r="Q2" s="66"/>
    </row>
    <row r="3" spans="1:19">
      <c r="A3" s="2"/>
      <c r="B3" s="1" t="s">
        <v>4</v>
      </c>
      <c r="C3" s="283"/>
      <c r="D3" s="283"/>
      <c r="E3" s="3">
        <v>33658.149999999994</v>
      </c>
      <c r="F3" s="34"/>
      <c r="G3" s="271" t="s">
        <v>170</v>
      </c>
      <c r="H3" s="2">
        <v>44583</v>
      </c>
      <c r="I3" s="282" t="s">
        <v>1407</v>
      </c>
      <c r="J3" s="287"/>
      <c r="K3" s="287"/>
      <c r="L3" s="3">
        <v>1020</v>
      </c>
      <c r="M3" s="37"/>
      <c r="O3" s="321"/>
      <c r="P3" s="67"/>
      <c r="Q3" s="21"/>
      <c r="R3" s="21"/>
      <c r="S3" s="21"/>
    </row>
    <row r="4" spans="1:19">
      <c r="A4" s="2">
        <v>44924</v>
      </c>
      <c r="B4" s="1" t="s">
        <v>1382</v>
      </c>
      <c r="C4" s="3"/>
      <c r="D4" s="3">
        <v>90164</v>
      </c>
      <c r="E4" s="3">
        <f>+E3-C4+D4</f>
        <v>123822.15</v>
      </c>
      <c r="F4" s="44"/>
      <c r="G4" s="56">
        <f>+E57+L30</f>
        <v>184848.99</v>
      </c>
      <c r="H4" s="2"/>
      <c r="I4" s="1"/>
      <c r="J4" s="3"/>
      <c r="K4" s="3"/>
      <c r="L4" s="3">
        <f>+L3+K4-J4</f>
        <v>1020</v>
      </c>
      <c r="M4" s="95"/>
      <c r="O4" s="317"/>
      <c r="P4" s="318"/>
      <c r="Q4" s="21"/>
      <c r="R4" s="21"/>
      <c r="S4" s="21"/>
    </row>
    <row r="5" spans="1:19">
      <c r="A5" s="2">
        <v>44563</v>
      </c>
      <c r="B5" s="1" t="s">
        <v>1383</v>
      </c>
      <c r="C5" s="60">
        <v>9010</v>
      </c>
      <c r="D5" s="3"/>
      <c r="E5" s="3">
        <f t="shared" ref="E5:E46" si="0">+E4-C5+D5</f>
        <v>114812.15</v>
      </c>
      <c r="F5" s="60"/>
      <c r="G5" s="41"/>
      <c r="H5" s="2"/>
      <c r="I5" s="284"/>
      <c r="J5" s="3"/>
      <c r="K5" s="3"/>
      <c r="L5" s="3">
        <f t="shared" ref="L5:L25" si="1">+L4+K5-J5</f>
        <v>1020</v>
      </c>
      <c r="M5" s="96"/>
      <c r="O5" s="67"/>
      <c r="P5" s="67"/>
      <c r="Q5" s="21"/>
      <c r="R5" s="21"/>
      <c r="S5" s="21"/>
    </row>
    <row r="6" spans="1:19">
      <c r="A6" s="2">
        <v>44564</v>
      </c>
      <c r="B6" s="59" t="s">
        <v>1388</v>
      </c>
      <c r="C6" s="60">
        <v>2000</v>
      </c>
      <c r="D6" s="3"/>
      <c r="E6" s="3">
        <f t="shared" si="0"/>
        <v>112812.15</v>
      </c>
      <c r="F6" s="59"/>
      <c r="G6" s="189"/>
      <c r="H6" s="2"/>
      <c r="I6" s="285"/>
      <c r="J6" s="243"/>
      <c r="K6" s="243"/>
      <c r="L6" s="3">
        <f t="shared" si="1"/>
        <v>1020</v>
      </c>
      <c r="M6" s="96"/>
      <c r="O6" s="319"/>
      <c r="P6" s="318"/>
      <c r="Q6" s="21"/>
      <c r="R6" s="21"/>
      <c r="S6" s="21"/>
    </row>
    <row r="7" spans="1:19">
      <c r="A7" s="2">
        <v>44564</v>
      </c>
      <c r="B7" s="59" t="s">
        <v>1389</v>
      </c>
      <c r="C7" s="60"/>
      <c r="D7" s="3">
        <v>350</v>
      </c>
      <c r="E7" s="3">
        <f t="shared" si="0"/>
        <v>113162.15</v>
      </c>
      <c r="F7" s="60"/>
      <c r="G7" s="190"/>
      <c r="H7" s="2"/>
      <c r="I7" s="286"/>
      <c r="J7" s="60"/>
      <c r="K7" s="3"/>
      <c r="L7" s="3">
        <f t="shared" si="1"/>
        <v>1020</v>
      </c>
      <c r="M7" s="60"/>
      <c r="O7" s="67"/>
      <c r="P7" s="67"/>
      <c r="Q7" s="66"/>
      <c r="R7" s="21"/>
      <c r="S7" s="21"/>
    </row>
    <row r="8" spans="1:19">
      <c r="A8" s="58">
        <v>44570</v>
      </c>
      <c r="B8" s="59" t="s">
        <v>1390</v>
      </c>
      <c r="C8" s="60"/>
      <c r="D8" s="3">
        <v>15000</v>
      </c>
      <c r="E8" s="3">
        <f t="shared" si="0"/>
        <v>128162.15</v>
      </c>
      <c r="F8" s="197"/>
      <c r="G8" s="189"/>
      <c r="H8" s="2"/>
      <c r="I8" s="282"/>
      <c r="J8" s="287"/>
      <c r="K8" s="287"/>
      <c r="L8" s="3">
        <f t="shared" si="1"/>
        <v>1020</v>
      </c>
      <c r="M8" s="96"/>
      <c r="O8" s="320"/>
      <c r="P8" s="318"/>
      <c r="Q8" s="21"/>
      <c r="R8" s="21"/>
      <c r="S8" s="21"/>
    </row>
    <row r="9" spans="1:19">
      <c r="A9" s="58">
        <v>44572</v>
      </c>
      <c r="B9" s="59" t="s">
        <v>1391</v>
      </c>
      <c r="C9" s="60"/>
      <c r="D9" s="3">
        <v>40000</v>
      </c>
      <c r="E9" s="3">
        <f t="shared" si="0"/>
        <v>168162.15</v>
      </c>
      <c r="F9" s="59"/>
      <c r="H9" s="2"/>
      <c r="I9" s="98"/>
      <c r="J9" s="3"/>
      <c r="K9" s="3"/>
      <c r="L9" s="3">
        <f t="shared" si="1"/>
        <v>1020</v>
      </c>
      <c r="M9" s="96"/>
      <c r="O9" s="321" t="s">
        <v>641</v>
      </c>
      <c r="P9" s="67"/>
      <c r="Q9" s="21"/>
      <c r="R9" s="21"/>
      <c r="S9" s="21"/>
    </row>
    <row r="10" spans="1:19">
      <c r="A10" s="58">
        <v>44580</v>
      </c>
      <c r="B10" s="59" t="s">
        <v>1393</v>
      </c>
      <c r="C10" s="60">
        <v>10</v>
      </c>
      <c r="D10" s="3"/>
      <c r="E10" s="3">
        <f t="shared" si="0"/>
        <v>168152.15</v>
      </c>
      <c r="F10" s="60"/>
      <c r="G10" s="307"/>
      <c r="H10" s="2"/>
      <c r="I10" s="286"/>
      <c r="J10" s="60"/>
      <c r="K10" s="3"/>
      <c r="L10" s="3">
        <f t="shared" si="1"/>
        <v>1020</v>
      </c>
      <c r="M10" s="96"/>
      <c r="N10" s="57"/>
      <c r="O10" s="322" t="s">
        <v>1384</v>
      </c>
      <c r="P10" s="155">
        <f>-SUM('Diciembre 2021'!F36:F40)</f>
        <v>-3784.4</v>
      </c>
      <c r="Q10" s="21"/>
      <c r="R10" s="21"/>
      <c r="S10" s="21"/>
    </row>
    <row r="11" spans="1:19">
      <c r="A11" s="58">
        <v>44580</v>
      </c>
      <c r="B11" s="59" t="s">
        <v>1392</v>
      </c>
      <c r="C11" s="60">
        <v>15000</v>
      </c>
      <c r="D11" s="3"/>
      <c r="E11" s="3">
        <f t="shared" si="0"/>
        <v>153152.15</v>
      </c>
      <c r="F11" s="60"/>
      <c r="G11" s="308"/>
      <c r="H11" s="2"/>
      <c r="I11" s="286"/>
      <c r="J11" s="76"/>
      <c r="K11" s="3"/>
      <c r="L11" s="3">
        <f t="shared" si="1"/>
        <v>1020</v>
      </c>
      <c r="M11" s="96"/>
      <c r="N11" s="57"/>
      <c r="O11" s="323" t="s">
        <v>1385</v>
      </c>
      <c r="P11" s="155">
        <v>-9100</v>
      </c>
      <c r="Q11" s="21"/>
      <c r="R11" s="21"/>
      <c r="S11" s="21"/>
    </row>
    <row r="12" spans="1:19">
      <c r="A12" s="2">
        <v>44581</v>
      </c>
      <c r="B12" s="59" t="s">
        <v>1394</v>
      </c>
      <c r="C12" s="60">
        <v>3084.78</v>
      </c>
      <c r="D12" s="3"/>
      <c r="E12" s="3">
        <f t="shared" si="0"/>
        <v>150067.37</v>
      </c>
      <c r="F12" s="198"/>
      <c r="H12" s="2"/>
      <c r="I12" s="286"/>
      <c r="J12" s="76"/>
      <c r="K12" s="3"/>
      <c r="L12" s="3">
        <f t="shared" si="1"/>
        <v>1020</v>
      </c>
      <c r="M12" s="148"/>
      <c r="N12" s="57"/>
      <c r="O12" s="324" t="s">
        <v>1386</v>
      </c>
      <c r="P12" s="192">
        <v>1200</v>
      </c>
      <c r="Q12" s="21"/>
      <c r="R12" s="21"/>
      <c r="S12" s="21"/>
    </row>
    <row r="13" spans="1:19">
      <c r="A13" s="2">
        <v>44581</v>
      </c>
      <c r="B13" s="59" t="s">
        <v>1392</v>
      </c>
      <c r="C13" s="60">
        <v>15000</v>
      </c>
      <c r="D13" s="3"/>
      <c r="E13" s="3">
        <f t="shared" si="0"/>
        <v>135067.37</v>
      </c>
      <c r="F13" s="60"/>
      <c r="G13" s="57"/>
      <c r="H13" s="2"/>
      <c r="I13" s="286"/>
      <c r="J13" s="3"/>
      <c r="K13" s="3"/>
      <c r="L13" s="3">
        <f t="shared" si="1"/>
        <v>1020</v>
      </c>
      <c r="M13" s="64"/>
      <c r="O13" s="326" t="s">
        <v>1387</v>
      </c>
      <c r="P13" s="327">
        <f>SUM(P10:P12)</f>
        <v>-11684.4</v>
      </c>
      <c r="Q13" s="21"/>
      <c r="R13" s="21"/>
      <c r="S13" s="21"/>
    </row>
    <row r="14" spans="1:19" ht="19">
      <c r="A14" s="2">
        <v>44581</v>
      </c>
      <c r="B14" s="59" t="s">
        <v>1395</v>
      </c>
      <c r="C14" s="60"/>
      <c r="D14" s="3">
        <v>771</v>
      </c>
      <c r="E14" s="3">
        <f t="shared" si="0"/>
        <v>135838.37</v>
      </c>
      <c r="F14" s="60"/>
      <c r="G14" s="330"/>
      <c r="H14" s="2"/>
      <c r="I14" s="1"/>
      <c r="J14" s="3"/>
      <c r="K14" s="3"/>
      <c r="L14" s="3">
        <f t="shared" si="1"/>
        <v>1020</v>
      </c>
      <c r="M14" s="96"/>
      <c r="O14" s="322" t="s">
        <v>1398</v>
      </c>
      <c r="P14" s="155">
        <v>-1250</v>
      </c>
      <c r="Q14" s="21"/>
      <c r="R14" s="21"/>
      <c r="S14" s="21"/>
    </row>
    <row r="15" spans="1:19">
      <c r="A15" s="2">
        <v>44582</v>
      </c>
      <c r="B15" s="59" t="s">
        <v>1396</v>
      </c>
      <c r="C15" s="60"/>
      <c r="D15" s="3">
        <v>0.39</v>
      </c>
      <c r="E15" s="3">
        <f t="shared" si="0"/>
        <v>135838.76</v>
      </c>
      <c r="F15" s="60"/>
      <c r="H15" s="2"/>
      <c r="I15" s="1"/>
      <c r="J15" s="3"/>
      <c r="K15" s="3"/>
      <c r="L15" s="3">
        <f t="shared" si="1"/>
        <v>1020</v>
      </c>
      <c r="M15" s="96"/>
      <c r="O15" s="324" t="s">
        <v>1399</v>
      </c>
      <c r="P15" s="155">
        <v>-2450</v>
      </c>
      <c r="Q15" s="21"/>
      <c r="R15" s="21"/>
      <c r="S15" s="21"/>
    </row>
    <row r="16" spans="1:19">
      <c r="A16" s="58">
        <v>44564</v>
      </c>
      <c r="B16" s="59" t="s">
        <v>1389</v>
      </c>
      <c r="C16" s="60">
        <v>1029.9100000000001</v>
      </c>
      <c r="D16" s="60"/>
      <c r="E16" s="3">
        <f t="shared" si="0"/>
        <v>134808.85</v>
      </c>
      <c r="F16" s="60"/>
      <c r="H16" s="2"/>
      <c r="I16" s="1"/>
      <c r="J16" s="3"/>
      <c r="K16" s="3"/>
      <c r="L16" s="3">
        <f t="shared" si="1"/>
        <v>1020</v>
      </c>
      <c r="M16" s="60"/>
      <c r="O16" s="323" t="s">
        <v>1402</v>
      </c>
      <c r="P16" s="155">
        <v>-260</v>
      </c>
      <c r="Q16" s="299"/>
      <c r="R16" s="299"/>
      <c r="S16" s="299"/>
    </row>
    <row r="17" spans="1:16">
      <c r="A17" s="58">
        <v>44566</v>
      </c>
      <c r="B17" s="59" t="s">
        <v>1397</v>
      </c>
      <c r="C17" s="60">
        <v>680</v>
      </c>
      <c r="D17" s="3"/>
      <c r="E17" s="3">
        <f t="shared" si="0"/>
        <v>134128.85</v>
      </c>
      <c r="F17" s="60">
        <f>+C17/2</f>
        <v>340</v>
      </c>
      <c r="H17" s="2"/>
      <c r="I17" s="1"/>
      <c r="J17" s="10"/>
      <c r="K17" s="3"/>
      <c r="L17" s="3">
        <f t="shared" si="1"/>
        <v>1020</v>
      </c>
      <c r="M17" s="96"/>
      <c r="O17" s="322" t="s">
        <v>1403</v>
      </c>
      <c r="P17" s="23">
        <v>-600</v>
      </c>
    </row>
    <row r="18" spans="1:16">
      <c r="A18" s="58">
        <v>44567</v>
      </c>
      <c r="B18" s="59" t="s">
        <v>395</v>
      </c>
      <c r="C18" s="60">
        <v>4232.1099999999997</v>
      </c>
      <c r="D18" s="3"/>
      <c r="E18" s="3">
        <f t="shared" si="0"/>
        <v>129896.74</v>
      </c>
      <c r="F18" s="60"/>
      <c r="H18" s="2"/>
      <c r="I18" s="1"/>
      <c r="J18" s="3"/>
      <c r="K18" s="3"/>
      <c r="L18" s="3">
        <f t="shared" si="1"/>
        <v>1020</v>
      </c>
      <c r="M18" s="60"/>
      <c r="N18" s="57"/>
      <c r="O18" s="323" t="s">
        <v>1404</v>
      </c>
      <c r="P18" s="23">
        <v>-250</v>
      </c>
    </row>
    <row r="19" spans="1:16">
      <c r="A19" s="58">
        <v>44578</v>
      </c>
      <c r="B19" s="59"/>
      <c r="C19" s="60">
        <v>2917</v>
      </c>
      <c r="D19" s="159"/>
      <c r="E19" s="3">
        <f t="shared" si="0"/>
        <v>126979.74</v>
      </c>
      <c r="F19" s="60"/>
      <c r="H19" s="2"/>
      <c r="I19" s="1"/>
      <c r="J19" s="3"/>
      <c r="K19" s="3"/>
      <c r="L19" s="3">
        <f t="shared" si="1"/>
        <v>1020</v>
      </c>
      <c r="M19" s="37"/>
      <c r="O19" s="323" t="s">
        <v>1405</v>
      </c>
      <c r="P19" s="23">
        <v>2275</v>
      </c>
    </row>
    <row r="20" spans="1:16">
      <c r="A20" s="58">
        <v>44578</v>
      </c>
      <c r="B20" s="300" t="s">
        <v>1400</v>
      </c>
      <c r="C20" s="60">
        <v>3600.2</v>
      </c>
      <c r="D20" s="3"/>
      <c r="E20" s="3">
        <f t="shared" si="0"/>
        <v>123379.54000000001</v>
      </c>
      <c r="F20" s="60"/>
      <c r="H20" s="58"/>
      <c r="I20" s="6"/>
      <c r="J20" s="3"/>
      <c r="K20" s="3"/>
      <c r="L20" s="3">
        <f t="shared" si="1"/>
        <v>1020</v>
      </c>
      <c r="M20" s="60"/>
      <c r="O20" s="323" t="s">
        <v>1406</v>
      </c>
      <c r="P20" s="23">
        <v>9332.5</v>
      </c>
    </row>
    <row r="21" spans="1:16">
      <c r="A21" s="58">
        <v>44579</v>
      </c>
      <c r="B21" s="59" t="s">
        <v>1401</v>
      </c>
      <c r="C21" s="60">
        <v>2690</v>
      </c>
      <c r="D21" s="3"/>
      <c r="E21" s="3">
        <f t="shared" si="0"/>
        <v>120689.54000000001</v>
      </c>
      <c r="F21" s="96"/>
      <c r="H21" s="58"/>
      <c r="I21" s="1"/>
      <c r="J21" s="3"/>
      <c r="K21" s="3"/>
      <c r="L21" s="3">
        <f t="shared" si="1"/>
        <v>1020</v>
      </c>
      <c r="M21" s="60"/>
      <c r="O21" s="323" t="s">
        <v>1426</v>
      </c>
      <c r="P21" s="23">
        <v>650</v>
      </c>
    </row>
    <row r="22" spans="1:16">
      <c r="A22" s="58">
        <v>44583</v>
      </c>
      <c r="B22" s="59" t="s">
        <v>1408</v>
      </c>
      <c r="C22" s="60">
        <v>3000</v>
      </c>
      <c r="D22" s="60"/>
      <c r="E22" s="3">
        <f t="shared" si="0"/>
        <v>117689.54000000001</v>
      </c>
      <c r="F22" s="60"/>
      <c r="H22" s="58"/>
      <c r="I22" s="1"/>
      <c r="J22" s="60"/>
      <c r="K22" s="3"/>
      <c r="L22" s="3">
        <f t="shared" si="1"/>
        <v>1020</v>
      </c>
      <c r="M22" s="60"/>
      <c r="O22" s="323" t="s">
        <v>1427</v>
      </c>
      <c r="P22" s="23">
        <v>-50</v>
      </c>
    </row>
    <row r="23" spans="1:16">
      <c r="A23" s="2">
        <v>44584</v>
      </c>
      <c r="B23" s="59" t="s">
        <v>1409</v>
      </c>
      <c r="C23" s="60"/>
      <c r="D23" s="3">
        <v>771</v>
      </c>
      <c r="E23" s="3">
        <f t="shared" si="0"/>
        <v>118460.54000000001</v>
      </c>
      <c r="F23" s="60"/>
      <c r="G23" s="41"/>
      <c r="H23" s="58"/>
      <c r="I23" s="1"/>
      <c r="J23" s="3"/>
      <c r="K23" s="3"/>
      <c r="L23" s="3">
        <f t="shared" si="1"/>
        <v>1020</v>
      </c>
      <c r="M23" s="96"/>
      <c r="N23" s="90"/>
      <c r="O23" s="323" t="s">
        <v>1428</v>
      </c>
      <c r="P23" s="23">
        <v>-710</v>
      </c>
    </row>
    <row r="24" spans="1:16">
      <c r="A24" s="2">
        <v>44586</v>
      </c>
      <c r="B24" s="59" t="s">
        <v>1410</v>
      </c>
      <c r="C24" s="60">
        <v>20000</v>
      </c>
      <c r="D24" s="3"/>
      <c r="E24" s="3">
        <f t="shared" si="0"/>
        <v>98460.540000000008</v>
      </c>
      <c r="F24" s="60"/>
      <c r="H24" s="58"/>
      <c r="I24" s="1"/>
      <c r="J24" s="3"/>
      <c r="K24" s="3"/>
      <c r="L24" s="3">
        <f t="shared" si="1"/>
        <v>1020</v>
      </c>
      <c r="M24" s="76"/>
      <c r="N24" s="57"/>
      <c r="O24" s="323" t="s">
        <v>1429</v>
      </c>
      <c r="P24" s="23">
        <v>300</v>
      </c>
    </row>
    <row r="25" spans="1:16">
      <c r="A25" s="2">
        <v>44587</v>
      </c>
      <c r="B25" s="59" t="s">
        <v>1335</v>
      </c>
      <c r="C25" s="60">
        <v>1372.85</v>
      </c>
      <c r="D25" s="3"/>
      <c r="E25" s="3">
        <f t="shared" si="0"/>
        <v>97087.69</v>
      </c>
      <c r="F25" s="60">
        <v>200</v>
      </c>
      <c r="H25" s="58"/>
      <c r="I25" s="1"/>
      <c r="J25" s="3"/>
      <c r="K25" s="3"/>
      <c r="L25" s="3">
        <f t="shared" si="1"/>
        <v>1020</v>
      </c>
      <c r="M25" s="60"/>
      <c r="O25" s="323" t="s">
        <v>1430</v>
      </c>
      <c r="P25" s="23">
        <v>313</v>
      </c>
    </row>
    <row r="26" spans="1:16">
      <c r="A26" s="2">
        <v>44588</v>
      </c>
      <c r="B26" s="59" t="s">
        <v>1411</v>
      </c>
      <c r="C26" s="3">
        <v>690</v>
      </c>
      <c r="D26" s="3"/>
      <c r="E26" s="3">
        <f t="shared" si="0"/>
        <v>96397.69</v>
      </c>
      <c r="F26" s="36"/>
      <c r="H26" s="58"/>
      <c r="I26" s="1"/>
      <c r="J26" s="60"/>
      <c r="K26" s="3"/>
      <c r="L26" s="3">
        <f t="shared" ref="L26:L59" si="2">+L25-J26+K26</f>
        <v>1020</v>
      </c>
      <c r="M26" s="60"/>
      <c r="O26" s="323" t="s">
        <v>1431</v>
      </c>
      <c r="P26" s="23">
        <v>882.5</v>
      </c>
    </row>
    <row r="27" spans="1:16">
      <c r="A27" s="2">
        <v>44588</v>
      </c>
      <c r="B27" s="59" t="s">
        <v>1396</v>
      </c>
      <c r="C27" s="3"/>
      <c r="D27" s="3">
        <v>6.12</v>
      </c>
      <c r="E27" s="3">
        <f t="shared" si="0"/>
        <v>96403.81</v>
      </c>
      <c r="F27" s="36"/>
      <c r="H27" s="58"/>
      <c r="I27" s="1"/>
      <c r="J27" s="3"/>
      <c r="K27" s="3"/>
      <c r="L27" s="3">
        <f t="shared" si="2"/>
        <v>1020</v>
      </c>
      <c r="M27" s="76"/>
      <c r="O27" s="323" t="s">
        <v>1432</v>
      </c>
      <c r="P27" s="23">
        <v>1408</v>
      </c>
    </row>
    <row r="28" spans="1:16">
      <c r="A28" s="2">
        <v>44588</v>
      </c>
      <c r="B28" s="6" t="s">
        <v>1412</v>
      </c>
      <c r="C28" s="10"/>
      <c r="D28" s="10">
        <v>90164</v>
      </c>
      <c r="E28" s="3">
        <f t="shared" si="0"/>
        <v>186567.81</v>
      </c>
      <c r="F28" s="37"/>
      <c r="H28" s="2"/>
      <c r="I28" s="1"/>
      <c r="J28" s="3"/>
      <c r="K28" s="3"/>
      <c r="L28" s="3">
        <f t="shared" si="2"/>
        <v>1020</v>
      </c>
      <c r="M28" s="60"/>
      <c r="O28" s="323" t="s">
        <v>1433</v>
      </c>
      <c r="P28" s="23">
        <v>350</v>
      </c>
    </row>
    <row r="29" spans="1:16">
      <c r="A29" s="63">
        <v>44590</v>
      </c>
      <c r="B29" s="6" t="s">
        <v>1413</v>
      </c>
      <c r="C29" s="37">
        <v>620</v>
      </c>
      <c r="D29" s="10"/>
      <c r="E29" s="3">
        <f t="shared" si="0"/>
        <v>185947.81</v>
      </c>
      <c r="F29" s="37"/>
      <c r="H29" s="2"/>
      <c r="I29" s="6"/>
      <c r="J29" s="3"/>
      <c r="K29" s="3"/>
      <c r="L29" s="3">
        <f t="shared" si="2"/>
        <v>1020</v>
      </c>
      <c r="M29" s="60"/>
      <c r="O29" s="323" t="s">
        <v>1434</v>
      </c>
      <c r="P29" s="23">
        <v>765</v>
      </c>
    </row>
    <row r="30" spans="1:16">
      <c r="A30" s="63">
        <v>44590</v>
      </c>
      <c r="B30" s="6" t="s">
        <v>1414</v>
      </c>
      <c r="C30" s="60">
        <v>890</v>
      </c>
      <c r="D30" s="3"/>
      <c r="E30" s="3">
        <f t="shared" si="0"/>
        <v>185057.81</v>
      </c>
      <c r="F30" s="59"/>
      <c r="H30" s="2"/>
      <c r="I30" s="1"/>
      <c r="J30" s="3"/>
      <c r="K30" s="3"/>
      <c r="L30" s="3">
        <f t="shared" si="2"/>
        <v>1020</v>
      </c>
      <c r="M30" s="194"/>
      <c r="N30" s="41"/>
      <c r="O30" s="323" t="s">
        <v>1434</v>
      </c>
      <c r="P30" s="23">
        <v>630</v>
      </c>
    </row>
    <row r="31" spans="1:16">
      <c r="A31" s="63">
        <v>44590</v>
      </c>
      <c r="B31" s="59" t="s">
        <v>1415</v>
      </c>
      <c r="C31" s="60">
        <v>2000</v>
      </c>
      <c r="D31" s="3"/>
      <c r="E31" s="3">
        <f t="shared" si="0"/>
        <v>183057.81</v>
      </c>
      <c r="F31" s="60">
        <f>3350/2</f>
        <v>1675</v>
      </c>
      <c r="H31" s="2"/>
      <c r="I31" s="1"/>
      <c r="J31" s="3"/>
      <c r="K31" s="3"/>
      <c r="L31" s="3">
        <f t="shared" si="2"/>
        <v>1020</v>
      </c>
      <c r="M31" s="60"/>
      <c r="O31" s="308" t="s">
        <v>1435</v>
      </c>
      <c r="P31" s="23">
        <f>-SUM(F16:F31)-'02-22'!F8-'02-22'!F13</f>
        <v>-4767.375</v>
      </c>
    </row>
    <row r="32" spans="1:16">
      <c r="A32" s="63">
        <v>44592</v>
      </c>
      <c r="B32" s="36" t="s">
        <v>1416</v>
      </c>
      <c r="C32" s="37"/>
      <c r="D32" s="10">
        <v>771.18</v>
      </c>
      <c r="E32" s="3">
        <f t="shared" si="0"/>
        <v>183828.99</v>
      </c>
      <c r="F32" s="37"/>
      <c r="H32" s="208"/>
      <c r="I32" s="202"/>
      <c r="J32" s="3"/>
      <c r="K32" s="3"/>
      <c r="L32" s="3">
        <f t="shared" si="2"/>
        <v>1020</v>
      </c>
      <c r="M32" s="76"/>
      <c r="O32" s="318" t="s">
        <v>1438</v>
      </c>
      <c r="P32" s="23">
        <v>-445</v>
      </c>
    </row>
    <row r="33" spans="1:20">
      <c r="A33" s="11"/>
      <c r="B33" s="12"/>
      <c r="C33" s="13"/>
      <c r="D33" s="13"/>
      <c r="E33" s="13">
        <f t="shared" si="0"/>
        <v>183828.99</v>
      </c>
      <c r="F33" s="215"/>
      <c r="H33" s="2"/>
      <c r="I33" s="1"/>
      <c r="J33" s="3"/>
      <c r="K33" s="3"/>
      <c r="L33" s="3">
        <f t="shared" si="2"/>
        <v>1020</v>
      </c>
      <c r="M33" s="60"/>
      <c r="O33" s="318" t="s">
        <v>1440</v>
      </c>
      <c r="P33" s="23">
        <v>-1000</v>
      </c>
    </row>
    <row r="34" spans="1:20">
      <c r="A34" s="11"/>
      <c r="B34" s="12"/>
      <c r="C34" s="13"/>
      <c r="D34" s="13"/>
      <c r="E34" s="13">
        <f t="shared" si="0"/>
        <v>183828.99</v>
      </c>
      <c r="F34" s="215"/>
      <c r="H34" s="2"/>
      <c r="I34" s="1"/>
      <c r="J34" s="3"/>
      <c r="K34" s="3"/>
      <c r="L34" s="3">
        <f t="shared" si="2"/>
        <v>1020</v>
      </c>
      <c r="M34" s="60"/>
      <c r="O34" s="67" t="s">
        <v>1441</v>
      </c>
      <c r="P34" s="67">
        <v>495</v>
      </c>
    </row>
    <row r="35" spans="1:20">
      <c r="A35" s="2"/>
      <c r="B35" s="6"/>
      <c r="C35" s="3"/>
      <c r="D35" s="3"/>
      <c r="E35" s="3">
        <f t="shared" si="0"/>
        <v>183828.99</v>
      </c>
      <c r="F35" s="76"/>
      <c r="H35" s="2"/>
      <c r="I35" s="1"/>
      <c r="J35" s="3"/>
      <c r="K35" s="3"/>
      <c r="L35" s="3">
        <f t="shared" si="2"/>
        <v>1020</v>
      </c>
      <c r="M35" s="76"/>
      <c r="O35" s="4" t="s">
        <v>1442</v>
      </c>
      <c r="P35" s="4">
        <v>300</v>
      </c>
    </row>
    <row r="36" spans="1:20">
      <c r="A36" s="2"/>
      <c r="B36" s="59"/>
      <c r="C36" s="3"/>
      <c r="D36" s="3"/>
      <c r="E36" s="3">
        <f t="shared" si="0"/>
        <v>183828.99</v>
      </c>
      <c r="F36" s="59"/>
      <c r="H36" s="2"/>
      <c r="I36" s="1"/>
      <c r="J36" s="3"/>
      <c r="K36" s="3"/>
      <c r="L36" s="3">
        <f t="shared" si="2"/>
        <v>1020</v>
      </c>
      <c r="M36" s="76"/>
      <c r="O36" s="4" t="s">
        <v>1443</v>
      </c>
      <c r="P36" s="4">
        <v>720</v>
      </c>
    </row>
    <row r="37" spans="1:20">
      <c r="A37" s="2"/>
      <c r="B37" s="1"/>
      <c r="C37" s="3"/>
      <c r="D37" s="3"/>
      <c r="E37" s="3">
        <f t="shared" si="0"/>
        <v>183828.99</v>
      </c>
      <c r="F37" s="59"/>
      <c r="H37" s="114"/>
      <c r="I37" s="6"/>
      <c r="J37" s="3"/>
      <c r="K37" s="3"/>
      <c r="L37" s="3">
        <f t="shared" si="2"/>
        <v>1020</v>
      </c>
      <c r="M37" s="76"/>
      <c r="N37" s="57"/>
      <c r="O37" s="4" t="s">
        <v>1444</v>
      </c>
      <c r="P37" s="4">
        <v>1420</v>
      </c>
    </row>
    <row r="38" spans="1:20">
      <c r="A38" s="2"/>
      <c r="B38" s="1"/>
      <c r="C38" s="3"/>
      <c r="D38" s="3"/>
      <c r="E38" s="3">
        <f t="shared" si="0"/>
        <v>183828.99</v>
      </c>
      <c r="F38" s="60"/>
      <c r="G38" s="195"/>
      <c r="H38" s="114"/>
      <c r="I38" s="6"/>
      <c r="J38" s="10"/>
      <c r="K38" s="3"/>
      <c r="L38" s="3">
        <f t="shared" si="2"/>
        <v>1020</v>
      </c>
      <c r="M38" s="76"/>
      <c r="O38" s="4" t="s">
        <v>1445</v>
      </c>
      <c r="P38" s="4">
        <v>570</v>
      </c>
    </row>
    <row r="39" spans="1:20">
      <c r="A39" s="2"/>
      <c r="B39" s="1"/>
      <c r="C39" s="3"/>
      <c r="D39" s="3"/>
      <c r="E39" s="3">
        <f t="shared" si="0"/>
        <v>183828.99</v>
      </c>
      <c r="F39" s="217"/>
      <c r="G39" s="195"/>
      <c r="H39" s="114"/>
      <c r="I39" s="59"/>
      <c r="J39" s="60"/>
      <c r="K39" s="60"/>
      <c r="L39" s="3">
        <f t="shared" si="2"/>
        <v>1020</v>
      </c>
      <c r="M39" s="76"/>
      <c r="O39" s="4" t="s">
        <v>691</v>
      </c>
      <c r="P39" s="4">
        <v>11787.5</v>
      </c>
    </row>
    <row r="40" spans="1:20">
      <c r="A40" s="2"/>
      <c r="B40" s="1"/>
      <c r="C40" s="3"/>
      <c r="D40" s="3"/>
      <c r="E40" s="3">
        <f t="shared" si="0"/>
        <v>183828.99</v>
      </c>
      <c r="F40" s="217"/>
      <c r="G40" s="195"/>
      <c r="H40" s="2"/>
      <c r="I40" s="1"/>
      <c r="J40" s="3"/>
      <c r="K40" s="3"/>
      <c r="L40" s="3">
        <f t="shared" si="2"/>
        <v>1020</v>
      </c>
      <c r="M40" s="64"/>
      <c r="O40" s="4" t="s">
        <v>1448</v>
      </c>
      <c r="P40" s="4">
        <v>-656</v>
      </c>
    </row>
    <row r="41" spans="1:20">
      <c r="A41" s="2"/>
      <c r="B41" s="1"/>
      <c r="C41" s="3"/>
      <c r="D41" s="3"/>
      <c r="E41" s="3">
        <f t="shared" si="0"/>
        <v>183828.99</v>
      </c>
      <c r="F41" s="217"/>
      <c r="G41" s="195"/>
      <c r="H41" s="2"/>
      <c r="I41" s="1"/>
      <c r="J41" s="3"/>
      <c r="K41" s="3"/>
      <c r="L41" s="3">
        <f t="shared" si="2"/>
        <v>1020</v>
      </c>
      <c r="M41" s="126"/>
      <c r="N41" s="57"/>
      <c r="O41" s="338" t="s">
        <v>1447</v>
      </c>
      <c r="P41" s="338">
        <f>SUM(P13:P40)</f>
        <v>8075.7249999999985</v>
      </c>
      <c r="Q41" s="259" t="s">
        <v>1449</v>
      </c>
      <c r="R41" s="259"/>
      <c r="S41" s="259"/>
      <c r="T41" s="259"/>
    </row>
    <row r="42" spans="1:20">
      <c r="A42" s="2"/>
      <c r="B42" s="1"/>
      <c r="C42" s="3"/>
      <c r="D42" s="3"/>
      <c r="E42" s="3">
        <f t="shared" si="0"/>
        <v>183828.99</v>
      </c>
      <c r="F42" s="217"/>
      <c r="G42" s="195"/>
      <c r="H42" s="2"/>
      <c r="I42" s="1"/>
      <c r="J42" s="3"/>
      <c r="K42" s="3"/>
      <c r="L42" s="3">
        <f t="shared" si="2"/>
        <v>1020</v>
      </c>
      <c r="M42" s="127"/>
    </row>
    <row r="43" spans="1:20">
      <c r="A43" s="2"/>
      <c r="B43" s="216"/>
      <c r="C43" s="217"/>
      <c r="D43" s="3"/>
      <c r="E43" s="3">
        <f t="shared" si="0"/>
        <v>183828.99</v>
      </c>
      <c r="F43" s="217"/>
      <c r="H43" s="2"/>
      <c r="I43" s="6"/>
      <c r="J43" s="3"/>
      <c r="K43" s="3"/>
      <c r="L43" s="3">
        <f t="shared" si="2"/>
        <v>1020</v>
      </c>
      <c r="M43" s="44"/>
    </row>
    <row r="44" spans="1:20">
      <c r="A44" s="2"/>
      <c r="B44" s="1"/>
      <c r="C44" s="3"/>
      <c r="D44" s="3"/>
      <c r="E44" s="3">
        <f t="shared" si="0"/>
        <v>183828.99</v>
      </c>
      <c r="F44" s="59"/>
      <c r="G44" s="92"/>
      <c r="H44" s="2"/>
      <c r="I44" s="6"/>
      <c r="J44" s="3"/>
      <c r="K44" s="3"/>
      <c r="L44" s="3">
        <f t="shared" si="2"/>
        <v>1020</v>
      </c>
      <c r="M44" s="76"/>
    </row>
    <row r="45" spans="1:20">
      <c r="A45" s="2"/>
      <c r="B45" s="1"/>
      <c r="C45" s="3"/>
      <c r="D45" s="3"/>
      <c r="E45" s="3">
        <f t="shared" si="0"/>
        <v>183828.99</v>
      </c>
      <c r="F45" s="60"/>
      <c r="G45" s="92"/>
      <c r="H45" s="2"/>
      <c r="I45" s="1"/>
      <c r="J45" s="3"/>
      <c r="K45" s="3"/>
      <c r="L45" s="3">
        <f t="shared" si="2"/>
        <v>1020</v>
      </c>
      <c r="M45" s="1"/>
    </row>
    <row r="46" spans="1:20">
      <c r="A46" s="2"/>
      <c r="B46" s="1"/>
      <c r="C46" s="3"/>
      <c r="D46" s="3"/>
      <c r="E46" s="3">
        <f t="shared" si="0"/>
        <v>183828.99</v>
      </c>
      <c r="F46" s="96"/>
      <c r="G46" s="92"/>
      <c r="H46" s="2"/>
      <c r="I46" s="1"/>
      <c r="J46" s="3"/>
      <c r="K46" s="3"/>
      <c r="L46" s="3">
        <f t="shared" si="2"/>
        <v>1020</v>
      </c>
      <c r="M46" s="1"/>
    </row>
    <row r="47" spans="1:20">
      <c r="A47" s="2"/>
      <c r="B47" s="1"/>
      <c r="C47" s="3"/>
      <c r="D47" s="3"/>
      <c r="E47" s="3">
        <f t="shared" ref="E47:E59" si="3">+E46-C47+D47</f>
        <v>183828.99</v>
      </c>
      <c r="F47" s="96"/>
      <c r="H47" s="2"/>
      <c r="I47" s="1"/>
      <c r="J47" s="3"/>
      <c r="K47" s="3"/>
      <c r="L47" s="3">
        <f t="shared" si="2"/>
        <v>1020</v>
      </c>
      <c r="M47" s="64"/>
      <c r="N47" s="83"/>
    </row>
    <row r="48" spans="1:20">
      <c r="A48" s="2"/>
      <c r="B48" s="1"/>
      <c r="C48" s="3"/>
      <c r="D48" s="3"/>
      <c r="E48" s="3">
        <f t="shared" si="3"/>
        <v>183828.99</v>
      </c>
      <c r="F48" s="3"/>
      <c r="H48" s="2"/>
      <c r="I48" s="1"/>
      <c r="J48" s="3"/>
      <c r="K48" s="3"/>
      <c r="L48" s="3">
        <f t="shared" si="2"/>
        <v>1020</v>
      </c>
      <c r="M48" s="1"/>
    </row>
    <row r="49" spans="1:14">
      <c r="A49" s="1"/>
      <c r="B49" s="1"/>
      <c r="C49" s="3"/>
      <c r="D49" s="3"/>
      <c r="E49" s="3">
        <f t="shared" si="3"/>
        <v>183828.99</v>
      </c>
      <c r="F49" s="5"/>
      <c r="H49" s="2"/>
      <c r="I49" s="1"/>
      <c r="J49" s="3"/>
      <c r="K49" s="3"/>
      <c r="L49" s="3">
        <f t="shared" si="2"/>
        <v>1020</v>
      </c>
      <c r="M49" s="44"/>
    </row>
    <row r="50" spans="1:14">
      <c r="A50" s="1"/>
      <c r="B50" s="1"/>
      <c r="C50" s="3"/>
      <c r="D50" s="3"/>
      <c r="E50" s="3">
        <f t="shared" si="3"/>
        <v>183828.99</v>
      </c>
      <c r="F50" s="1"/>
      <c r="H50" s="2"/>
      <c r="I50" s="1"/>
      <c r="J50" s="3"/>
      <c r="K50" s="3"/>
      <c r="L50" s="3">
        <f t="shared" si="2"/>
        <v>1020</v>
      </c>
      <c r="M50" s="1"/>
    </row>
    <row r="51" spans="1:14">
      <c r="A51" s="1"/>
      <c r="B51" s="1"/>
      <c r="C51" s="3"/>
      <c r="D51" s="3"/>
      <c r="E51" s="3">
        <f t="shared" si="3"/>
        <v>183828.99</v>
      </c>
      <c r="F51" s="1"/>
      <c r="H51" s="2"/>
      <c r="I51" s="1"/>
      <c r="J51" s="3"/>
      <c r="K51" s="3"/>
      <c r="L51" s="3">
        <f t="shared" si="2"/>
        <v>1020</v>
      </c>
      <c r="M51" s="1"/>
    </row>
    <row r="52" spans="1:14">
      <c r="A52" s="1"/>
      <c r="B52" s="1"/>
      <c r="C52" s="3"/>
      <c r="D52" s="3"/>
      <c r="E52" s="3">
        <f t="shared" si="3"/>
        <v>183828.99</v>
      </c>
      <c r="F52" s="1"/>
      <c r="H52" s="2"/>
      <c r="I52" s="6"/>
      <c r="J52" s="3"/>
      <c r="K52" s="3"/>
      <c r="L52" s="3">
        <f t="shared" si="2"/>
        <v>1020</v>
      </c>
      <c r="M52" s="44"/>
    </row>
    <row r="53" spans="1:14">
      <c r="A53" s="1"/>
      <c r="B53" s="1"/>
      <c r="C53" s="3"/>
      <c r="D53" s="3"/>
      <c r="E53" s="3">
        <f t="shared" si="3"/>
        <v>183828.99</v>
      </c>
      <c r="F53" s="1"/>
      <c r="H53" s="2"/>
      <c r="I53" s="1"/>
      <c r="J53" s="3"/>
      <c r="K53" s="3"/>
      <c r="L53" s="3">
        <f t="shared" si="2"/>
        <v>1020</v>
      </c>
      <c r="M53" s="1"/>
      <c r="N53" s="41"/>
    </row>
    <row r="54" spans="1:14">
      <c r="E54" s="3">
        <f t="shared" si="3"/>
        <v>183828.99</v>
      </c>
      <c r="H54" s="2"/>
      <c r="I54" s="1"/>
      <c r="J54" s="3"/>
      <c r="K54" s="3"/>
      <c r="L54" s="3">
        <f t="shared" si="2"/>
        <v>1020</v>
      </c>
      <c r="M54" s="1"/>
    </row>
    <row r="55" spans="1:14">
      <c r="E55" s="3">
        <f t="shared" si="3"/>
        <v>183828.99</v>
      </c>
      <c r="H55" s="2"/>
      <c r="I55" s="1"/>
      <c r="J55" s="3"/>
      <c r="K55" s="3"/>
      <c r="L55" s="3">
        <f t="shared" si="2"/>
        <v>1020</v>
      </c>
      <c r="M55" s="1"/>
    </row>
    <row r="56" spans="1:14">
      <c r="E56" s="3">
        <f t="shared" si="3"/>
        <v>183828.99</v>
      </c>
      <c r="H56" s="2"/>
      <c r="I56" s="1"/>
      <c r="J56" s="3"/>
      <c r="K56" s="3"/>
      <c r="L56" s="3">
        <f t="shared" si="2"/>
        <v>1020</v>
      </c>
      <c r="M56" s="1"/>
    </row>
    <row r="57" spans="1:14">
      <c r="E57" s="3">
        <f t="shared" si="3"/>
        <v>183828.99</v>
      </c>
      <c r="H57" s="2"/>
      <c r="I57" s="1"/>
      <c r="J57" s="3"/>
      <c r="K57" s="3"/>
      <c r="L57" s="3">
        <f t="shared" si="2"/>
        <v>1020</v>
      </c>
      <c r="M57" s="1"/>
    </row>
    <row r="58" spans="1:14">
      <c r="E58" s="3">
        <f t="shared" si="3"/>
        <v>183828.99</v>
      </c>
      <c r="H58" s="2"/>
      <c r="I58" s="1"/>
      <c r="J58" s="3"/>
      <c r="K58" s="3"/>
      <c r="L58" s="3">
        <f t="shared" si="2"/>
        <v>1020</v>
      </c>
      <c r="M58" s="64"/>
    </row>
    <row r="59" spans="1:14">
      <c r="E59" s="3">
        <f t="shared" si="3"/>
        <v>183828.99</v>
      </c>
      <c r="H59" s="1"/>
      <c r="I59" s="1"/>
      <c r="J59" s="3"/>
      <c r="K59" s="3"/>
      <c r="L59" s="3">
        <f t="shared" si="2"/>
        <v>1020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52C5-79DE-9B4A-B18E-31E967DA1870}">
  <dimension ref="A1:S1048576"/>
  <sheetViews>
    <sheetView showGridLines="0" workbookViewId="0">
      <selection activeCell="Q22" sqref="Q22"/>
    </sheetView>
  </sheetViews>
  <sheetFormatPr baseColWidth="10" defaultRowHeight="16"/>
  <cols>
    <col min="1" max="1" width="7.33203125" bestFit="1" customWidth="1"/>
    <col min="2" max="2" width="27.33203125" bestFit="1" customWidth="1"/>
    <col min="3" max="3" width="12.5" style="4" bestFit="1" customWidth="1"/>
    <col min="4" max="4" width="12.33203125" style="4" customWidth="1"/>
    <col min="5" max="5" width="13" customWidth="1"/>
    <col min="6" max="6" width="10.1640625" customWidth="1"/>
    <col min="7" max="7" width="13.6640625" customWidth="1"/>
    <col min="8" max="8" width="7.33203125" bestFit="1" customWidth="1"/>
    <col min="9" max="9" width="22.83203125" customWidth="1"/>
    <col min="10" max="11" width="12.5" bestFit="1" customWidth="1"/>
    <col min="12" max="12" width="12" bestFit="1" customWidth="1"/>
    <col min="13" max="13" width="12.83203125" customWidth="1"/>
    <col min="14" max="14" width="7.33203125" customWidth="1"/>
    <col min="15" max="15" width="18.1640625" style="4" customWidth="1"/>
    <col min="16" max="16" width="12.5" style="4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331"/>
      <c r="P2" s="67"/>
      <c r="Q2" s="66"/>
    </row>
    <row r="3" spans="1:19">
      <c r="A3" s="2"/>
      <c r="B3" s="1" t="s">
        <v>4</v>
      </c>
      <c r="C3" s="283"/>
      <c r="D3" s="283"/>
      <c r="E3" s="3">
        <v>183828.99</v>
      </c>
      <c r="F3" s="34"/>
      <c r="G3" s="271" t="s">
        <v>170</v>
      </c>
      <c r="H3" s="2">
        <v>44640</v>
      </c>
      <c r="I3" s="282" t="s">
        <v>1407</v>
      </c>
      <c r="J3" s="287"/>
      <c r="K3" s="287"/>
      <c r="L3" s="3">
        <v>1720</v>
      </c>
      <c r="M3" s="37"/>
      <c r="O3" s="321"/>
      <c r="P3" s="67"/>
      <c r="Q3" s="21"/>
      <c r="R3" s="21"/>
      <c r="S3" s="21"/>
    </row>
    <row r="4" spans="1:19">
      <c r="A4" s="2">
        <v>44594</v>
      </c>
      <c r="B4" s="1" t="s">
        <v>174</v>
      </c>
      <c r="C4" s="3">
        <v>5000</v>
      </c>
      <c r="D4" s="3"/>
      <c r="E4" s="3">
        <f>+E3-C4+D4</f>
        <v>178828.99</v>
      </c>
      <c r="F4" s="44"/>
      <c r="G4" s="56">
        <f>+E57+L30</f>
        <v>114094.35999999997</v>
      </c>
      <c r="H4" s="2"/>
      <c r="I4" s="1"/>
      <c r="J4" s="3"/>
      <c r="K4" s="3"/>
      <c r="L4" s="3">
        <f>+L3+K4-J4</f>
        <v>1720</v>
      </c>
      <c r="M4" s="95"/>
      <c r="O4" s="317"/>
      <c r="P4" s="318"/>
      <c r="Q4" s="21"/>
      <c r="R4" s="21"/>
      <c r="S4" s="21"/>
    </row>
    <row r="5" spans="1:19">
      <c r="A5" s="2">
        <v>44595</v>
      </c>
      <c r="B5" s="1" t="s">
        <v>1420</v>
      </c>
      <c r="C5" s="60">
        <f>14370-4890</f>
        <v>9480</v>
      </c>
      <c r="D5" s="3"/>
      <c r="E5" s="3">
        <f t="shared" ref="E5:E59" si="0">+E4-C5+D5</f>
        <v>169348.99</v>
      </c>
      <c r="F5" s="60"/>
      <c r="G5" s="41"/>
      <c r="H5" s="2"/>
      <c r="I5" s="284"/>
      <c r="J5" s="3"/>
      <c r="K5" s="3"/>
      <c r="L5" s="3">
        <f t="shared" ref="L5:L25" si="1">+L4+K5-J5</f>
        <v>1720</v>
      </c>
      <c r="M5" s="96"/>
      <c r="O5" s="67"/>
      <c r="P5" s="67"/>
      <c r="Q5" s="21"/>
      <c r="R5" s="21"/>
      <c r="S5" s="21"/>
    </row>
    <row r="6" spans="1:19">
      <c r="A6" s="2">
        <v>44597</v>
      </c>
      <c r="B6" s="59" t="s">
        <v>1419</v>
      </c>
      <c r="C6" s="60"/>
      <c r="D6" s="3">
        <v>35000</v>
      </c>
      <c r="E6" s="3">
        <f t="shared" si="0"/>
        <v>204348.99</v>
      </c>
      <c r="F6" s="59"/>
      <c r="G6" s="189"/>
      <c r="H6" s="2"/>
      <c r="I6" s="285"/>
      <c r="J6" s="243"/>
      <c r="K6" s="243"/>
      <c r="L6" s="3">
        <f t="shared" si="1"/>
        <v>1720</v>
      </c>
      <c r="M6" s="96"/>
      <c r="O6" s="319"/>
      <c r="P6" s="318"/>
      <c r="Q6" s="21"/>
      <c r="R6" s="21"/>
      <c r="S6" s="21"/>
    </row>
    <row r="7" spans="1:19">
      <c r="A7" s="2">
        <v>44594</v>
      </c>
      <c r="B7" s="59" t="s">
        <v>1422</v>
      </c>
      <c r="C7" s="60">
        <v>15000</v>
      </c>
      <c r="D7" s="3"/>
      <c r="E7" s="3">
        <f t="shared" si="0"/>
        <v>189348.99</v>
      </c>
      <c r="F7" s="60"/>
      <c r="G7" s="190"/>
      <c r="H7" s="2"/>
      <c r="I7" s="286"/>
      <c r="J7" s="60"/>
      <c r="K7" s="3"/>
      <c r="L7" s="3">
        <f t="shared" si="1"/>
        <v>1720</v>
      </c>
      <c r="M7" s="60"/>
      <c r="O7" s="334" t="s">
        <v>1437</v>
      </c>
      <c r="P7" s="335"/>
      <c r="Q7" s="66"/>
      <c r="R7" s="21"/>
      <c r="S7" s="21"/>
    </row>
    <row r="8" spans="1:19">
      <c r="A8" s="2">
        <v>44594</v>
      </c>
      <c r="B8" s="59" t="s">
        <v>1421</v>
      </c>
      <c r="C8" s="60">
        <f>16376.75-C7</f>
        <v>1376.75</v>
      </c>
      <c r="D8" s="3"/>
      <c r="E8" s="3">
        <f t="shared" si="0"/>
        <v>187972.24</v>
      </c>
      <c r="F8" s="197">
        <f>+C8/2</f>
        <v>688.375</v>
      </c>
      <c r="G8" s="189"/>
      <c r="H8" s="2"/>
      <c r="I8" s="282"/>
      <c r="J8" s="287"/>
      <c r="K8" s="287"/>
      <c r="L8" s="3">
        <f t="shared" si="1"/>
        <v>1720</v>
      </c>
      <c r="M8" s="96"/>
      <c r="O8" s="156" t="s">
        <v>1436</v>
      </c>
      <c r="P8" s="336">
        <v>2100</v>
      </c>
      <c r="Q8" s="21"/>
      <c r="R8" s="21"/>
      <c r="S8" s="21"/>
    </row>
    <row r="9" spans="1:19">
      <c r="A9" s="58">
        <v>44596</v>
      </c>
      <c r="B9" s="59" t="s">
        <v>1423</v>
      </c>
      <c r="C9" s="60">
        <v>2480</v>
      </c>
      <c r="D9" s="3"/>
      <c r="E9" s="3">
        <f t="shared" si="0"/>
        <v>185492.24</v>
      </c>
      <c r="F9" s="59"/>
      <c r="H9" s="2"/>
      <c r="I9" s="98"/>
      <c r="J9" s="3"/>
      <c r="K9" s="3"/>
      <c r="L9" s="3">
        <f t="shared" si="1"/>
        <v>1720</v>
      </c>
      <c r="M9" s="96"/>
      <c r="O9" s="156" t="s">
        <v>1474</v>
      </c>
      <c r="P9" s="337">
        <f>13500-2375</f>
        <v>11125</v>
      </c>
      <c r="Q9" s="21"/>
      <c r="R9" s="21"/>
      <c r="S9" s="21"/>
    </row>
    <row r="10" spans="1:19">
      <c r="A10" s="58">
        <v>44596</v>
      </c>
      <c r="B10" s="59" t="s">
        <v>101</v>
      </c>
      <c r="C10" s="60">
        <v>3000</v>
      </c>
      <c r="D10" s="3"/>
      <c r="E10" s="3">
        <f t="shared" si="0"/>
        <v>182492.24</v>
      </c>
      <c r="F10" s="60"/>
      <c r="G10" s="307"/>
      <c r="H10" s="2"/>
      <c r="I10" s="286"/>
      <c r="J10" s="60"/>
      <c r="K10" s="3"/>
      <c r="L10" s="3">
        <f t="shared" si="1"/>
        <v>1720</v>
      </c>
      <c r="M10" s="96"/>
      <c r="N10" s="57"/>
      <c r="O10" s="156" t="s">
        <v>1475</v>
      </c>
      <c r="P10" s="336">
        <f>3832+1043+3353+1690+1490</f>
        <v>11408</v>
      </c>
      <c r="Q10" s="21"/>
      <c r="R10" s="21"/>
      <c r="S10" s="21"/>
    </row>
    <row r="11" spans="1:19">
      <c r="A11" s="58">
        <v>44596</v>
      </c>
      <c r="B11" s="59" t="s">
        <v>1422</v>
      </c>
      <c r="C11" s="60">
        <v>15000</v>
      </c>
      <c r="D11" s="3"/>
      <c r="E11" s="3">
        <f t="shared" si="0"/>
        <v>167492.24</v>
      </c>
      <c r="F11" s="60"/>
      <c r="G11" s="308"/>
      <c r="H11" s="2"/>
      <c r="I11" s="286"/>
      <c r="J11" s="76"/>
      <c r="K11" s="3"/>
      <c r="L11" s="3">
        <f t="shared" si="1"/>
        <v>1720</v>
      </c>
      <c r="M11" s="96"/>
      <c r="N11" s="57"/>
      <c r="O11" s="340">
        <v>44593</v>
      </c>
      <c r="P11" s="341">
        <f>+SUM(P8:P10)/3</f>
        <v>8211</v>
      </c>
      <c r="Q11" s="342" t="s">
        <v>1548</v>
      </c>
      <c r="R11" s="21"/>
      <c r="S11" s="21"/>
    </row>
    <row r="12" spans="1:19">
      <c r="A12" s="2">
        <v>44599</v>
      </c>
      <c r="B12" s="59" t="s">
        <v>1424</v>
      </c>
      <c r="C12" s="60">
        <v>2610</v>
      </c>
      <c r="D12" s="3"/>
      <c r="E12" s="3">
        <f t="shared" si="0"/>
        <v>164882.23999999999</v>
      </c>
      <c r="F12" s="198"/>
      <c r="H12" s="2"/>
      <c r="I12" s="286"/>
      <c r="J12" s="76"/>
      <c r="K12" s="3"/>
      <c r="L12" s="3">
        <f t="shared" si="1"/>
        <v>1720</v>
      </c>
      <c r="M12" s="148"/>
      <c r="N12" s="57"/>
      <c r="O12" s="340">
        <v>44621</v>
      </c>
      <c r="P12" s="341">
        <f>+P11</f>
        <v>8211</v>
      </c>
      <c r="Q12" s="342" t="s">
        <v>1548</v>
      </c>
      <c r="R12" s="21"/>
      <c r="S12" s="21"/>
    </row>
    <row r="13" spans="1:19">
      <c r="A13" s="2">
        <v>44599</v>
      </c>
      <c r="B13" s="59" t="s">
        <v>1425</v>
      </c>
      <c r="C13" s="60">
        <v>4228</v>
      </c>
      <c r="D13" s="3"/>
      <c r="E13" s="3">
        <f t="shared" si="0"/>
        <v>160654.24</v>
      </c>
      <c r="F13" s="60">
        <f>+(C13-500)/2</f>
        <v>1864</v>
      </c>
      <c r="G13" s="57"/>
      <c r="H13" s="2"/>
      <c r="I13" s="286"/>
      <c r="J13" s="3"/>
      <c r="K13" s="3"/>
      <c r="L13" s="3">
        <f t="shared" si="1"/>
        <v>1720</v>
      </c>
      <c r="M13" s="64"/>
      <c r="O13" s="356">
        <v>44652</v>
      </c>
      <c r="P13" s="357">
        <f>+P12</f>
        <v>8211</v>
      </c>
      <c r="Q13" s="342" t="s">
        <v>1549</v>
      </c>
      <c r="R13" s="21"/>
      <c r="S13" s="21"/>
    </row>
    <row r="14" spans="1:19" ht="19">
      <c r="A14" s="2">
        <v>44598</v>
      </c>
      <c r="B14" s="59" t="s">
        <v>1417</v>
      </c>
      <c r="C14" s="60">
        <v>4500</v>
      </c>
      <c r="D14" s="3"/>
      <c r="E14" s="3">
        <f t="shared" si="0"/>
        <v>156154.23999999999</v>
      </c>
      <c r="F14" s="60"/>
      <c r="G14" s="330"/>
      <c r="H14" s="2"/>
      <c r="I14" s="1"/>
      <c r="J14" s="3"/>
      <c r="K14" s="3"/>
      <c r="L14" s="3">
        <f t="shared" si="1"/>
        <v>1720</v>
      </c>
      <c r="M14" s="96"/>
      <c r="O14" s="322"/>
      <c r="P14" s="155"/>
      <c r="Q14" s="21"/>
      <c r="R14" s="21"/>
      <c r="S14" s="21"/>
    </row>
    <row r="15" spans="1:19">
      <c r="A15" s="2">
        <v>44598</v>
      </c>
      <c r="B15" s="59" t="s">
        <v>1418</v>
      </c>
      <c r="C15" s="60">
        <v>5000</v>
      </c>
      <c r="D15" s="3"/>
      <c r="E15" s="3">
        <f t="shared" si="0"/>
        <v>151154.23999999999</v>
      </c>
      <c r="F15" s="60"/>
      <c r="H15" s="2"/>
      <c r="I15" s="1"/>
      <c r="J15" s="3"/>
      <c r="K15" s="3"/>
      <c r="L15" s="3">
        <f t="shared" si="1"/>
        <v>1720</v>
      </c>
      <c r="M15" s="96"/>
      <c r="O15" s="323"/>
      <c r="P15" s="155"/>
      <c r="Q15" s="21"/>
      <c r="R15" s="21"/>
      <c r="S15" s="21"/>
    </row>
    <row r="16" spans="1:19">
      <c r="A16" s="2">
        <v>44598</v>
      </c>
      <c r="B16" s="59" t="s">
        <v>1439</v>
      </c>
      <c r="C16" s="60">
        <v>890</v>
      </c>
      <c r="D16" s="60"/>
      <c r="E16" s="3">
        <f t="shared" si="0"/>
        <v>150264.24</v>
      </c>
      <c r="F16" s="60"/>
      <c r="H16" s="2"/>
      <c r="I16" s="1"/>
      <c r="J16" s="3"/>
      <c r="K16" s="3"/>
      <c r="L16" s="3">
        <f t="shared" si="1"/>
        <v>1720</v>
      </c>
      <c r="M16" s="60"/>
      <c r="O16" s="323"/>
      <c r="P16" s="155"/>
      <c r="Q16" s="299"/>
      <c r="R16" s="299"/>
      <c r="S16" s="299"/>
    </row>
    <row r="17" spans="1:16">
      <c r="A17" s="58">
        <v>44599</v>
      </c>
      <c r="B17" s="59" t="s">
        <v>1446</v>
      </c>
      <c r="C17" s="60">
        <v>1312.1</v>
      </c>
      <c r="D17" s="3"/>
      <c r="E17" s="3">
        <f t="shared" si="0"/>
        <v>148952.13999999998</v>
      </c>
      <c r="F17" s="76"/>
      <c r="H17" s="2"/>
      <c r="I17" s="1"/>
      <c r="J17" s="10"/>
      <c r="K17" s="3"/>
      <c r="L17" s="3">
        <f t="shared" si="1"/>
        <v>1720</v>
      </c>
      <c r="M17" s="96"/>
      <c r="O17" s="323"/>
      <c r="P17" s="155"/>
    </row>
    <row r="18" spans="1:16">
      <c r="A18" s="58">
        <v>44602</v>
      </c>
      <c r="B18" s="59" t="s">
        <v>1450</v>
      </c>
      <c r="C18" s="60">
        <v>8000</v>
      </c>
      <c r="D18" s="3"/>
      <c r="E18" s="3">
        <f t="shared" si="0"/>
        <v>140952.13999999998</v>
      </c>
      <c r="F18" s="60"/>
      <c r="H18" s="2"/>
      <c r="I18" s="1"/>
      <c r="J18" s="3"/>
      <c r="K18" s="3"/>
      <c r="L18" s="3">
        <f t="shared" si="1"/>
        <v>1720</v>
      </c>
      <c r="M18" s="60"/>
      <c r="N18" s="57"/>
      <c r="O18" s="323"/>
      <c r="P18" s="155"/>
    </row>
    <row r="19" spans="1:16">
      <c r="A19" s="58">
        <v>44603</v>
      </c>
      <c r="B19" s="59" t="s">
        <v>1451</v>
      </c>
      <c r="C19" s="60">
        <v>20000</v>
      </c>
      <c r="D19" s="159"/>
      <c r="E19" s="3">
        <f t="shared" si="0"/>
        <v>120952.13999999998</v>
      </c>
      <c r="F19" s="76"/>
      <c r="H19" s="2"/>
      <c r="I19" s="1"/>
      <c r="J19" s="3"/>
      <c r="K19" s="3"/>
      <c r="L19" s="3">
        <f t="shared" si="1"/>
        <v>1720</v>
      </c>
      <c r="M19" s="37"/>
      <c r="O19" s="328"/>
      <c r="P19" s="302"/>
    </row>
    <row r="20" spans="1:16">
      <c r="A20" s="58">
        <v>44605</v>
      </c>
      <c r="B20" s="319" t="s">
        <v>1453</v>
      </c>
      <c r="C20" s="60"/>
      <c r="D20" s="3">
        <v>1000</v>
      </c>
      <c r="E20" s="3">
        <f t="shared" si="0"/>
        <v>121952.13999999998</v>
      </c>
      <c r="F20" s="60"/>
      <c r="H20" s="58"/>
      <c r="I20" s="6"/>
      <c r="J20" s="3"/>
      <c r="K20" s="3"/>
      <c r="L20" s="3">
        <f t="shared" si="1"/>
        <v>1720</v>
      </c>
      <c r="M20" s="60"/>
      <c r="O20" s="333"/>
      <c r="P20" s="332"/>
    </row>
    <row r="21" spans="1:16">
      <c r="A21" s="58">
        <v>44605</v>
      </c>
      <c r="B21" s="36" t="s">
        <v>1457</v>
      </c>
      <c r="C21" s="60"/>
      <c r="D21" s="3">
        <v>2550</v>
      </c>
      <c r="E21" s="3">
        <f t="shared" si="0"/>
        <v>124502.13999999998</v>
      </c>
      <c r="F21" s="96"/>
      <c r="H21" s="58"/>
      <c r="I21" s="1"/>
      <c r="J21" s="3"/>
      <c r="K21" s="3"/>
      <c r="L21" s="3">
        <f t="shared" si="1"/>
        <v>1720</v>
      </c>
      <c r="M21" s="60"/>
      <c r="O21" s="333"/>
      <c r="P21" s="333"/>
    </row>
    <row r="22" spans="1:16">
      <c r="A22" s="58">
        <v>44610</v>
      </c>
      <c r="B22" s="59" t="s">
        <v>1241</v>
      </c>
      <c r="C22" s="60">
        <v>1000</v>
      </c>
      <c r="D22" s="60"/>
      <c r="E22" s="3">
        <f t="shared" si="0"/>
        <v>123502.13999999998</v>
      </c>
      <c r="F22" s="60"/>
      <c r="H22" s="58"/>
      <c r="I22" s="1"/>
      <c r="J22" s="60"/>
      <c r="K22" s="3"/>
      <c r="L22" s="3">
        <f t="shared" si="1"/>
        <v>1720</v>
      </c>
      <c r="M22" s="60"/>
      <c r="O22" s="333"/>
      <c r="P22" s="333"/>
    </row>
    <row r="23" spans="1:16">
      <c r="A23" s="2">
        <v>44611</v>
      </c>
      <c r="B23" s="59" t="s">
        <v>1452</v>
      </c>
      <c r="C23" s="60"/>
      <c r="D23" s="3">
        <v>1350</v>
      </c>
      <c r="E23" s="3">
        <f t="shared" si="0"/>
        <v>124852.13999999998</v>
      </c>
      <c r="F23" s="60"/>
      <c r="G23" s="41"/>
      <c r="H23" s="58"/>
      <c r="I23" s="1"/>
      <c r="J23" s="3"/>
      <c r="K23" s="3"/>
      <c r="L23" s="3">
        <f t="shared" si="1"/>
        <v>1720</v>
      </c>
      <c r="M23" s="96"/>
      <c r="N23" s="90"/>
    </row>
    <row r="24" spans="1:16">
      <c r="A24" s="2">
        <v>44604</v>
      </c>
      <c r="B24" s="59" t="s">
        <v>1454</v>
      </c>
      <c r="C24" s="60">
        <v>2190</v>
      </c>
      <c r="D24" s="3"/>
      <c r="E24" s="3">
        <f t="shared" si="0"/>
        <v>122662.13999999998</v>
      </c>
      <c r="F24" s="60"/>
      <c r="H24" s="58"/>
      <c r="I24" s="1"/>
      <c r="J24" s="3"/>
      <c r="K24" s="3"/>
      <c r="L24" s="3">
        <f t="shared" si="1"/>
        <v>1720</v>
      </c>
      <c r="M24" s="76"/>
      <c r="N24" s="57"/>
    </row>
    <row r="25" spans="1:16">
      <c r="A25" s="2">
        <v>44606</v>
      </c>
      <c r="B25" s="59" t="s">
        <v>1455</v>
      </c>
      <c r="C25" s="60">
        <v>812.5</v>
      </c>
      <c r="D25" s="3"/>
      <c r="E25" s="3">
        <f t="shared" si="0"/>
        <v>121849.63999999998</v>
      </c>
      <c r="F25" s="60"/>
      <c r="H25" s="58"/>
      <c r="I25" s="1"/>
      <c r="J25" s="3"/>
      <c r="K25" s="3"/>
      <c r="L25" s="3">
        <f t="shared" si="1"/>
        <v>1720</v>
      </c>
      <c r="M25" s="60"/>
    </row>
    <row r="26" spans="1:16">
      <c r="A26" s="2">
        <v>44606</v>
      </c>
      <c r="B26" s="59" t="s">
        <v>1456</v>
      </c>
      <c r="C26" s="3">
        <v>1720</v>
      </c>
      <c r="D26" s="3"/>
      <c r="E26" s="3">
        <f t="shared" si="0"/>
        <v>120129.63999999998</v>
      </c>
      <c r="F26" s="37">
        <f>+C26/2</f>
        <v>860</v>
      </c>
      <c r="H26" s="58"/>
      <c r="I26" s="1"/>
      <c r="J26" s="60"/>
      <c r="K26" s="3"/>
      <c r="L26" s="3">
        <f t="shared" ref="L26:L59" si="2">+L25-J26+K26</f>
        <v>1720</v>
      </c>
      <c r="M26" s="60"/>
      <c r="O26" s="339"/>
      <c r="P26" s="333"/>
    </row>
    <row r="27" spans="1:16">
      <c r="A27" s="2">
        <v>44608</v>
      </c>
      <c r="B27" s="59" t="s">
        <v>1422</v>
      </c>
      <c r="C27" s="3">
        <v>15000</v>
      </c>
      <c r="D27" s="3"/>
      <c r="E27" s="3">
        <f t="shared" si="0"/>
        <v>105129.63999999998</v>
      </c>
      <c r="F27" s="36"/>
      <c r="H27" s="58"/>
      <c r="I27" s="1"/>
      <c r="J27" s="3"/>
      <c r="K27" s="3"/>
      <c r="L27" s="3">
        <f t="shared" si="2"/>
        <v>1720</v>
      </c>
      <c r="M27" s="76"/>
    </row>
    <row r="28" spans="1:16">
      <c r="A28" s="2">
        <v>44608</v>
      </c>
      <c r="B28" s="6" t="s">
        <v>1421</v>
      </c>
      <c r="C28" s="10">
        <v>2471.4700000000012</v>
      </c>
      <c r="D28" s="10"/>
      <c r="E28" s="3">
        <f t="shared" si="0"/>
        <v>102658.16999999998</v>
      </c>
      <c r="F28" s="37">
        <v>1000</v>
      </c>
      <c r="H28" s="2"/>
      <c r="I28" s="1"/>
      <c r="J28" s="3"/>
      <c r="K28" s="3"/>
      <c r="L28" s="3">
        <f t="shared" si="2"/>
        <v>1720</v>
      </c>
      <c r="M28" s="60"/>
      <c r="O28" s="318"/>
    </row>
    <row r="29" spans="1:16">
      <c r="A29" s="63">
        <v>44610</v>
      </c>
      <c r="B29" s="6" t="s">
        <v>101</v>
      </c>
      <c r="C29" s="37">
        <v>4300.47</v>
      </c>
      <c r="D29" s="10"/>
      <c r="E29" s="3">
        <f t="shared" si="0"/>
        <v>98357.699999999983</v>
      </c>
      <c r="F29" s="37"/>
      <c r="H29" s="2"/>
      <c r="I29" s="6"/>
      <c r="J29" s="3"/>
      <c r="K29" s="3"/>
      <c r="L29" s="3">
        <f t="shared" si="2"/>
        <v>1720</v>
      </c>
      <c r="M29" s="60"/>
      <c r="O29" s="318"/>
    </row>
    <row r="30" spans="1:16">
      <c r="A30" s="63">
        <v>44611</v>
      </c>
      <c r="B30" s="59" t="s">
        <v>1452</v>
      </c>
      <c r="C30" s="60">
        <v>2960</v>
      </c>
      <c r="D30" s="3"/>
      <c r="E30" s="3">
        <f t="shared" si="0"/>
        <v>95397.699999999983</v>
      </c>
      <c r="F30" s="59"/>
      <c r="H30" s="2"/>
      <c r="I30" s="1"/>
      <c r="J30" s="3"/>
      <c r="K30" s="3"/>
      <c r="L30" s="3">
        <f t="shared" si="2"/>
        <v>1720</v>
      </c>
      <c r="M30" s="194"/>
      <c r="N30" s="41"/>
      <c r="O30" s="318"/>
    </row>
    <row r="31" spans="1:16">
      <c r="A31" s="63">
        <v>44612</v>
      </c>
      <c r="B31" s="59" t="s">
        <v>1458</v>
      </c>
      <c r="C31" s="60">
        <v>1839.5</v>
      </c>
      <c r="D31" s="3"/>
      <c r="E31" s="3">
        <f t="shared" si="0"/>
        <v>93558.199999999983</v>
      </c>
      <c r="F31" s="37">
        <v>850</v>
      </c>
      <c r="H31" s="2"/>
      <c r="I31" s="1"/>
      <c r="J31" s="3"/>
      <c r="K31" s="3"/>
      <c r="L31" s="3">
        <f t="shared" si="2"/>
        <v>1720</v>
      </c>
      <c r="M31" s="60"/>
      <c r="O31" s="308"/>
    </row>
    <row r="32" spans="1:16">
      <c r="A32" s="63">
        <v>44613</v>
      </c>
      <c r="B32" s="36" t="s">
        <v>1461</v>
      </c>
      <c r="C32" s="37"/>
      <c r="D32" s="10">
        <v>1200</v>
      </c>
      <c r="E32" s="3">
        <f t="shared" si="0"/>
        <v>94758.199999999983</v>
      </c>
      <c r="F32" s="37"/>
      <c r="H32" s="208"/>
      <c r="I32" s="202"/>
      <c r="J32" s="3"/>
      <c r="K32" s="3"/>
      <c r="L32" s="3">
        <f t="shared" si="2"/>
        <v>1720</v>
      </c>
      <c r="M32" s="76"/>
      <c r="O32" s="318"/>
    </row>
    <row r="33" spans="1:15">
      <c r="A33" s="63">
        <v>44614</v>
      </c>
      <c r="B33" s="6" t="s">
        <v>1328</v>
      </c>
      <c r="C33" s="10"/>
      <c r="D33" s="10">
        <v>0.35</v>
      </c>
      <c r="E33" s="10">
        <f t="shared" si="0"/>
        <v>94758.549999999988</v>
      </c>
      <c r="F33" s="37"/>
      <c r="H33" s="2"/>
      <c r="I33" s="1"/>
      <c r="J33" s="3"/>
      <c r="K33" s="3"/>
      <c r="L33" s="3">
        <f t="shared" si="2"/>
        <v>1720</v>
      </c>
      <c r="M33" s="60"/>
      <c r="O33" s="329"/>
    </row>
    <row r="34" spans="1:15">
      <c r="A34" s="63">
        <v>44614</v>
      </c>
      <c r="B34" s="6" t="s">
        <v>1462</v>
      </c>
      <c r="C34" s="10">
        <v>680</v>
      </c>
      <c r="D34" s="10"/>
      <c r="E34" s="10">
        <f t="shared" si="0"/>
        <v>94078.549999999988</v>
      </c>
      <c r="F34" s="37"/>
      <c r="H34" s="2"/>
      <c r="I34" s="1"/>
      <c r="J34" s="3"/>
      <c r="K34" s="3"/>
      <c r="L34" s="3">
        <f t="shared" si="2"/>
        <v>1720</v>
      </c>
      <c r="M34" s="60"/>
      <c r="O34" s="67"/>
    </row>
    <row r="35" spans="1:15">
      <c r="A35" s="63">
        <v>44614</v>
      </c>
      <c r="B35" s="6" t="s">
        <v>1463</v>
      </c>
      <c r="C35" s="3">
        <v>20000</v>
      </c>
      <c r="D35" s="3"/>
      <c r="E35" s="3">
        <f t="shared" si="0"/>
        <v>74078.549999999988</v>
      </c>
      <c r="F35" s="60"/>
      <c r="H35" s="2"/>
      <c r="I35" s="1"/>
      <c r="J35" s="3"/>
      <c r="K35" s="3"/>
      <c r="L35" s="3">
        <f t="shared" si="2"/>
        <v>1720</v>
      </c>
      <c r="M35" s="76"/>
    </row>
    <row r="36" spans="1:15">
      <c r="A36" s="63">
        <v>44614</v>
      </c>
      <c r="B36" s="59" t="s">
        <v>1464</v>
      </c>
      <c r="C36" s="3">
        <v>10000</v>
      </c>
      <c r="D36" s="3"/>
      <c r="E36" s="3">
        <f t="shared" si="0"/>
        <v>64078.549999999988</v>
      </c>
      <c r="F36" s="59"/>
      <c r="H36" s="2"/>
      <c r="I36" s="1"/>
      <c r="J36" s="3"/>
      <c r="K36" s="3"/>
      <c r="L36" s="3">
        <f t="shared" si="2"/>
        <v>1720</v>
      </c>
      <c r="M36" s="76"/>
    </row>
    <row r="37" spans="1:15">
      <c r="A37" s="63">
        <v>44614</v>
      </c>
      <c r="B37" s="1" t="s">
        <v>1421</v>
      </c>
      <c r="C37" s="3">
        <v>493.66</v>
      </c>
      <c r="D37" s="3"/>
      <c r="E37" s="3">
        <f t="shared" si="0"/>
        <v>63584.889999999985</v>
      </c>
      <c r="F37" s="59"/>
      <c r="H37" s="114"/>
      <c r="I37" s="6"/>
      <c r="J37" s="3"/>
      <c r="K37" s="3"/>
      <c r="L37" s="3">
        <f t="shared" si="2"/>
        <v>1720</v>
      </c>
      <c r="M37" s="76"/>
      <c r="N37" s="57"/>
    </row>
    <row r="38" spans="1:15">
      <c r="A38" s="2">
        <v>44615</v>
      </c>
      <c r="B38" s="1" t="s">
        <v>1465</v>
      </c>
      <c r="C38" s="3">
        <v>1000</v>
      </c>
      <c r="D38" s="3"/>
      <c r="E38" s="3">
        <f t="shared" si="0"/>
        <v>62584.889999999985</v>
      </c>
      <c r="F38" s="37"/>
      <c r="G38" s="195"/>
      <c r="H38" s="114"/>
      <c r="I38" s="6"/>
      <c r="J38" s="10"/>
      <c r="K38" s="3"/>
      <c r="L38" s="3">
        <f t="shared" si="2"/>
        <v>1720</v>
      </c>
      <c r="M38" s="76"/>
    </row>
    <row r="39" spans="1:15">
      <c r="A39" s="2">
        <v>44615</v>
      </c>
      <c r="B39" s="6" t="s">
        <v>1328</v>
      </c>
      <c r="C39" s="3"/>
      <c r="D39" s="3">
        <v>6.65</v>
      </c>
      <c r="E39" s="3">
        <f t="shared" si="0"/>
        <v>62591.539999999986</v>
      </c>
      <c r="F39" s="37"/>
      <c r="G39" s="195"/>
      <c r="H39" s="114"/>
      <c r="I39" s="59"/>
      <c r="J39" s="60"/>
      <c r="K39" s="60"/>
      <c r="L39" s="3">
        <f t="shared" si="2"/>
        <v>1720</v>
      </c>
      <c r="M39" s="76"/>
    </row>
    <row r="40" spans="1:15">
      <c r="A40" s="2">
        <v>44616</v>
      </c>
      <c r="B40" s="1" t="s">
        <v>1466</v>
      </c>
      <c r="C40" s="3">
        <v>20000</v>
      </c>
      <c r="D40" s="3"/>
      <c r="E40" s="3">
        <f t="shared" si="0"/>
        <v>42591.539999999986</v>
      </c>
      <c r="F40" s="37"/>
      <c r="G40" s="195"/>
      <c r="H40" s="2"/>
      <c r="I40" s="1"/>
      <c r="J40" s="3"/>
      <c r="K40" s="3"/>
      <c r="L40" s="3">
        <f t="shared" si="2"/>
        <v>1720</v>
      </c>
      <c r="M40" s="64"/>
    </row>
    <row r="41" spans="1:15">
      <c r="A41" s="2">
        <v>44616</v>
      </c>
      <c r="B41" s="1" t="s">
        <v>1467</v>
      </c>
      <c r="C41" s="3">
        <v>1440</v>
      </c>
      <c r="D41" s="3"/>
      <c r="E41" s="3">
        <f t="shared" si="0"/>
        <v>41151.539999999986</v>
      </c>
      <c r="F41" s="37">
        <v>500</v>
      </c>
      <c r="G41" s="195"/>
      <c r="H41" s="2"/>
      <c r="I41" s="1"/>
      <c r="J41" s="3"/>
      <c r="K41" s="3"/>
      <c r="L41" s="3">
        <f t="shared" si="2"/>
        <v>1720</v>
      </c>
      <c r="M41" s="126"/>
      <c r="N41" s="57"/>
    </row>
    <row r="42" spans="1:15">
      <c r="A42" s="2">
        <v>44616</v>
      </c>
      <c r="B42" s="1" t="s">
        <v>1467</v>
      </c>
      <c r="C42" s="3">
        <v>800</v>
      </c>
      <c r="D42" s="3"/>
      <c r="E42" s="3">
        <f t="shared" si="0"/>
        <v>40351.539999999986</v>
      </c>
      <c r="F42" s="37"/>
      <c r="G42" s="195"/>
      <c r="H42" s="2"/>
      <c r="I42" s="1"/>
      <c r="J42" s="3"/>
      <c r="K42" s="3"/>
      <c r="L42" s="3">
        <f t="shared" si="2"/>
        <v>1720</v>
      </c>
      <c r="M42" s="127"/>
    </row>
    <row r="43" spans="1:15">
      <c r="A43" s="2">
        <v>44616</v>
      </c>
      <c r="B43" s="1" t="s">
        <v>1467</v>
      </c>
      <c r="C43" s="60">
        <v>4620</v>
      </c>
      <c r="D43" s="3"/>
      <c r="E43" s="3">
        <f t="shared" si="0"/>
        <v>35731.539999999986</v>
      </c>
      <c r="F43" s="37">
        <f>+(C43-1000)/2</f>
        <v>1810</v>
      </c>
      <c r="H43" s="2"/>
      <c r="I43" s="6"/>
      <c r="J43" s="3"/>
      <c r="K43" s="3"/>
      <c r="L43" s="3">
        <f t="shared" si="2"/>
        <v>1720</v>
      </c>
      <c r="M43" s="44"/>
    </row>
    <row r="44" spans="1:15">
      <c r="A44" s="2">
        <v>44617</v>
      </c>
      <c r="B44" s="1" t="s">
        <v>1468</v>
      </c>
      <c r="C44" s="3"/>
      <c r="D44" s="3">
        <v>90164</v>
      </c>
      <c r="E44" s="3">
        <f t="shared" si="0"/>
        <v>125895.53999999998</v>
      </c>
      <c r="F44" s="37"/>
      <c r="G44" s="92"/>
      <c r="H44" s="2"/>
      <c r="I44" s="6"/>
      <c r="J44" s="3"/>
      <c r="K44" s="3"/>
      <c r="L44" s="3">
        <f t="shared" si="2"/>
        <v>1720</v>
      </c>
      <c r="M44" s="76"/>
    </row>
    <row r="45" spans="1:15">
      <c r="A45" s="2">
        <v>44617</v>
      </c>
      <c r="B45" s="1" t="s">
        <v>1469</v>
      </c>
      <c r="C45" s="3">
        <v>710.58</v>
      </c>
      <c r="D45" s="3"/>
      <c r="E45" s="3">
        <f t="shared" si="0"/>
        <v>125184.95999999998</v>
      </c>
      <c r="F45" s="118"/>
      <c r="G45" s="92"/>
      <c r="H45" s="2"/>
      <c r="I45" s="1"/>
      <c r="J45" s="3"/>
      <c r="K45" s="3"/>
      <c r="L45" s="3">
        <f t="shared" si="2"/>
        <v>1720</v>
      </c>
      <c r="M45" s="1"/>
    </row>
    <row r="46" spans="1:15">
      <c r="A46" s="2">
        <v>44617</v>
      </c>
      <c r="B46" s="1" t="s">
        <v>101</v>
      </c>
      <c r="C46" s="3">
        <v>3800.6</v>
      </c>
      <c r="D46" s="3"/>
      <c r="E46" s="3">
        <f t="shared" si="0"/>
        <v>121384.35999999997</v>
      </c>
      <c r="F46" s="96"/>
      <c r="G46" s="92"/>
      <c r="H46" s="2"/>
      <c r="I46" s="1"/>
      <c r="J46" s="3"/>
      <c r="K46" s="3"/>
      <c r="L46" s="3">
        <f t="shared" si="2"/>
        <v>1720</v>
      </c>
      <c r="M46" s="1"/>
    </row>
    <row r="47" spans="1:15">
      <c r="A47" s="2">
        <v>44617</v>
      </c>
      <c r="B47" s="1" t="s">
        <v>1470</v>
      </c>
      <c r="C47" s="3">
        <v>610</v>
      </c>
      <c r="D47" s="3"/>
      <c r="E47" s="3">
        <f t="shared" si="0"/>
        <v>120774.35999999997</v>
      </c>
      <c r="F47" s="96"/>
      <c r="H47" s="2"/>
      <c r="I47" s="1"/>
      <c r="J47" s="3"/>
      <c r="K47" s="3"/>
      <c r="L47" s="3">
        <f t="shared" si="2"/>
        <v>1720</v>
      </c>
      <c r="M47" s="64"/>
      <c r="N47" s="83"/>
    </row>
    <row r="48" spans="1:15">
      <c r="A48" s="2">
        <v>44619</v>
      </c>
      <c r="B48" s="1" t="s">
        <v>1471</v>
      </c>
      <c r="C48" s="3">
        <v>5000</v>
      </c>
      <c r="D48" s="3"/>
      <c r="E48" s="3">
        <f t="shared" si="0"/>
        <v>115774.35999999997</v>
      </c>
      <c r="F48" s="3"/>
      <c r="H48" s="2"/>
      <c r="I48" s="1"/>
      <c r="J48" s="3"/>
      <c r="K48" s="3"/>
      <c r="L48" s="3">
        <f t="shared" si="2"/>
        <v>1720</v>
      </c>
      <c r="M48" s="1"/>
    </row>
    <row r="49" spans="1:14">
      <c r="A49" s="2">
        <v>44619</v>
      </c>
      <c r="B49" s="1" t="s">
        <v>1472</v>
      </c>
      <c r="C49" s="3">
        <v>3400</v>
      </c>
      <c r="D49" s="3"/>
      <c r="E49" s="3">
        <f t="shared" si="0"/>
        <v>112374.35999999997</v>
      </c>
      <c r="F49" s="5"/>
      <c r="H49" s="2"/>
      <c r="I49" s="1"/>
      <c r="J49" s="3"/>
      <c r="K49" s="3"/>
      <c r="L49" s="3">
        <f t="shared" si="2"/>
        <v>1720</v>
      </c>
      <c r="M49" s="44"/>
    </row>
    <row r="50" spans="1:14">
      <c r="A50" s="12"/>
      <c r="B50" s="12"/>
      <c r="C50" s="13"/>
      <c r="D50" s="13"/>
      <c r="E50" s="13">
        <f t="shared" si="0"/>
        <v>112374.35999999997</v>
      </c>
      <c r="F50" s="12"/>
      <c r="H50" s="2"/>
      <c r="I50" s="1"/>
      <c r="J50" s="3"/>
      <c r="K50" s="3"/>
      <c r="L50" s="3">
        <f t="shared" si="2"/>
        <v>1720</v>
      </c>
      <c r="M50" s="1"/>
    </row>
    <row r="51" spans="1:14">
      <c r="A51" s="12"/>
      <c r="B51" s="12"/>
      <c r="C51" s="13"/>
      <c r="D51" s="13"/>
      <c r="E51" s="13">
        <f t="shared" si="0"/>
        <v>112374.35999999997</v>
      </c>
      <c r="F51" s="12"/>
      <c r="H51" s="2"/>
      <c r="I51" s="1"/>
      <c r="J51" s="3"/>
      <c r="K51" s="3"/>
      <c r="L51" s="3">
        <f t="shared" si="2"/>
        <v>1720</v>
      </c>
      <c r="M51" s="1"/>
    </row>
    <row r="52" spans="1:14">
      <c r="A52" s="1"/>
      <c r="B52" s="1"/>
      <c r="C52" s="3"/>
      <c r="D52" s="3"/>
      <c r="E52" s="3">
        <f t="shared" si="0"/>
        <v>112374.35999999997</v>
      </c>
      <c r="F52" s="1"/>
      <c r="H52" s="2"/>
      <c r="I52" s="6"/>
      <c r="J52" s="3"/>
      <c r="K52" s="3"/>
      <c r="L52" s="3">
        <f t="shared" si="2"/>
        <v>1720</v>
      </c>
      <c r="M52" s="44"/>
    </row>
    <row r="53" spans="1:14">
      <c r="A53" s="1"/>
      <c r="B53" s="1"/>
      <c r="C53" s="3"/>
      <c r="D53" s="3"/>
      <c r="E53" s="3">
        <f t="shared" si="0"/>
        <v>112374.35999999997</v>
      </c>
      <c r="F53" s="1"/>
      <c r="H53" s="2"/>
      <c r="I53" s="1"/>
      <c r="J53" s="3"/>
      <c r="K53" s="3"/>
      <c r="L53" s="3">
        <f t="shared" si="2"/>
        <v>1720</v>
      </c>
      <c r="M53" s="1"/>
      <c r="N53" s="41"/>
    </row>
    <row r="54" spans="1:14">
      <c r="E54" s="3">
        <f t="shared" si="0"/>
        <v>112374.35999999997</v>
      </c>
      <c r="H54" s="2"/>
      <c r="I54" s="1"/>
      <c r="J54" s="3"/>
      <c r="K54" s="3"/>
      <c r="L54" s="3">
        <f t="shared" si="2"/>
        <v>1720</v>
      </c>
      <c r="M54" s="1"/>
    </row>
    <row r="55" spans="1:14">
      <c r="E55" s="3">
        <f t="shared" si="0"/>
        <v>112374.35999999997</v>
      </c>
      <c r="H55" s="2"/>
      <c r="I55" s="1"/>
      <c r="J55" s="3"/>
      <c r="K55" s="3"/>
      <c r="L55" s="3">
        <f t="shared" si="2"/>
        <v>1720</v>
      </c>
      <c r="M55" s="1"/>
    </row>
    <row r="56" spans="1:14">
      <c r="E56" s="3">
        <f t="shared" si="0"/>
        <v>112374.35999999997</v>
      </c>
      <c r="H56" s="2"/>
      <c r="I56" s="1"/>
      <c r="J56" s="3"/>
      <c r="K56" s="3"/>
      <c r="L56" s="3">
        <f t="shared" si="2"/>
        <v>1720</v>
      </c>
      <c r="M56" s="1"/>
    </row>
    <row r="57" spans="1:14">
      <c r="E57" s="3">
        <f t="shared" si="0"/>
        <v>112374.35999999997</v>
      </c>
      <c r="H57" s="2"/>
      <c r="I57" s="1"/>
      <c r="J57" s="3"/>
      <c r="K57" s="3"/>
      <c r="L57" s="3">
        <f t="shared" si="2"/>
        <v>1720</v>
      </c>
      <c r="M57" s="1"/>
    </row>
    <row r="58" spans="1:14">
      <c r="E58" s="3">
        <f t="shared" si="0"/>
        <v>112374.35999999997</v>
      </c>
      <c r="H58" s="2"/>
      <c r="I58" s="1"/>
      <c r="J58" s="3"/>
      <c r="K58" s="3"/>
      <c r="L58" s="3">
        <f t="shared" si="2"/>
        <v>1720</v>
      </c>
      <c r="M58" s="64"/>
    </row>
    <row r="59" spans="1:14">
      <c r="E59" s="3">
        <f t="shared" si="0"/>
        <v>112374.35999999997</v>
      </c>
      <c r="H59" s="1"/>
      <c r="I59" s="1"/>
      <c r="J59" s="3"/>
      <c r="K59" s="3"/>
      <c r="L59" s="3">
        <f t="shared" si="2"/>
        <v>1720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EC5E-B946-7E4D-8424-E7C400E34629}">
  <dimension ref="A1:S1048576"/>
  <sheetViews>
    <sheetView showGridLines="0" topLeftCell="A18" zoomScale="110" workbookViewId="0">
      <selection activeCell="Q50" sqref="Q50"/>
    </sheetView>
  </sheetViews>
  <sheetFormatPr baseColWidth="10" defaultRowHeight="16"/>
  <cols>
    <col min="1" max="1" width="7.33203125" bestFit="1" customWidth="1"/>
    <col min="2" max="2" width="27.33203125" bestFit="1" customWidth="1"/>
    <col min="3" max="3" width="12.5" style="4" bestFit="1" customWidth="1"/>
    <col min="4" max="4" width="13.5" style="4" customWidth="1"/>
    <col min="5" max="5" width="13" customWidth="1"/>
    <col min="6" max="6" width="11" customWidth="1"/>
    <col min="7" max="7" width="13.6640625" customWidth="1"/>
    <col min="8" max="8" width="7.33203125" bestFit="1" customWidth="1"/>
    <col min="9" max="9" width="22.83203125" customWidth="1"/>
    <col min="10" max="11" width="12.5" bestFit="1" customWidth="1"/>
    <col min="12" max="12" width="12" bestFit="1" customWidth="1"/>
    <col min="13" max="13" width="12.83203125" customWidth="1"/>
    <col min="14" max="14" width="7.33203125" customWidth="1"/>
    <col min="15" max="15" width="26.5" style="4" customWidth="1"/>
    <col min="16" max="16" width="12.5" style="4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343"/>
      <c r="P2" s="343"/>
      <c r="Q2" s="66"/>
    </row>
    <row r="3" spans="1:19">
      <c r="A3" s="2"/>
      <c r="B3" s="1" t="s">
        <v>4</v>
      </c>
      <c r="C3" s="283"/>
      <c r="D3" s="283"/>
      <c r="E3" s="3">
        <v>112374.35999999997</v>
      </c>
      <c r="F3" s="34"/>
      <c r="G3" s="271" t="s">
        <v>170</v>
      </c>
      <c r="H3" s="2"/>
      <c r="I3" s="282" t="s">
        <v>4</v>
      </c>
      <c r="J3" s="287"/>
      <c r="K3" s="287"/>
      <c r="L3" s="3">
        <v>18500</v>
      </c>
      <c r="M3" s="37"/>
      <c r="O3" s="343"/>
      <c r="P3" s="343"/>
      <c r="Q3" s="21"/>
      <c r="R3" s="21"/>
      <c r="S3" s="21"/>
    </row>
    <row r="4" spans="1:19">
      <c r="A4" s="2">
        <v>44622</v>
      </c>
      <c r="B4" s="1" t="s">
        <v>1478</v>
      </c>
      <c r="C4" s="3"/>
      <c r="D4" s="3">
        <v>10000</v>
      </c>
      <c r="E4" s="3">
        <f>+E3-C4+D4</f>
        <v>122374.35999999997</v>
      </c>
      <c r="F4" s="44"/>
      <c r="G4" s="56">
        <f>+E57+L30</f>
        <v>123670.56</v>
      </c>
      <c r="H4" s="2"/>
      <c r="I4" s="1" t="s">
        <v>1492</v>
      </c>
      <c r="J4" s="3">
        <v>4500</v>
      </c>
      <c r="K4" s="3"/>
      <c r="L4" s="3">
        <f>+L3+K4-J4</f>
        <v>14000</v>
      </c>
      <c r="M4" s="95"/>
      <c r="O4" s="317"/>
      <c r="P4" s="318"/>
      <c r="Q4" s="21"/>
      <c r="R4" s="21"/>
      <c r="S4" s="21"/>
    </row>
    <row r="5" spans="1:19">
      <c r="A5" s="2">
        <v>44623</v>
      </c>
      <c r="B5" s="1" t="s">
        <v>1479</v>
      </c>
      <c r="C5" s="60">
        <v>4300</v>
      </c>
      <c r="D5" s="3"/>
      <c r="E5" s="3">
        <f t="shared" ref="E5:E59" si="0">+E4-C5+D5</f>
        <v>118074.35999999997</v>
      </c>
      <c r="F5" s="60"/>
      <c r="G5" s="41"/>
      <c r="H5" s="2">
        <v>44646</v>
      </c>
      <c r="I5" s="284" t="s">
        <v>251</v>
      </c>
      <c r="J5" s="3"/>
      <c r="K5" s="3"/>
      <c r="L5" s="3">
        <v>2090</v>
      </c>
      <c r="M5" s="96"/>
      <c r="O5" s="67"/>
      <c r="P5" s="67"/>
      <c r="Q5" s="21"/>
      <c r="R5" s="21"/>
      <c r="S5" s="21"/>
    </row>
    <row r="6" spans="1:19">
      <c r="A6" s="2">
        <v>44624</v>
      </c>
      <c r="B6" s="59" t="s">
        <v>1480</v>
      </c>
      <c r="C6" s="60">
        <v>800</v>
      </c>
      <c r="D6" s="3"/>
      <c r="E6" s="3">
        <f t="shared" si="0"/>
        <v>117274.35999999997</v>
      </c>
      <c r="F6" s="59"/>
      <c r="G6" s="189"/>
      <c r="H6" s="2"/>
      <c r="I6" s="285"/>
      <c r="J6" s="243"/>
      <c r="K6" s="243"/>
      <c r="L6" s="3">
        <f t="shared" ref="L6:L25" si="1">+L5+K6-J6</f>
        <v>2090</v>
      </c>
      <c r="M6" s="96"/>
      <c r="O6" s="21"/>
      <c r="P6" s="21"/>
    </row>
    <row r="7" spans="1:19">
      <c r="A7" s="2">
        <v>44624</v>
      </c>
      <c r="B7" s="59" t="s">
        <v>1480</v>
      </c>
      <c r="C7" s="60">
        <v>870</v>
      </c>
      <c r="D7" s="3"/>
      <c r="E7" s="3">
        <f t="shared" si="0"/>
        <v>116404.35999999997</v>
      </c>
      <c r="F7" s="60"/>
      <c r="G7" s="190"/>
      <c r="H7" s="2"/>
      <c r="I7" s="286"/>
      <c r="J7" s="60"/>
      <c r="K7" s="3"/>
      <c r="L7" s="3">
        <f t="shared" si="1"/>
        <v>2090</v>
      </c>
      <c r="M7" s="60"/>
      <c r="O7" s="21"/>
      <c r="P7" s="21"/>
    </row>
    <row r="8" spans="1:19">
      <c r="A8" s="2">
        <v>44627</v>
      </c>
      <c r="B8" s="59" t="s">
        <v>1481</v>
      </c>
      <c r="C8" s="60">
        <v>2090</v>
      </c>
      <c r="D8" s="3"/>
      <c r="E8" s="3">
        <f t="shared" si="0"/>
        <v>114314.35999999997</v>
      </c>
      <c r="F8" s="197"/>
      <c r="G8" s="189"/>
      <c r="H8" s="2"/>
      <c r="I8" s="282"/>
      <c r="J8" s="287"/>
      <c r="K8" s="287"/>
      <c r="L8" s="3">
        <f t="shared" si="1"/>
        <v>2090</v>
      </c>
      <c r="M8" s="96"/>
      <c r="O8" s="345" t="s">
        <v>111</v>
      </c>
      <c r="P8" s="346"/>
    </row>
    <row r="9" spans="1:19">
      <c r="A9" s="2">
        <v>44627</v>
      </c>
      <c r="B9" s="59" t="s">
        <v>1483</v>
      </c>
      <c r="C9" s="60">
        <v>1250</v>
      </c>
      <c r="D9" s="3"/>
      <c r="E9" s="3">
        <f t="shared" si="0"/>
        <v>113064.35999999997</v>
      </c>
      <c r="F9" s="59"/>
      <c r="H9" s="2"/>
      <c r="I9" s="98"/>
      <c r="J9" s="3"/>
      <c r="K9" s="3"/>
      <c r="L9" s="3">
        <f t="shared" si="1"/>
        <v>2090</v>
      </c>
      <c r="M9" s="96"/>
      <c r="O9" s="347" t="s">
        <v>1459</v>
      </c>
      <c r="P9" s="347">
        <v>9850</v>
      </c>
    </row>
    <row r="10" spans="1:19">
      <c r="A10" s="58">
        <v>44628</v>
      </c>
      <c r="B10" s="59" t="s">
        <v>1482</v>
      </c>
      <c r="C10" s="60">
        <v>1100</v>
      </c>
      <c r="D10" s="3"/>
      <c r="E10" s="3">
        <f t="shared" si="0"/>
        <v>111964.35999999997</v>
      </c>
      <c r="F10" s="60"/>
      <c r="G10" s="307"/>
      <c r="H10" s="2"/>
      <c r="I10" s="286"/>
      <c r="J10" s="60"/>
      <c r="K10" s="3"/>
      <c r="L10" s="3">
        <f t="shared" si="1"/>
        <v>2090</v>
      </c>
      <c r="M10" s="96"/>
      <c r="N10" s="57"/>
      <c r="O10" s="348" t="s">
        <v>1460</v>
      </c>
      <c r="P10" s="347">
        <v>-20000</v>
      </c>
    </row>
    <row r="11" spans="1:19">
      <c r="A11" s="58">
        <v>44629</v>
      </c>
      <c r="B11" s="59" t="s">
        <v>1484</v>
      </c>
      <c r="C11" s="60">
        <v>2500</v>
      </c>
      <c r="D11" s="3"/>
      <c r="E11" s="3">
        <f t="shared" si="0"/>
        <v>109464.35999999997</v>
      </c>
      <c r="F11" s="60">
        <f>+C11/2</f>
        <v>1250</v>
      </c>
      <c r="G11" s="308"/>
      <c r="H11" s="2"/>
      <c r="I11" s="286"/>
      <c r="J11" s="76"/>
      <c r="K11" s="3"/>
      <c r="L11" s="3">
        <f t="shared" si="1"/>
        <v>2090</v>
      </c>
      <c r="M11" s="96"/>
      <c r="N11" s="57"/>
      <c r="O11" s="347" t="s">
        <v>1513</v>
      </c>
      <c r="P11" s="347">
        <v>1000</v>
      </c>
    </row>
    <row r="12" spans="1:19">
      <c r="A12" s="2">
        <v>44630</v>
      </c>
      <c r="B12" s="59" t="s">
        <v>1485</v>
      </c>
      <c r="C12" s="60">
        <v>1014.68</v>
      </c>
      <c r="D12" s="3"/>
      <c r="E12" s="3">
        <f t="shared" si="0"/>
        <v>108449.67999999998</v>
      </c>
      <c r="F12" s="198"/>
      <c r="H12" s="2"/>
      <c r="I12" s="286"/>
      <c r="J12" s="76"/>
      <c r="K12" s="3"/>
      <c r="L12" s="3">
        <f t="shared" si="1"/>
        <v>2090</v>
      </c>
      <c r="M12" s="148"/>
      <c r="N12" s="57"/>
      <c r="O12" s="348" t="s">
        <v>1473</v>
      </c>
      <c r="P12" s="347">
        <v>-800</v>
      </c>
    </row>
    <row r="13" spans="1:19">
      <c r="A13" s="2">
        <v>44627</v>
      </c>
      <c r="B13" s="59" t="s">
        <v>1232</v>
      </c>
      <c r="C13" s="60">
        <v>705</v>
      </c>
      <c r="D13" s="3"/>
      <c r="E13" s="3">
        <f t="shared" si="0"/>
        <v>107744.67999999998</v>
      </c>
      <c r="F13" s="60">
        <f>+C13/2</f>
        <v>352.5</v>
      </c>
      <c r="G13" s="57"/>
      <c r="H13" s="2"/>
      <c r="I13" s="286"/>
      <c r="J13" s="3"/>
      <c r="K13" s="3"/>
      <c r="L13" s="3">
        <f t="shared" si="1"/>
        <v>2090</v>
      </c>
      <c r="M13" s="64"/>
      <c r="O13" s="348" t="s">
        <v>1476</v>
      </c>
      <c r="P13" s="347">
        <f>-1250/2</f>
        <v>-625</v>
      </c>
    </row>
    <row r="14" spans="1:19" ht="19">
      <c r="A14" s="2">
        <v>44629</v>
      </c>
      <c r="B14" s="59" t="s">
        <v>1241</v>
      </c>
      <c r="C14" s="60">
        <v>1200</v>
      </c>
      <c r="D14" s="3"/>
      <c r="E14" s="3">
        <f t="shared" si="0"/>
        <v>106544.67999999998</v>
      </c>
      <c r="F14" s="60"/>
      <c r="G14" s="330"/>
      <c r="H14" s="2"/>
      <c r="I14" s="1"/>
      <c r="J14" s="3"/>
      <c r="K14" s="3"/>
      <c r="L14" s="3">
        <f t="shared" si="1"/>
        <v>2090</v>
      </c>
      <c r="M14" s="96"/>
      <c r="O14" s="349" t="s">
        <v>1477</v>
      </c>
      <c r="P14" s="347">
        <v>-870</v>
      </c>
    </row>
    <row r="15" spans="1:19">
      <c r="A15" s="2">
        <v>44630</v>
      </c>
      <c r="B15" s="59" t="s">
        <v>1486</v>
      </c>
      <c r="C15" s="60">
        <v>3500</v>
      </c>
      <c r="D15" s="3"/>
      <c r="E15" s="3">
        <f t="shared" si="0"/>
        <v>103044.67999999998</v>
      </c>
      <c r="F15" s="60"/>
      <c r="H15" s="2"/>
      <c r="I15" s="1"/>
      <c r="J15" s="3"/>
      <c r="K15" s="3"/>
      <c r="L15" s="3">
        <f t="shared" si="1"/>
        <v>2090</v>
      </c>
      <c r="M15" s="96"/>
      <c r="O15" s="350" t="s">
        <v>1491</v>
      </c>
      <c r="P15" s="351">
        <v>-5020</v>
      </c>
    </row>
    <row r="16" spans="1:19">
      <c r="A16" s="2">
        <v>44630</v>
      </c>
      <c r="B16" s="59" t="s">
        <v>1487</v>
      </c>
      <c r="C16" s="60"/>
      <c r="D16" s="60">
        <v>350</v>
      </c>
      <c r="E16" s="3">
        <f t="shared" si="0"/>
        <v>103394.67999999998</v>
      </c>
      <c r="F16" s="60"/>
      <c r="H16" s="2"/>
      <c r="I16" s="1"/>
      <c r="J16" s="3"/>
      <c r="K16" s="3"/>
      <c r="L16" s="3">
        <f t="shared" si="1"/>
        <v>2090</v>
      </c>
      <c r="M16" s="60"/>
      <c r="O16" s="350" t="s">
        <v>1495</v>
      </c>
      <c r="P16" s="352">
        <f>2846/2</f>
        <v>1423</v>
      </c>
    </row>
    <row r="17" spans="1:16">
      <c r="A17" s="58">
        <v>44634</v>
      </c>
      <c r="B17" s="59" t="s">
        <v>1488</v>
      </c>
      <c r="C17" s="60">
        <v>460</v>
      </c>
      <c r="D17" s="3"/>
      <c r="E17" s="3">
        <f t="shared" si="0"/>
        <v>102934.67999999998</v>
      </c>
      <c r="F17" s="60"/>
      <c r="H17" s="2"/>
      <c r="I17" s="1"/>
      <c r="J17" s="10"/>
      <c r="K17" s="3"/>
      <c r="L17" s="3">
        <f t="shared" si="1"/>
        <v>2090</v>
      </c>
      <c r="M17" s="96"/>
      <c r="O17" s="350" t="s">
        <v>1496</v>
      </c>
      <c r="P17" s="352">
        <v>250</v>
      </c>
    </row>
    <row r="18" spans="1:16">
      <c r="A18" s="58">
        <v>44634</v>
      </c>
      <c r="B18" s="59" t="s">
        <v>1071</v>
      </c>
      <c r="C18" s="60">
        <v>20000</v>
      </c>
      <c r="D18" s="3"/>
      <c r="E18" s="3">
        <f t="shared" si="0"/>
        <v>82934.679999999978</v>
      </c>
      <c r="F18" s="60"/>
      <c r="H18" s="2"/>
      <c r="I18" s="1"/>
      <c r="J18" s="3"/>
      <c r="K18" s="3"/>
      <c r="L18" s="3">
        <f t="shared" si="1"/>
        <v>2090</v>
      </c>
      <c r="M18" s="60"/>
      <c r="N18" s="57"/>
      <c r="O18" s="350" t="s">
        <v>1497</v>
      </c>
      <c r="P18" s="347">
        <v>1320</v>
      </c>
    </row>
    <row r="19" spans="1:16">
      <c r="A19" s="58">
        <v>44634</v>
      </c>
      <c r="B19" s="59" t="s">
        <v>1489</v>
      </c>
      <c r="C19" s="60">
        <v>730</v>
      </c>
      <c r="D19" s="159"/>
      <c r="E19" s="3">
        <f t="shared" si="0"/>
        <v>82204.679999999978</v>
      </c>
      <c r="F19" s="60"/>
      <c r="H19" s="2"/>
      <c r="I19" s="1"/>
      <c r="J19" s="3"/>
      <c r="K19" s="3"/>
      <c r="L19" s="3">
        <f t="shared" si="1"/>
        <v>2090</v>
      </c>
      <c r="M19" s="37"/>
      <c r="O19" s="350" t="s">
        <v>1498</v>
      </c>
      <c r="P19" s="347">
        <v>12362.5</v>
      </c>
    </row>
    <row r="20" spans="1:16">
      <c r="A20" s="58">
        <v>44634</v>
      </c>
      <c r="B20" s="319" t="s">
        <v>1490</v>
      </c>
      <c r="C20" s="60">
        <v>2377.04</v>
      </c>
      <c r="D20" s="3"/>
      <c r="E20" s="3">
        <f t="shared" si="0"/>
        <v>79827.639999999985</v>
      </c>
      <c r="F20" s="60">
        <f>+C20/2</f>
        <v>1188.52</v>
      </c>
      <c r="H20" s="58"/>
      <c r="I20" s="6"/>
      <c r="J20" s="3"/>
      <c r="K20" s="3"/>
      <c r="L20" s="3">
        <f t="shared" si="1"/>
        <v>2090</v>
      </c>
      <c r="M20" s="60"/>
      <c r="O20" s="350" t="s">
        <v>1499</v>
      </c>
      <c r="P20" s="347">
        <v>237</v>
      </c>
    </row>
    <row r="21" spans="1:16">
      <c r="A21" s="58">
        <v>44633</v>
      </c>
      <c r="B21" s="59" t="s">
        <v>1493</v>
      </c>
      <c r="C21" s="60">
        <v>5000</v>
      </c>
      <c r="D21" s="3"/>
      <c r="E21" s="3">
        <f t="shared" si="0"/>
        <v>74827.639999999985</v>
      </c>
      <c r="F21" s="96"/>
      <c r="H21" s="58"/>
      <c r="I21" s="1"/>
      <c r="J21" s="3"/>
      <c r="K21" s="3"/>
      <c r="L21" s="3">
        <f t="shared" si="1"/>
        <v>2090</v>
      </c>
      <c r="M21" s="60"/>
      <c r="O21" s="350" t="s">
        <v>1430</v>
      </c>
      <c r="P21" s="347">
        <v>228</v>
      </c>
    </row>
    <row r="22" spans="1:16">
      <c r="A22" s="58">
        <v>44633</v>
      </c>
      <c r="B22" s="59" t="s">
        <v>1494</v>
      </c>
      <c r="C22" s="60">
        <v>16422</v>
      </c>
      <c r="D22" s="60"/>
      <c r="E22" s="3">
        <f t="shared" si="0"/>
        <v>58405.639999999985</v>
      </c>
      <c r="F22" s="60"/>
      <c r="H22" s="58"/>
      <c r="I22" s="1"/>
      <c r="J22" s="60"/>
      <c r="K22" s="3"/>
      <c r="L22" s="3">
        <f t="shared" si="1"/>
        <v>2090</v>
      </c>
      <c r="M22" s="60"/>
      <c r="O22" s="350" t="s">
        <v>1501</v>
      </c>
      <c r="P22" s="347">
        <v>-2791.02</v>
      </c>
    </row>
    <row r="23" spans="1:16">
      <c r="A23" s="2">
        <v>44633</v>
      </c>
      <c r="B23" s="59" t="s">
        <v>1502</v>
      </c>
      <c r="C23" s="60">
        <v>500</v>
      </c>
      <c r="D23" s="3"/>
      <c r="E23" s="3">
        <f t="shared" si="0"/>
        <v>57905.639999999985</v>
      </c>
      <c r="F23" s="60"/>
      <c r="G23" s="41"/>
      <c r="H23" s="58"/>
      <c r="I23" s="1"/>
      <c r="J23" s="3"/>
      <c r="K23" s="3"/>
      <c r="L23" s="3">
        <f t="shared" si="1"/>
        <v>2090</v>
      </c>
      <c r="M23" s="96"/>
      <c r="N23" s="90"/>
      <c r="O23" s="347" t="s">
        <v>1504</v>
      </c>
      <c r="P23" s="347">
        <v>1000</v>
      </c>
    </row>
    <row r="24" spans="1:16">
      <c r="A24" s="2">
        <v>44633</v>
      </c>
      <c r="B24" s="59" t="s">
        <v>1503</v>
      </c>
      <c r="C24" s="60">
        <v>4500</v>
      </c>
      <c r="D24" s="3"/>
      <c r="E24" s="3">
        <f t="shared" si="0"/>
        <v>53405.639999999985</v>
      </c>
      <c r="F24" s="60"/>
      <c r="H24" s="58"/>
      <c r="I24" s="1"/>
      <c r="J24" s="3"/>
      <c r="K24" s="3"/>
      <c r="L24" s="3">
        <f t="shared" si="1"/>
        <v>2090</v>
      </c>
      <c r="M24" s="76"/>
      <c r="N24" s="57"/>
      <c r="O24" s="353" t="s">
        <v>1500</v>
      </c>
      <c r="P24" s="344">
        <f>SUM(P9:P23)</f>
        <v>-2435.52</v>
      </c>
    </row>
    <row r="25" spans="1:16">
      <c r="A25" s="2">
        <v>44637</v>
      </c>
      <c r="B25" s="59" t="s">
        <v>1488</v>
      </c>
      <c r="C25" s="60">
        <v>1180</v>
      </c>
      <c r="D25" s="3"/>
      <c r="E25" s="3">
        <f t="shared" si="0"/>
        <v>52225.639999999985</v>
      </c>
      <c r="F25" s="60"/>
      <c r="H25" s="58"/>
      <c r="I25" s="1"/>
      <c r="J25" s="3"/>
      <c r="K25" s="3"/>
      <c r="L25" s="3">
        <f t="shared" si="1"/>
        <v>2090</v>
      </c>
      <c r="M25" s="60"/>
      <c r="O25" s="350" t="s">
        <v>1508</v>
      </c>
      <c r="P25" s="347">
        <v>-570</v>
      </c>
    </row>
    <row r="26" spans="1:16">
      <c r="A26" s="2">
        <v>44638</v>
      </c>
      <c r="B26" s="59" t="s">
        <v>1505</v>
      </c>
      <c r="C26" s="3">
        <v>1020</v>
      </c>
      <c r="D26" s="3"/>
      <c r="E26" s="3">
        <f t="shared" si="0"/>
        <v>51205.639999999985</v>
      </c>
      <c r="F26" s="37">
        <f>+C26/2</f>
        <v>510</v>
      </c>
      <c r="H26" s="58"/>
      <c r="I26" s="1"/>
      <c r="J26" s="60"/>
      <c r="K26" s="3"/>
      <c r="L26" s="3">
        <f t="shared" ref="L26:L59" si="2">+L25-J26+K26</f>
        <v>2090</v>
      </c>
      <c r="M26" s="60"/>
      <c r="O26" s="350" t="s">
        <v>1509</v>
      </c>
      <c r="P26" s="347">
        <f>-(430+990+350+440)/2</f>
        <v>-1105</v>
      </c>
    </row>
    <row r="27" spans="1:16">
      <c r="A27" s="2">
        <v>44641</v>
      </c>
      <c r="B27" s="59" t="s">
        <v>1506</v>
      </c>
      <c r="C27" s="3">
        <v>1593.7</v>
      </c>
      <c r="D27" s="3"/>
      <c r="E27" s="3">
        <f t="shared" si="0"/>
        <v>49611.939999999988</v>
      </c>
      <c r="F27" s="36"/>
      <c r="H27" s="58"/>
      <c r="I27" s="1"/>
      <c r="J27" s="3"/>
      <c r="K27" s="3"/>
      <c r="L27" s="3">
        <f t="shared" si="2"/>
        <v>2090</v>
      </c>
      <c r="M27" s="76"/>
      <c r="O27" s="350" t="s">
        <v>1510</v>
      </c>
      <c r="P27" s="347">
        <f>1140/2</f>
        <v>570</v>
      </c>
    </row>
    <row r="28" spans="1:16">
      <c r="A28" s="2">
        <v>44641</v>
      </c>
      <c r="B28" s="6" t="s">
        <v>1507</v>
      </c>
      <c r="C28" s="10">
        <v>2784.25</v>
      </c>
      <c r="D28" s="10"/>
      <c r="E28" s="3">
        <v>45357.69</v>
      </c>
      <c r="F28" s="37">
        <f>+C28/2</f>
        <v>1392.125</v>
      </c>
      <c r="H28" s="2"/>
      <c r="I28" s="1"/>
      <c r="J28" s="3"/>
      <c r="K28" s="3"/>
      <c r="L28" s="3">
        <f t="shared" si="2"/>
        <v>2090</v>
      </c>
      <c r="M28" s="60"/>
      <c r="O28" s="350" t="s">
        <v>1511</v>
      </c>
      <c r="P28" s="347">
        <f>1150/2</f>
        <v>575</v>
      </c>
    </row>
    <row r="29" spans="1:16">
      <c r="A29" s="63">
        <v>44642</v>
      </c>
      <c r="B29" s="6" t="s">
        <v>1357</v>
      </c>
      <c r="C29" s="37"/>
      <c r="D29" s="10">
        <v>0.36</v>
      </c>
      <c r="E29" s="3">
        <f t="shared" si="0"/>
        <v>45358.05</v>
      </c>
      <c r="F29" s="37"/>
      <c r="H29" s="2"/>
      <c r="I29" s="6"/>
      <c r="J29" s="3"/>
      <c r="K29" s="3"/>
      <c r="L29" s="3">
        <f t="shared" si="2"/>
        <v>2090</v>
      </c>
      <c r="M29" s="60"/>
      <c r="O29" s="350" t="s">
        <v>1512</v>
      </c>
      <c r="P29" s="347">
        <f>6500/2</f>
        <v>3250</v>
      </c>
    </row>
    <row r="30" spans="1:16">
      <c r="A30" s="63">
        <v>44643</v>
      </c>
      <c r="B30" s="59" t="s">
        <v>1517</v>
      </c>
      <c r="C30" s="60">
        <v>1400</v>
      </c>
      <c r="D30" s="3"/>
      <c r="E30" s="3">
        <f t="shared" si="0"/>
        <v>43958.05</v>
      </c>
      <c r="F30" s="59"/>
      <c r="H30" s="2"/>
      <c r="I30" s="1"/>
      <c r="J30" s="3"/>
      <c r="K30" s="3"/>
      <c r="L30" s="3">
        <f t="shared" si="2"/>
        <v>2090</v>
      </c>
      <c r="M30" s="194"/>
      <c r="N30" s="41"/>
      <c r="O30" s="350" t="s">
        <v>1514</v>
      </c>
      <c r="P30" s="347">
        <f>1300/2</f>
        <v>650</v>
      </c>
    </row>
    <row r="31" spans="1:16">
      <c r="A31" s="63">
        <v>44643</v>
      </c>
      <c r="B31" s="59" t="s">
        <v>1518</v>
      </c>
      <c r="C31" s="60">
        <v>1580</v>
      </c>
      <c r="D31" s="3"/>
      <c r="E31" s="3">
        <f t="shared" si="0"/>
        <v>42378.05</v>
      </c>
      <c r="F31" s="37">
        <f>+C31/2</f>
        <v>790</v>
      </c>
      <c r="H31" s="2"/>
      <c r="I31" s="1"/>
      <c r="J31" s="3"/>
      <c r="K31" s="3"/>
      <c r="L31" s="3">
        <f t="shared" si="2"/>
        <v>2090</v>
      </c>
      <c r="M31" s="60"/>
      <c r="O31" s="350" t="s">
        <v>1515</v>
      </c>
      <c r="P31" s="354">
        <f>-SUM(F26:F28)</f>
        <v>-1902.125</v>
      </c>
    </row>
    <row r="32" spans="1:16">
      <c r="A32" s="63">
        <v>44643</v>
      </c>
      <c r="B32" s="36" t="s">
        <v>1519</v>
      </c>
      <c r="C32" s="37">
        <v>3000</v>
      </c>
      <c r="D32" s="10"/>
      <c r="E32" s="3">
        <f t="shared" si="0"/>
        <v>39378.050000000003</v>
      </c>
      <c r="F32" s="118"/>
      <c r="H32" s="208"/>
      <c r="I32" s="202"/>
      <c r="J32" s="3"/>
      <c r="K32" s="3"/>
      <c r="L32" s="3">
        <f t="shared" si="2"/>
        <v>2090</v>
      </c>
      <c r="M32" s="76"/>
      <c r="O32" s="353" t="s">
        <v>1516</v>
      </c>
      <c r="P32" s="355">
        <f>SUM(P24:P31)</f>
        <v>-967.64500000000044</v>
      </c>
    </row>
    <row r="33" spans="1:17">
      <c r="A33" s="63">
        <v>44645</v>
      </c>
      <c r="B33" s="6" t="s">
        <v>908</v>
      </c>
      <c r="C33" s="10">
        <v>3600</v>
      </c>
      <c r="D33" s="10"/>
      <c r="E33" s="10">
        <f t="shared" si="0"/>
        <v>35778.050000000003</v>
      </c>
      <c r="F33" s="37"/>
      <c r="H33" s="2"/>
      <c r="I33" s="1"/>
      <c r="J33" s="3"/>
      <c r="K33" s="3"/>
      <c r="L33" s="3">
        <f t="shared" si="2"/>
        <v>2090</v>
      </c>
      <c r="M33" s="60"/>
      <c r="O33" s="350" t="s">
        <v>1522</v>
      </c>
      <c r="P33" s="347">
        <v>-1000</v>
      </c>
    </row>
    <row r="34" spans="1:17">
      <c r="A34" s="63">
        <v>44645</v>
      </c>
      <c r="B34" s="6" t="s">
        <v>1520</v>
      </c>
      <c r="C34" s="10">
        <v>825</v>
      </c>
      <c r="D34" s="10"/>
      <c r="E34" s="10">
        <f t="shared" si="0"/>
        <v>34953.050000000003</v>
      </c>
      <c r="F34" s="37"/>
      <c r="H34" s="2"/>
      <c r="I34" s="1"/>
      <c r="J34" s="3"/>
      <c r="K34" s="3"/>
      <c r="L34" s="3">
        <f t="shared" si="2"/>
        <v>2090</v>
      </c>
      <c r="M34" s="60"/>
      <c r="O34" s="350" t="s">
        <v>1523</v>
      </c>
      <c r="P34" s="347">
        <v>2170</v>
      </c>
    </row>
    <row r="35" spans="1:17">
      <c r="A35" s="63">
        <v>44645</v>
      </c>
      <c r="B35" s="6" t="s">
        <v>1521</v>
      </c>
      <c r="C35" s="3">
        <v>1800</v>
      </c>
      <c r="D35" s="3"/>
      <c r="E35" s="3">
        <f t="shared" si="0"/>
        <v>33153.050000000003</v>
      </c>
      <c r="F35" s="76"/>
      <c r="H35" s="2"/>
      <c r="I35" s="1"/>
      <c r="J35" s="3"/>
      <c r="K35" s="3"/>
      <c r="L35" s="3">
        <f t="shared" si="2"/>
        <v>2090</v>
      </c>
      <c r="M35" s="76"/>
      <c r="O35" s="350" t="s">
        <v>438</v>
      </c>
      <c r="P35" s="347">
        <f>1020/2</f>
        <v>510</v>
      </c>
    </row>
    <row r="36" spans="1:17">
      <c r="A36" s="63">
        <v>44646</v>
      </c>
      <c r="B36" s="59" t="s">
        <v>1527</v>
      </c>
      <c r="C36" s="3">
        <v>5611</v>
      </c>
      <c r="D36" s="3"/>
      <c r="E36" s="3">
        <f t="shared" si="0"/>
        <v>27542.050000000003</v>
      </c>
      <c r="F36" s="59"/>
      <c r="H36" s="2"/>
      <c r="I36" s="1"/>
      <c r="J36" s="3"/>
      <c r="K36" s="3"/>
      <c r="L36" s="3">
        <f t="shared" si="2"/>
        <v>2090</v>
      </c>
      <c r="M36" s="76"/>
      <c r="O36" s="350" t="s">
        <v>1517</v>
      </c>
      <c r="P36" s="347">
        <f>-F31</f>
        <v>-790</v>
      </c>
    </row>
    <row r="37" spans="1:17">
      <c r="A37" s="63">
        <v>44647</v>
      </c>
      <c r="B37" s="1" t="s">
        <v>1529</v>
      </c>
      <c r="C37" s="3">
        <v>3300</v>
      </c>
      <c r="D37" s="3"/>
      <c r="E37" s="3">
        <f t="shared" si="0"/>
        <v>24242.050000000003</v>
      </c>
      <c r="F37" s="59"/>
      <c r="H37" s="114"/>
      <c r="I37" s="6"/>
      <c r="J37" s="3"/>
      <c r="K37" s="3"/>
      <c r="L37" s="3">
        <f t="shared" si="2"/>
        <v>2090</v>
      </c>
      <c r="M37" s="76"/>
      <c r="N37" s="57"/>
      <c r="O37" s="350" t="s">
        <v>1522</v>
      </c>
      <c r="P37" s="347">
        <v>600</v>
      </c>
    </row>
    <row r="38" spans="1:17">
      <c r="A38" s="2">
        <v>44648</v>
      </c>
      <c r="B38" s="1" t="s">
        <v>1530</v>
      </c>
      <c r="C38" s="3">
        <v>812.5</v>
      </c>
      <c r="D38" s="3"/>
      <c r="E38" s="3">
        <f t="shared" si="0"/>
        <v>23429.550000000003</v>
      </c>
      <c r="F38" s="147"/>
      <c r="G38" s="195"/>
      <c r="H38" s="114"/>
      <c r="I38" s="6"/>
      <c r="J38" s="10"/>
      <c r="K38" s="3"/>
      <c r="L38" s="3">
        <f t="shared" si="2"/>
        <v>2090</v>
      </c>
      <c r="M38" s="76"/>
      <c r="O38" s="347" t="s">
        <v>1524</v>
      </c>
      <c r="P38" s="347">
        <v>1800</v>
      </c>
    </row>
    <row r="39" spans="1:17">
      <c r="A39" s="2">
        <v>44648</v>
      </c>
      <c r="B39" s="6" t="s">
        <v>1531</v>
      </c>
      <c r="C39" s="3">
        <v>1500</v>
      </c>
      <c r="D39" s="3"/>
      <c r="E39" s="3">
        <f t="shared" si="0"/>
        <v>21929.550000000003</v>
      </c>
      <c r="F39" s="147"/>
      <c r="G39" s="195"/>
      <c r="H39" s="114"/>
      <c r="I39" s="59"/>
      <c r="J39" s="60"/>
      <c r="K39" s="60"/>
      <c r="L39" s="3">
        <f t="shared" si="2"/>
        <v>2090</v>
      </c>
      <c r="M39" s="76"/>
      <c r="O39" s="347" t="s">
        <v>1526</v>
      </c>
      <c r="P39" s="347">
        <v>2321</v>
      </c>
    </row>
    <row r="40" spans="1:17">
      <c r="A40" s="2">
        <v>44648</v>
      </c>
      <c r="B40" s="1" t="s">
        <v>101</v>
      </c>
      <c r="C40" s="3">
        <v>4600.24</v>
      </c>
      <c r="D40" s="3"/>
      <c r="E40" s="3">
        <f t="shared" si="0"/>
        <v>17329.310000000005</v>
      </c>
      <c r="F40" s="118"/>
      <c r="G40" s="195"/>
      <c r="H40" s="2"/>
      <c r="I40" s="1"/>
      <c r="J40" s="3"/>
      <c r="K40" s="3"/>
      <c r="L40" s="3">
        <f t="shared" si="2"/>
        <v>2090</v>
      </c>
      <c r="M40" s="64"/>
      <c r="O40" s="344" t="s">
        <v>1525</v>
      </c>
      <c r="P40" s="344">
        <f>SUM(P33:P39)</f>
        <v>5611</v>
      </c>
      <c r="Q40" s="277" t="s">
        <v>1528</v>
      </c>
    </row>
    <row r="41" spans="1:17">
      <c r="A41" s="2">
        <v>44649</v>
      </c>
      <c r="B41" s="6" t="s">
        <v>1357</v>
      </c>
      <c r="C41" s="3"/>
      <c r="D41" s="3">
        <v>4.25</v>
      </c>
      <c r="E41" s="3">
        <f t="shared" si="0"/>
        <v>17333.560000000005</v>
      </c>
      <c r="F41" s="118"/>
      <c r="G41" s="195"/>
      <c r="H41" s="2"/>
      <c r="I41" s="1"/>
      <c r="J41" s="3"/>
      <c r="K41" s="3"/>
      <c r="L41" s="3">
        <f t="shared" si="2"/>
        <v>2090</v>
      </c>
      <c r="M41" s="126"/>
      <c r="N41" s="57"/>
    </row>
    <row r="42" spans="1:17">
      <c r="A42" s="2">
        <v>44649</v>
      </c>
      <c r="B42" s="1" t="s">
        <v>1532</v>
      </c>
      <c r="C42" s="3">
        <v>3200</v>
      </c>
      <c r="D42" s="3"/>
      <c r="E42" s="3">
        <f t="shared" si="0"/>
        <v>14133.560000000005</v>
      </c>
      <c r="F42" s="118"/>
      <c r="G42" s="195"/>
      <c r="H42" s="2"/>
      <c r="I42" s="1"/>
      <c r="J42" s="3"/>
      <c r="K42" s="3"/>
      <c r="L42" s="3">
        <f t="shared" si="2"/>
        <v>2090</v>
      </c>
      <c r="M42" s="127"/>
    </row>
    <row r="43" spans="1:17">
      <c r="A43" s="2">
        <v>44650</v>
      </c>
      <c r="B43" s="1" t="s">
        <v>1533</v>
      </c>
      <c r="C43" s="60"/>
      <c r="D43" s="3">
        <f>96582+11865</f>
        <v>108447</v>
      </c>
      <c r="E43" s="3">
        <f t="shared" si="0"/>
        <v>122580.56</v>
      </c>
      <c r="F43" s="118"/>
      <c r="H43" s="2"/>
      <c r="I43" s="6"/>
      <c r="J43" s="3"/>
      <c r="K43" s="3"/>
      <c r="L43" s="3">
        <f t="shared" si="2"/>
        <v>2090</v>
      </c>
      <c r="M43" s="44"/>
    </row>
    <row r="44" spans="1:17">
      <c r="A44" s="2">
        <v>44651</v>
      </c>
      <c r="B44" s="1" t="s">
        <v>1534</v>
      </c>
      <c r="C44" s="3">
        <v>300</v>
      </c>
      <c r="D44" s="3"/>
      <c r="E44" s="3">
        <f t="shared" si="0"/>
        <v>122280.56</v>
      </c>
      <c r="F44" s="118"/>
      <c r="G44" s="92"/>
      <c r="H44" s="2"/>
      <c r="I44" s="6"/>
      <c r="J44" s="3"/>
      <c r="K44" s="3"/>
      <c r="L44" s="3">
        <f t="shared" si="2"/>
        <v>2090</v>
      </c>
      <c r="M44" s="76"/>
    </row>
    <row r="45" spans="1:17">
      <c r="A45" s="2">
        <v>44651</v>
      </c>
      <c r="B45" s="1" t="s">
        <v>1535</v>
      </c>
      <c r="C45" s="3">
        <v>700</v>
      </c>
      <c r="D45" s="3"/>
      <c r="E45" s="3">
        <f t="shared" si="0"/>
        <v>121580.56</v>
      </c>
      <c r="F45" s="118"/>
      <c r="G45" s="92"/>
      <c r="H45" s="2"/>
      <c r="I45" s="1"/>
      <c r="J45" s="3"/>
      <c r="K45" s="3"/>
      <c r="L45" s="3">
        <f t="shared" si="2"/>
        <v>2090</v>
      </c>
      <c r="M45" s="1"/>
    </row>
    <row r="46" spans="1:17">
      <c r="A46" s="11"/>
      <c r="B46" s="12"/>
      <c r="C46" s="13"/>
      <c r="D46" s="13"/>
      <c r="E46" s="13">
        <f t="shared" si="0"/>
        <v>121580.56</v>
      </c>
      <c r="F46" s="316"/>
      <c r="G46" s="92"/>
      <c r="H46" s="2"/>
      <c r="I46" s="1"/>
      <c r="J46" s="3"/>
      <c r="K46" s="3"/>
      <c r="L46" s="3">
        <f t="shared" si="2"/>
        <v>2090</v>
      </c>
      <c r="M46" s="1"/>
    </row>
    <row r="47" spans="1:17">
      <c r="A47" s="11"/>
      <c r="B47" s="12"/>
      <c r="C47" s="13"/>
      <c r="D47" s="13"/>
      <c r="E47" s="13">
        <f t="shared" si="0"/>
        <v>121580.56</v>
      </c>
      <c r="F47" s="316"/>
      <c r="H47" s="2"/>
      <c r="I47" s="1"/>
      <c r="J47" s="3"/>
      <c r="K47" s="3"/>
      <c r="L47" s="3">
        <f t="shared" si="2"/>
        <v>2090</v>
      </c>
      <c r="M47" s="64"/>
      <c r="N47" s="83"/>
    </row>
    <row r="48" spans="1:17">
      <c r="A48" s="2"/>
      <c r="B48" s="1"/>
      <c r="C48" s="3"/>
      <c r="D48" s="3"/>
      <c r="E48" s="3">
        <f t="shared" si="0"/>
        <v>121580.56</v>
      </c>
      <c r="F48" s="3"/>
      <c r="H48" s="2"/>
      <c r="I48" s="1"/>
      <c r="J48" s="3"/>
      <c r="K48" s="3"/>
      <c r="L48" s="3">
        <f t="shared" si="2"/>
        <v>2090</v>
      </c>
      <c r="M48" s="1"/>
    </row>
    <row r="49" spans="1:14">
      <c r="A49" s="2"/>
      <c r="B49" s="1"/>
      <c r="C49" s="3"/>
      <c r="D49" s="3"/>
      <c r="E49" s="3">
        <f t="shared" si="0"/>
        <v>121580.56</v>
      </c>
      <c r="F49" s="5"/>
      <c r="H49" s="2"/>
      <c r="I49" s="1"/>
      <c r="J49" s="3"/>
      <c r="K49" s="3"/>
      <c r="L49" s="3">
        <f t="shared" si="2"/>
        <v>2090</v>
      </c>
      <c r="M49" s="44"/>
    </row>
    <row r="50" spans="1:14">
      <c r="A50" s="1"/>
      <c r="B50" s="1"/>
      <c r="C50" s="3"/>
      <c r="D50" s="3"/>
      <c r="E50" s="3">
        <f t="shared" si="0"/>
        <v>121580.56</v>
      </c>
      <c r="F50" s="1"/>
      <c r="H50" s="2"/>
      <c r="I50" s="1"/>
      <c r="J50" s="3"/>
      <c r="K50" s="3"/>
      <c r="L50" s="3">
        <f t="shared" si="2"/>
        <v>2090</v>
      </c>
      <c r="M50" s="1"/>
    </row>
    <row r="51" spans="1:14">
      <c r="A51" s="1"/>
      <c r="B51" s="1"/>
      <c r="C51" s="3"/>
      <c r="D51" s="3"/>
      <c r="E51" s="3">
        <f t="shared" si="0"/>
        <v>121580.56</v>
      </c>
      <c r="F51" s="1"/>
      <c r="H51" s="2"/>
      <c r="I51" s="1"/>
      <c r="J51" s="3"/>
      <c r="K51" s="3"/>
      <c r="L51" s="3">
        <f t="shared" si="2"/>
        <v>2090</v>
      </c>
      <c r="M51" s="1"/>
    </row>
    <row r="52" spans="1:14">
      <c r="A52" s="1"/>
      <c r="B52" s="1"/>
      <c r="C52" s="3"/>
      <c r="D52" s="3"/>
      <c r="E52" s="3">
        <f t="shared" si="0"/>
        <v>121580.56</v>
      </c>
      <c r="F52" s="1"/>
      <c r="H52" s="2"/>
      <c r="I52" s="6"/>
      <c r="J52" s="3"/>
      <c r="K52" s="3"/>
      <c r="L52" s="3">
        <f t="shared" si="2"/>
        <v>2090</v>
      </c>
      <c r="M52" s="44"/>
    </row>
    <row r="53" spans="1:14">
      <c r="A53" s="1"/>
      <c r="B53" s="1"/>
      <c r="C53" s="3"/>
      <c r="D53" s="3"/>
      <c r="E53" s="3">
        <f t="shared" si="0"/>
        <v>121580.56</v>
      </c>
      <c r="F53" s="1"/>
      <c r="H53" s="2"/>
      <c r="I53" s="1"/>
      <c r="J53" s="3"/>
      <c r="K53" s="3"/>
      <c r="L53" s="3">
        <f t="shared" si="2"/>
        <v>2090</v>
      </c>
      <c r="M53" s="1"/>
      <c r="N53" s="41"/>
    </row>
    <row r="54" spans="1:14">
      <c r="E54" s="3">
        <f t="shared" si="0"/>
        <v>121580.56</v>
      </c>
      <c r="H54" s="2"/>
      <c r="I54" s="1"/>
      <c r="J54" s="3"/>
      <c r="K54" s="3"/>
      <c r="L54" s="3">
        <f t="shared" si="2"/>
        <v>2090</v>
      </c>
      <c r="M54" s="1"/>
    </row>
    <row r="55" spans="1:14">
      <c r="E55" s="3">
        <f t="shared" si="0"/>
        <v>121580.56</v>
      </c>
      <c r="H55" s="2"/>
      <c r="I55" s="1"/>
      <c r="J55" s="3"/>
      <c r="K55" s="3"/>
      <c r="L55" s="3">
        <f t="shared" si="2"/>
        <v>2090</v>
      </c>
      <c r="M55" s="1"/>
    </row>
    <row r="56" spans="1:14">
      <c r="E56" s="3">
        <f t="shared" si="0"/>
        <v>121580.56</v>
      </c>
      <c r="H56" s="2"/>
      <c r="I56" s="1"/>
      <c r="J56" s="3"/>
      <c r="K56" s="3"/>
      <c r="L56" s="3">
        <f t="shared" si="2"/>
        <v>2090</v>
      </c>
      <c r="M56" s="1"/>
    </row>
    <row r="57" spans="1:14">
      <c r="E57" s="3">
        <f t="shared" si="0"/>
        <v>121580.56</v>
      </c>
      <c r="H57" s="2"/>
      <c r="I57" s="1"/>
      <c r="J57" s="3"/>
      <c r="K57" s="3"/>
      <c r="L57" s="3">
        <f t="shared" si="2"/>
        <v>2090</v>
      </c>
      <c r="M57" s="1"/>
    </row>
    <row r="58" spans="1:14">
      <c r="E58" s="3">
        <f t="shared" si="0"/>
        <v>121580.56</v>
      </c>
      <c r="H58" s="2"/>
      <c r="I58" s="1"/>
      <c r="J58" s="3"/>
      <c r="K58" s="3"/>
      <c r="L58" s="3">
        <f t="shared" si="2"/>
        <v>2090</v>
      </c>
      <c r="M58" s="64"/>
    </row>
    <row r="59" spans="1:14">
      <c r="E59" s="3">
        <f t="shared" si="0"/>
        <v>121580.56</v>
      </c>
      <c r="H59" s="1"/>
      <c r="I59" s="1"/>
      <c r="J59" s="3"/>
      <c r="K59" s="3"/>
      <c r="L59" s="3">
        <f t="shared" si="2"/>
        <v>2090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A7DB-452F-B94F-AE0A-EC3FF980EC37}">
  <dimension ref="A1:S1048576"/>
  <sheetViews>
    <sheetView showGridLines="0" topLeftCell="E1" zoomScale="125" workbookViewId="0">
      <selection activeCell="B18" sqref="B18"/>
    </sheetView>
  </sheetViews>
  <sheetFormatPr baseColWidth="10" defaultRowHeight="16"/>
  <cols>
    <col min="1" max="1" width="7.33203125" bestFit="1" customWidth="1"/>
    <col min="2" max="2" width="28.6640625" customWidth="1"/>
    <col min="3" max="3" width="12.5" style="4" bestFit="1" customWidth="1"/>
    <col min="4" max="4" width="13.5" style="4" customWidth="1"/>
    <col min="5" max="5" width="13" customWidth="1"/>
    <col min="6" max="6" width="11" customWidth="1"/>
    <col min="7" max="7" width="13.6640625" customWidth="1"/>
    <col min="8" max="8" width="7.33203125" bestFit="1" customWidth="1"/>
    <col min="9" max="9" width="22.83203125" customWidth="1"/>
    <col min="10" max="11" width="12.5" bestFit="1" customWidth="1"/>
    <col min="12" max="12" width="12" bestFit="1" customWidth="1"/>
    <col min="13" max="13" width="12.83203125" customWidth="1"/>
    <col min="14" max="14" width="7.33203125" customWidth="1"/>
    <col min="15" max="15" width="30" style="358" customWidth="1"/>
    <col min="16" max="16" width="12.5" style="93" bestFit="1" customWidth="1"/>
    <col min="17" max="17" width="14.1640625" customWidth="1"/>
  </cols>
  <sheetData>
    <row r="1" spans="1:19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363" t="s">
        <v>111</v>
      </c>
      <c r="P2" s="365"/>
      <c r="Q2" s="66"/>
    </row>
    <row r="3" spans="1:19">
      <c r="A3" s="2"/>
      <c r="B3" s="1" t="s">
        <v>4</v>
      </c>
      <c r="C3" s="283"/>
      <c r="D3" s="283"/>
      <c r="E3" s="3">
        <v>121580.56</v>
      </c>
      <c r="F3" s="34"/>
      <c r="G3" s="271" t="s">
        <v>170</v>
      </c>
      <c r="H3" s="2"/>
      <c r="I3" s="282" t="s">
        <v>4</v>
      </c>
      <c r="J3" s="287"/>
      <c r="K3" s="287"/>
      <c r="L3" s="3">
        <v>0</v>
      </c>
      <c r="M3" s="37"/>
      <c r="O3" s="366" t="s">
        <v>1547</v>
      </c>
      <c r="P3" s="365">
        <v>-4774</v>
      </c>
      <c r="Q3" s="21"/>
      <c r="R3" s="21"/>
      <c r="S3" s="21"/>
    </row>
    <row r="4" spans="1:19">
      <c r="A4" s="2">
        <v>44652</v>
      </c>
      <c r="B4" s="1" t="s">
        <v>1536</v>
      </c>
      <c r="C4" s="3">
        <v>930</v>
      </c>
      <c r="D4" s="3"/>
      <c r="E4" s="3">
        <f>+E3-C4+D4</f>
        <v>120650.56</v>
      </c>
      <c r="F4" s="59"/>
      <c r="G4" s="56">
        <f>+E57+L30</f>
        <v>19415.52</v>
      </c>
      <c r="H4" s="2"/>
      <c r="I4" s="1"/>
      <c r="J4" s="3"/>
      <c r="K4" s="3"/>
      <c r="L4" s="3">
        <f>+L3+K4-J4</f>
        <v>0</v>
      </c>
      <c r="M4" s="95"/>
      <c r="O4" s="366" t="s">
        <v>1550</v>
      </c>
      <c r="P4" s="365">
        <v>1300</v>
      </c>
      <c r="Q4" s="21"/>
      <c r="R4" s="21"/>
      <c r="S4" s="21"/>
    </row>
    <row r="5" spans="1:19">
      <c r="A5" s="2">
        <v>44652</v>
      </c>
      <c r="B5" s="1" t="s">
        <v>1537</v>
      </c>
      <c r="C5" s="60">
        <v>1552</v>
      </c>
      <c r="D5" s="3"/>
      <c r="E5" s="3">
        <f t="shared" ref="E5:E59" si="0">+E4-C5+D5</f>
        <v>119098.56</v>
      </c>
      <c r="F5" s="37">
        <f>+C5/2</f>
        <v>776</v>
      </c>
      <c r="G5" s="41"/>
      <c r="H5" s="2"/>
      <c r="I5" s="284"/>
      <c r="J5" s="3"/>
      <c r="K5" s="3"/>
      <c r="L5" s="3">
        <f t="shared" ref="L5:L9" si="1">+L4+K5-J5</f>
        <v>0</v>
      </c>
      <c r="M5" s="96"/>
      <c r="O5" s="366" t="s">
        <v>1551</v>
      </c>
      <c r="P5" s="365">
        <v>325</v>
      </c>
      <c r="Q5" s="21"/>
      <c r="R5" s="21"/>
      <c r="S5" s="21"/>
    </row>
    <row r="6" spans="1:19">
      <c r="A6" s="2">
        <v>44652</v>
      </c>
      <c r="B6" s="59" t="s">
        <v>1538</v>
      </c>
      <c r="C6" s="60">
        <v>3600.7</v>
      </c>
      <c r="D6" s="3"/>
      <c r="E6" s="3">
        <f t="shared" si="0"/>
        <v>115497.86</v>
      </c>
      <c r="F6" s="59"/>
      <c r="G6" s="189"/>
      <c r="H6" s="2"/>
      <c r="I6" s="285"/>
      <c r="J6" s="243"/>
      <c r="K6" s="243"/>
      <c r="L6" s="3">
        <f t="shared" si="1"/>
        <v>0</v>
      </c>
      <c r="M6" s="96"/>
      <c r="O6" s="367" t="s">
        <v>1552</v>
      </c>
      <c r="P6" s="365">
        <v>160</v>
      </c>
    </row>
    <row r="7" spans="1:19">
      <c r="A7" s="2">
        <v>44652</v>
      </c>
      <c r="B7" s="59" t="s">
        <v>1538</v>
      </c>
      <c r="C7" s="60">
        <v>4300</v>
      </c>
      <c r="D7" s="3"/>
      <c r="E7" s="3">
        <f t="shared" si="0"/>
        <v>111197.86</v>
      </c>
      <c r="F7" s="60"/>
      <c r="G7" s="190"/>
      <c r="H7" s="2"/>
      <c r="I7" s="286"/>
      <c r="J7" s="60"/>
      <c r="K7" s="3"/>
      <c r="L7" s="3">
        <f t="shared" si="1"/>
        <v>0</v>
      </c>
      <c r="M7" s="60"/>
      <c r="O7" s="367" t="s">
        <v>1553</v>
      </c>
      <c r="P7" s="365">
        <v>430</v>
      </c>
    </row>
    <row r="8" spans="1:19">
      <c r="A8" s="2">
        <v>44653</v>
      </c>
      <c r="B8" s="59" t="s">
        <v>1539</v>
      </c>
      <c r="C8" s="60">
        <v>2500</v>
      </c>
      <c r="D8" s="3"/>
      <c r="E8" s="3">
        <f t="shared" si="0"/>
        <v>108697.86</v>
      </c>
      <c r="F8" s="197"/>
      <c r="G8" s="189"/>
      <c r="H8" s="2"/>
      <c r="I8" s="282"/>
      <c r="J8" s="287"/>
      <c r="K8" s="287"/>
      <c r="L8" s="3">
        <f t="shared" si="1"/>
        <v>0</v>
      </c>
      <c r="M8" s="96"/>
      <c r="O8" s="367" t="s">
        <v>1554</v>
      </c>
      <c r="P8" s="365">
        <v>175</v>
      </c>
    </row>
    <row r="9" spans="1:19">
      <c r="A9" s="2">
        <v>44655</v>
      </c>
      <c r="B9" s="59" t="s">
        <v>1540</v>
      </c>
      <c r="C9" s="60">
        <v>1620</v>
      </c>
      <c r="D9" s="3"/>
      <c r="E9" s="3">
        <f t="shared" si="0"/>
        <v>107077.86</v>
      </c>
      <c r="F9" s="59"/>
      <c r="H9" s="2"/>
      <c r="I9" s="98"/>
      <c r="J9" s="3"/>
      <c r="K9" s="3"/>
      <c r="L9" s="3">
        <f t="shared" si="1"/>
        <v>0</v>
      </c>
      <c r="M9" s="96"/>
      <c r="O9" s="367" t="s">
        <v>1555</v>
      </c>
      <c r="P9" s="365">
        <v>0</v>
      </c>
    </row>
    <row r="10" spans="1:19">
      <c r="A10" s="2">
        <v>44655</v>
      </c>
      <c r="B10" s="59" t="s">
        <v>1541</v>
      </c>
      <c r="C10" s="60">
        <f>370+370</f>
        <v>740</v>
      </c>
      <c r="D10" s="3"/>
      <c r="E10" s="3">
        <f t="shared" si="0"/>
        <v>106337.86</v>
      </c>
      <c r="F10" s="60"/>
      <c r="G10" s="307"/>
      <c r="H10" s="2"/>
      <c r="I10" s="286"/>
      <c r="J10" s="60"/>
      <c r="K10" s="3"/>
      <c r="L10" s="3">
        <f t="shared" ref="L10:L25" si="2">+L9+K10-J10</f>
        <v>0</v>
      </c>
      <c r="M10" s="96"/>
      <c r="N10" s="57"/>
      <c r="O10" s="367" t="s">
        <v>1556</v>
      </c>
      <c r="P10" s="365">
        <v>0</v>
      </c>
    </row>
    <row r="11" spans="1:19">
      <c r="A11" s="2">
        <v>44655</v>
      </c>
      <c r="B11" s="59" t="s">
        <v>1538</v>
      </c>
      <c r="C11" s="60">
        <v>5000.3</v>
      </c>
      <c r="D11" s="3"/>
      <c r="E11" s="3">
        <f t="shared" si="0"/>
        <v>101337.56</v>
      </c>
      <c r="F11" s="60"/>
      <c r="G11" s="308"/>
      <c r="H11" s="2"/>
      <c r="I11" s="286"/>
      <c r="J11" s="76"/>
      <c r="K11" s="3"/>
      <c r="L11" s="3">
        <f t="shared" si="2"/>
        <v>0</v>
      </c>
      <c r="M11" s="96"/>
      <c r="N11" s="57"/>
      <c r="O11" s="367" t="s">
        <v>1575</v>
      </c>
      <c r="P11" s="365">
        <v>700</v>
      </c>
    </row>
    <row r="12" spans="1:19">
      <c r="A12" s="2">
        <v>44655</v>
      </c>
      <c r="B12" s="59" t="s">
        <v>1541</v>
      </c>
      <c r="C12" s="60">
        <v>680</v>
      </c>
      <c r="D12" s="3"/>
      <c r="E12" s="3">
        <f t="shared" si="0"/>
        <v>100657.56</v>
      </c>
      <c r="F12" s="198"/>
      <c r="H12" s="2"/>
      <c r="I12" s="286"/>
      <c r="J12" s="76"/>
      <c r="K12" s="3"/>
      <c r="L12" s="3">
        <f t="shared" si="2"/>
        <v>0</v>
      </c>
      <c r="M12" s="148"/>
      <c r="N12" s="57"/>
      <c r="O12" s="367" t="s">
        <v>1576</v>
      </c>
      <c r="P12" s="365">
        <v>-425</v>
      </c>
    </row>
    <row r="13" spans="1:19">
      <c r="A13" s="2">
        <v>44655</v>
      </c>
      <c r="B13" s="59" t="s">
        <v>1542</v>
      </c>
      <c r="C13" s="60">
        <v>1500</v>
      </c>
      <c r="D13" s="3"/>
      <c r="E13" s="3">
        <f t="shared" si="0"/>
        <v>99157.56</v>
      </c>
      <c r="F13" s="60"/>
      <c r="G13" s="57"/>
      <c r="H13" s="2"/>
      <c r="I13" s="286"/>
      <c r="J13" s="3"/>
      <c r="K13" s="3"/>
      <c r="L13" s="3">
        <f t="shared" si="2"/>
        <v>0</v>
      </c>
      <c r="M13" s="64"/>
      <c r="O13" s="367" t="s">
        <v>1577</v>
      </c>
      <c r="P13" s="365">
        <v>-1500</v>
      </c>
    </row>
    <row r="14" spans="1:19" ht="19">
      <c r="A14" s="2">
        <v>44655</v>
      </c>
      <c r="B14" s="59" t="s">
        <v>1543</v>
      </c>
      <c r="C14" s="60">
        <v>3500</v>
      </c>
      <c r="D14" s="3"/>
      <c r="E14" s="3">
        <f t="shared" si="0"/>
        <v>95657.56</v>
      </c>
      <c r="F14" s="60">
        <f>+C14/2</f>
        <v>1750</v>
      </c>
      <c r="G14" s="330"/>
      <c r="H14" s="2"/>
      <c r="I14" s="1"/>
      <c r="J14" s="3"/>
      <c r="K14" s="3"/>
      <c r="L14" s="3">
        <f t="shared" si="2"/>
        <v>0</v>
      </c>
      <c r="M14" s="96"/>
      <c r="O14" s="367" t="s">
        <v>1578</v>
      </c>
      <c r="P14" s="365">
        <v>-145</v>
      </c>
    </row>
    <row r="15" spans="1:19">
      <c r="A15" s="2">
        <v>44656</v>
      </c>
      <c r="B15" s="59" t="s">
        <v>1486</v>
      </c>
      <c r="C15" s="60">
        <v>4500</v>
      </c>
      <c r="D15" s="3"/>
      <c r="E15" s="3">
        <f t="shared" si="0"/>
        <v>91157.56</v>
      </c>
      <c r="F15" s="60"/>
      <c r="H15" s="2"/>
      <c r="I15" s="1"/>
      <c r="J15" s="3"/>
      <c r="K15" s="3"/>
      <c r="L15" s="3">
        <f t="shared" si="2"/>
        <v>0</v>
      </c>
      <c r="M15" s="96"/>
      <c r="O15" s="367" t="s">
        <v>1579</v>
      </c>
      <c r="P15" s="365">
        <v>-2595</v>
      </c>
    </row>
    <row r="16" spans="1:19">
      <c r="A16" s="2">
        <v>44656</v>
      </c>
      <c r="B16" s="59" t="s">
        <v>1493</v>
      </c>
      <c r="C16" s="60">
        <v>5000</v>
      </c>
      <c r="D16" s="60"/>
      <c r="E16" s="3">
        <f t="shared" si="0"/>
        <v>86157.56</v>
      </c>
      <c r="F16" s="60"/>
      <c r="H16" s="2"/>
      <c r="I16" s="1"/>
      <c r="J16" s="3"/>
      <c r="K16" s="3"/>
      <c r="L16" s="3">
        <f t="shared" si="2"/>
        <v>0</v>
      </c>
      <c r="M16" s="60"/>
      <c r="O16" s="367" t="s">
        <v>1580</v>
      </c>
      <c r="P16" s="365">
        <v>-500</v>
      </c>
    </row>
    <row r="17" spans="1:18">
      <c r="A17" s="58">
        <v>44656</v>
      </c>
      <c r="B17" s="59" t="s">
        <v>1544</v>
      </c>
      <c r="C17" s="60">
        <v>240</v>
      </c>
      <c r="D17" s="3"/>
      <c r="E17" s="3">
        <f t="shared" si="0"/>
        <v>85917.56</v>
      </c>
      <c r="F17" s="60"/>
      <c r="H17" s="2"/>
      <c r="I17" s="1"/>
      <c r="J17" s="10"/>
      <c r="K17" s="3"/>
      <c r="L17" s="3">
        <f t="shared" si="2"/>
        <v>0</v>
      </c>
      <c r="M17" s="96"/>
      <c r="O17" s="366" t="s">
        <v>1581</v>
      </c>
      <c r="P17" s="365">
        <v>-1510</v>
      </c>
    </row>
    <row r="18" spans="1:18">
      <c r="A18" s="58">
        <v>44656</v>
      </c>
      <c r="B18" s="59" t="s">
        <v>1545</v>
      </c>
      <c r="C18" s="60">
        <v>8211</v>
      </c>
      <c r="D18" s="3"/>
      <c r="E18" s="3">
        <f t="shared" si="0"/>
        <v>77706.559999999998</v>
      </c>
      <c r="F18" s="60"/>
      <c r="H18" s="2"/>
      <c r="I18" s="1"/>
      <c r="J18" s="3"/>
      <c r="K18" s="3"/>
      <c r="L18" s="3">
        <f t="shared" si="2"/>
        <v>0</v>
      </c>
      <c r="M18" s="60"/>
      <c r="N18" s="57"/>
      <c r="O18" s="366" t="s">
        <v>83</v>
      </c>
      <c r="P18" s="365">
        <v>-1350</v>
      </c>
    </row>
    <row r="19" spans="1:18">
      <c r="A19" s="58">
        <v>44656</v>
      </c>
      <c r="B19" s="59" t="s">
        <v>1546</v>
      </c>
      <c r="C19" s="60">
        <v>4500</v>
      </c>
      <c r="D19" s="159"/>
      <c r="E19" s="3">
        <f t="shared" si="0"/>
        <v>73206.559999999998</v>
      </c>
      <c r="F19" s="60"/>
      <c r="H19" s="2"/>
      <c r="I19" s="1"/>
      <c r="J19" s="3"/>
      <c r="K19" s="3"/>
      <c r="L19" s="3">
        <f t="shared" si="2"/>
        <v>0</v>
      </c>
      <c r="M19" s="37"/>
      <c r="O19" s="367" t="s">
        <v>1582</v>
      </c>
      <c r="P19" s="365">
        <v>-125</v>
      </c>
    </row>
    <row r="20" spans="1:18">
      <c r="A20" s="58">
        <v>44657</v>
      </c>
      <c r="B20" s="319" t="s">
        <v>1557</v>
      </c>
      <c r="C20" s="60"/>
      <c r="D20" s="3">
        <v>4774</v>
      </c>
      <c r="E20" s="3">
        <f t="shared" si="0"/>
        <v>77980.56</v>
      </c>
      <c r="F20" s="60"/>
      <c r="H20" s="58"/>
      <c r="I20" s="6"/>
      <c r="J20" s="3"/>
      <c r="K20" s="3"/>
      <c r="L20" s="3">
        <f t="shared" si="2"/>
        <v>0</v>
      </c>
      <c r="M20" s="60"/>
      <c r="O20" s="367" t="s">
        <v>1583</v>
      </c>
      <c r="P20" s="365">
        <v>230</v>
      </c>
    </row>
    <row r="21" spans="1:18">
      <c r="A21" s="58">
        <v>44657</v>
      </c>
      <c r="B21" s="59" t="s">
        <v>1558</v>
      </c>
      <c r="C21" s="60"/>
      <c r="D21" s="3">
        <v>750</v>
      </c>
      <c r="E21" s="3">
        <f t="shared" si="0"/>
        <v>78730.559999999998</v>
      </c>
      <c r="F21" s="96"/>
      <c r="H21" s="58"/>
      <c r="I21" s="1"/>
      <c r="J21" s="3"/>
      <c r="K21" s="3"/>
      <c r="L21" s="3">
        <f t="shared" si="2"/>
        <v>0</v>
      </c>
      <c r="M21" s="60"/>
      <c r="O21" s="368" t="s">
        <v>1584</v>
      </c>
      <c r="P21" s="365">
        <f>3700/2</f>
        <v>1850</v>
      </c>
    </row>
    <row r="22" spans="1:18">
      <c r="A22" s="58">
        <v>44657</v>
      </c>
      <c r="B22" s="59" t="s">
        <v>1559</v>
      </c>
      <c r="C22" s="60">
        <v>5000</v>
      </c>
      <c r="D22" s="60"/>
      <c r="E22" s="3">
        <f t="shared" si="0"/>
        <v>73730.559999999998</v>
      </c>
      <c r="F22" s="60"/>
      <c r="H22" s="58"/>
      <c r="I22" s="1"/>
      <c r="J22" s="60"/>
      <c r="K22" s="3"/>
      <c r="L22" s="3">
        <f t="shared" si="2"/>
        <v>0</v>
      </c>
      <c r="M22" s="60"/>
      <c r="O22" s="369" t="s">
        <v>1585</v>
      </c>
      <c r="P22" s="370">
        <f>2745/2</f>
        <v>1372.5</v>
      </c>
      <c r="Q22" s="308"/>
      <c r="R22" s="308"/>
    </row>
    <row r="23" spans="1:18">
      <c r="A23" s="58">
        <v>44657</v>
      </c>
      <c r="B23" s="59" t="s">
        <v>1560</v>
      </c>
      <c r="C23" s="60">
        <v>2661.99</v>
      </c>
      <c r="D23" s="3"/>
      <c r="E23" s="3">
        <f t="shared" si="0"/>
        <v>71068.569999999992</v>
      </c>
      <c r="F23" s="60">
        <f>+C23/2</f>
        <v>1330.9949999999999</v>
      </c>
      <c r="G23" s="41"/>
      <c r="H23" s="58"/>
      <c r="I23" s="1"/>
      <c r="J23" s="3"/>
      <c r="K23" s="3"/>
      <c r="L23" s="3">
        <f t="shared" si="2"/>
        <v>0</v>
      </c>
      <c r="M23" s="96"/>
      <c r="N23" s="90"/>
      <c r="O23" s="366" t="s">
        <v>1586</v>
      </c>
      <c r="P23" s="370">
        <f>-2258/2</f>
        <v>-1129</v>
      </c>
      <c r="Q23" s="308"/>
    </row>
    <row r="24" spans="1:18">
      <c r="A24" s="58">
        <v>44657</v>
      </c>
      <c r="B24" s="59" t="s">
        <v>830</v>
      </c>
      <c r="C24" s="60">
        <v>13000</v>
      </c>
      <c r="D24" s="3"/>
      <c r="E24" s="3">
        <f t="shared" si="0"/>
        <v>58068.569999999992</v>
      </c>
      <c r="F24" s="60"/>
      <c r="H24" s="58"/>
      <c r="I24" s="1"/>
      <c r="J24" s="3"/>
      <c r="K24" s="3"/>
      <c r="L24" s="3">
        <f t="shared" si="2"/>
        <v>0</v>
      </c>
      <c r="M24" s="76"/>
      <c r="N24" s="57"/>
      <c r="O24" s="367" t="s">
        <v>1587</v>
      </c>
      <c r="P24" s="365">
        <v>-250</v>
      </c>
    </row>
    <row r="25" spans="1:18">
      <c r="A25" s="2">
        <v>44660</v>
      </c>
      <c r="B25" s="59" t="s">
        <v>830</v>
      </c>
      <c r="C25" s="60">
        <v>20000</v>
      </c>
      <c r="D25" s="3"/>
      <c r="E25" s="3">
        <f t="shared" si="0"/>
        <v>38068.569999999992</v>
      </c>
      <c r="F25" s="60"/>
      <c r="H25" s="58"/>
      <c r="I25" s="1"/>
      <c r="J25" s="3"/>
      <c r="K25" s="3"/>
      <c r="L25" s="3">
        <f t="shared" si="2"/>
        <v>0</v>
      </c>
      <c r="M25" s="60"/>
      <c r="O25" s="366" t="s">
        <v>1588</v>
      </c>
      <c r="P25" s="365">
        <v>1085</v>
      </c>
    </row>
    <row r="26" spans="1:18">
      <c r="A26" s="2">
        <v>44660</v>
      </c>
      <c r="B26" s="59" t="s">
        <v>1561</v>
      </c>
      <c r="C26" s="3"/>
      <c r="D26" s="3">
        <v>50000</v>
      </c>
      <c r="E26" s="3">
        <f t="shared" si="0"/>
        <v>88068.569999999992</v>
      </c>
      <c r="F26" s="37"/>
      <c r="H26" s="58"/>
      <c r="I26" s="1"/>
      <c r="J26" s="60"/>
      <c r="K26" s="3"/>
      <c r="L26" s="3">
        <f t="shared" ref="L26:L59" si="3">+L25-J26+K26</f>
        <v>0</v>
      </c>
      <c r="M26" s="60"/>
      <c r="O26" s="366" t="s">
        <v>1589</v>
      </c>
      <c r="P26" s="365">
        <v>12550</v>
      </c>
    </row>
    <row r="27" spans="1:18">
      <c r="A27" s="2">
        <v>44662</v>
      </c>
      <c r="B27" s="59" t="s">
        <v>1562</v>
      </c>
      <c r="C27" s="3">
        <v>250</v>
      </c>
      <c r="D27" s="3"/>
      <c r="E27" s="3">
        <f t="shared" si="0"/>
        <v>87818.569999999992</v>
      </c>
      <c r="F27" s="60">
        <f>+C27</f>
        <v>250</v>
      </c>
      <c r="H27" s="58"/>
      <c r="I27" s="1"/>
      <c r="J27" s="3"/>
      <c r="K27" s="3"/>
      <c r="L27" s="3">
        <f t="shared" si="3"/>
        <v>0</v>
      </c>
      <c r="M27" s="76"/>
      <c r="O27" s="367" t="s">
        <v>1590</v>
      </c>
      <c r="P27" s="365">
        <v>-995</v>
      </c>
    </row>
    <row r="28" spans="1:18">
      <c r="A28" s="2">
        <v>44662</v>
      </c>
      <c r="B28" s="6" t="s">
        <v>1563</v>
      </c>
      <c r="C28" s="10">
        <v>1775</v>
      </c>
      <c r="D28" s="10"/>
      <c r="E28" s="3">
        <f t="shared" si="0"/>
        <v>86043.569999999992</v>
      </c>
      <c r="F28" s="60">
        <f>+C28/2</f>
        <v>887.5</v>
      </c>
      <c r="H28" s="2"/>
      <c r="I28" s="1"/>
      <c r="J28" s="3"/>
      <c r="K28" s="3"/>
      <c r="L28" s="3">
        <f t="shared" si="3"/>
        <v>0</v>
      </c>
      <c r="M28" s="60"/>
      <c r="O28" s="367" t="s">
        <v>1591</v>
      </c>
      <c r="P28" s="365">
        <v>3250</v>
      </c>
    </row>
    <row r="29" spans="1:18">
      <c r="A29" s="2">
        <v>44662</v>
      </c>
      <c r="B29" s="6" t="s">
        <v>101</v>
      </c>
      <c r="C29" s="37">
        <v>4500</v>
      </c>
      <c r="D29" s="10"/>
      <c r="E29" s="3">
        <f t="shared" si="0"/>
        <v>81543.569999999992</v>
      </c>
      <c r="F29" s="37"/>
      <c r="H29" s="2"/>
      <c r="I29" s="6"/>
      <c r="J29" s="3"/>
      <c r="K29" s="3"/>
      <c r="L29" s="3">
        <f t="shared" si="3"/>
        <v>0</v>
      </c>
      <c r="M29" s="60"/>
      <c r="O29" s="367" t="s">
        <v>1592</v>
      </c>
      <c r="P29" s="365">
        <v>-960</v>
      </c>
    </row>
    <row r="30" spans="1:18">
      <c r="A30" s="2">
        <v>44662</v>
      </c>
      <c r="B30" s="59" t="s">
        <v>830</v>
      </c>
      <c r="C30" s="60">
        <v>15000</v>
      </c>
      <c r="D30" s="3"/>
      <c r="E30" s="3">
        <f t="shared" si="0"/>
        <v>66543.569999999992</v>
      </c>
      <c r="F30" s="59"/>
      <c r="H30" s="2"/>
      <c r="I30" s="1"/>
      <c r="J30" s="3"/>
      <c r="K30" s="3"/>
      <c r="L30" s="3">
        <f t="shared" si="3"/>
        <v>0</v>
      </c>
      <c r="M30" s="194"/>
      <c r="N30" s="41"/>
      <c r="O30" s="366" t="s">
        <v>1593</v>
      </c>
      <c r="P30" s="365">
        <f>-SUM(F4:F38)</f>
        <v>-15736.855</v>
      </c>
    </row>
    <row r="31" spans="1:18">
      <c r="A31" s="63">
        <v>44663</v>
      </c>
      <c r="B31" s="59" t="s">
        <v>1564</v>
      </c>
      <c r="C31" s="60"/>
      <c r="D31" s="3">
        <v>600</v>
      </c>
      <c r="E31" s="3">
        <f t="shared" si="0"/>
        <v>67143.569999999992</v>
      </c>
      <c r="F31" s="37"/>
      <c r="H31" s="2"/>
      <c r="I31" s="1"/>
      <c r="J31" s="3"/>
      <c r="K31" s="3"/>
      <c r="L31" s="3">
        <f t="shared" si="3"/>
        <v>0</v>
      </c>
      <c r="M31" s="60"/>
      <c r="O31" s="363" t="s">
        <v>1594</v>
      </c>
      <c r="P31" s="364">
        <f>SUM(P3:P30)</f>
        <v>-8567.3549999999996</v>
      </c>
      <c r="Q31" s="259" t="s">
        <v>1604</v>
      </c>
    </row>
    <row r="32" spans="1:18">
      <c r="A32" s="63">
        <v>44664</v>
      </c>
      <c r="B32" s="36" t="s">
        <v>1565</v>
      </c>
      <c r="C32" s="37">
        <v>44942.42</v>
      </c>
      <c r="D32" s="10"/>
      <c r="E32" s="3">
        <f t="shared" si="0"/>
        <v>22201.149999999994</v>
      </c>
      <c r="F32" s="60">
        <v>4942.42</v>
      </c>
      <c r="H32" s="208"/>
      <c r="I32" s="202"/>
      <c r="J32" s="3"/>
      <c r="K32" s="3"/>
      <c r="L32" s="3">
        <f t="shared" si="3"/>
        <v>0</v>
      </c>
      <c r="M32" s="76"/>
      <c r="O32" s="359"/>
    </row>
    <row r="33" spans="1:18">
      <c r="A33" s="63">
        <v>44666</v>
      </c>
      <c r="B33" s="6" t="s">
        <v>1566</v>
      </c>
      <c r="C33" s="10"/>
      <c r="D33" s="10">
        <v>600</v>
      </c>
      <c r="E33" s="10">
        <f t="shared" si="0"/>
        <v>22801.149999999994</v>
      </c>
      <c r="F33" s="37"/>
      <c r="H33" s="2"/>
      <c r="I33" s="1"/>
      <c r="J33" s="3"/>
      <c r="K33" s="3"/>
      <c r="L33" s="3">
        <f t="shared" si="3"/>
        <v>0</v>
      </c>
      <c r="M33" s="60"/>
      <c r="O33" s="360" t="s">
        <v>1596</v>
      </c>
      <c r="P33" s="361"/>
    </row>
    <row r="34" spans="1:18">
      <c r="A34" s="63">
        <v>44669</v>
      </c>
      <c r="B34" s="6" t="s">
        <v>1567</v>
      </c>
      <c r="C34" s="10">
        <v>790</v>
      </c>
      <c r="D34" s="10"/>
      <c r="E34" s="10">
        <f t="shared" si="0"/>
        <v>22011.149999999994</v>
      </c>
      <c r="F34" s="37"/>
      <c r="H34" s="2"/>
      <c r="I34" s="1"/>
      <c r="J34" s="3"/>
      <c r="K34" s="3"/>
      <c r="L34" s="3">
        <f t="shared" si="3"/>
        <v>0</v>
      </c>
      <c r="M34" s="60"/>
      <c r="O34" s="362" t="s">
        <v>1572</v>
      </c>
      <c r="P34" s="361">
        <v>920</v>
      </c>
    </row>
    <row r="35" spans="1:18">
      <c r="A35" s="63">
        <v>44669</v>
      </c>
      <c r="B35" s="6" t="s">
        <v>1568</v>
      </c>
      <c r="C35" s="3">
        <v>1720</v>
      </c>
      <c r="D35" s="3"/>
      <c r="E35" s="3">
        <f t="shared" si="0"/>
        <v>20291.149999999994</v>
      </c>
      <c r="F35" s="60"/>
      <c r="H35" s="2"/>
      <c r="I35" s="1"/>
      <c r="J35" s="3"/>
      <c r="K35" s="3"/>
      <c r="L35" s="3">
        <f t="shared" si="3"/>
        <v>0</v>
      </c>
      <c r="M35" s="76"/>
      <c r="O35" s="362" t="s">
        <v>1595</v>
      </c>
      <c r="P35" s="361">
        <v>50000</v>
      </c>
    </row>
    <row r="36" spans="1:18">
      <c r="A36" s="63">
        <v>44669</v>
      </c>
      <c r="B36" s="59" t="s">
        <v>1569</v>
      </c>
      <c r="C36" s="3">
        <v>5799.94</v>
      </c>
      <c r="D36" s="3"/>
      <c r="E36" s="3">
        <f t="shared" si="0"/>
        <v>14491.209999999995</v>
      </c>
      <c r="F36" s="60">
        <f>+C36</f>
        <v>5799.94</v>
      </c>
      <c r="H36" s="2"/>
      <c r="I36" s="1"/>
      <c r="J36" s="3"/>
      <c r="K36" s="3"/>
      <c r="L36" s="3">
        <f t="shared" si="3"/>
        <v>0</v>
      </c>
      <c r="M36" s="76"/>
      <c r="O36" s="362" t="s">
        <v>1599</v>
      </c>
      <c r="P36" s="361">
        <v>6700</v>
      </c>
      <c r="Q36" s="362" t="s">
        <v>1602</v>
      </c>
      <c r="R36" s="361"/>
    </row>
    <row r="37" spans="1:18">
      <c r="A37" s="63">
        <v>44669</v>
      </c>
      <c r="B37" s="1" t="s">
        <v>1328</v>
      </c>
      <c r="C37" s="3"/>
      <c r="D37" s="3">
        <v>665.48</v>
      </c>
      <c r="E37" s="3">
        <f t="shared" si="0"/>
        <v>15156.689999999995</v>
      </c>
      <c r="F37" s="59"/>
      <c r="H37" s="114"/>
      <c r="I37" s="6"/>
      <c r="J37" s="3"/>
      <c r="K37" s="3"/>
      <c r="L37" s="3">
        <f t="shared" si="3"/>
        <v>0</v>
      </c>
      <c r="M37" s="76"/>
      <c r="N37" s="57"/>
      <c r="O37" s="362" t="s">
        <v>1600</v>
      </c>
      <c r="P37" s="361">
        <f>1500+4000</f>
        <v>5500</v>
      </c>
      <c r="Q37" s="362" t="s">
        <v>1601</v>
      </c>
      <c r="R37" s="361"/>
    </row>
    <row r="38" spans="1:18">
      <c r="A38" s="2">
        <v>44670</v>
      </c>
      <c r="B38" s="1" t="s">
        <v>1571</v>
      </c>
      <c r="C38" s="3">
        <v>800</v>
      </c>
      <c r="D38" s="3"/>
      <c r="E38" s="3">
        <f t="shared" si="0"/>
        <v>14356.689999999995</v>
      </c>
      <c r="F38" s="37"/>
      <c r="G38" s="195"/>
      <c r="H38" s="114"/>
      <c r="I38" s="6"/>
      <c r="J38" s="10"/>
      <c r="K38" s="3"/>
      <c r="L38" s="3">
        <f t="shared" si="3"/>
        <v>0</v>
      </c>
      <c r="M38" s="76"/>
    </row>
    <row r="39" spans="1:18">
      <c r="A39" s="2">
        <v>44670</v>
      </c>
      <c r="B39" s="6" t="s">
        <v>101</v>
      </c>
      <c r="C39" s="3">
        <v>4200.38</v>
      </c>
      <c r="D39" s="3"/>
      <c r="E39" s="3">
        <f t="shared" si="0"/>
        <v>10156.309999999994</v>
      </c>
      <c r="F39" s="37"/>
      <c r="G39" s="195"/>
      <c r="H39" s="114"/>
      <c r="I39" s="59"/>
      <c r="J39" s="60"/>
      <c r="K39" s="60"/>
      <c r="L39" s="3">
        <f t="shared" si="3"/>
        <v>0</v>
      </c>
      <c r="M39" s="76"/>
      <c r="O39" s="359"/>
    </row>
    <row r="40" spans="1:18">
      <c r="A40" s="2">
        <v>44672</v>
      </c>
      <c r="B40" s="1" t="s">
        <v>1328</v>
      </c>
      <c r="C40" s="3"/>
      <c r="D40" s="3">
        <v>0.27</v>
      </c>
      <c r="E40" s="3">
        <f t="shared" si="0"/>
        <v>10156.579999999994</v>
      </c>
      <c r="F40" s="118"/>
      <c r="G40" s="195"/>
      <c r="H40" s="2"/>
      <c r="I40" s="1"/>
      <c r="J40" s="3"/>
      <c r="K40" s="3"/>
      <c r="L40" s="3">
        <f t="shared" si="3"/>
        <v>0</v>
      </c>
      <c r="M40" s="64"/>
      <c r="O40" s="359"/>
    </row>
    <row r="41" spans="1:18">
      <c r="A41" s="2">
        <v>44672</v>
      </c>
      <c r="B41" s="6" t="s">
        <v>1570</v>
      </c>
      <c r="C41" s="3"/>
      <c r="D41" s="3">
        <v>2000</v>
      </c>
      <c r="E41" s="3">
        <f t="shared" si="0"/>
        <v>12156.579999999994</v>
      </c>
      <c r="F41" s="118"/>
      <c r="G41" s="195"/>
      <c r="H41" s="2"/>
      <c r="I41" s="1"/>
      <c r="J41" s="3"/>
      <c r="K41" s="3"/>
      <c r="L41" s="3">
        <f t="shared" si="3"/>
        <v>0</v>
      </c>
      <c r="M41" s="126"/>
      <c r="N41" s="57"/>
    </row>
    <row r="42" spans="1:18">
      <c r="A42" s="2">
        <v>44676</v>
      </c>
      <c r="B42" s="1" t="s">
        <v>1573</v>
      </c>
      <c r="C42" s="3">
        <v>1593.5</v>
      </c>
      <c r="D42" s="3"/>
      <c r="E42" s="3">
        <f t="shared" si="0"/>
        <v>10563.079999999994</v>
      </c>
      <c r="F42" s="118"/>
      <c r="G42" s="195">
        <v>2544.6999999999998</v>
      </c>
      <c r="H42" s="2"/>
      <c r="I42" s="1"/>
      <c r="J42" s="3"/>
      <c r="K42" s="3"/>
      <c r="L42" s="3">
        <f t="shared" si="3"/>
        <v>0</v>
      </c>
      <c r="M42" s="127"/>
    </row>
    <row r="43" spans="1:18">
      <c r="A43" s="2">
        <v>44676</v>
      </c>
      <c r="B43" s="1" t="s">
        <v>1574</v>
      </c>
      <c r="C43" s="60">
        <v>1050</v>
      </c>
      <c r="D43" s="3"/>
      <c r="E43" s="3">
        <f t="shared" si="0"/>
        <v>9513.0799999999945</v>
      </c>
      <c r="F43" s="118"/>
      <c r="G43">
        <v>16870.82</v>
      </c>
      <c r="H43" s="2"/>
      <c r="I43" s="6"/>
      <c r="J43" s="3"/>
      <c r="K43" s="3"/>
      <c r="L43" s="3">
        <f t="shared" si="3"/>
        <v>0</v>
      </c>
      <c r="M43" s="44"/>
    </row>
    <row r="44" spans="1:18">
      <c r="A44" s="2">
        <v>44677</v>
      </c>
      <c r="B44" s="1" t="s">
        <v>1603</v>
      </c>
      <c r="C44" s="3"/>
      <c r="D44" s="3">
        <v>8567.5</v>
      </c>
      <c r="E44" s="3">
        <f t="shared" si="0"/>
        <v>18080.579999999994</v>
      </c>
      <c r="F44" s="118"/>
      <c r="G44" s="92"/>
      <c r="H44" s="2"/>
      <c r="I44" s="6"/>
      <c r="J44" s="3"/>
      <c r="K44" s="3"/>
      <c r="L44" s="3">
        <f t="shared" si="3"/>
        <v>0</v>
      </c>
      <c r="M44" s="76"/>
    </row>
    <row r="45" spans="1:18">
      <c r="A45" s="2">
        <v>44680</v>
      </c>
      <c r="B45" s="1" t="s">
        <v>1605</v>
      </c>
      <c r="C45" s="3"/>
      <c r="D45" s="3">
        <f>666*2</f>
        <v>1332</v>
      </c>
      <c r="E45" s="3">
        <f t="shared" si="0"/>
        <v>19412.579999999994</v>
      </c>
      <c r="F45" s="118"/>
      <c r="G45" s="92"/>
      <c r="H45" s="2"/>
      <c r="I45" s="1"/>
      <c r="J45" s="3"/>
      <c r="K45" s="3"/>
      <c r="L45" s="3">
        <f t="shared" si="3"/>
        <v>0</v>
      </c>
      <c r="M45" s="1"/>
    </row>
    <row r="46" spans="1:18">
      <c r="A46" s="2">
        <v>44680</v>
      </c>
      <c r="B46" s="1" t="s">
        <v>1328</v>
      </c>
      <c r="C46" s="3"/>
      <c r="D46" s="3">
        <v>2.2799999999999998</v>
      </c>
      <c r="E46" s="3">
        <v>19415.52</v>
      </c>
      <c r="F46" s="96"/>
      <c r="G46" s="92"/>
      <c r="H46" s="2"/>
      <c r="I46" s="1"/>
      <c r="J46" s="3"/>
      <c r="K46" s="3"/>
      <c r="L46" s="3">
        <f t="shared" si="3"/>
        <v>0</v>
      </c>
      <c r="M46" s="1"/>
    </row>
    <row r="47" spans="1:18">
      <c r="A47" s="11"/>
      <c r="B47" s="12"/>
      <c r="C47" s="13"/>
      <c r="D47" s="13"/>
      <c r="E47" s="13">
        <f t="shared" si="0"/>
        <v>19415.52</v>
      </c>
      <c r="F47" s="316"/>
      <c r="H47" s="2"/>
      <c r="I47" s="1"/>
      <c r="J47" s="3"/>
      <c r="K47" s="3"/>
      <c r="L47" s="3">
        <f t="shared" si="3"/>
        <v>0</v>
      </c>
      <c r="M47" s="64"/>
      <c r="N47" s="83"/>
    </row>
    <row r="48" spans="1:18">
      <c r="A48" s="11"/>
      <c r="B48" s="12"/>
      <c r="C48" s="13"/>
      <c r="D48" s="13"/>
      <c r="E48" s="13">
        <f t="shared" si="0"/>
        <v>19415.52</v>
      </c>
      <c r="F48" s="13"/>
      <c r="H48" s="2"/>
      <c r="I48" s="1"/>
      <c r="J48" s="3"/>
      <c r="K48" s="3"/>
      <c r="L48" s="3">
        <f t="shared" si="3"/>
        <v>0</v>
      </c>
      <c r="M48" s="1"/>
    </row>
    <row r="49" spans="1:14">
      <c r="A49" s="2"/>
      <c r="B49" s="1"/>
      <c r="C49" s="3"/>
      <c r="D49" s="3"/>
      <c r="E49" s="3">
        <f t="shared" si="0"/>
        <v>19415.52</v>
      </c>
      <c r="F49" s="5"/>
      <c r="H49" s="2"/>
      <c r="I49" s="1"/>
      <c r="J49" s="3"/>
      <c r="K49" s="3"/>
      <c r="L49" s="3">
        <f t="shared" si="3"/>
        <v>0</v>
      </c>
      <c r="M49" s="44"/>
    </row>
    <row r="50" spans="1:14">
      <c r="A50" s="1"/>
      <c r="B50" s="1"/>
      <c r="C50" s="3"/>
      <c r="D50" s="3"/>
      <c r="E50" s="3">
        <f t="shared" si="0"/>
        <v>19415.52</v>
      </c>
      <c r="F50" s="1"/>
      <c r="H50" s="2"/>
      <c r="I50" s="1"/>
      <c r="J50" s="3"/>
      <c r="K50" s="3"/>
      <c r="L50" s="3">
        <f t="shared" si="3"/>
        <v>0</v>
      </c>
      <c r="M50" s="1"/>
    </row>
    <row r="51" spans="1:14">
      <c r="A51" s="1"/>
      <c r="B51" s="1"/>
      <c r="C51" s="3"/>
      <c r="D51" s="3"/>
      <c r="E51" s="3">
        <f t="shared" si="0"/>
        <v>19415.52</v>
      </c>
      <c r="F51" s="1"/>
      <c r="H51" s="2"/>
      <c r="I51" s="1"/>
      <c r="J51" s="3"/>
      <c r="K51" s="3"/>
      <c r="L51" s="3">
        <f t="shared" si="3"/>
        <v>0</v>
      </c>
      <c r="M51" s="1"/>
    </row>
    <row r="52" spans="1:14">
      <c r="A52" s="1"/>
      <c r="B52" s="1"/>
      <c r="C52" s="3"/>
      <c r="D52" s="3"/>
      <c r="E52" s="3">
        <f t="shared" si="0"/>
        <v>19415.52</v>
      </c>
      <c r="F52" s="1"/>
      <c r="H52" s="2"/>
      <c r="I52" s="6"/>
      <c r="J52" s="3"/>
      <c r="K52" s="3"/>
      <c r="L52" s="3">
        <f t="shared" si="3"/>
        <v>0</v>
      </c>
      <c r="M52" s="44"/>
    </row>
    <row r="53" spans="1:14">
      <c r="A53" s="1"/>
      <c r="B53" s="1"/>
      <c r="C53" s="3"/>
      <c r="D53" s="3"/>
      <c r="E53" s="3">
        <f t="shared" si="0"/>
        <v>19415.52</v>
      </c>
      <c r="F53" s="1"/>
      <c r="H53" s="2"/>
      <c r="I53" s="1"/>
      <c r="J53" s="3"/>
      <c r="K53" s="3"/>
      <c r="L53" s="3">
        <f t="shared" si="3"/>
        <v>0</v>
      </c>
      <c r="M53" s="1"/>
      <c r="N53" s="41"/>
    </row>
    <row r="54" spans="1:14">
      <c r="E54" s="3">
        <f t="shared" si="0"/>
        <v>19415.52</v>
      </c>
      <c r="H54" s="2"/>
      <c r="I54" s="1"/>
      <c r="J54" s="3"/>
      <c r="K54" s="3"/>
      <c r="L54" s="3">
        <f t="shared" si="3"/>
        <v>0</v>
      </c>
      <c r="M54" s="1"/>
    </row>
    <row r="55" spans="1:14">
      <c r="E55" s="3">
        <f t="shared" si="0"/>
        <v>19415.52</v>
      </c>
      <c r="H55" s="2"/>
      <c r="I55" s="1"/>
      <c r="J55" s="3"/>
      <c r="K55" s="3"/>
      <c r="L55" s="3">
        <f t="shared" si="3"/>
        <v>0</v>
      </c>
      <c r="M55" s="1"/>
    </row>
    <row r="56" spans="1:14">
      <c r="E56" s="3">
        <f t="shared" si="0"/>
        <v>19415.52</v>
      </c>
      <c r="H56" s="2"/>
      <c r="I56" s="1"/>
      <c r="J56" s="3"/>
      <c r="K56" s="3"/>
      <c r="L56" s="3">
        <f t="shared" si="3"/>
        <v>0</v>
      </c>
      <c r="M56" s="1"/>
    </row>
    <row r="57" spans="1:14">
      <c r="E57" s="3">
        <f t="shared" si="0"/>
        <v>19415.52</v>
      </c>
      <c r="H57" s="2"/>
      <c r="I57" s="1"/>
      <c r="J57" s="3"/>
      <c r="K57" s="3"/>
      <c r="L57" s="3">
        <f t="shared" si="3"/>
        <v>0</v>
      </c>
      <c r="M57" s="1"/>
    </row>
    <row r="58" spans="1:14">
      <c r="E58" s="3">
        <f t="shared" si="0"/>
        <v>19415.52</v>
      </c>
      <c r="H58" s="2"/>
      <c r="I58" s="1"/>
      <c r="J58" s="3"/>
      <c r="K58" s="3"/>
      <c r="L58" s="3">
        <f t="shared" si="3"/>
        <v>0</v>
      </c>
      <c r="M58" s="64"/>
    </row>
    <row r="59" spans="1:14">
      <c r="E59" s="3">
        <f t="shared" si="0"/>
        <v>19415.52</v>
      </c>
      <c r="H59" s="1"/>
      <c r="I59" s="1"/>
      <c r="J59" s="3"/>
      <c r="K59" s="3"/>
      <c r="L59" s="3">
        <f t="shared" si="3"/>
        <v>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6268-BF64-2743-ADF3-7C90F1760F4D}">
  <dimension ref="A1:R1048576"/>
  <sheetViews>
    <sheetView showGridLines="0" topLeftCell="A33" zoomScale="125" workbookViewId="0">
      <selection activeCell="E48" sqref="E48"/>
    </sheetView>
  </sheetViews>
  <sheetFormatPr baseColWidth="10" defaultRowHeight="16"/>
  <cols>
    <col min="1" max="1" width="7.33203125" bestFit="1" customWidth="1"/>
    <col min="2" max="2" width="28.6640625" customWidth="1"/>
    <col min="3" max="3" width="12.5" style="4" bestFit="1" customWidth="1"/>
    <col min="4" max="4" width="13.5" style="4" customWidth="1"/>
    <col min="5" max="5" width="13" customWidth="1"/>
    <col min="6" max="6" width="3.1640625" customWidth="1"/>
    <col min="7" max="7" width="11.83203125" customWidth="1"/>
    <col min="8" max="13" width="6.33203125" customWidth="1"/>
    <col min="14" max="14" width="7.33203125" customWidth="1"/>
    <col min="15" max="15" width="13.83203125" style="358" customWidth="1"/>
    <col min="16" max="16" width="12.5" style="93" bestFit="1" customWidth="1"/>
    <col min="17" max="17" width="14.1640625" customWidth="1"/>
  </cols>
  <sheetData>
    <row r="1" spans="1:16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6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391"/>
    </row>
    <row r="3" spans="1:16">
      <c r="A3" s="2"/>
      <c r="B3" s="1" t="s">
        <v>4</v>
      </c>
      <c r="C3" s="283"/>
      <c r="D3" s="283"/>
      <c r="E3" s="3">
        <v>19415.52</v>
      </c>
      <c r="F3" s="34"/>
      <c r="G3" s="271" t="s">
        <v>170</v>
      </c>
      <c r="H3" s="2"/>
      <c r="I3" s="282" t="s">
        <v>4</v>
      </c>
      <c r="J3" s="287"/>
      <c r="K3" s="287"/>
      <c r="L3" s="3">
        <v>0</v>
      </c>
      <c r="M3" s="37"/>
      <c r="O3" s="21"/>
      <c r="P3" s="4"/>
    </row>
    <row r="4" spans="1:16">
      <c r="A4" s="2">
        <v>44680</v>
      </c>
      <c r="B4" s="1" t="s">
        <v>1606</v>
      </c>
      <c r="C4" s="3"/>
      <c r="D4" s="3">
        <v>108432</v>
      </c>
      <c r="E4" s="3">
        <f>+E3-C4+D4</f>
        <v>127847.52</v>
      </c>
      <c r="F4" s="59"/>
      <c r="G4" s="56">
        <f>+E57+L30</f>
        <v>4043.1300000000047</v>
      </c>
      <c r="H4" s="2"/>
      <c r="I4" s="1"/>
      <c r="J4" s="3"/>
      <c r="K4" s="3"/>
      <c r="L4" s="3">
        <f>+L3+K4-J4</f>
        <v>0</v>
      </c>
      <c r="M4" s="95"/>
      <c r="O4" s="21"/>
      <c r="P4" s="4"/>
    </row>
    <row r="5" spans="1:16">
      <c r="A5" s="2">
        <v>44682</v>
      </c>
      <c r="B5" s="59" t="s">
        <v>1642</v>
      </c>
      <c r="C5" s="60">
        <v>4500</v>
      </c>
      <c r="D5" s="3"/>
      <c r="E5" s="3">
        <f t="shared" ref="E5:E46" si="0">+E4-C5+D5</f>
        <v>123347.52</v>
      </c>
      <c r="F5" s="37"/>
      <c r="G5" s="41"/>
      <c r="H5" s="2"/>
      <c r="I5" s="284"/>
      <c r="J5" s="3"/>
      <c r="K5" s="3"/>
      <c r="L5" s="3">
        <f t="shared" ref="L5:L25" si="1">+L4+K5-J5</f>
        <v>0</v>
      </c>
      <c r="M5" s="96"/>
      <c r="O5" s="21"/>
      <c r="P5" s="4"/>
    </row>
    <row r="6" spans="1:16">
      <c r="A6" s="2">
        <v>44682</v>
      </c>
      <c r="B6" s="59" t="s">
        <v>1493</v>
      </c>
      <c r="C6" s="60">
        <v>5000</v>
      </c>
      <c r="D6" s="3"/>
      <c r="E6" s="3">
        <f t="shared" si="0"/>
        <v>118347.52</v>
      </c>
      <c r="F6" s="59"/>
      <c r="G6" s="189"/>
      <c r="H6" s="2"/>
      <c r="I6" s="285"/>
      <c r="J6" s="243"/>
      <c r="K6" s="243"/>
      <c r="L6" s="3">
        <f t="shared" si="1"/>
        <v>0</v>
      </c>
      <c r="M6" s="96"/>
    </row>
    <row r="7" spans="1:16">
      <c r="A7" s="58">
        <v>44683</v>
      </c>
      <c r="B7" s="59" t="s">
        <v>1631</v>
      </c>
      <c r="C7" s="60">
        <v>910</v>
      </c>
      <c r="D7" s="3"/>
      <c r="E7" s="3">
        <f t="shared" si="0"/>
        <v>117437.52</v>
      </c>
      <c r="F7" s="60"/>
      <c r="G7" s="190"/>
      <c r="H7" s="2"/>
      <c r="I7" s="286"/>
      <c r="J7" s="60"/>
      <c r="K7" s="3"/>
      <c r="L7" s="3">
        <f t="shared" si="1"/>
        <v>0</v>
      </c>
      <c r="M7" s="60"/>
      <c r="O7" s="359"/>
    </row>
    <row r="8" spans="1:16">
      <c r="A8" s="58">
        <v>44683</v>
      </c>
      <c r="B8" s="59" t="s">
        <v>1071</v>
      </c>
      <c r="C8" s="60">
        <v>15000</v>
      </c>
      <c r="D8" s="3"/>
      <c r="E8" s="3">
        <f t="shared" si="0"/>
        <v>102437.52</v>
      </c>
      <c r="F8" s="197"/>
      <c r="G8" s="189"/>
      <c r="H8" s="2"/>
      <c r="I8" s="282"/>
      <c r="J8" s="287"/>
      <c r="K8" s="287"/>
      <c r="L8" s="3">
        <f t="shared" si="1"/>
        <v>0</v>
      </c>
      <c r="M8" s="96"/>
      <c r="O8" s="359"/>
    </row>
    <row r="9" spans="1:16">
      <c r="A9" s="58">
        <v>44683</v>
      </c>
      <c r="B9" s="59" t="s">
        <v>101</v>
      </c>
      <c r="C9" s="60">
        <v>3620.5</v>
      </c>
      <c r="D9" s="3"/>
      <c r="E9" s="3">
        <f t="shared" si="0"/>
        <v>98817.02</v>
      </c>
      <c r="F9" s="59"/>
      <c r="G9" s="41"/>
      <c r="H9" s="2"/>
      <c r="I9" s="98"/>
      <c r="J9" s="3"/>
      <c r="K9" s="3"/>
      <c r="L9" s="3">
        <f t="shared" si="1"/>
        <v>0</v>
      </c>
      <c r="M9" s="96"/>
    </row>
    <row r="10" spans="1:16">
      <c r="A10" s="58">
        <v>44683</v>
      </c>
      <c r="B10" s="59" t="s">
        <v>1632</v>
      </c>
      <c r="C10" s="60"/>
      <c r="D10" s="3">
        <v>900</v>
      </c>
      <c r="E10" s="3">
        <f t="shared" si="0"/>
        <v>99717.02</v>
      </c>
      <c r="F10" s="60"/>
      <c r="G10" s="390"/>
      <c r="H10" s="2"/>
      <c r="I10" s="286"/>
      <c r="J10" s="60"/>
      <c r="K10" s="3"/>
      <c r="L10" s="3">
        <f t="shared" si="1"/>
        <v>0</v>
      </c>
      <c r="M10" s="96"/>
      <c r="N10" s="57"/>
    </row>
    <row r="11" spans="1:16">
      <c r="A11" s="2">
        <v>44686</v>
      </c>
      <c r="B11" s="59" t="s">
        <v>1633</v>
      </c>
      <c r="C11" s="60">
        <v>9650</v>
      </c>
      <c r="D11" s="3"/>
      <c r="E11" s="3">
        <f t="shared" si="0"/>
        <v>90067.02</v>
      </c>
      <c r="F11" s="60"/>
      <c r="G11" s="308"/>
      <c r="H11" s="2"/>
      <c r="I11" s="286"/>
      <c r="J11" s="76"/>
      <c r="K11" s="3"/>
      <c r="L11" s="3">
        <f t="shared" si="1"/>
        <v>0</v>
      </c>
      <c r="M11" s="96"/>
      <c r="N11" s="57"/>
    </row>
    <row r="12" spans="1:16">
      <c r="A12" s="2">
        <v>44686</v>
      </c>
      <c r="B12" s="59" t="s">
        <v>1634</v>
      </c>
      <c r="C12" s="60">
        <v>1400</v>
      </c>
      <c r="D12" s="3"/>
      <c r="E12" s="3">
        <f t="shared" si="0"/>
        <v>88667.02</v>
      </c>
      <c r="F12" s="198"/>
      <c r="H12" s="2"/>
      <c r="I12" s="286"/>
      <c r="J12" s="76"/>
      <c r="K12" s="3"/>
      <c r="L12" s="3">
        <f t="shared" si="1"/>
        <v>0</v>
      </c>
      <c r="M12" s="148"/>
      <c r="N12" s="57"/>
    </row>
    <row r="13" spans="1:16">
      <c r="A13" s="2">
        <v>44686</v>
      </c>
      <c r="B13" s="59" t="s">
        <v>1071</v>
      </c>
      <c r="C13" s="60">
        <v>20000</v>
      </c>
      <c r="D13" s="3"/>
      <c r="E13" s="3">
        <f t="shared" si="0"/>
        <v>68667.02</v>
      </c>
      <c r="F13" s="60"/>
      <c r="G13" s="57"/>
      <c r="H13" s="2"/>
      <c r="I13" s="286"/>
      <c r="J13" s="3"/>
      <c r="K13" s="3"/>
      <c r="L13" s="3">
        <f t="shared" si="1"/>
        <v>0</v>
      </c>
      <c r="M13" s="64"/>
    </row>
    <row r="14" spans="1:16" ht="19">
      <c r="A14" s="2">
        <v>44689</v>
      </c>
      <c r="B14" s="59" t="s">
        <v>1635</v>
      </c>
      <c r="C14" s="60"/>
      <c r="D14" s="3">
        <v>3714</v>
      </c>
      <c r="E14" s="3">
        <f t="shared" si="0"/>
        <v>72381.02</v>
      </c>
      <c r="F14" s="60"/>
      <c r="G14" s="330"/>
      <c r="H14" s="2"/>
      <c r="I14" s="1"/>
      <c r="J14" s="3"/>
      <c r="K14" s="3"/>
      <c r="L14" s="3">
        <f t="shared" si="1"/>
        <v>0</v>
      </c>
      <c r="M14" s="96"/>
    </row>
    <row r="15" spans="1:16">
      <c r="A15" s="2">
        <v>44689</v>
      </c>
      <c r="B15" s="59" t="s">
        <v>1636</v>
      </c>
      <c r="C15" s="60"/>
      <c r="D15" s="3">
        <v>4985</v>
      </c>
      <c r="E15" s="3">
        <f t="shared" si="0"/>
        <v>77366.02</v>
      </c>
      <c r="F15" s="60"/>
      <c r="H15" s="2"/>
      <c r="I15" s="1"/>
      <c r="J15" s="3"/>
      <c r="K15" s="3"/>
      <c r="L15" s="3">
        <f t="shared" si="1"/>
        <v>0</v>
      </c>
      <c r="M15" s="96"/>
    </row>
    <row r="16" spans="1:16">
      <c r="A16" s="2">
        <v>44689</v>
      </c>
      <c r="B16" s="59" t="s">
        <v>1637</v>
      </c>
      <c r="C16" s="60">
        <v>13107.6</v>
      </c>
      <c r="D16" s="60"/>
      <c r="E16" s="3">
        <f t="shared" si="0"/>
        <v>64258.420000000006</v>
      </c>
      <c r="F16" s="60"/>
      <c r="H16" s="2"/>
      <c r="I16" s="1"/>
      <c r="J16" s="3"/>
      <c r="K16" s="3"/>
      <c r="L16" s="3">
        <f t="shared" si="1"/>
        <v>0</v>
      </c>
      <c r="M16" s="60"/>
    </row>
    <row r="17" spans="1:18">
      <c r="A17" s="2">
        <v>44689</v>
      </c>
      <c r="B17" s="59" t="s">
        <v>1638</v>
      </c>
      <c r="C17" s="60">
        <v>10000</v>
      </c>
      <c r="D17" s="3"/>
      <c r="E17" s="3">
        <f t="shared" si="0"/>
        <v>54258.420000000006</v>
      </c>
      <c r="F17" s="60"/>
      <c r="H17" s="2"/>
      <c r="I17" s="1"/>
      <c r="J17" s="10"/>
      <c r="K17" s="3"/>
      <c r="L17" s="3">
        <f t="shared" si="1"/>
        <v>0</v>
      </c>
      <c r="M17" s="96"/>
    </row>
    <row r="18" spans="1:18">
      <c r="A18" s="58">
        <v>44690</v>
      </c>
      <c r="B18" s="59" t="s">
        <v>1639</v>
      </c>
      <c r="C18" s="60">
        <v>1211.5</v>
      </c>
      <c r="D18" s="3"/>
      <c r="E18" s="3">
        <f t="shared" si="0"/>
        <v>53046.920000000006</v>
      </c>
      <c r="F18" s="60"/>
      <c r="H18" s="2"/>
      <c r="I18" s="1"/>
      <c r="J18" s="3"/>
      <c r="K18" s="3"/>
      <c r="L18" s="3">
        <f t="shared" si="1"/>
        <v>0</v>
      </c>
      <c r="M18" s="60"/>
      <c r="N18" s="57"/>
    </row>
    <row r="19" spans="1:18">
      <c r="A19" s="58">
        <v>44690</v>
      </c>
      <c r="B19" s="59" t="s">
        <v>1640</v>
      </c>
      <c r="C19" s="60"/>
      <c r="D19" s="60">
        <v>500</v>
      </c>
      <c r="E19" s="3">
        <f t="shared" si="0"/>
        <v>53546.920000000006</v>
      </c>
      <c r="F19" s="60"/>
      <c r="H19" s="2"/>
      <c r="I19" s="1"/>
      <c r="J19" s="3"/>
      <c r="K19" s="3"/>
      <c r="L19" s="3">
        <f t="shared" si="1"/>
        <v>0</v>
      </c>
      <c r="M19" s="37"/>
    </row>
    <row r="20" spans="1:18">
      <c r="A20" s="58">
        <v>44690</v>
      </c>
      <c r="B20" s="59" t="s">
        <v>1641</v>
      </c>
      <c r="C20" s="60"/>
      <c r="D20" s="60">
        <v>600</v>
      </c>
      <c r="E20" s="3">
        <f t="shared" si="0"/>
        <v>54146.920000000006</v>
      </c>
      <c r="F20" s="60"/>
      <c r="H20" s="58"/>
      <c r="I20" s="6"/>
      <c r="J20" s="3"/>
      <c r="K20" s="3"/>
      <c r="L20" s="3">
        <f t="shared" si="1"/>
        <v>0</v>
      </c>
      <c r="M20" s="60"/>
    </row>
    <row r="21" spans="1:18">
      <c r="A21" s="58">
        <v>44691</v>
      </c>
      <c r="B21" s="59" t="s">
        <v>1638</v>
      </c>
      <c r="C21" s="60">
        <v>10000</v>
      </c>
      <c r="D21" s="3"/>
      <c r="E21" s="3">
        <f t="shared" si="0"/>
        <v>44146.920000000006</v>
      </c>
      <c r="F21" s="96"/>
      <c r="H21" s="58"/>
      <c r="I21" s="1"/>
      <c r="J21" s="3"/>
      <c r="K21" s="3"/>
      <c r="L21" s="3">
        <f t="shared" si="1"/>
        <v>0</v>
      </c>
      <c r="M21" s="60"/>
    </row>
    <row r="22" spans="1:18">
      <c r="A22" s="58">
        <v>44691</v>
      </c>
      <c r="B22" s="59" t="s">
        <v>1643</v>
      </c>
      <c r="C22" s="60">
        <v>4500</v>
      </c>
      <c r="D22" s="60"/>
      <c r="E22" s="3">
        <f t="shared" si="0"/>
        <v>39646.920000000006</v>
      </c>
      <c r="F22" s="60"/>
      <c r="H22" s="58"/>
      <c r="I22" s="1"/>
      <c r="J22" s="60"/>
      <c r="K22" s="3"/>
      <c r="L22" s="3">
        <f t="shared" si="1"/>
        <v>0</v>
      </c>
      <c r="M22" s="60"/>
      <c r="R22" s="308"/>
    </row>
    <row r="23" spans="1:18">
      <c r="A23" s="58">
        <v>44691</v>
      </c>
      <c r="B23" s="59" t="s">
        <v>1644</v>
      </c>
      <c r="C23" s="60">
        <v>3866</v>
      </c>
      <c r="D23" s="3"/>
      <c r="E23" s="3">
        <f t="shared" si="0"/>
        <v>35780.920000000006</v>
      </c>
      <c r="F23" s="60"/>
      <c r="G23" s="41"/>
      <c r="H23" s="58"/>
      <c r="I23" s="1"/>
      <c r="J23" s="3"/>
      <c r="K23" s="3"/>
      <c r="L23" s="3">
        <f t="shared" si="1"/>
        <v>0</v>
      </c>
      <c r="M23" s="96"/>
      <c r="N23" s="90"/>
    </row>
    <row r="24" spans="1:18">
      <c r="A24" s="58">
        <v>44692</v>
      </c>
      <c r="B24" s="59" t="s">
        <v>1645</v>
      </c>
      <c r="C24" s="60">
        <v>6000</v>
      </c>
      <c r="D24" s="3"/>
      <c r="E24" s="3">
        <f t="shared" si="0"/>
        <v>29780.920000000006</v>
      </c>
      <c r="F24" s="60"/>
      <c r="H24" s="58"/>
      <c r="I24" s="1"/>
      <c r="J24" s="3"/>
      <c r="K24" s="3"/>
      <c r="L24" s="3">
        <f t="shared" si="1"/>
        <v>0</v>
      </c>
      <c r="M24" s="76"/>
      <c r="N24" s="57"/>
    </row>
    <row r="25" spans="1:18">
      <c r="A25" s="58">
        <v>44692</v>
      </c>
      <c r="B25" s="59" t="s">
        <v>1646</v>
      </c>
      <c r="C25" s="60">
        <v>1650</v>
      </c>
      <c r="D25" s="3"/>
      <c r="E25" s="3">
        <f t="shared" si="0"/>
        <v>28130.920000000006</v>
      </c>
      <c r="F25" s="60"/>
      <c r="H25" s="58"/>
      <c r="I25" s="1"/>
      <c r="J25" s="3"/>
      <c r="K25" s="3"/>
      <c r="L25" s="3">
        <f t="shared" si="1"/>
        <v>0</v>
      </c>
      <c r="M25" s="60"/>
    </row>
    <row r="26" spans="1:18">
      <c r="A26" s="2">
        <v>44693</v>
      </c>
      <c r="B26" s="59" t="s">
        <v>1647</v>
      </c>
      <c r="C26" s="3"/>
      <c r="D26" s="3">
        <v>26020</v>
      </c>
      <c r="E26" s="3">
        <f t="shared" si="0"/>
        <v>54150.920000000006</v>
      </c>
      <c r="F26" s="37"/>
      <c r="H26" s="58"/>
      <c r="I26" s="1"/>
      <c r="J26" s="60"/>
      <c r="K26" s="3"/>
      <c r="L26" s="3">
        <f t="shared" ref="L26:L59" si="2">+L25-J26+K26</f>
        <v>0</v>
      </c>
      <c r="M26" s="60"/>
    </row>
    <row r="27" spans="1:18">
      <c r="A27" s="2">
        <v>44693</v>
      </c>
      <c r="B27" s="59" t="s">
        <v>1648</v>
      </c>
      <c r="C27" s="3">
        <v>15000</v>
      </c>
      <c r="D27" s="3"/>
      <c r="E27" s="3">
        <f t="shared" si="0"/>
        <v>39150.920000000006</v>
      </c>
      <c r="F27" s="60"/>
      <c r="H27" s="58"/>
      <c r="I27" s="1"/>
      <c r="J27" s="3"/>
      <c r="K27" s="3"/>
      <c r="L27" s="3">
        <f t="shared" si="2"/>
        <v>0</v>
      </c>
      <c r="M27" s="76"/>
    </row>
    <row r="28" spans="1:18">
      <c r="A28" s="2">
        <v>44693</v>
      </c>
      <c r="B28" s="6" t="s">
        <v>1649</v>
      </c>
      <c r="C28" s="10"/>
      <c r="D28" s="10">
        <v>3200</v>
      </c>
      <c r="E28" s="3">
        <f t="shared" si="0"/>
        <v>42350.920000000006</v>
      </c>
      <c r="F28" s="60"/>
      <c r="H28" s="2"/>
      <c r="I28" s="1"/>
      <c r="J28" s="3"/>
      <c r="K28" s="3"/>
      <c r="L28" s="3">
        <f t="shared" si="2"/>
        <v>0</v>
      </c>
      <c r="M28" s="60"/>
    </row>
    <row r="29" spans="1:18">
      <c r="A29" s="2">
        <v>44694</v>
      </c>
      <c r="B29" s="6" t="s">
        <v>101</v>
      </c>
      <c r="C29" s="37">
        <v>3100.63</v>
      </c>
      <c r="D29" s="10"/>
      <c r="E29" s="3">
        <f t="shared" si="0"/>
        <v>39250.290000000008</v>
      </c>
      <c r="F29" s="37"/>
      <c r="H29" s="2"/>
      <c r="I29" s="6"/>
      <c r="J29" s="3"/>
      <c r="K29" s="3"/>
      <c r="L29" s="3">
        <f t="shared" si="2"/>
        <v>0</v>
      </c>
      <c r="M29" s="60"/>
    </row>
    <row r="30" spans="1:18">
      <c r="A30" s="2">
        <v>44694</v>
      </c>
      <c r="B30" s="59" t="s">
        <v>1421</v>
      </c>
      <c r="C30" s="60">
        <v>858.91</v>
      </c>
      <c r="D30" s="3"/>
      <c r="E30" s="3">
        <f t="shared" si="0"/>
        <v>38391.380000000005</v>
      </c>
      <c r="F30" s="59"/>
      <c r="H30" s="2"/>
      <c r="I30" s="1"/>
      <c r="J30" s="3"/>
      <c r="K30" s="3"/>
      <c r="L30" s="3">
        <f t="shared" si="2"/>
        <v>0</v>
      </c>
      <c r="M30" s="194"/>
      <c r="N30" s="41"/>
    </row>
    <row r="31" spans="1:18">
      <c r="A31" s="2">
        <v>44694</v>
      </c>
      <c r="B31" s="59" t="s">
        <v>1071</v>
      </c>
      <c r="C31" s="60">
        <v>20000</v>
      </c>
      <c r="D31" s="3"/>
      <c r="E31" s="3">
        <f t="shared" si="0"/>
        <v>18391.380000000005</v>
      </c>
      <c r="F31" s="37"/>
      <c r="H31" s="2"/>
      <c r="I31" s="1"/>
      <c r="J31" s="3"/>
      <c r="K31" s="3"/>
      <c r="L31" s="3">
        <f t="shared" si="2"/>
        <v>0</v>
      </c>
      <c r="M31" s="60"/>
    </row>
    <row r="32" spans="1:18">
      <c r="A32" s="394">
        <v>44694</v>
      </c>
      <c r="B32" s="395" t="s">
        <v>1650</v>
      </c>
      <c r="C32" s="396">
        <v>5800</v>
      </c>
      <c r="D32" s="397"/>
      <c r="E32" s="397">
        <f t="shared" si="0"/>
        <v>12591.380000000005</v>
      </c>
      <c r="F32" s="396"/>
      <c r="H32" s="208"/>
      <c r="I32" s="202"/>
      <c r="J32" s="3"/>
      <c r="K32" s="3"/>
      <c r="L32" s="3">
        <f t="shared" si="2"/>
        <v>0</v>
      </c>
      <c r="M32" s="76"/>
    </row>
    <row r="33" spans="1:18">
      <c r="A33" s="63">
        <v>44697</v>
      </c>
      <c r="B33" s="6" t="s">
        <v>1651</v>
      </c>
      <c r="C33" s="10">
        <v>1930</v>
      </c>
      <c r="D33" s="10"/>
      <c r="E33" s="3">
        <f t="shared" si="0"/>
        <v>10661.380000000005</v>
      </c>
      <c r="F33" s="37"/>
      <c r="H33" s="2"/>
      <c r="I33" s="1"/>
      <c r="J33" s="3"/>
      <c r="K33" s="3"/>
      <c r="L33" s="3">
        <f t="shared" si="2"/>
        <v>0</v>
      </c>
      <c r="M33" s="60"/>
    </row>
    <row r="34" spans="1:18">
      <c r="A34" s="63">
        <v>44698</v>
      </c>
      <c r="B34" s="6" t="s">
        <v>1652</v>
      </c>
      <c r="C34" s="10"/>
      <c r="D34" s="10">
        <v>2000</v>
      </c>
      <c r="E34" s="3">
        <f t="shared" si="0"/>
        <v>12661.380000000005</v>
      </c>
      <c r="F34" s="37"/>
      <c r="H34" s="2"/>
      <c r="I34" s="1"/>
      <c r="J34" s="3"/>
      <c r="K34" s="3"/>
      <c r="L34" s="3">
        <f t="shared" si="2"/>
        <v>0</v>
      </c>
      <c r="M34" s="60"/>
    </row>
    <row r="35" spans="1:18">
      <c r="A35" s="63">
        <v>44700</v>
      </c>
      <c r="B35" s="6" t="s">
        <v>101</v>
      </c>
      <c r="C35" s="3">
        <v>4100</v>
      </c>
      <c r="D35" s="3"/>
      <c r="E35" s="3">
        <f t="shared" si="0"/>
        <v>8561.3800000000047</v>
      </c>
      <c r="F35" s="60"/>
      <c r="H35" s="2"/>
      <c r="I35" s="1"/>
      <c r="J35" s="3"/>
      <c r="K35" s="3"/>
      <c r="L35" s="3">
        <f t="shared" si="2"/>
        <v>0</v>
      </c>
      <c r="M35" s="76"/>
      <c r="R35" s="66"/>
    </row>
    <row r="36" spans="1:18">
      <c r="A36" s="63">
        <v>44703</v>
      </c>
      <c r="B36" s="59" t="s">
        <v>1653</v>
      </c>
      <c r="C36" s="3"/>
      <c r="D36" s="3">
        <v>4775</v>
      </c>
      <c r="E36" s="3">
        <f t="shared" si="0"/>
        <v>13336.380000000005</v>
      </c>
      <c r="F36" s="60"/>
      <c r="H36" s="2"/>
      <c r="I36" s="1"/>
      <c r="J36" s="3"/>
      <c r="K36" s="3"/>
      <c r="L36" s="3">
        <f t="shared" si="2"/>
        <v>0</v>
      </c>
      <c r="M36" s="76"/>
      <c r="R36" s="318"/>
    </row>
    <row r="37" spans="1:18">
      <c r="A37" s="63">
        <v>44703</v>
      </c>
      <c r="B37" s="59" t="s">
        <v>1654</v>
      </c>
      <c r="C37" s="3"/>
      <c r="D37" s="3">
        <v>800</v>
      </c>
      <c r="E37" s="3">
        <f t="shared" si="0"/>
        <v>14136.380000000005</v>
      </c>
      <c r="F37" s="59"/>
      <c r="H37" s="114"/>
      <c r="I37" s="6"/>
      <c r="J37" s="3"/>
      <c r="K37" s="3"/>
      <c r="L37" s="3">
        <f t="shared" si="2"/>
        <v>0</v>
      </c>
      <c r="M37" s="76"/>
      <c r="N37" s="57"/>
      <c r="R37" s="318"/>
    </row>
    <row r="38" spans="1:18">
      <c r="A38" s="63">
        <v>44703</v>
      </c>
      <c r="B38" s="59" t="s">
        <v>1653</v>
      </c>
      <c r="C38" s="3"/>
      <c r="D38" s="3">
        <v>800</v>
      </c>
      <c r="E38" s="3">
        <f t="shared" si="0"/>
        <v>14936.380000000005</v>
      </c>
      <c r="F38" s="37"/>
      <c r="G38" s="195"/>
      <c r="H38" s="114"/>
      <c r="I38" s="6"/>
      <c r="J38" s="10"/>
      <c r="K38" s="3"/>
      <c r="L38" s="3">
        <f t="shared" si="2"/>
        <v>0</v>
      </c>
      <c r="M38" s="76"/>
      <c r="R38" s="66"/>
    </row>
    <row r="39" spans="1:18">
      <c r="A39" s="63">
        <v>44703</v>
      </c>
      <c r="B39" s="6" t="s">
        <v>1655</v>
      </c>
      <c r="C39" s="3">
        <v>1000</v>
      </c>
      <c r="D39" s="3"/>
      <c r="E39" s="3">
        <f t="shared" si="0"/>
        <v>13936.380000000005</v>
      </c>
      <c r="F39" s="37"/>
      <c r="G39" s="195"/>
      <c r="H39" s="114"/>
      <c r="I39" s="59"/>
      <c r="J39" s="60"/>
      <c r="K39" s="60"/>
      <c r="L39" s="3">
        <f t="shared" si="2"/>
        <v>0</v>
      </c>
      <c r="M39" s="76"/>
      <c r="R39" s="66"/>
    </row>
    <row r="40" spans="1:18">
      <c r="A40" s="2">
        <v>44704</v>
      </c>
      <c r="B40" s="1" t="s">
        <v>1357</v>
      </c>
      <c r="C40" s="3"/>
      <c r="D40" s="3">
        <v>0.25</v>
      </c>
      <c r="E40" s="3">
        <f t="shared" si="0"/>
        <v>13936.630000000005</v>
      </c>
      <c r="F40" s="118"/>
      <c r="G40" s="195"/>
      <c r="H40" s="2"/>
      <c r="I40" s="1"/>
      <c r="J40" s="3"/>
      <c r="K40" s="3"/>
      <c r="L40" s="3">
        <f t="shared" si="2"/>
        <v>0</v>
      </c>
      <c r="M40" s="64"/>
    </row>
    <row r="41" spans="1:18">
      <c r="A41" s="63">
        <v>44703</v>
      </c>
      <c r="B41" s="6" t="s">
        <v>1656</v>
      </c>
      <c r="C41" s="3">
        <v>2420</v>
      </c>
      <c r="D41" s="3"/>
      <c r="E41" s="3">
        <f t="shared" si="0"/>
        <v>11516.630000000005</v>
      </c>
      <c r="F41" s="118"/>
      <c r="G41" s="195"/>
      <c r="H41" s="2"/>
      <c r="I41" s="1"/>
      <c r="J41" s="3"/>
      <c r="K41" s="3"/>
      <c r="L41" s="3">
        <f t="shared" si="2"/>
        <v>0</v>
      </c>
      <c r="M41" s="126"/>
      <c r="N41" s="57"/>
    </row>
    <row r="42" spans="1:18">
      <c r="A42" s="63">
        <v>44703</v>
      </c>
      <c r="B42" s="1" t="s">
        <v>1657</v>
      </c>
      <c r="C42" s="3">
        <v>200</v>
      </c>
      <c r="D42" s="3"/>
      <c r="E42" s="3">
        <f t="shared" si="0"/>
        <v>11316.630000000005</v>
      </c>
      <c r="F42" s="118"/>
      <c r="G42" s="195"/>
      <c r="H42" s="2"/>
      <c r="I42" s="1"/>
      <c r="J42" s="3"/>
      <c r="K42" s="3"/>
      <c r="L42" s="3">
        <f t="shared" si="2"/>
        <v>0</v>
      </c>
      <c r="M42" s="127"/>
    </row>
    <row r="43" spans="1:18">
      <c r="A43" s="2">
        <v>44704</v>
      </c>
      <c r="B43" s="1" t="s">
        <v>1658</v>
      </c>
      <c r="C43" s="60">
        <v>690</v>
      </c>
      <c r="D43" s="3"/>
      <c r="E43" s="3">
        <f t="shared" si="0"/>
        <v>10626.630000000005</v>
      </c>
      <c r="F43" s="118"/>
      <c r="H43" s="2"/>
      <c r="I43" s="6"/>
      <c r="J43" s="3"/>
      <c r="K43" s="3"/>
      <c r="L43" s="3">
        <f t="shared" si="2"/>
        <v>0</v>
      </c>
      <c r="M43" s="44"/>
    </row>
    <row r="44" spans="1:18">
      <c r="A44" s="2">
        <v>44704</v>
      </c>
      <c r="B44" s="1" t="s">
        <v>1659</v>
      </c>
      <c r="C44" s="3">
        <v>870</v>
      </c>
      <c r="D44" s="3"/>
      <c r="E44" s="3">
        <f t="shared" si="0"/>
        <v>9756.6300000000047</v>
      </c>
      <c r="F44" s="118"/>
      <c r="G44" s="92"/>
      <c r="H44" s="2"/>
      <c r="I44" s="6"/>
      <c r="J44" s="3"/>
      <c r="K44" s="3"/>
      <c r="L44" s="3">
        <f t="shared" si="2"/>
        <v>0</v>
      </c>
      <c r="M44" s="76"/>
    </row>
    <row r="45" spans="1:18">
      <c r="A45" s="2">
        <v>44705</v>
      </c>
      <c r="B45" s="1" t="s">
        <v>1660</v>
      </c>
      <c r="C45" s="3">
        <v>1863.5</v>
      </c>
      <c r="D45" s="3"/>
      <c r="E45" s="3">
        <f t="shared" si="0"/>
        <v>7893.1300000000047</v>
      </c>
      <c r="F45" s="118"/>
      <c r="G45" s="92"/>
      <c r="H45" s="2"/>
      <c r="I45" s="1"/>
      <c r="J45" s="3"/>
      <c r="K45" s="3"/>
      <c r="L45" s="3">
        <f t="shared" si="2"/>
        <v>0</v>
      </c>
      <c r="M45" s="1"/>
    </row>
    <row r="46" spans="1:18">
      <c r="A46" s="2">
        <v>44705</v>
      </c>
      <c r="B46" s="1" t="s">
        <v>1662</v>
      </c>
      <c r="C46" s="3">
        <v>400</v>
      </c>
      <c r="D46" s="3"/>
      <c r="E46" s="3">
        <f t="shared" si="0"/>
        <v>7493.1300000000047</v>
      </c>
      <c r="F46" s="96"/>
      <c r="G46" s="92"/>
      <c r="H46" s="2"/>
      <c r="I46" s="1"/>
      <c r="J46" s="3"/>
      <c r="K46" s="3"/>
      <c r="L46" s="3">
        <f t="shared" si="2"/>
        <v>0</v>
      </c>
      <c r="M46" s="1"/>
    </row>
    <row r="47" spans="1:18">
      <c r="A47" s="2">
        <v>44707</v>
      </c>
      <c r="B47" s="1" t="s">
        <v>1661</v>
      </c>
      <c r="C47" s="3">
        <v>3000</v>
      </c>
      <c r="D47" s="10"/>
      <c r="E47" s="10">
        <f t="shared" ref="E47:E59" si="3">+E46-C47+D47</f>
        <v>4493.1300000000047</v>
      </c>
      <c r="F47" s="398"/>
      <c r="H47" s="2"/>
      <c r="I47" s="1"/>
      <c r="J47" s="3"/>
      <c r="K47" s="3"/>
      <c r="L47" s="3">
        <f t="shared" si="2"/>
        <v>0</v>
      </c>
      <c r="M47" s="64"/>
      <c r="N47" s="83"/>
    </row>
    <row r="48" spans="1:18">
      <c r="A48" s="63">
        <v>44708</v>
      </c>
      <c r="B48" s="6" t="s">
        <v>1663</v>
      </c>
      <c r="C48" s="10">
        <v>450</v>
      </c>
      <c r="D48" s="10"/>
      <c r="E48" s="10">
        <f t="shared" si="3"/>
        <v>4043.1300000000047</v>
      </c>
      <c r="F48" s="10"/>
      <c r="H48" s="2"/>
      <c r="I48" s="1"/>
      <c r="J48" s="3"/>
      <c r="K48" s="3"/>
      <c r="L48" s="3">
        <f t="shared" si="2"/>
        <v>0</v>
      </c>
      <c r="M48" s="1"/>
    </row>
    <row r="49" spans="1:14">
      <c r="A49" s="11"/>
      <c r="B49" s="12"/>
      <c r="C49" s="13"/>
      <c r="D49" s="13"/>
      <c r="E49" s="13">
        <f t="shared" si="3"/>
        <v>4043.1300000000047</v>
      </c>
      <c r="F49" s="399"/>
      <c r="H49" s="2"/>
      <c r="I49" s="1"/>
      <c r="J49" s="3"/>
      <c r="K49" s="3"/>
      <c r="L49" s="3">
        <f t="shared" si="2"/>
        <v>0</v>
      </c>
      <c r="M49" s="44"/>
    </row>
    <row r="50" spans="1:14">
      <c r="A50" s="12"/>
      <c r="B50" s="12"/>
      <c r="C50" s="13"/>
      <c r="D50" s="13"/>
      <c r="E50" s="13">
        <f t="shared" si="3"/>
        <v>4043.1300000000047</v>
      </c>
      <c r="F50" s="12"/>
      <c r="H50" s="2"/>
      <c r="I50" s="1"/>
      <c r="J50" s="3"/>
      <c r="K50" s="3"/>
      <c r="L50" s="3">
        <f t="shared" si="2"/>
        <v>0</v>
      </c>
      <c r="M50" s="1"/>
    </row>
    <row r="51" spans="1:14">
      <c r="A51" s="1"/>
      <c r="B51" s="1"/>
      <c r="C51" s="3"/>
      <c r="D51" s="3"/>
      <c r="E51" s="3">
        <f t="shared" si="3"/>
        <v>4043.1300000000047</v>
      </c>
      <c r="F51" s="1"/>
      <c r="H51" s="2"/>
      <c r="I51" s="1"/>
      <c r="J51" s="3"/>
      <c r="K51" s="3"/>
      <c r="L51" s="3">
        <f t="shared" si="2"/>
        <v>0</v>
      </c>
      <c r="M51" s="1"/>
    </row>
    <row r="52" spans="1:14">
      <c r="A52" s="1"/>
      <c r="B52" s="1"/>
      <c r="C52" s="3"/>
      <c r="D52" s="3"/>
      <c r="E52" s="3">
        <f t="shared" si="3"/>
        <v>4043.1300000000047</v>
      </c>
      <c r="F52" s="1"/>
      <c r="H52" s="2"/>
      <c r="I52" s="6"/>
      <c r="J52" s="3"/>
      <c r="K52" s="3"/>
      <c r="L52" s="3">
        <f t="shared" si="2"/>
        <v>0</v>
      </c>
      <c r="M52" s="44"/>
    </row>
    <row r="53" spans="1:14">
      <c r="A53" s="1"/>
      <c r="B53" s="1"/>
      <c r="C53" s="3"/>
      <c r="D53" s="3"/>
      <c r="E53" s="3">
        <f t="shared" si="3"/>
        <v>4043.1300000000047</v>
      </c>
      <c r="F53" s="1"/>
      <c r="H53" s="2"/>
      <c r="I53" s="1"/>
      <c r="J53" s="3"/>
      <c r="K53" s="3"/>
      <c r="L53" s="3">
        <f t="shared" si="2"/>
        <v>0</v>
      </c>
      <c r="M53" s="1"/>
      <c r="N53" s="41"/>
    </row>
    <row r="54" spans="1:14">
      <c r="E54" s="3">
        <f t="shared" si="3"/>
        <v>4043.1300000000047</v>
      </c>
      <c r="H54" s="2"/>
      <c r="I54" s="1"/>
      <c r="J54" s="3"/>
      <c r="K54" s="3"/>
      <c r="L54" s="3">
        <f t="shared" si="2"/>
        <v>0</v>
      </c>
      <c r="M54" s="1"/>
    </row>
    <row r="55" spans="1:14">
      <c r="E55" s="3">
        <f t="shared" si="3"/>
        <v>4043.1300000000047</v>
      </c>
      <c r="H55" s="2"/>
      <c r="I55" s="1"/>
      <c r="J55" s="3"/>
      <c r="K55" s="3"/>
      <c r="L55" s="3">
        <f t="shared" si="2"/>
        <v>0</v>
      </c>
      <c r="M55" s="1"/>
    </row>
    <row r="56" spans="1:14">
      <c r="E56" s="3">
        <f t="shared" si="3"/>
        <v>4043.1300000000047</v>
      </c>
      <c r="H56" s="2"/>
      <c r="I56" s="1"/>
      <c r="J56" s="3"/>
      <c r="K56" s="3"/>
      <c r="L56" s="3">
        <f t="shared" si="2"/>
        <v>0</v>
      </c>
      <c r="M56" s="1"/>
    </row>
    <row r="57" spans="1:14">
      <c r="E57" s="3">
        <f t="shared" si="3"/>
        <v>4043.1300000000047</v>
      </c>
      <c r="H57" s="2"/>
      <c r="I57" s="1"/>
      <c r="J57" s="3"/>
      <c r="K57" s="3"/>
      <c r="L57" s="3">
        <f t="shared" si="2"/>
        <v>0</v>
      </c>
      <c r="M57" s="1"/>
    </row>
    <row r="58" spans="1:14">
      <c r="E58" s="3">
        <f t="shared" si="3"/>
        <v>4043.1300000000047</v>
      </c>
      <c r="H58" s="2"/>
      <c r="I58" s="1"/>
      <c r="J58" s="3"/>
      <c r="K58" s="3"/>
      <c r="L58" s="3">
        <f t="shared" si="2"/>
        <v>0</v>
      </c>
      <c r="M58" s="64"/>
    </row>
    <row r="59" spans="1:14">
      <c r="E59" s="3">
        <f t="shared" si="3"/>
        <v>4043.1300000000047</v>
      </c>
      <c r="H59" s="1"/>
      <c r="I59" s="1"/>
      <c r="J59" s="3"/>
      <c r="K59" s="3"/>
      <c r="L59" s="3">
        <f t="shared" si="2"/>
        <v>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77EC-A974-7247-AC4F-522D2DD7D475}">
  <dimension ref="A1:R1048576"/>
  <sheetViews>
    <sheetView showGridLines="0" topLeftCell="A33" zoomScale="125" workbookViewId="0">
      <selection activeCell="F23" sqref="F23"/>
    </sheetView>
  </sheetViews>
  <sheetFormatPr baseColWidth="10" defaultRowHeight="16"/>
  <cols>
    <col min="1" max="1" width="7.33203125" bestFit="1" customWidth="1"/>
    <col min="2" max="2" width="28.6640625" customWidth="1"/>
    <col min="3" max="3" width="12.5" style="4" bestFit="1" customWidth="1"/>
    <col min="4" max="4" width="13.5" style="4" customWidth="1"/>
    <col min="5" max="5" width="13" customWidth="1"/>
    <col min="6" max="6" width="11.1640625" customWidth="1"/>
    <col min="7" max="7" width="11.83203125" customWidth="1"/>
    <col min="8" max="13" width="6.33203125" customWidth="1"/>
    <col min="14" max="14" width="7.33203125" customWidth="1"/>
    <col min="15" max="15" width="27.83203125" style="358" bestFit="1" customWidth="1"/>
    <col min="16" max="16" width="11.83203125" style="93" bestFit="1" customWidth="1"/>
    <col min="17" max="17" width="14.1640625" customWidth="1"/>
  </cols>
  <sheetData>
    <row r="1" spans="1:17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7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403" t="s">
        <v>111</v>
      </c>
      <c r="P2" s="348"/>
    </row>
    <row r="3" spans="1:17">
      <c r="A3" s="2"/>
      <c r="B3" s="1" t="s">
        <v>4</v>
      </c>
      <c r="C3" s="283"/>
      <c r="D3" s="283"/>
      <c r="E3" s="3">
        <v>4043.13</v>
      </c>
      <c r="F3" s="34"/>
      <c r="G3" s="271" t="s">
        <v>170</v>
      </c>
      <c r="H3" s="2"/>
      <c r="I3" s="282" t="s">
        <v>4</v>
      </c>
      <c r="J3" s="287"/>
      <c r="K3" s="287"/>
      <c r="L3" s="3">
        <v>0</v>
      </c>
      <c r="M3" s="37"/>
      <c r="O3" s="404" t="s">
        <v>1686</v>
      </c>
      <c r="P3" s="347">
        <v>14250</v>
      </c>
    </row>
    <row r="4" spans="1:17">
      <c r="A4" s="2">
        <v>44708</v>
      </c>
      <c r="B4" s="1" t="s">
        <v>1664</v>
      </c>
      <c r="C4" s="3"/>
      <c r="D4" s="3">
        <f>108431+1.97</f>
        <v>108432.97</v>
      </c>
      <c r="E4" s="3">
        <f>+E3-C4+D4</f>
        <v>112476.1</v>
      </c>
      <c r="F4" s="59"/>
      <c r="G4" s="56">
        <f>+E57+L30</f>
        <v>110631.93000000001</v>
      </c>
      <c r="H4" s="2"/>
      <c r="I4" s="1"/>
      <c r="J4" s="3"/>
      <c r="K4" s="3"/>
      <c r="L4" s="3">
        <f>+L3+K4-J4</f>
        <v>0</v>
      </c>
      <c r="M4" s="95"/>
      <c r="O4" s="404" t="s">
        <v>1687</v>
      </c>
      <c r="P4" s="347">
        <v>500</v>
      </c>
    </row>
    <row r="5" spans="1:17">
      <c r="A5" s="196">
        <v>44710</v>
      </c>
      <c r="B5" s="36" t="s">
        <v>1670</v>
      </c>
      <c r="C5" s="37">
        <v>3600</v>
      </c>
      <c r="D5" s="37"/>
      <c r="E5" s="37">
        <f t="shared" ref="E5:E54" si="0">+E4-C5+D5</f>
        <v>108876.1</v>
      </c>
      <c r="F5" s="37"/>
      <c r="G5" s="41"/>
      <c r="H5" s="2"/>
      <c r="I5" s="284"/>
      <c r="J5" s="3"/>
      <c r="K5" s="3"/>
      <c r="L5" s="3">
        <f t="shared" ref="L5:L25" si="1">+L4+K5-J5</f>
        <v>0</v>
      </c>
      <c r="M5" s="96"/>
      <c r="O5" s="404" t="s">
        <v>1688</v>
      </c>
      <c r="P5" s="347">
        <f>930*4</f>
        <v>3720</v>
      </c>
      <c r="Q5" s="66"/>
    </row>
    <row r="6" spans="1:17">
      <c r="A6" s="2">
        <v>44711</v>
      </c>
      <c r="B6" s="59" t="s">
        <v>1666</v>
      </c>
      <c r="C6" s="60">
        <v>1620</v>
      </c>
      <c r="D6" s="3"/>
      <c r="E6" s="3">
        <f t="shared" si="0"/>
        <v>107256.1</v>
      </c>
      <c r="F6" s="59"/>
      <c r="G6" s="189"/>
      <c r="H6" s="2"/>
      <c r="I6" s="285"/>
      <c r="J6" s="243"/>
      <c r="K6" s="243"/>
      <c r="L6" s="3">
        <f t="shared" si="1"/>
        <v>0</v>
      </c>
      <c r="M6" s="96"/>
      <c r="O6" s="405" t="s">
        <v>1689</v>
      </c>
      <c r="P6" s="348">
        <v>900</v>
      </c>
      <c r="Q6" s="66"/>
    </row>
    <row r="7" spans="1:17">
      <c r="A7" s="2">
        <v>44711</v>
      </c>
      <c r="B7" s="59" t="s">
        <v>1665</v>
      </c>
      <c r="C7" s="60">
        <v>4430</v>
      </c>
      <c r="D7" s="3"/>
      <c r="E7" s="3">
        <f t="shared" si="0"/>
        <v>102826.1</v>
      </c>
      <c r="F7" s="60"/>
      <c r="G7" s="190"/>
      <c r="H7" s="2"/>
      <c r="I7" s="286"/>
      <c r="J7" s="60"/>
      <c r="K7" s="3"/>
      <c r="L7" s="3">
        <f t="shared" si="1"/>
        <v>0</v>
      </c>
      <c r="M7" s="60"/>
      <c r="O7" s="406" t="s">
        <v>1690</v>
      </c>
      <c r="P7" s="348">
        <v>-635</v>
      </c>
    </row>
    <row r="8" spans="1:17">
      <c r="A8" s="2">
        <v>44711</v>
      </c>
      <c r="B8" s="59" t="s">
        <v>1667</v>
      </c>
      <c r="C8" s="60">
        <v>950</v>
      </c>
      <c r="D8" s="3"/>
      <c r="E8" s="3">
        <f t="shared" si="0"/>
        <v>101876.1</v>
      </c>
      <c r="F8" s="197"/>
      <c r="G8" s="189"/>
      <c r="H8" s="2"/>
      <c r="I8" s="282"/>
      <c r="J8" s="287"/>
      <c r="K8" s="287"/>
      <c r="L8" s="3">
        <f t="shared" si="1"/>
        <v>0</v>
      </c>
      <c r="M8" s="96"/>
      <c r="O8" s="406" t="s">
        <v>1691</v>
      </c>
      <c r="P8" s="348">
        <v>-550</v>
      </c>
    </row>
    <row r="9" spans="1:17">
      <c r="A9" s="2">
        <v>44711</v>
      </c>
      <c r="B9" s="59" t="s">
        <v>1668</v>
      </c>
      <c r="C9" s="60">
        <v>790</v>
      </c>
      <c r="D9" s="3"/>
      <c r="E9" s="3">
        <f t="shared" si="0"/>
        <v>101086.1</v>
      </c>
      <c r="F9" s="59"/>
      <c r="G9" s="41"/>
      <c r="H9" s="2"/>
      <c r="I9" s="98"/>
      <c r="J9" s="3"/>
      <c r="K9" s="3"/>
      <c r="L9" s="3">
        <f t="shared" si="1"/>
        <v>0</v>
      </c>
      <c r="M9" s="96"/>
      <c r="O9" s="405" t="s">
        <v>1692</v>
      </c>
      <c r="P9" s="348">
        <v>1100</v>
      </c>
    </row>
    <row r="10" spans="1:17">
      <c r="A10" s="2">
        <v>44711</v>
      </c>
      <c r="B10" s="59" t="s">
        <v>1670</v>
      </c>
      <c r="C10" s="60">
        <v>1000</v>
      </c>
      <c r="D10" s="3"/>
      <c r="E10" s="3">
        <f t="shared" si="0"/>
        <v>100086.1</v>
      </c>
      <c r="F10" s="60">
        <v>500</v>
      </c>
      <c r="G10" s="60" t="s">
        <v>1669</v>
      </c>
      <c r="H10" s="2"/>
      <c r="I10" s="286"/>
      <c r="J10" s="60"/>
      <c r="K10" s="3"/>
      <c r="L10" s="3">
        <f t="shared" si="1"/>
        <v>0</v>
      </c>
      <c r="M10" s="96"/>
      <c r="N10" s="57"/>
      <c r="O10" s="405" t="s">
        <v>1693</v>
      </c>
      <c r="P10" s="348">
        <v>1750</v>
      </c>
    </row>
    <row r="11" spans="1:17">
      <c r="A11" s="2">
        <v>44711</v>
      </c>
      <c r="B11" s="59" t="s">
        <v>1671</v>
      </c>
      <c r="C11" s="60">
        <v>2300</v>
      </c>
      <c r="D11" s="3"/>
      <c r="E11" s="3">
        <f t="shared" si="0"/>
        <v>97786.1</v>
      </c>
      <c r="F11" s="60"/>
      <c r="G11" s="308"/>
      <c r="H11" s="2"/>
      <c r="I11" s="286"/>
      <c r="J11" s="76"/>
      <c r="K11" s="3"/>
      <c r="L11" s="3">
        <f t="shared" si="1"/>
        <v>0</v>
      </c>
      <c r="M11" s="96"/>
      <c r="N11" s="57"/>
      <c r="O11" s="405" t="s">
        <v>1694</v>
      </c>
      <c r="P11" s="348">
        <v>-600</v>
      </c>
    </row>
    <row r="12" spans="1:17">
      <c r="A12" s="2">
        <v>44711</v>
      </c>
      <c r="B12" s="59" t="s">
        <v>1673</v>
      </c>
      <c r="C12" s="60">
        <v>5000</v>
      </c>
      <c r="D12" s="3"/>
      <c r="E12" s="3">
        <f t="shared" si="0"/>
        <v>92786.1</v>
      </c>
      <c r="F12" s="198"/>
      <c r="H12" s="2"/>
      <c r="I12" s="286"/>
      <c r="J12" s="76"/>
      <c r="K12" s="3"/>
      <c r="L12" s="3">
        <f t="shared" si="1"/>
        <v>0</v>
      </c>
      <c r="M12" s="148"/>
      <c r="N12" s="57"/>
      <c r="O12" s="405" t="s">
        <v>1695</v>
      </c>
      <c r="P12" s="348">
        <v>-700</v>
      </c>
    </row>
    <row r="13" spans="1:17">
      <c r="A13" s="2">
        <v>44711</v>
      </c>
      <c r="B13" s="59" t="s">
        <v>1672</v>
      </c>
      <c r="C13" s="60">
        <v>4200</v>
      </c>
      <c r="D13" s="3"/>
      <c r="E13" s="3">
        <f t="shared" si="0"/>
        <v>88586.1</v>
      </c>
      <c r="F13" s="60"/>
      <c r="G13" s="57"/>
      <c r="H13" s="2"/>
      <c r="I13" s="286"/>
      <c r="J13" s="3"/>
      <c r="K13" s="3"/>
      <c r="L13" s="3">
        <f t="shared" si="1"/>
        <v>0</v>
      </c>
      <c r="M13" s="64"/>
      <c r="O13" s="405" t="s">
        <v>1696</v>
      </c>
      <c r="P13" s="348">
        <v>-450</v>
      </c>
    </row>
    <row r="14" spans="1:17" ht="19">
      <c r="A14" s="2">
        <v>44711</v>
      </c>
      <c r="B14" s="59" t="s">
        <v>1674</v>
      </c>
      <c r="C14" s="60">
        <v>8399.83</v>
      </c>
      <c r="D14" s="3"/>
      <c r="E14" s="3">
        <f t="shared" si="0"/>
        <v>80186.27</v>
      </c>
      <c r="F14" s="60"/>
      <c r="G14" s="330"/>
      <c r="H14" s="2"/>
      <c r="I14" s="1"/>
      <c r="J14" s="3"/>
      <c r="K14" s="3"/>
      <c r="L14" s="3">
        <f t="shared" si="1"/>
        <v>0</v>
      </c>
      <c r="M14" s="96"/>
      <c r="O14" s="405" t="s">
        <v>1697</v>
      </c>
      <c r="P14" s="348">
        <v>-225</v>
      </c>
    </row>
    <row r="15" spans="1:17">
      <c r="A15" s="2">
        <v>44711</v>
      </c>
      <c r="B15" s="59" t="s">
        <v>1675</v>
      </c>
      <c r="C15" s="60">
        <v>4500</v>
      </c>
      <c r="D15" s="3"/>
      <c r="E15" s="3">
        <f t="shared" si="0"/>
        <v>75686.27</v>
      </c>
      <c r="F15" s="60"/>
      <c r="H15" s="2"/>
      <c r="I15" s="1"/>
      <c r="J15" s="3"/>
      <c r="K15" s="3"/>
      <c r="L15" s="3">
        <f t="shared" si="1"/>
        <v>0</v>
      </c>
      <c r="M15" s="96"/>
      <c r="O15" s="405" t="s">
        <v>1698</v>
      </c>
      <c r="P15" s="348">
        <v>-1435</v>
      </c>
    </row>
    <row r="16" spans="1:17">
      <c r="A16" s="58">
        <v>44712</v>
      </c>
      <c r="B16" s="59" t="s">
        <v>1421</v>
      </c>
      <c r="C16" s="60">
        <v>5576.45</v>
      </c>
      <c r="D16" s="3"/>
      <c r="E16" s="3">
        <f t="shared" si="0"/>
        <v>70109.820000000007</v>
      </c>
      <c r="F16" s="60">
        <f>+C16/2</f>
        <v>2788.2249999999999</v>
      </c>
      <c r="H16" s="2"/>
      <c r="I16" s="1"/>
      <c r="J16" s="3"/>
      <c r="K16" s="3"/>
      <c r="L16" s="3">
        <f t="shared" si="1"/>
        <v>0</v>
      </c>
      <c r="M16" s="60"/>
      <c r="O16" s="407" t="s">
        <v>1699</v>
      </c>
      <c r="P16" s="348">
        <v>975</v>
      </c>
    </row>
    <row r="17" spans="1:18">
      <c r="A17" s="58">
        <v>44712</v>
      </c>
      <c r="B17" s="59" t="s">
        <v>1071</v>
      </c>
      <c r="C17" s="60">
        <v>20000</v>
      </c>
      <c r="D17" s="3"/>
      <c r="E17" s="3">
        <f t="shared" si="0"/>
        <v>50109.820000000007</v>
      </c>
      <c r="F17" s="60"/>
      <c r="H17" s="2"/>
      <c r="I17" s="1"/>
      <c r="J17" s="10"/>
      <c r="K17" s="3"/>
      <c r="L17" s="3">
        <f t="shared" si="1"/>
        <v>0</v>
      </c>
      <c r="M17" s="96"/>
      <c r="O17" s="407" t="s">
        <v>1699</v>
      </c>
      <c r="P17" s="348">
        <v>-225</v>
      </c>
    </row>
    <row r="18" spans="1:18">
      <c r="A18" s="58">
        <v>44713</v>
      </c>
      <c r="B18" s="59" t="s">
        <v>1676</v>
      </c>
      <c r="C18" s="60"/>
      <c r="D18" s="3">
        <v>500</v>
      </c>
      <c r="E18" s="3">
        <f t="shared" si="0"/>
        <v>50609.820000000007</v>
      </c>
      <c r="F18" s="60"/>
      <c r="H18" s="2"/>
      <c r="I18" s="1"/>
      <c r="J18" s="3"/>
      <c r="K18" s="3"/>
      <c r="L18" s="3">
        <f t="shared" si="1"/>
        <v>0</v>
      </c>
      <c r="M18" s="60"/>
      <c r="N18" s="57"/>
      <c r="O18" s="405" t="s">
        <v>1700</v>
      </c>
      <c r="P18" s="348">
        <v>1615</v>
      </c>
    </row>
    <row r="19" spans="1:18">
      <c r="A19" s="58">
        <v>44713</v>
      </c>
      <c r="B19" s="59" t="s">
        <v>1677</v>
      </c>
      <c r="C19" s="60"/>
      <c r="D19" s="3">
        <v>460</v>
      </c>
      <c r="E19" s="3">
        <f t="shared" si="0"/>
        <v>51069.820000000007</v>
      </c>
      <c r="F19" s="60"/>
      <c r="H19" s="2"/>
      <c r="I19" s="1"/>
      <c r="J19" s="3"/>
      <c r="K19" s="3"/>
      <c r="L19" s="3">
        <f t="shared" si="1"/>
        <v>0</v>
      </c>
      <c r="M19" s="37"/>
      <c r="O19" s="405" t="s">
        <v>1701</v>
      </c>
      <c r="P19" s="348">
        <v>180</v>
      </c>
    </row>
    <row r="20" spans="1:18">
      <c r="A20" s="58">
        <v>44713</v>
      </c>
      <c r="B20" s="59" t="s">
        <v>1679</v>
      </c>
      <c r="C20" s="60">
        <v>417</v>
      </c>
      <c r="D20" s="3"/>
      <c r="E20" s="3">
        <f t="shared" si="0"/>
        <v>50652.820000000007</v>
      </c>
      <c r="F20" s="60" t="s">
        <v>1680</v>
      </c>
      <c r="H20" s="58"/>
      <c r="I20" s="6"/>
      <c r="J20" s="3"/>
      <c r="K20" s="3"/>
      <c r="L20" s="3">
        <f t="shared" si="1"/>
        <v>0</v>
      </c>
      <c r="M20" s="60"/>
      <c r="O20" s="405" t="s">
        <v>1702</v>
      </c>
      <c r="P20" s="348">
        <v>650</v>
      </c>
    </row>
    <row r="21" spans="1:18">
      <c r="A21" s="58">
        <v>44713</v>
      </c>
      <c r="B21" s="59" t="s">
        <v>1681</v>
      </c>
      <c r="C21" s="60">
        <v>2826</v>
      </c>
      <c r="D21" s="3"/>
      <c r="E21" s="3">
        <f t="shared" si="0"/>
        <v>47826.820000000007</v>
      </c>
      <c r="F21" s="96">
        <v>1000</v>
      </c>
      <c r="H21" s="58"/>
      <c r="I21" s="1"/>
      <c r="J21" s="3"/>
      <c r="K21" s="3"/>
      <c r="L21" s="3">
        <f t="shared" si="1"/>
        <v>0</v>
      </c>
      <c r="M21" s="60"/>
      <c r="O21" s="405" t="s">
        <v>1703</v>
      </c>
      <c r="P21" s="348">
        <v>-900</v>
      </c>
    </row>
    <row r="22" spans="1:18">
      <c r="A22" s="2">
        <v>44715</v>
      </c>
      <c r="B22" s="59" t="s">
        <v>1678</v>
      </c>
      <c r="C22" s="60">
        <v>1090</v>
      </c>
      <c r="D22" s="3"/>
      <c r="E22" s="3">
        <f t="shared" si="0"/>
        <v>46736.820000000007</v>
      </c>
      <c r="F22" s="60"/>
      <c r="H22" s="58"/>
      <c r="I22" s="1"/>
      <c r="J22" s="60"/>
      <c r="K22" s="3"/>
      <c r="L22" s="3">
        <f t="shared" si="1"/>
        <v>0</v>
      </c>
      <c r="M22" s="60"/>
      <c r="O22" s="405" t="s">
        <v>1707</v>
      </c>
      <c r="P22" s="348">
        <f>-F10-F16-F21-F24</f>
        <v>-7810.7250000000004</v>
      </c>
      <c r="R22" s="308"/>
    </row>
    <row r="23" spans="1:18">
      <c r="A23" s="2">
        <v>44715</v>
      </c>
      <c r="B23" s="59" t="s">
        <v>1682</v>
      </c>
      <c r="C23" s="60">
        <v>2064.27</v>
      </c>
      <c r="D23" s="3"/>
      <c r="E23" s="3">
        <f t="shared" si="0"/>
        <v>44672.55000000001</v>
      </c>
      <c r="F23" s="401">
        <f>+C23/2</f>
        <v>1032.135</v>
      </c>
      <c r="G23" s="41"/>
      <c r="H23" s="58"/>
      <c r="I23" s="1"/>
      <c r="J23" s="3"/>
      <c r="K23" s="3"/>
      <c r="L23" s="3">
        <f t="shared" si="1"/>
        <v>0</v>
      </c>
      <c r="M23" s="96"/>
      <c r="N23" s="90"/>
      <c r="O23" s="402" t="s">
        <v>1732</v>
      </c>
      <c r="P23" s="345">
        <f>SUM(P3:P22)</f>
        <v>12109.275</v>
      </c>
    </row>
    <row r="24" spans="1:18">
      <c r="A24" s="2">
        <v>44717</v>
      </c>
      <c r="B24" s="59" t="s">
        <v>1683</v>
      </c>
      <c r="C24" s="60">
        <f>7605-560</f>
        <v>7045</v>
      </c>
      <c r="D24" s="3"/>
      <c r="E24" s="3">
        <f t="shared" si="0"/>
        <v>37627.55000000001</v>
      </c>
      <c r="F24" s="60">
        <f>+C24/2</f>
        <v>3522.5</v>
      </c>
      <c r="H24" s="58"/>
      <c r="I24" s="1"/>
      <c r="J24" s="3"/>
      <c r="K24" s="3"/>
      <c r="L24" s="3">
        <f t="shared" si="1"/>
        <v>0</v>
      </c>
      <c r="M24" s="76"/>
      <c r="N24" s="57"/>
      <c r="O24" s="408" t="s">
        <v>1708</v>
      </c>
      <c r="P24" s="348">
        <v>3800</v>
      </c>
    </row>
    <row r="25" spans="1:18">
      <c r="A25" s="2">
        <v>44718</v>
      </c>
      <c r="B25" s="59" t="s">
        <v>101</v>
      </c>
      <c r="C25" s="60">
        <v>5300.72</v>
      </c>
      <c r="D25" s="60"/>
      <c r="E25" s="3">
        <f t="shared" si="0"/>
        <v>32326.830000000009</v>
      </c>
      <c r="F25" s="60"/>
      <c r="H25" s="58"/>
      <c r="I25" s="1"/>
      <c r="J25" s="3"/>
      <c r="K25" s="3"/>
      <c r="L25" s="3">
        <f t="shared" si="1"/>
        <v>0</v>
      </c>
      <c r="M25" s="60"/>
      <c r="O25" s="408" t="s">
        <v>1709</v>
      </c>
      <c r="P25" s="348">
        <v>630</v>
      </c>
    </row>
    <row r="26" spans="1:18">
      <c r="A26" s="2">
        <v>44719</v>
      </c>
      <c r="B26" s="59" t="s">
        <v>1684</v>
      </c>
      <c r="C26" s="60">
        <v>3800</v>
      </c>
      <c r="D26" s="3"/>
      <c r="E26" s="3">
        <f t="shared" si="0"/>
        <v>28526.830000000009</v>
      </c>
      <c r="F26" s="37"/>
      <c r="H26" s="58"/>
      <c r="I26" s="1"/>
      <c r="J26" s="60"/>
      <c r="K26" s="3"/>
      <c r="L26" s="3">
        <f t="shared" ref="L26:L59" si="2">+L25-J26+K26</f>
        <v>0</v>
      </c>
      <c r="M26" s="60"/>
      <c r="O26" s="408" t="s">
        <v>1710</v>
      </c>
      <c r="P26" s="348">
        <v>1387.5</v>
      </c>
    </row>
    <row r="27" spans="1:18">
      <c r="A27" s="58">
        <v>44720</v>
      </c>
      <c r="B27" s="59" t="s">
        <v>1685</v>
      </c>
      <c r="C27" s="60">
        <v>8500</v>
      </c>
      <c r="D27" s="3"/>
      <c r="E27" s="3">
        <f t="shared" si="0"/>
        <v>20026.830000000009</v>
      </c>
      <c r="F27" s="60"/>
      <c r="H27" s="58"/>
      <c r="I27" s="1"/>
      <c r="J27" s="3"/>
      <c r="K27" s="3"/>
      <c r="L27" s="3">
        <f t="shared" si="2"/>
        <v>0</v>
      </c>
      <c r="M27" s="76"/>
      <c r="O27" s="408" t="s">
        <v>1711</v>
      </c>
      <c r="P27" s="348">
        <v>330</v>
      </c>
    </row>
    <row r="28" spans="1:18">
      <c r="A28" s="58">
        <v>44722</v>
      </c>
      <c r="B28" s="59" t="s">
        <v>1713</v>
      </c>
      <c r="C28" s="60">
        <v>2840</v>
      </c>
      <c r="D28" s="60"/>
      <c r="E28" s="3">
        <f t="shared" si="0"/>
        <v>17186.830000000009</v>
      </c>
      <c r="F28" s="60"/>
      <c r="H28" s="2"/>
      <c r="I28" s="1"/>
      <c r="J28" s="3"/>
      <c r="K28" s="3"/>
      <c r="L28" s="3">
        <f t="shared" si="2"/>
        <v>0</v>
      </c>
      <c r="M28" s="60"/>
      <c r="O28" s="408" t="s">
        <v>1712</v>
      </c>
      <c r="P28" s="348">
        <v>-195</v>
      </c>
    </row>
    <row r="29" spans="1:18">
      <c r="A29" s="58">
        <v>44722</v>
      </c>
      <c r="B29" s="59" t="s">
        <v>1714</v>
      </c>
      <c r="C29" s="60"/>
      <c r="D29" s="60">
        <v>1500</v>
      </c>
      <c r="E29" s="3">
        <f t="shared" si="0"/>
        <v>18686.830000000009</v>
      </c>
      <c r="F29" s="37"/>
      <c r="H29" s="2"/>
      <c r="I29" s="6"/>
      <c r="J29" s="3"/>
      <c r="K29" s="3"/>
      <c r="L29" s="3">
        <f t="shared" si="2"/>
        <v>0</v>
      </c>
      <c r="M29" s="60"/>
      <c r="O29" s="408" t="s">
        <v>1719</v>
      </c>
      <c r="P29" s="348">
        <v>1000</v>
      </c>
    </row>
    <row r="30" spans="1:18">
      <c r="A30" s="58">
        <v>44722</v>
      </c>
      <c r="B30" s="59" t="s">
        <v>1715</v>
      </c>
      <c r="C30" s="60">
        <v>1530</v>
      </c>
      <c r="D30" s="3"/>
      <c r="E30" s="3">
        <f t="shared" si="0"/>
        <v>17156.830000000009</v>
      </c>
      <c r="F30" s="59"/>
      <c r="H30" s="2"/>
      <c r="I30" s="1"/>
      <c r="J30" s="3"/>
      <c r="K30" s="3"/>
      <c r="L30" s="3">
        <f t="shared" si="2"/>
        <v>0</v>
      </c>
      <c r="M30" s="194"/>
      <c r="N30" s="41"/>
      <c r="O30" s="408" t="s">
        <v>1724</v>
      </c>
      <c r="P30" s="348">
        <f>-(2800-500)/2</f>
        <v>-1150</v>
      </c>
    </row>
    <row r="31" spans="1:18">
      <c r="A31" s="196">
        <v>44724</v>
      </c>
      <c r="B31" s="59" t="s">
        <v>1716</v>
      </c>
      <c r="C31" s="37"/>
      <c r="D31" s="37">
        <v>1000</v>
      </c>
      <c r="E31" s="10">
        <f t="shared" si="0"/>
        <v>18156.830000000009</v>
      </c>
      <c r="F31" s="37"/>
      <c r="H31" s="2"/>
      <c r="I31" s="1"/>
      <c r="J31" s="3"/>
      <c r="K31" s="3"/>
      <c r="L31" s="3">
        <f t="shared" si="2"/>
        <v>0</v>
      </c>
      <c r="M31" s="60"/>
      <c r="O31" s="408" t="s">
        <v>1726</v>
      </c>
      <c r="P31" s="348">
        <f>1225+150</f>
        <v>1375</v>
      </c>
    </row>
    <row r="32" spans="1:18">
      <c r="A32" s="196">
        <v>44724</v>
      </c>
      <c r="B32" s="59" t="s">
        <v>1717</v>
      </c>
      <c r="C32" s="37"/>
      <c r="D32" s="10">
        <v>500</v>
      </c>
      <c r="E32" s="10">
        <f t="shared" si="0"/>
        <v>18656.830000000009</v>
      </c>
      <c r="F32" s="37"/>
      <c r="H32" s="208"/>
      <c r="I32" s="202"/>
      <c r="J32" s="3"/>
      <c r="K32" s="3"/>
      <c r="L32" s="3">
        <f t="shared" si="2"/>
        <v>0</v>
      </c>
      <c r="M32" s="76"/>
      <c r="O32" s="408" t="s">
        <v>1727</v>
      </c>
      <c r="P32" s="348">
        <v>-3000</v>
      </c>
    </row>
    <row r="33" spans="1:18">
      <c r="A33" s="196">
        <v>44724</v>
      </c>
      <c r="B33" s="36" t="s">
        <v>1718</v>
      </c>
      <c r="C33" s="37">
        <v>819</v>
      </c>
      <c r="D33" s="10"/>
      <c r="E33" s="10">
        <f t="shared" si="0"/>
        <v>17837.830000000009</v>
      </c>
      <c r="F33" s="37"/>
      <c r="H33" s="2"/>
      <c r="I33" s="1"/>
      <c r="J33" s="3"/>
      <c r="K33" s="3"/>
      <c r="L33" s="3">
        <f t="shared" si="2"/>
        <v>0</v>
      </c>
      <c r="M33" s="60"/>
      <c r="O33" s="408" t="s">
        <v>1728</v>
      </c>
      <c r="P33" s="348">
        <v>-1500</v>
      </c>
    </row>
    <row r="34" spans="1:18">
      <c r="A34" s="196">
        <v>44726</v>
      </c>
      <c r="B34" s="36" t="s">
        <v>1071</v>
      </c>
      <c r="C34" s="37">
        <v>10000</v>
      </c>
      <c r="D34" s="10"/>
      <c r="E34" s="10">
        <f t="shared" si="0"/>
        <v>7837.830000000009</v>
      </c>
      <c r="F34" s="37"/>
      <c r="G34" s="308">
        <v>16573.73</v>
      </c>
      <c r="H34" s="2"/>
      <c r="I34" s="1"/>
      <c r="J34" s="3"/>
      <c r="K34" s="3"/>
      <c r="L34" s="3">
        <f t="shared" si="2"/>
        <v>0</v>
      </c>
      <c r="M34" s="60"/>
      <c r="O34" s="408" t="s">
        <v>1729</v>
      </c>
      <c r="P34" s="348">
        <v>600</v>
      </c>
    </row>
    <row r="35" spans="1:18">
      <c r="A35" s="63">
        <v>44727</v>
      </c>
      <c r="B35" s="36" t="s">
        <v>1720</v>
      </c>
      <c r="C35" s="10"/>
      <c r="D35" s="10">
        <v>54748</v>
      </c>
      <c r="E35" s="10">
        <f t="shared" si="0"/>
        <v>62585.830000000009</v>
      </c>
      <c r="F35" s="37"/>
      <c r="H35" s="2"/>
      <c r="I35" s="1"/>
      <c r="J35" s="3"/>
      <c r="K35" s="3"/>
      <c r="L35" s="3">
        <f t="shared" si="2"/>
        <v>0</v>
      </c>
      <c r="M35" s="76"/>
      <c r="O35" s="408" t="s">
        <v>1730</v>
      </c>
      <c r="P35" s="348">
        <v>-2325</v>
      </c>
      <c r="R35" s="66"/>
    </row>
    <row r="36" spans="1:18">
      <c r="A36" s="63">
        <v>44728</v>
      </c>
      <c r="B36" s="36" t="s">
        <v>1721</v>
      </c>
      <c r="C36" s="10">
        <v>1387.59</v>
      </c>
      <c r="D36" s="10"/>
      <c r="E36" s="10">
        <f t="shared" si="0"/>
        <v>61198.240000000013</v>
      </c>
      <c r="F36" s="37">
        <f>+C36/2</f>
        <v>693.79499999999996</v>
      </c>
      <c r="H36" s="2"/>
      <c r="I36" s="1"/>
      <c r="J36" s="3"/>
      <c r="K36" s="3"/>
      <c r="L36" s="3">
        <f t="shared" si="2"/>
        <v>0</v>
      </c>
      <c r="M36" s="76"/>
      <c r="O36" s="405" t="s">
        <v>1731</v>
      </c>
      <c r="P36" s="348">
        <f>-SUM(F36:F39)</f>
        <v>-3609.4049999999997</v>
      </c>
      <c r="R36" s="318"/>
    </row>
    <row r="37" spans="1:18">
      <c r="A37" s="63">
        <v>44733</v>
      </c>
      <c r="B37" s="36" t="s">
        <v>1721</v>
      </c>
      <c r="C37" s="10">
        <v>831.22</v>
      </c>
      <c r="D37" s="10"/>
      <c r="E37" s="10">
        <f t="shared" si="0"/>
        <v>60367.020000000011</v>
      </c>
      <c r="F37" s="36">
        <f>+C37/2</f>
        <v>415.61</v>
      </c>
      <c r="H37" s="114"/>
      <c r="I37" s="6"/>
      <c r="J37" s="3"/>
      <c r="K37" s="3"/>
      <c r="L37" s="3">
        <f t="shared" si="2"/>
        <v>0</v>
      </c>
      <c r="M37" s="76"/>
      <c r="N37" s="57"/>
      <c r="O37" s="402" t="s">
        <v>1733</v>
      </c>
      <c r="P37" s="345">
        <f>SUM(P23:P36)</f>
        <v>9452.3700000000026</v>
      </c>
      <c r="Q37" s="277" t="s">
        <v>1734</v>
      </c>
      <c r="R37" s="277"/>
    </row>
    <row r="38" spans="1:18">
      <c r="A38" s="63">
        <v>44733</v>
      </c>
      <c r="B38" s="6" t="s">
        <v>1722</v>
      </c>
      <c r="C38" s="37">
        <v>900</v>
      </c>
      <c r="D38" s="10"/>
      <c r="E38" s="10">
        <f t="shared" si="0"/>
        <v>59467.020000000011</v>
      </c>
      <c r="F38" s="37"/>
      <c r="G38" s="195"/>
      <c r="H38" s="114"/>
      <c r="I38" s="6"/>
      <c r="J38" s="10"/>
      <c r="K38" s="3"/>
      <c r="L38" s="3">
        <f t="shared" si="2"/>
        <v>0</v>
      </c>
      <c r="M38" s="76"/>
      <c r="O38" s="409" t="s">
        <v>1736</v>
      </c>
      <c r="P38" s="318">
        <v>1738</v>
      </c>
    </row>
    <row r="39" spans="1:18">
      <c r="A39" s="63">
        <v>44733</v>
      </c>
      <c r="B39" s="36" t="s">
        <v>1723</v>
      </c>
      <c r="C39" s="37">
        <v>5000</v>
      </c>
      <c r="D39" s="10"/>
      <c r="E39" s="10">
        <f t="shared" si="0"/>
        <v>54467.020000000011</v>
      </c>
      <c r="F39" s="37">
        <f>+C39/2</f>
        <v>2500</v>
      </c>
      <c r="G39" s="195"/>
      <c r="H39" s="114"/>
      <c r="I39" s="59"/>
      <c r="J39" s="60"/>
      <c r="K39" s="60"/>
      <c r="L39" s="3">
        <f t="shared" si="2"/>
        <v>0</v>
      </c>
      <c r="M39" s="76"/>
      <c r="Q39" s="66"/>
      <c r="R39" s="66"/>
    </row>
    <row r="40" spans="1:18">
      <c r="A40" s="63">
        <v>44733</v>
      </c>
      <c r="B40" s="36" t="s">
        <v>1725</v>
      </c>
      <c r="C40" s="37">
        <v>2800</v>
      </c>
      <c r="D40" s="10"/>
      <c r="E40" s="10">
        <f t="shared" si="0"/>
        <v>51667.020000000011</v>
      </c>
      <c r="F40" s="37"/>
      <c r="G40" s="195"/>
      <c r="H40" s="2"/>
      <c r="I40" s="1"/>
      <c r="J40" s="3"/>
      <c r="K40" s="3"/>
      <c r="L40" s="3">
        <f t="shared" si="2"/>
        <v>0</v>
      </c>
      <c r="M40" s="64"/>
      <c r="O40" s="409"/>
      <c r="P40" s="318"/>
      <c r="Q40" s="66"/>
    </row>
    <row r="41" spans="1:18">
      <c r="A41" s="63">
        <v>44733</v>
      </c>
      <c r="B41" s="36" t="s">
        <v>1735</v>
      </c>
      <c r="C41" s="37">
        <v>9452.3700000000008</v>
      </c>
      <c r="D41" s="10"/>
      <c r="E41" s="10">
        <f t="shared" si="0"/>
        <v>42214.650000000009</v>
      </c>
      <c r="F41" s="118"/>
      <c r="G41" s="195"/>
      <c r="H41" s="2"/>
      <c r="I41" s="1"/>
      <c r="J41" s="3"/>
      <c r="K41" s="3"/>
      <c r="L41" s="3">
        <f t="shared" si="2"/>
        <v>0</v>
      </c>
      <c r="M41" s="126"/>
      <c r="N41" s="57"/>
      <c r="Q41" s="66"/>
    </row>
    <row r="42" spans="1:18">
      <c r="A42" s="63">
        <v>44733</v>
      </c>
      <c r="B42" s="6" t="s">
        <v>1737</v>
      </c>
      <c r="C42" s="10">
        <v>25000</v>
      </c>
      <c r="D42" s="10"/>
      <c r="E42" s="10">
        <f t="shared" si="0"/>
        <v>17214.650000000009</v>
      </c>
      <c r="F42" s="118"/>
      <c r="G42" s="195"/>
      <c r="H42" s="2"/>
      <c r="I42" s="1"/>
      <c r="J42" s="3"/>
      <c r="K42" s="3"/>
      <c r="L42" s="3">
        <f t="shared" si="2"/>
        <v>0</v>
      </c>
      <c r="M42" s="127"/>
    </row>
    <row r="43" spans="1:18">
      <c r="A43" s="63">
        <v>44734</v>
      </c>
      <c r="B43" s="6" t="s">
        <v>1357</v>
      </c>
      <c r="C43" s="10"/>
      <c r="D43" s="10">
        <v>0.12</v>
      </c>
      <c r="E43" s="10">
        <f t="shared" si="0"/>
        <v>17214.770000000008</v>
      </c>
      <c r="F43" s="118"/>
      <c r="H43" s="2"/>
      <c r="I43" s="6"/>
      <c r="J43" s="3"/>
      <c r="K43" s="3"/>
      <c r="L43" s="3">
        <f t="shared" si="2"/>
        <v>0</v>
      </c>
      <c r="M43" s="44"/>
    </row>
    <row r="44" spans="1:18">
      <c r="A44" s="63">
        <v>44736</v>
      </c>
      <c r="B44" s="6" t="s">
        <v>1738</v>
      </c>
      <c r="C44" s="3">
        <v>3200</v>
      </c>
      <c r="D44" s="3"/>
      <c r="E44" s="3">
        <f t="shared" si="0"/>
        <v>14014.770000000008</v>
      </c>
      <c r="F44" s="37">
        <f>+C44/2</f>
        <v>1600</v>
      </c>
      <c r="G44" s="92"/>
      <c r="H44" s="2"/>
      <c r="I44" s="6"/>
      <c r="J44" s="3"/>
      <c r="K44" s="3"/>
      <c r="L44" s="3">
        <f t="shared" si="2"/>
        <v>0</v>
      </c>
      <c r="M44" s="76"/>
    </row>
    <row r="45" spans="1:18">
      <c r="A45" s="63">
        <v>44736</v>
      </c>
      <c r="B45" s="59" t="s">
        <v>1739</v>
      </c>
      <c r="C45" s="3"/>
      <c r="D45" s="3">
        <f>530+530+330</f>
        <v>1390</v>
      </c>
      <c r="E45" s="3">
        <f t="shared" si="0"/>
        <v>15404.770000000008</v>
      </c>
      <c r="F45" s="37"/>
      <c r="G45" s="92"/>
      <c r="H45" s="2"/>
      <c r="I45" s="1"/>
      <c r="J45" s="3"/>
      <c r="K45" s="3"/>
      <c r="L45" s="3">
        <f t="shared" si="2"/>
        <v>0</v>
      </c>
      <c r="M45" s="1"/>
    </row>
    <row r="46" spans="1:18">
      <c r="A46" s="63">
        <v>44738</v>
      </c>
      <c r="B46" s="59" t="s">
        <v>1676</v>
      </c>
      <c r="C46" s="3"/>
      <c r="D46" s="3">
        <v>835</v>
      </c>
      <c r="E46" s="3">
        <f t="shared" si="0"/>
        <v>16239.770000000008</v>
      </c>
      <c r="F46" s="96"/>
      <c r="G46" s="92"/>
      <c r="H46" s="2"/>
      <c r="I46" s="1"/>
      <c r="J46" s="3"/>
      <c r="K46" s="3"/>
      <c r="L46" s="3">
        <f t="shared" si="2"/>
        <v>0</v>
      </c>
      <c r="M46" s="1"/>
    </row>
    <row r="47" spans="1:18">
      <c r="A47" s="63">
        <v>44739</v>
      </c>
      <c r="B47" s="59" t="s">
        <v>101</v>
      </c>
      <c r="C47" s="3">
        <v>5080.28</v>
      </c>
      <c r="D47" s="3"/>
      <c r="E47" s="3">
        <f t="shared" si="0"/>
        <v>11159.490000000009</v>
      </c>
      <c r="F47" s="398"/>
      <c r="H47" s="2"/>
      <c r="I47" s="1"/>
      <c r="J47" s="3"/>
      <c r="K47" s="3"/>
      <c r="L47" s="3">
        <f t="shared" si="2"/>
        <v>0</v>
      </c>
      <c r="M47" s="64"/>
      <c r="N47" s="83"/>
    </row>
    <row r="48" spans="1:18">
      <c r="A48" s="63">
        <v>44740</v>
      </c>
      <c r="B48" s="6" t="s">
        <v>1357</v>
      </c>
      <c r="C48" s="3"/>
      <c r="D48" s="3">
        <v>3.44</v>
      </c>
      <c r="E48" s="3">
        <f t="shared" si="0"/>
        <v>11162.930000000009</v>
      </c>
      <c r="F48" s="37"/>
      <c r="H48" s="2"/>
      <c r="I48" s="1"/>
      <c r="J48" s="3"/>
      <c r="K48" s="3"/>
      <c r="L48" s="3">
        <f t="shared" si="2"/>
        <v>0</v>
      </c>
      <c r="M48" s="1"/>
    </row>
    <row r="49" spans="1:14">
      <c r="A49" s="63">
        <v>44741</v>
      </c>
      <c r="B49" s="1"/>
      <c r="C49" s="3">
        <v>3500</v>
      </c>
      <c r="D49" s="3"/>
      <c r="E49" s="3">
        <f t="shared" si="0"/>
        <v>7662.9300000000094</v>
      </c>
      <c r="F49" s="398"/>
      <c r="H49" s="2"/>
      <c r="I49" s="1"/>
      <c r="J49" s="3"/>
      <c r="K49" s="3"/>
      <c r="L49" s="3">
        <f t="shared" si="2"/>
        <v>0</v>
      </c>
      <c r="M49" s="44"/>
    </row>
    <row r="50" spans="1:14">
      <c r="A50" s="63">
        <v>44741</v>
      </c>
      <c r="B50" s="6" t="s">
        <v>1740</v>
      </c>
      <c r="C50" s="3">
        <v>590</v>
      </c>
      <c r="D50" s="3"/>
      <c r="E50" s="3">
        <f t="shared" si="0"/>
        <v>7072.9300000000094</v>
      </c>
      <c r="F50" s="36"/>
      <c r="H50" s="2"/>
      <c r="I50" s="1"/>
      <c r="J50" s="3"/>
      <c r="K50" s="3"/>
      <c r="L50" s="3">
        <f t="shared" si="2"/>
        <v>0</v>
      </c>
      <c r="M50" s="1"/>
    </row>
    <row r="51" spans="1:14">
      <c r="A51" s="63">
        <v>44741</v>
      </c>
      <c r="B51" s="1" t="s">
        <v>1741</v>
      </c>
      <c r="C51" s="3">
        <v>310</v>
      </c>
      <c r="D51" s="3"/>
      <c r="E51" s="3">
        <f t="shared" si="0"/>
        <v>6762.9300000000094</v>
      </c>
      <c r="F51" s="59"/>
      <c r="H51" s="2"/>
      <c r="I51" s="1"/>
      <c r="J51" s="3"/>
      <c r="K51" s="3"/>
      <c r="L51" s="3">
        <f t="shared" si="2"/>
        <v>0</v>
      </c>
      <c r="M51" s="1"/>
    </row>
    <row r="52" spans="1:14">
      <c r="A52" s="63">
        <v>44741</v>
      </c>
      <c r="B52" s="1" t="s">
        <v>1742</v>
      </c>
      <c r="C52" s="60">
        <v>480</v>
      </c>
      <c r="D52" s="3"/>
      <c r="E52" s="3">
        <f t="shared" si="0"/>
        <v>6282.9300000000094</v>
      </c>
      <c r="F52" s="60">
        <f>+C52/2</f>
        <v>240</v>
      </c>
      <c r="H52" s="2"/>
      <c r="I52" s="6"/>
      <c r="J52" s="3"/>
      <c r="K52" s="3"/>
      <c r="L52" s="3">
        <f t="shared" si="2"/>
        <v>0</v>
      </c>
      <c r="M52" s="44"/>
    </row>
    <row r="53" spans="1:14">
      <c r="A53" s="63">
        <v>44741</v>
      </c>
      <c r="B53" s="1" t="s">
        <v>1743</v>
      </c>
      <c r="C53" s="3">
        <v>620</v>
      </c>
      <c r="D53" s="3"/>
      <c r="E53" s="3">
        <f t="shared" si="0"/>
        <v>5662.9300000000094</v>
      </c>
      <c r="F53" s="1"/>
      <c r="H53" s="2"/>
      <c r="I53" s="1"/>
      <c r="J53" s="3"/>
      <c r="K53" s="3"/>
      <c r="L53" s="3">
        <f t="shared" si="2"/>
        <v>0</v>
      </c>
      <c r="M53" s="1"/>
      <c r="N53" s="41"/>
    </row>
    <row r="54" spans="1:14">
      <c r="A54" s="63">
        <v>44741</v>
      </c>
      <c r="B54" s="1" t="s">
        <v>1744</v>
      </c>
      <c r="C54" s="3"/>
      <c r="D54" s="3">
        <v>108431</v>
      </c>
      <c r="E54" s="3">
        <f t="shared" si="0"/>
        <v>114093.93000000001</v>
      </c>
      <c r="F54" s="1"/>
      <c r="H54" s="2"/>
      <c r="I54" s="1"/>
      <c r="J54" s="3"/>
      <c r="K54" s="3"/>
      <c r="L54" s="3">
        <f t="shared" si="2"/>
        <v>0</v>
      </c>
      <c r="M54" s="1"/>
    </row>
    <row r="55" spans="1:14">
      <c r="A55" s="63">
        <v>44741</v>
      </c>
      <c r="B55" s="1" t="s">
        <v>1745</v>
      </c>
      <c r="C55" s="3">
        <v>662</v>
      </c>
      <c r="D55" s="3"/>
      <c r="E55" s="3">
        <f t="shared" ref="E55:E59" si="3">+E54-C55+D55</f>
        <v>113431.93000000001</v>
      </c>
      <c r="F55" s="1"/>
      <c r="H55" s="2"/>
      <c r="I55" s="1"/>
      <c r="J55" s="3"/>
      <c r="K55" s="3"/>
      <c r="L55" s="3">
        <f t="shared" si="2"/>
        <v>0</v>
      </c>
      <c r="M55" s="1"/>
    </row>
    <row r="56" spans="1:14">
      <c r="A56" s="2">
        <v>44742</v>
      </c>
      <c r="B56" s="1" t="s">
        <v>30</v>
      </c>
      <c r="C56" s="3">
        <v>2800</v>
      </c>
      <c r="D56" s="10"/>
      <c r="E56" s="3">
        <f t="shared" si="3"/>
        <v>110631.93000000001</v>
      </c>
      <c r="F56" s="1"/>
      <c r="H56" s="2"/>
      <c r="I56" s="1"/>
      <c r="J56" s="3"/>
      <c r="K56" s="3"/>
      <c r="L56" s="3">
        <f t="shared" si="2"/>
        <v>0</v>
      </c>
      <c r="M56" s="1"/>
    </row>
    <row r="57" spans="1:14">
      <c r="A57" s="63"/>
      <c r="B57" s="6"/>
      <c r="C57" s="10"/>
      <c r="D57" s="10"/>
      <c r="E57" s="3">
        <f t="shared" si="3"/>
        <v>110631.93000000001</v>
      </c>
      <c r="F57" s="1"/>
      <c r="H57" s="2"/>
      <c r="I57" s="1"/>
      <c r="J57" s="3"/>
      <c r="K57" s="3"/>
      <c r="L57" s="3">
        <f t="shared" si="2"/>
        <v>0</v>
      </c>
      <c r="M57" s="1"/>
    </row>
    <row r="58" spans="1:14">
      <c r="E58" s="3">
        <f t="shared" si="3"/>
        <v>110631.93000000001</v>
      </c>
      <c r="H58" s="2"/>
      <c r="I58" s="1"/>
      <c r="J58" s="3"/>
      <c r="K58" s="3"/>
      <c r="L58" s="3">
        <f t="shared" si="2"/>
        <v>0</v>
      </c>
      <c r="M58" s="64"/>
    </row>
    <row r="59" spans="1:14">
      <c r="E59" s="3">
        <f t="shared" si="3"/>
        <v>110631.93000000001</v>
      </c>
      <c r="H59" s="1"/>
      <c r="I59" s="1"/>
      <c r="J59" s="3"/>
      <c r="K59" s="3"/>
      <c r="L59" s="3">
        <f t="shared" si="2"/>
        <v>0</v>
      </c>
      <c r="M59" s="1"/>
    </row>
    <row r="60" spans="1:14">
      <c r="H60" s="1"/>
      <c r="I60" s="1"/>
      <c r="J60" s="3"/>
      <c r="K60" s="3"/>
      <c r="L60" s="1"/>
      <c r="M60" s="1"/>
    </row>
    <row r="61" spans="1:14">
      <c r="H61" s="1"/>
      <c r="I61" s="1"/>
      <c r="J61" s="3"/>
      <c r="K61" s="3"/>
      <c r="L61" s="1"/>
      <c r="M61" s="1"/>
    </row>
    <row r="62" spans="1:14">
      <c r="H62" s="1"/>
      <c r="I62" s="1"/>
      <c r="J62" s="3"/>
      <c r="K62" s="3"/>
      <c r="L62" s="1"/>
      <c r="M62" s="1"/>
    </row>
    <row r="63" spans="1:14">
      <c r="J63" s="4"/>
      <c r="K63" s="4"/>
    </row>
    <row r="64" spans="1:14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  <row r="1048576" spans="1:8">
      <c r="A1048576" s="2"/>
      <c r="H1048576" s="2">
        <v>44317</v>
      </c>
    </row>
  </sheetData>
  <mergeCells count="2">
    <mergeCell ref="A1:F1"/>
    <mergeCell ref="H1:M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F5B3-C51A-1D47-8EFD-0B0BE2803DCE}">
  <dimension ref="A1:M16"/>
  <sheetViews>
    <sheetView workbookViewId="0">
      <selection activeCell="I67" sqref="I67"/>
    </sheetView>
  </sheetViews>
  <sheetFormatPr baseColWidth="10" defaultRowHeight="16"/>
  <cols>
    <col min="1" max="1" width="6.5" bestFit="1" customWidth="1"/>
    <col min="2" max="2" width="24" bestFit="1" customWidth="1"/>
    <col min="4" max="5" width="11.5" bestFit="1" customWidth="1"/>
    <col min="6" max="6" width="20.83203125" bestFit="1" customWidth="1"/>
    <col min="7" max="7" width="11.5" bestFit="1" customWidth="1"/>
    <col min="9" max="9" width="19.5" bestFit="1" customWidth="1"/>
    <col min="11" max="12" width="11.5" bestFit="1" customWidth="1"/>
    <col min="13" max="13" width="25.6640625" bestFit="1" customWidth="1"/>
  </cols>
  <sheetData>
    <row r="1" spans="1:13">
      <c r="A1" s="471" t="s">
        <v>128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3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3">
      <c r="A3" s="2">
        <v>43923</v>
      </c>
      <c r="B3" s="1" t="s">
        <v>121</v>
      </c>
      <c r="C3" s="3"/>
      <c r="D3" s="3">
        <v>16903</v>
      </c>
      <c r="E3" s="3">
        <f>D3</f>
        <v>16903</v>
      </c>
      <c r="F3" s="31" t="s">
        <v>125</v>
      </c>
      <c r="G3" s="32">
        <f>D3+D6</f>
        <v>36270.78</v>
      </c>
      <c r="H3" s="2">
        <v>43927</v>
      </c>
      <c r="I3" s="1" t="s">
        <v>4</v>
      </c>
      <c r="J3" s="3"/>
      <c r="K3" s="3">
        <v>2000</v>
      </c>
      <c r="L3" s="3">
        <f>K3</f>
        <v>2000</v>
      </c>
      <c r="M3" s="34"/>
    </row>
    <row r="4" spans="1:13">
      <c r="A4" s="2">
        <v>43923</v>
      </c>
      <c r="B4" s="1" t="s">
        <v>122</v>
      </c>
      <c r="C4" s="3">
        <v>2000</v>
      </c>
      <c r="D4" s="3"/>
      <c r="E4" s="3">
        <f>E3+D4-C4</f>
        <v>14903</v>
      </c>
      <c r="F4" s="30"/>
      <c r="H4" s="2">
        <v>43930</v>
      </c>
      <c r="I4" s="1" t="s">
        <v>131</v>
      </c>
      <c r="J4" s="3">
        <v>500</v>
      </c>
      <c r="K4" s="3"/>
      <c r="L4" s="3">
        <f>L3+K4-J4</f>
        <v>1500</v>
      </c>
      <c r="M4" s="30"/>
    </row>
    <row r="5" spans="1:13">
      <c r="A5" s="2">
        <v>43923</v>
      </c>
      <c r="B5" s="1" t="s">
        <v>123</v>
      </c>
      <c r="C5" s="3">
        <v>2000</v>
      </c>
      <c r="D5" s="3"/>
      <c r="E5" s="3">
        <f t="shared" ref="E5:E16" si="0">E4+D5-C5</f>
        <v>12903</v>
      </c>
      <c r="F5" s="1"/>
      <c r="H5" s="2">
        <v>43932</v>
      </c>
      <c r="I5" s="1" t="s">
        <v>132</v>
      </c>
      <c r="J5" s="3">
        <v>500</v>
      </c>
      <c r="K5" s="3"/>
      <c r="L5" s="3">
        <f t="shared" ref="L5:L14" si="1">L4+K5-J5</f>
        <v>1000</v>
      </c>
      <c r="M5" s="1"/>
    </row>
    <row r="6" spans="1:13">
      <c r="A6" s="2">
        <v>43927</v>
      </c>
      <c r="B6" s="1" t="s">
        <v>124</v>
      </c>
      <c r="C6" s="3"/>
      <c r="D6" s="3">
        <v>19367.78</v>
      </c>
      <c r="E6" s="3">
        <f t="shared" si="0"/>
        <v>32270.78</v>
      </c>
      <c r="F6" s="1"/>
      <c r="H6" s="2">
        <v>43932</v>
      </c>
      <c r="I6" s="1" t="s">
        <v>133</v>
      </c>
      <c r="J6" s="3"/>
      <c r="K6" s="3">
        <v>4150</v>
      </c>
      <c r="L6" s="3">
        <f t="shared" si="1"/>
        <v>5150</v>
      </c>
      <c r="M6" s="1" t="s">
        <v>134</v>
      </c>
    </row>
    <row r="7" spans="1:13">
      <c r="A7" s="2">
        <v>43932</v>
      </c>
      <c r="B7" s="1" t="s">
        <v>130</v>
      </c>
      <c r="C7" s="3">
        <v>5000</v>
      </c>
      <c r="D7" s="3"/>
      <c r="E7" s="3">
        <f t="shared" si="0"/>
        <v>27270.78</v>
      </c>
      <c r="F7" s="1" t="s">
        <v>127</v>
      </c>
      <c r="H7" s="2">
        <v>43936</v>
      </c>
      <c r="I7" s="1" t="s">
        <v>137</v>
      </c>
      <c r="J7" s="3">
        <v>550</v>
      </c>
      <c r="K7" s="3"/>
      <c r="L7" s="3">
        <f t="shared" si="1"/>
        <v>4600</v>
      </c>
      <c r="M7" s="1"/>
    </row>
    <row r="8" spans="1:13">
      <c r="A8" s="2">
        <v>43941</v>
      </c>
      <c r="B8" s="1" t="s">
        <v>135</v>
      </c>
      <c r="C8" s="3">
        <v>2000</v>
      </c>
      <c r="D8" s="3"/>
      <c r="E8" s="3">
        <f t="shared" si="0"/>
        <v>25270.78</v>
      </c>
      <c r="F8" s="1" t="s">
        <v>136</v>
      </c>
      <c r="H8" s="2">
        <v>43940</v>
      </c>
      <c r="I8" s="1" t="s">
        <v>138</v>
      </c>
      <c r="J8" s="3">
        <v>1100</v>
      </c>
      <c r="K8" s="3"/>
      <c r="L8" s="3">
        <f t="shared" si="1"/>
        <v>3500</v>
      </c>
      <c r="M8" s="1"/>
    </row>
    <row r="9" spans="1:13">
      <c r="A9" s="2">
        <v>43943</v>
      </c>
      <c r="B9" s="1" t="s">
        <v>139</v>
      </c>
      <c r="C9" s="3">
        <v>2000</v>
      </c>
      <c r="D9" s="3"/>
      <c r="E9" s="3">
        <f t="shared" si="0"/>
        <v>23270.78</v>
      </c>
      <c r="F9" s="1"/>
      <c r="H9" s="2">
        <v>43944</v>
      </c>
      <c r="I9" s="1" t="s">
        <v>141</v>
      </c>
      <c r="J9" s="3">
        <v>1500</v>
      </c>
      <c r="K9" s="3"/>
      <c r="L9" s="3">
        <f t="shared" si="1"/>
        <v>2000</v>
      </c>
      <c r="M9" s="1"/>
    </row>
    <row r="10" spans="1:13">
      <c r="A10" s="2">
        <v>43945</v>
      </c>
      <c r="B10" s="1" t="s">
        <v>140</v>
      </c>
      <c r="C10" s="3">
        <f>1350</f>
        <v>1350</v>
      </c>
      <c r="D10" s="3"/>
      <c r="E10" s="3">
        <f t="shared" si="0"/>
        <v>21920.78</v>
      </c>
      <c r="F10" s="1"/>
      <c r="H10" s="11"/>
      <c r="I10" s="12"/>
      <c r="J10" s="13"/>
      <c r="K10" s="13"/>
      <c r="L10" s="13">
        <f t="shared" si="1"/>
        <v>2000</v>
      </c>
      <c r="M10" s="12"/>
    </row>
    <row r="11" spans="1:13">
      <c r="A11" s="2">
        <v>43951</v>
      </c>
      <c r="B11" s="1" t="s">
        <v>142</v>
      </c>
      <c r="C11" s="3"/>
      <c r="D11" s="3">
        <v>16561</v>
      </c>
      <c r="E11" s="3">
        <f t="shared" si="0"/>
        <v>38481.78</v>
      </c>
      <c r="F11" s="1"/>
      <c r="H11" s="11"/>
      <c r="I11" s="12"/>
      <c r="J11" s="13"/>
      <c r="K11" s="13"/>
      <c r="L11" s="13">
        <f t="shared" si="1"/>
        <v>2000</v>
      </c>
      <c r="M11" s="12"/>
    </row>
    <row r="12" spans="1:13">
      <c r="A12" s="11"/>
      <c r="B12" s="12"/>
      <c r="C12" s="13"/>
      <c r="D12" s="13"/>
      <c r="E12" s="13">
        <f t="shared" si="0"/>
        <v>38481.78</v>
      </c>
      <c r="F12" s="12"/>
      <c r="H12" s="2"/>
      <c r="I12" s="1"/>
      <c r="J12" s="3"/>
      <c r="K12" s="3"/>
      <c r="L12" s="3">
        <f t="shared" si="1"/>
        <v>2000</v>
      </c>
      <c r="M12" s="1"/>
    </row>
    <row r="13" spans="1:13">
      <c r="A13" s="11"/>
      <c r="B13" s="12"/>
      <c r="C13" s="13"/>
      <c r="D13" s="13"/>
      <c r="E13" s="13">
        <f t="shared" si="0"/>
        <v>38481.78</v>
      </c>
      <c r="F13" s="12"/>
      <c r="H13" s="2"/>
      <c r="I13" s="1"/>
      <c r="J13" s="3"/>
      <c r="K13" s="3"/>
      <c r="L13" s="3">
        <f t="shared" si="1"/>
        <v>2000</v>
      </c>
      <c r="M13" s="1"/>
    </row>
    <row r="14" spans="1:13">
      <c r="A14" s="2"/>
      <c r="B14" s="1"/>
      <c r="C14" s="3"/>
      <c r="D14" s="3"/>
      <c r="E14" s="3">
        <f t="shared" si="0"/>
        <v>38481.78</v>
      </c>
      <c r="F14" s="1"/>
      <c r="H14" s="2"/>
      <c r="I14" s="1"/>
      <c r="J14" s="3"/>
      <c r="K14" s="3"/>
      <c r="L14" s="3">
        <f t="shared" si="1"/>
        <v>2000</v>
      </c>
      <c r="M14" s="1"/>
    </row>
    <row r="15" spans="1:13">
      <c r="A15" s="2"/>
      <c r="B15" s="1"/>
      <c r="C15" s="3"/>
      <c r="D15" s="3"/>
      <c r="E15" s="3">
        <f t="shared" si="0"/>
        <v>38481.78</v>
      </c>
      <c r="F15" s="1"/>
    </row>
    <row r="16" spans="1:13">
      <c r="A16" s="2"/>
      <c r="B16" s="1"/>
      <c r="C16" s="3"/>
      <c r="D16" s="3"/>
      <c r="E16" s="3">
        <f t="shared" si="0"/>
        <v>38481.78</v>
      </c>
      <c r="F16" s="1"/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AC65-F53A-0347-AA49-4828935F5E99}">
  <dimension ref="A1:O1048576"/>
  <sheetViews>
    <sheetView showGridLines="0" workbookViewId="0">
      <selection activeCell="H14" sqref="H14"/>
    </sheetView>
  </sheetViews>
  <sheetFormatPr baseColWidth="10" defaultRowHeight="16"/>
  <cols>
    <col min="1" max="1" width="7.33203125" bestFit="1" customWidth="1"/>
    <col min="2" max="2" width="28.6640625" customWidth="1"/>
    <col min="3" max="3" width="12.5" style="4" bestFit="1" customWidth="1"/>
    <col min="4" max="4" width="13.5" style="4" customWidth="1"/>
    <col min="5" max="5" width="13" customWidth="1"/>
    <col min="6" max="6" width="11.1640625" customWidth="1"/>
    <col min="7" max="7" width="14.1640625" customWidth="1"/>
    <col min="8" max="8" width="5.5" customWidth="1"/>
    <col min="9" max="9" width="27.83203125" style="358" bestFit="1" customWidth="1"/>
    <col min="10" max="10" width="11.83203125" style="93" bestFit="1" customWidth="1"/>
    <col min="11" max="11" width="4.6640625" customWidth="1"/>
  </cols>
  <sheetData>
    <row r="1" spans="1:12">
      <c r="A1" s="471" t="s">
        <v>425</v>
      </c>
      <c r="B1" s="471"/>
      <c r="C1" s="471"/>
      <c r="D1" s="471"/>
      <c r="E1" s="471"/>
      <c r="F1" s="471"/>
      <c r="L1" s="418" t="s">
        <v>1795</v>
      </c>
    </row>
    <row r="2" spans="1:12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4"/>
      <c r="I2" s="403" t="s">
        <v>111</v>
      </c>
      <c r="J2" s="348"/>
      <c r="L2" s="414" t="s">
        <v>1747</v>
      </c>
    </row>
    <row r="3" spans="1:12">
      <c r="A3" s="2"/>
      <c r="B3" s="1" t="s">
        <v>4</v>
      </c>
      <c r="C3" s="283"/>
      <c r="D3" s="283"/>
      <c r="E3" s="3">
        <v>110613.93</v>
      </c>
      <c r="F3" s="34"/>
      <c r="G3" s="271" t="s">
        <v>170</v>
      </c>
      <c r="H3" s="410"/>
      <c r="I3" s="408" t="s">
        <v>1736</v>
      </c>
      <c r="J3" s="348">
        <v>1738</v>
      </c>
      <c r="L3" s="414" t="s">
        <v>1748</v>
      </c>
    </row>
    <row r="4" spans="1:12">
      <c r="A4" s="2">
        <v>44743</v>
      </c>
      <c r="B4" s="1" t="s">
        <v>1750</v>
      </c>
      <c r="C4" s="3">
        <v>850</v>
      </c>
      <c r="D4" s="3"/>
      <c r="E4" s="3">
        <f>+E3-C4+D4</f>
        <v>109763.93</v>
      </c>
      <c r="F4" s="59"/>
      <c r="G4" s="56">
        <f>+E57</f>
        <v>2867.99</v>
      </c>
      <c r="H4" s="411"/>
      <c r="I4" s="408" t="s">
        <v>1746</v>
      </c>
      <c r="J4" s="348">
        <v>1840</v>
      </c>
      <c r="K4" s="66"/>
      <c r="L4" s="414" t="s">
        <v>1794</v>
      </c>
    </row>
    <row r="5" spans="1:12">
      <c r="A5" s="2">
        <v>44743</v>
      </c>
      <c r="B5" s="36" t="s">
        <v>1751</v>
      </c>
      <c r="C5" s="37">
        <v>3576</v>
      </c>
      <c r="D5" s="37"/>
      <c r="E5" s="37">
        <f t="shared" ref="E5:E59" si="0">+E4-C5+D5</f>
        <v>106187.93</v>
      </c>
      <c r="F5" s="37"/>
      <c r="G5" s="41"/>
      <c r="H5" s="41"/>
      <c r="I5" s="408" t="s">
        <v>1778</v>
      </c>
      <c r="J5" s="348">
        <v>1275</v>
      </c>
      <c r="K5" s="66"/>
      <c r="L5" s="415" t="s">
        <v>1793</v>
      </c>
    </row>
    <row r="6" spans="1:12">
      <c r="A6" s="2">
        <v>44743</v>
      </c>
      <c r="B6" s="59" t="s">
        <v>1775</v>
      </c>
      <c r="C6" s="60">
        <v>1460</v>
      </c>
      <c r="D6" s="3"/>
      <c r="E6" s="3">
        <f t="shared" si="0"/>
        <v>104727.93</v>
      </c>
      <c r="F6" s="59"/>
      <c r="G6" s="189"/>
      <c r="H6" s="189"/>
      <c r="I6" s="408" t="s">
        <v>1779</v>
      </c>
      <c r="J6" s="348">
        <v>433</v>
      </c>
      <c r="K6" s="66"/>
      <c r="L6" s="415" t="s">
        <v>1792</v>
      </c>
    </row>
    <row r="7" spans="1:12">
      <c r="A7" s="2">
        <v>44743</v>
      </c>
      <c r="B7" s="59" t="s">
        <v>1752</v>
      </c>
      <c r="C7" s="60">
        <v>1323.5</v>
      </c>
      <c r="D7" s="3"/>
      <c r="E7" s="3">
        <f t="shared" si="0"/>
        <v>103404.43</v>
      </c>
      <c r="F7" s="60">
        <f>+C7/2</f>
        <v>661.75</v>
      </c>
      <c r="G7" s="190"/>
      <c r="H7" s="190"/>
      <c r="I7" s="408" t="s">
        <v>892</v>
      </c>
      <c r="J7" s="348">
        <v>-575</v>
      </c>
      <c r="L7" s="415" t="s">
        <v>1791</v>
      </c>
    </row>
    <row r="8" spans="1:12">
      <c r="A8" s="2">
        <v>44745</v>
      </c>
      <c r="B8" s="59" t="s">
        <v>1753</v>
      </c>
      <c r="C8" s="60">
        <v>4500</v>
      </c>
      <c r="D8" s="3"/>
      <c r="E8" s="3">
        <f t="shared" si="0"/>
        <v>98904.43</v>
      </c>
      <c r="F8" s="197">
        <v>2000</v>
      </c>
      <c r="G8" s="189"/>
      <c r="H8" s="189"/>
      <c r="I8" s="408" t="s">
        <v>1780</v>
      </c>
      <c r="J8" s="348">
        <v>-1060</v>
      </c>
      <c r="L8" s="414" t="s">
        <v>1749</v>
      </c>
    </row>
    <row r="9" spans="1:12">
      <c r="A9" s="2">
        <v>44745</v>
      </c>
      <c r="B9" s="59" t="s">
        <v>1754</v>
      </c>
      <c r="C9" s="60">
        <v>4500</v>
      </c>
      <c r="D9" s="3"/>
      <c r="E9" s="3">
        <f t="shared" si="0"/>
        <v>94404.43</v>
      </c>
      <c r="F9" s="59"/>
      <c r="G9" s="176"/>
      <c r="H9" s="41"/>
      <c r="I9" s="408" t="s">
        <v>1781</v>
      </c>
      <c r="J9" s="348">
        <v>240</v>
      </c>
      <c r="L9" s="416" t="s">
        <v>101</v>
      </c>
    </row>
    <row r="10" spans="1:12">
      <c r="A10" s="2">
        <v>44746</v>
      </c>
      <c r="B10" s="59" t="s">
        <v>101</v>
      </c>
      <c r="C10" s="60">
        <v>4000</v>
      </c>
      <c r="D10" s="3"/>
      <c r="E10" s="3">
        <f t="shared" si="0"/>
        <v>90404.43</v>
      </c>
      <c r="F10" s="60"/>
      <c r="G10" s="135"/>
      <c r="H10" s="192"/>
      <c r="I10" s="408" t="s">
        <v>1782</v>
      </c>
      <c r="J10" s="348">
        <v>1200</v>
      </c>
      <c r="L10" s="417" t="s">
        <v>1357</v>
      </c>
    </row>
    <row r="11" spans="1:12">
      <c r="A11" s="2">
        <v>44746</v>
      </c>
      <c r="B11" s="59" t="s">
        <v>1071</v>
      </c>
      <c r="C11" s="60">
        <v>10000</v>
      </c>
      <c r="D11" s="3"/>
      <c r="E11" s="3">
        <f t="shared" si="0"/>
        <v>80404.429999999993</v>
      </c>
      <c r="F11" s="60"/>
      <c r="G11" s="308"/>
      <c r="H11" s="308"/>
      <c r="I11" s="408" t="s">
        <v>1783</v>
      </c>
      <c r="J11" s="348">
        <v>1250</v>
      </c>
      <c r="L11" s="18"/>
    </row>
    <row r="12" spans="1:12">
      <c r="A12" s="2">
        <v>44746</v>
      </c>
      <c r="B12" s="59" t="s">
        <v>1760</v>
      </c>
      <c r="C12" s="60">
        <v>1320</v>
      </c>
      <c r="D12" s="3"/>
      <c r="E12" s="3">
        <f t="shared" si="0"/>
        <v>79084.429999999993</v>
      </c>
      <c r="F12" s="148">
        <f>+C12/2</f>
        <v>660</v>
      </c>
      <c r="I12" s="420" t="s">
        <v>1784</v>
      </c>
      <c r="J12" s="348">
        <v>4250</v>
      </c>
    </row>
    <row r="13" spans="1:12">
      <c r="A13" s="2">
        <v>44746</v>
      </c>
      <c r="B13" s="59" t="s">
        <v>1761</v>
      </c>
      <c r="C13" s="60">
        <v>1450</v>
      </c>
      <c r="D13" s="3"/>
      <c r="E13" s="3">
        <f t="shared" si="0"/>
        <v>77634.429999999993</v>
      </c>
      <c r="F13" s="60">
        <f>+C13/2</f>
        <v>725</v>
      </c>
      <c r="G13" s="57"/>
      <c r="H13" s="57"/>
      <c r="I13" s="408" t="s">
        <v>1785</v>
      </c>
      <c r="J13" s="348">
        <v>-1000</v>
      </c>
    </row>
    <row r="14" spans="1:12" ht="19">
      <c r="A14" s="2">
        <v>44746</v>
      </c>
      <c r="B14" s="59" t="s">
        <v>1762</v>
      </c>
      <c r="C14" s="60">
        <v>2950</v>
      </c>
      <c r="D14" s="3"/>
      <c r="E14" s="3">
        <f t="shared" si="0"/>
        <v>74684.429999999993</v>
      </c>
      <c r="F14" s="60"/>
      <c r="G14" s="330"/>
      <c r="H14" s="330"/>
      <c r="I14" s="408" t="s">
        <v>1786</v>
      </c>
      <c r="J14" s="348">
        <v>-600</v>
      </c>
    </row>
    <row r="15" spans="1:12">
      <c r="A15" s="2">
        <v>44748</v>
      </c>
      <c r="B15" s="59" t="s">
        <v>1763</v>
      </c>
      <c r="C15" s="60">
        <v>2250</v>
      </c>
      <c r="D15" s="3"/>
      <c r="E15" s="3">
        <f t="shared" si="0"/>
        <v>72434.429999999993</v>
      </c>
      <c r="F15" s="60">
        <f>+C15/2</f>
        <v>1125</v>
      </c>
      <c r="I15" s="408" t="s">
        <v>1787</v>
      </c>
      <c r="J15" s="348">
        <v>-500</v>
      </c>
    </row>
    <row r="16" spans="1:12">
      <c r="A16" s="58">
        <v>44749</v>
      </c>
      <c r="B16" s="59" t="s">
        <v>101</v>
      </c>
      <c r="C16" s="60">
        <v>4900.92</v>
      </c>
      <c r="D16" s="3"/>
      <c r="E16" s="3">
        <f t="shared" si="0"/>
        <v>67533.509999999995</v>
      </c>
      <c r="F16" s="60"/>
      <c r="I16" s="408" t="s">
        <v>1788</v>
      </c>
      <c r="J16" s="348">
        <v>590</v>
      </c>
    </row>
    <row r="17" spans="1:13">
      <c r="A17" s="58">
        <v>44749</v>
      </c>
      <c r="B17" s="59" t="s">
        <v>1755</v>
      </c>
      <c r="C17" s="60">
        <f>16006.5-C18</f>
        <v>1006.5</v>
      </c>
      <c r="D17" s="3"/>
      <c r="E17" s="3">
        <f t="shared" si="0"/>
        <v>66527.009999999995</v>
      </c>
      <c r="F17" s="60"/>
      <c r="I17" s="408" t="s">
        <v>1789</v>
      </c>
      <c r="J17" s="348">
        <v>335</v>
      </c>
    </row>
    <row r="18" spans="1:13">
      <c r="A18" s="58">
        <v>44749</v>
      </c>
      <c r="B18" s="59" t="s">
        <v>1071</v>
      </c>
      <c r="C18" s="60">
        <v>15000</v>
      </c>
      <c r="D18" s="3"/>
      <c r="E18" s="3">
        <f t="shared" si="0"/>
        <v>51527.009999999995</v>
      </c>
      <c r="F18" s="60"/>
      <c r="I18" s="408" t="s">
        <v>1790</v>
      </c>
      <c r="J18" s="348">
        <v>400</v>
      </c>
    </row>
    <row r="19" spans="1:13">
      <c r="A19" s="58">
        <v>44749</v>
      </c>
      <c r="B19" s="59" t="s">
        <v>1756</v>
      </c>
      <c r="C19" s="60"/>
      <c r="D19" s="3">
        <v>5500</v>
      </c>
      <c r="E19" s="3">
        <f t="shared" si="0"/>
        <v>57027.009999999995</v>
      </c>
      <c r="F19" s="60"/>
      <c r="I19" s="408" t="s">
        <v>1796</v>
      </c>
      <c r="J19" s="348">
        <v>1050</v>
      </c>
    </row>
    <row r="20" spans="1:13">
      <c r="A20" s="58">
        <v>44750</v>
      </c>
      <c r="B20" s="59" t="s">
        <v>1759</v>
      </c>
      <c r="C20" s="60">
        <v>4500</v>
      </c>
      <c r="D20" s="3"/>
      <c r="E20" s="3">
        <f t="shared" si="0"/>
        <v>52527.009999999995</v>
      </c>
      <c r="F20" s="60"/>
      <c r="I20" s="408" t="s">
        <v>1797</v>
      </c>
      <c r="J20" s="348">
        <f>-SUM(F7:F16)</f>
        <v>-5171.75</v>
      </c>
    </row>
    <row r="21" spans="1:13">
      <c r="A21" s="58">
        <v>44750</v>
      </c>
      <c r="B21" s="59" t="s">
        <v>1758</v>
      </c>
      <c r="C21" s="60">
        <v>4200</v>
      </c>
      <c r="D21" s="3"/>
      <c r="E21" s="3">
        <f t="shared" si="0"/>
        <v>48327.009999999995</v>
      </c>
      <c r="F21" s="96"/>
      <c r="I21" s="402" t="s">
        <v>1798</v>
      </c>
      <c r="J21" s="345">
        <f>SUM(J3:J20)</f>
        <v>5694.25</v>
      </c>
    </row>
    <row r="22" spans="1:13">
      <c r="A22" s="58">
        <v>44750</v>
      </c>
      <c r="B22" s="59" t="s">
        <v>1757</v>
      </c>
      <c r="C22" s="60">
        <v>5000</v>
      </c>
      <c r="D22" s="3"/>
      <c r="E22" s="3">
        <f t="shared" si="0"/>
        <v>43327.009999999995</v>
      </c>
      <c r="F22" s="60"/>
      <c r="I22" s="408" t="s">
        <v>1801</v>
      </c>
      <c r="J22" s="348">
        <v>4200</v>
      </c>
      <c r="L22" s="308"/>
    </row>
    <row r="23" spans="1:13">
      <c r="A23" s="2">
        <v>44753</v>
      </c>
      <c r="B23" s="59" t="s">
        <v>1764</v>
      </c>
      <c r="C23" s="60">
        <v>9600</v>
      </c>
      <c r="D23" s="3"/>
      <c r="E23" s="3">
        <f t="shared" si="0"/>
        <v>33727.009999999995</v>
      </c>
      <c r="F23" s="401"/>
      <c r="G23" s="41"/>
      <c r="H23" s="41"/>
      <c r="I23" s="408" t="s">
        <v>1802</v>
      </c>
      <c r="J23" s="348">
        <v>1000</v>
      </c>
    </row>
    <row r="24" spans="1:13">
      <c r="A24" s="2">
        <v>44753</v>
      </c>
      <c r="B24" s="59" t="s">
        <v>1773</v>
      </c>
      <c r="C24" s="60">
        <v>1060</v>
      </c>
      <c r="D24" s="3"/>
      <c r="E24" s="3">
        <f t="shared" si="0"/>
        <v>32667.009999999995</v>
      </c>
      <c r="F24" s="60"/>
      <c r="I24" s="408" t="s">
        <v>1804</v>
      </c>
      <c r="J24" s="348">
        <v>-750</v>
      </c>
    </row>
    <row r="25" spans="1:13">
      <c r="A25" s="2">
        <v>44753</v>
      </c>
      <c r="B25" s="59" t="s">
        <v>1765</v>
      </c>
      <c r="C25" s="60"/>
      <c r="D25" s="60">
        <f>4000+3800</f>
        <v>7800</v>
      </c>
      <c r="E25" s="3">
        <f t="shared" si="0"/>
        <v>40467.009999999995</v>
      </c>
      <c r="F25" s="60"/>
      <c r="I25" s="408" t="s">
        <v>1805</v>
      </c>
      <c r="J25" s="348">
        <v>150</v>
      </c>
    </row>
    <row r="26" spans="1:13">
      <c r="A26" s="2">
        <v>44753</v>
      </c>
      <c r="B26" s="59" t="s">
        <v>1766</v>
      </c>
      <c r="C26" s="60">
        <v>12785</v>
      </c>
      <c r="D26" s="3"/>
      <c r="E26" s="3">
        <f t="shared" si="0"/>
        <v>27682.009999999995</v>
      </c>
      <c r="F26" s="37"/>
      <c r="I26" s="408" t="s">
        <v>1806</v>
      </c>
      <c r="J26" s="348">
        <v>500</v>
      </c>
    </row>
    <row r="27" spans="1:13">
      <c r="A27" s="2">
        <v>44756</v>
      </c>
      <c r="B27" s="59" t="s">
        <v>1767</v>
      </c>
      <c r="C27" s="60"/>
      <c r="D27" s="3">
        <v>1600</v>
      </c>
      <c r="E27" s="3">
        <f t="shared" si="0"/>
        <v>29282.009999999995</v>
      </c>
      <c r="F27" s="60"/>
      <c r="I27" s="408" t="s">
        <v>1813</v>
      </c>
      <c r="J27" s="348">
        <f>+FIJO!D5+FIJO!D6+FIJO!D7</f>
        <v>2292.5</v>
      </c>
    </row>
    <row r="28" spans="1:13">
      <c r="A28" s="2">
        <v>44757</v>
      </c>
      <c r="B28" s="59" t="s">
        <v>1774</v>
      </c>
      <c r="C28" s="60">
        <v>800</v>
      </c>
      <c r="D28" s="60"/>
      <c r="E28" s="3">
        <f t="shared" si="0"/>
        <v>28482.009999999995</v>
      </c>
      <c r="F28" s="60"/>
      <c r="I28" s="402" t="s">
        <v>1809</v>
      </c>
      <c r="J28" s="345">
        <f>SUM(J21:J27)</f>
        <v>13086.75</v>
      </c>
      <c r="K28" s="277" t="s">
        <v>1814</v>
      </c>
      <c r="L28" s="277"/>
      <c r="M28" s="277"/>
    </row>
    <row r="29" spans="1:13">
      <c r="A29" s="2">
        <v>44757</v>
      </c>
      <c r="B29" s="59" t="s">
        <v>1774</v>
      </c>
      <c r="C29" s="60">
        <v>2700</v>
      </c>
      <c r="D29" s="60"/>
      <c r="E29" s="3">
        <f t="shared" si="0"/>
        <v>25782.009999999995</v>
      </c>
      <c r="F29" s="37"/>
    </row>
    <row r="30" spans="1:13">
      <c r="A30" s="2">
        <v>44759</v>
      </c>
      <c r="B30" s="59" t="s">
        <v>1768</v>
      </c>
      <c r="C30" s="60"/>
      <c r="D30" s="60">
        <v>1600</v>
      </c>
      <c r="E30" s="3">
        <f t="shared" si="0"/>
        <v>27382.009999999995</v>
      </c>
      <c r="F30" s="59"/>
    </row>
    <row r="31" spans="1:13">
      <c r="A31" s="2">
        <v>44759</v>
      </c>
      <c r="B31" s="59" t="s">
        <v>1769</v>
      </c>
      <c r="C31" s="37"/>
      <c r="D31" s="37">
        <v>3200</v>
      </c>
      <c r="E31" s="10">
        <f t="shared" si="0"/>
        <v>30582.009999999995</v>
      </c>
      <c r="F31" s="37"/>
    </row>
    <row r="32" spans="1:13">
      <c r="A32" s="2">
        <v>44759</v>
      </c>
      <c r="B32" s="59" t="s">
        <v>1770</v>
      </c>
      <c r="C32" s="37"/>
      <c r="D32" s="10">
        <v>1600</v>
      </c>
      <c r="E32" s="10">
        <f t="shared" si="0"/>
        <v>32182.009999999995</v>
      </c>
      <c r="F32" s="37"/>
    </row>
    <row r="33" spans="1:15">
      <c r="A33" s="196">
        <v>44761</v>
      </c>
      <c r="B33" s="59" t="s">
        <v>1771</v>
      </c>
      <c r="C33" s="37">
        <v>8000</v>
      </c>
      <c r="D33" s="10"/>
      <c r="E33" s="10">
        <f t="shared" si="0"/>
        <v>24182.009999999995</v>
      </c>
      <c r="F33" s="37"/>
      <c r="I33" s="412"/>
      <c r="J33" s="413"/>
    </row>
    <row r="34" spans="1:15">
      <c r="A34" s="196">
        <v>44762</v>
      </c>
      <c r="B34" s="36" t="s">
        <v>1772</v>
      </c>
      <c r="C34" s="37">
        <v>1753</v>
      </c>
      <c r="D34" s="10"/>
      <c r="E34" s="10">
        <v>22447.01</v>
      </c>
      <c r="F34" s="37"/>
      <c r="G34" s="308"/>
      <c r="H34" s="308"/>
      <c r="O34" s="308"/>
    </row>
    <row r="35" spans="1:15">
      <c r="A35" s="196">
        <v>44762</v>
      </c>
      <c r="B35" s="59" t="s">
        <v>1776</v>
      </c>
      <c r="C35" s="10"/>
      <c r="D35" s="10">
        <v>1600</v>
      </c>
      <c r="E35" s="10">
        <f t="shared" si="0"/>
        <v>24047.01</v>
      </c>
      <c r="F35" s="37"/>
      <c r="L35" s="66"/>
    </row>
    <row r="36" spans="1:15">
      <c r="A36" s="196">
        <v>44762</v>
      </c>
      <c r="B36" s="59" t="s">
        <v>1777</v>
      </c>
      <c r="C36" s="10"/>
      <c r="D36" s="10">
        <v>1000</v>
      </c>
      <c r="E36" s="10">
        <f t="shared" si="0"/>
        <v>25047.01</v>
      </c>
      <c r="F36" s="37"/>
      <c r="L36" s="318"/>
    </row>
    <row r="37" spans="1:15">
      <c r="A37" s="63">
        <v>44763</v>
      </c>
      <c r="B37" s="59" t="s">
        <v>1803</v>
      </c>
      <c r="C37" s="10"/>
      <c r="D37" s="10">
        <v>1600</v>
      </c>
      <c r="E37" s="10">
        <f t="shared" si="0"/>
        <v>26647.01</v>
      </c>
      <c r="F37" s="36"/>
      <c r="L37" s="66"/>
    </row>
    <row r="38" spans="1:15">
      <c r="A38" s="63">
        <v>44763</v>
      </c>
      <c r="B38" s="6" t="s">
        <v>1357</v>
      </c>
      <c r="C38" s="37"/>
      <c r="D38" s="10">
        <v>0.14000000000000001</v>
      </c>
      <c r="E38" s="10">
        <f t="shared" si="0"/>
        <v>26647.149999999998</v>
      </c>
      <c r="F38" s="37"/>
      <c r="G38" s="195"/>
      <c r="H38" s="195"/>
    </row>
    <row r="39" spans="1:15">
      <c r="A39" s="63">
        <v>44763</v>
      </c>
      <c r="B39" s="36" t="s">
        <v>1807</v>
      </c>
      <c r="C39" s="37">
        <v>1280</v>
      </c>
      <c r="D39" s="10"/>
      <c r="E39" s="10">
        <f t="shared" si="0"/>
        <v>25367.149999999998</v>
      </c>
      <c r="F39" s="37"/>
      <c r="G39" s="195"/>
      <c r="H39" s="195"/>
      <c r="L39" s="66"/>
    </row>
    <row r="40" spans="1:15">
      <c r="A40" s="63">
        <v>44764</v>
      </c>
      <c r="B40" s="36" t="s">
        <v>1808</v>
      </c>
      <c r="C40" s="37">
        <v>1275</v>
      </c>
      <c r="D40" s="10"/>
      <c r="E40" s="10">
        <f t="shared" si="0"/>
        <v>24092.149999999998</v>
      </c>
      <c r="F40" s="37"/>
      <c r="G40" s="195"/>
      <c r="H40" s="195"/>
    </row>
    <row r="41" spans="1:15">
      <c r="A41" s="63">
        <v>44766</v>
      </c>
      <c r="B41" s="36" t="s">
        <v>1816</v>
      </c>
      <c r="C41" s="37">
        <v>13086.75</v>
      </c>
      <c r="D41" s="10"/>
      <c r="E41" s="10">
        <f t="shared" si="0"/>
        <v>11005.399999999998</v>
      </c>
      <c r="F41" s="118"/>
      <c r="G41" s="195"/>
      <c r="H41" s="195"/>
    </row>
    <row r="42" spans="1:15">
      <c r="A42" s="63">
        <v>44766</v>
      </c>
      <c r="B42" s="6" t="s">
        <v>1815</v>
      </c>
      <c r="C42" s="10"/>
      <c r="D42" s="10">
        <v>1316.67</v>
      </c>
      <c r="E42" s="10">
        <f t="shared" si="0"/>
        <v>12322.069999999998</v>
      </c>
      <c r="F42" s="118"/>
      <c r="G42" s="195"/>
      <c r="H42" s="195"/>
    </row>
    <row r="43" spans="1:15">
      <c r="A43" s="63">
        <v>44766</v>
      </c>
      <c r="B43" s="6" t="s">
        <v>1817</v>
      </c>
      <c r="C43" s="10">
        <v>3600</v>
      </c>
      <c r="D43" s="10"/>
      <c r="E43" s="10">
        <f t="shared" si="0"/>
        <v>8722.0699999999979</v>
      </c>
      <c r="F43" s="118"/>
    </row>
    <row r="44" spans="1:15">
      <c r="A44" s="196">
        <v>44767</v>
      </c>
      <c r="B44" s="36" t="s">
        <v>1561</v>
      </c>
      <c r="C44" s="60"/>
      <c r="D44" s="60">
        <v>37000</v>
      </c>
      <c r="E44" s="3">
        <f t="shared" si="0"/>
        <v>45722.07</v>
      </c>
      <c r="F44" s="118"/>
      <c r="G44" s="92"/>
      <c r="H44" s="92"/>
    </row>
    <row r="45" spans="1:15">
      <c r="A45" s="63">
        <v>44767</v>
      </c>
      <c r="B45" s="59" t="s">
        <v>1818</v>
      </c>
      <c r="C45" s="3">
        <v>2857</v>
      </c>
      <c r="D45" s="3"/>
      <c r="E45" s="3">
        <f t="shared" si="0"/>
        <v>42865.07</v>
      </c>
      <c r="F45" s="37">
        <f>+(291+328+287+287)/2</f>
        <v>596.5</v>
      </c>
      <c r="G45" s="92"/>
      <c r="H45" s="92"/>
    </row>
    <row r="46" spans="1:15">
      <c r="A46" s="63">
        <v>44767</v>
      </c>
      <c r="B46" s="59" t="s">
        <v>1071</v>
      </c>
      <c r="C46" s="3">
        <v>20000</v>
      </c>
      <c r="D46" s="3"/>
      <c r="E46" s="3">
        <f t="shared" si="0"/>
        <v>22865.07</v>
      </c>
      <c r="F46" s="96"/>
      <c r="G46" s="92"/>
      <c r="H46" s="92"/>
    </row>
    <row r="47" spans="1:15">
      <c r="A47" s="63">
        <v>44768</v>
      </c>
      <c r="B47" s="59" t="s">
        <v>1071</v>
      </c>
      <c r="C47" s="3">
        <v>20000</v>
      </c>
      <c r="D47" s="3"/>
      <c r="E47" s="3">
        <f t="shared" si="0"/>
        <v>2865.0699999999997</v>
      </c>
      <c r="F47" s="398"/>
    </row>
    <row r="48" spans="1:15">
      <c r="A48" s="63">
        <v>44768</v>
      </c>
      <c r="B48" s="6" t="s">
        <v>1357</v>
      </c>
      <c r="C48" s="3"/>
      <c r="D48" s="3">
        <v>2.92</v>
      </c>
      <c r="E48" s="3">
        <f t="shared" si="0"/>
        <v>2867.99</v>
      </c>
      <c r="F48" s="10"/>
    </row>
    <row r="49" spans="1:6">
      <c r="A49" s="11"/>
      <c r="B49" s="12"/>
      <c r="C49" s="13"/>
      <c r="D49" s="13"/>
      <c r="E49" s="13">
        <f t="shared" si="0"/>
        <v>2867.99</v>
      </c>
      <c r="F49" s="399"/>
    </row>
    <row r="50" spans="1:6">
      <c r="A50" s="11"/>
      <c r="B50" s="12"/>
      <c r="C50" s="13"/>
      <c r="D50" s="13"/>
      <c r="E50" s="13">
        <f t="shared" si="0"/>
        <v>2867.99</v>
      </c>
      <c r="F50" s="12"/>
    </row>
    <row r="51" spans="1:6">
      <c r="A51" s="63"/>
      <c r="B51" s="1"/>
      <c r="C51" s="3"/>
      <c r="D51" s="3"/>
      <c r="E51" s="3">
        <f t="shared" si="0"/>
        <v>2867.99</v>
      </c>
      <c r="F51" s="1"/>
    </row>
    <row r="52" spans="1:6">
      <c r="A52" s="63"/>
      <c r="B52" s="1"/>
      <c r="C52" s="60"/>
      <c r="D52" s="3"/>
      <c r="E52" s="3">
        <f t="shared" si="0"/>
        <v>2867.99</v>
      </c>
      <c r="F52" s="76"/>
    </row>
    <row r="53" spans="1:6">
      <c r="A53" s="63"/>
      <c r="B53" s="1"/>
      <c r="C53" s="3"/>
      <c r="D53" s="3"/>
      <c r="E53" s="3">
        <f t="shared" si="0"/>
        <v>2867.99</v>
      </c>
      <c r="F53" s="1"/>
    </row>
    <row r="54" spans="1:6">
      <c r="A54" s="63"/>
      <c r="B54" s="1"/>
      <c r="C54" s="3"/>
      <c r="D54" s="3"/>
      <c r="E54" s="3">
        <f t="shared" si="0"/>
        <v>2867.99</v>
      </c>
      <c r="F54" s="1"/>
    </row>
    <row r="55" spans="1:6">
      <c r="A55" s="63"/>
      <c r="B55" s="1"/>
      <c r="C55" s="3"/>
      <c r="D55" s="3"/>
      <c r="E55" s="3">
        <f t="shared" si="0"/>
        <v>2867.99</v>
      </c>
      <c r="F55" s="1"/>
    </row>
    <row r="56" spans="1:6">
      <c r="A56" s="2"/>
      <c r="B56" s="1"/>
      <c r="C56" s="3"/>
      <c r="D56" s="10"/>
      <c r="E56" s="3">
        <f t="shared" si="0"/>
        <v>2867.99</v>
      </c>
      <c r="F56" s="1"/>
    </row>
    <row r="57" spans="1:6">
      <c r="A57" s="63"/>
      <c r="B57" s="6"/>
      <c r="C57" s="10"/>
      <c r="D57" s="10"/>
      <c r="E57" s="3">
        <f t="shared" si="0"/>
        <v>2867.99</v>
      </c>
      <c r="F57" s="1"/>
    </row>
    <row r="58" spans="1:6">
      <c r="E58" s="3">
        <f t="shared" si="0"/>
        <v>2867.99</v>
      </c>
    </row>
    <row r="59" spans="1:6">
      <c r="E59" s="3">
        <f t="shared" si="0"/>
        <v>2867.99</v>
      </c>
    </row>
    <row r="1048576" spans="1:1">
      <c r="A1048576" s="2"/>
    </row>
  </sheetData>
  <mergeCells count="1">
    <mergeCell ref="A1:F1"/>
  </mergeCells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0B37-E80C-2F46-A569-22A81AEA9690}">
  <dimension ref="A1:T1048576"/>
  <sheetViews>
    <sheetView showGridLines="0" topLeftCell="A20" workbookViewId="0">
      <selection activeCell="I12" sqref="I12"/>
    </sheetView>
  </sheetViews>
  <sheetFormatPr baseColWidth="10" defaultRowHeight="16"/>
  <cols>
    <col min="1" max="1" width="7.33203125" bestFit="1" customWidth="1"/>
    <col min="2" max="2" width="28.6640625" customWidth="1"/>
    <col min="3" max="3" width="12.5" style="4" bestFit="1" customWidth="1"/>
    <col min="4" max="4" width="13.5" style="4" customWidth="1"/>
    <col min="5" max="5" width="13" customWidth="1"/>
    <col min="6" max="6" width="11.1640625" customWidth="1"/>
    <col min="7" max="7" width="14.1640625" customWidth="1"/>
    <col min="8" max="8" width="5.5" customWidth="1"/>
    <col min="9" max="9" width="27.83203125" style="358" bestFit="1" customWidth="1"/>
    <col min="10" max="10" width="11.83203125" style="93" bestFit="1" customWidth="1"/>
    <col min="11" max="11" width="3.5" style="93" customWidth="1"/>
    <col min="12" max="12" width="4.6640625" customWidth="1"/>
    <col min="13" max="13" width="23.33203125" customWidth="1"/>
    <col min="14" max="14" width="11.5" bestFit="1" customWidth="1"/>
    <col min="16" max="20" width="10.83203125" style="66"/>
  </cols>
  <sheetData>
    <row r="1" spans="1:20">
      <c r="A1" s="471" t="s">
        <v>425</v>
      </c>
      <c r="B1" s="471"/>
      <c r="C1" s="471"/>
      <c r="D1" s="471"/>
      <c r="E1" s="471"/>
      <c r="F1" s="471"/>
      <c r="M1" s="418" t="s">
        <v>1795</v>
      </c>
    </row>
    <row r="2" spans="1:20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4"/>
      <c r="I2" s="435" t="s">
        <v>111</v>
      </c>
      <c r="J2" s="436"/>
      <c r="K2" s="318"/>
      <c r="L2" s="66"/>
      <c r="M2" s="417" t="s">
        <v>1747</v>
      </c>
      <c r="N2" s="66"/>
      <c r="O2" s="66"/>
    </row>
    <row r="3" spans="1:20">
      <c r="A3" s="2"/>
      <c r="B3" s="1" t="s">
        <v>4</v>
      </c>
      <c r="C3" s="283"/>
      <c r="D3" s="283"/>
      <c r="E3" s="3">
        <v>2867.99</v>
      </c>
      <c r="F3" s="34"/>
      <c r="G3" s="271" t="s">
        <v>170</v>
      </c>
      <c r="H3" s="410"/>
      <c r="I3" s="437" t="s">
        <v>1819</v>
      </c>
      <c r="J3" s="438">
        <v>-596.5</v>
      </c>
      <c r="K3" s="318"/>
      <c r="L3" s="66"/>
      <c r="M3" s="417" t="s">
        <v>1748</v>
      </c>
      <c r="N3" s="66"/>
      <c r="O3" s="66"/>
    </row>
    <row r="4" spans="1:20">
      <c r="A4" s="2">
        <v>44769</v>
      </c>
      <c r="B4" s="1" t="s">
        <v>1823</v>
      </c>
      <c r="C4" s="3"/>
      <c r="D4" s="3">
        <v>194484</v>
      </c>
      <c r="E4" s="3">
        <f>+E3-C4+D4</f>
        <v>197351.99</v>
      </c>
      <c r="F4" s="59"/>
      <c r="G4" s="56">
        <f>+E57</f>
        <v>2209.010000000002</v>
      </c>
      <c r="H4" s="411"/>
      <c r="I4" s="437" t="s">
        <v>238</v>
      </c>
      <c r="J4" s="438">
        <v>775</v>
      </c>
      <c r="K4" s="318"/>
      <c r="L4" s="66"/>
      <c r="M4" s="417" t="s">
        <v>1794</v>
      </c>
      <c r="N4" s="66"/>
      <c r="O4" s="66"/>
    </row>
    <row r="5" spans="1:20">
      <c r="A5" s="2">
        <v>44770</v>
      </c>
      <c r="B5" s="36" t="s">
        <v>1824</v>
      </c>
      <c r="C5" s="37">
        <v>1400</v>
      </c>
      <c r="D5" s="37"/>
      <c r="E5" s="37">
        <f t="shared" ref="E5:E59" si="0">+E4-C5+D5</f>
        <v>195951.99</v>
      </c>
      <c r="F5" s="37"/>
      <c r="G5" s="41"/>
      <c r="H5" s="41"/>
      <c r="I5" s="437" t="s">
        <v>1830</v>
      </c>
      <c r="J5" s="438">
        <v>1108.5</v>
      </c>
      <c r="K5" s="318"/>
      <c r="L5" s="66"/>
      <c r="M5" s="416" t="s">
        <v>1793</v>
      </c>
      <c r="N5" s="66"/>
      <c r="O5" s="66"/>
    </row>
    <row r="6" spans="1:20">
      <c r="A6" s="2">
        <v>44770</v>
      </c>
      <c r="B6" s="59" t="s">
        <v>830</v>
      </c>
      <c r="C6" s="60">
        <v>10000</v>
      </c>
      <c r="D6" s="3"/>
      <c r="E6" s="3">
        <f t="shared" si="0"/>
        <v>185951.99</v>
      </c>
      <c r="F6" s="59"/>
      <c r="G6" s="189"/>
      <c r="H6" s="189"/>
      <c r="I6" s="437" t="s">
        <v>1831</v>
      </c>
      <c r="J6" s="438">
        <v>135</v>
      </c>
      <c r="K6" s="318"/>
      <c r="L6" s="66"/>
      <c r="M6" s="416" t="s">
        <v>1792</v>
      </c>
      <c r="N6" s="66"/>
      <c r="O6" s="66"/>
    </row>
    <row r="7" spans="1:20">
      <c r="A7" s="2">
        <v>44770</v>
      </c>
      <c r="B7" s="59" t="s">
        <v>1825</v>
      </c>
      <c r="C7" s="60">
        <v>1198.5999999999999</v>
      </c>
      <c r="D7" s="3"/>
      <c r="E7" s="3">
        <f t="shared" si="0"/>
        <v>184753.38999999998</v>
      </c>
      <c r="F7" s="60"/>
      <c r="G7" s="190"/>
      <c r="H7" s="190"/>
      <c r="I7" s="437" t="s">
        <v>1832</v>
      </c>
      <c r="J7" s="438">
        <f>-F12</f>
        <v>-740</v>
      </c>
      <c r="K7" s="318"/>
      <c r="L7" s="66"/>
      <c r="M7" s="416" t="s">
        <v>1791</v>
      </c>
      <c r="N7" s="66"/>
      <c r="O7" s="66"/>
    </row>
    <row r="8" spans="1:20">
      <c r="A8" s="2">
        <v>44771</v>
      </c>
      <c r="B8" s="59" t="s">
        <v>1063</v>
      </c>
      <c r="C8" s="60">
        <v>3900.4</v>
      </c>
      <c r="D8" s="3"/>
      <c r="E8" s="3">
        <f t="shared" si="0"/>
        <v>180852.99</v>
      </c>
      <c r="F8" s="197"/>
      <c r="G8" s="189"/>
      <c r="H8" s="189"/>
      <c r="I8" s="437" t="s">
        <v>1833</v>
      </c>
      <c r="J8" s="438">
        <v>-1000</v>
      </c>
      <c r="K8" s="318"/>
      <c r="L8" s="66"/>
      <c r="M8" s="417" t="s">
        <v>1749</v>
      </c>
      <c r="N8" s="66"/>
      <c r="O8" s="66"/>
    </row>
    <row r="9" spans="1:20">
      <c r="A9" s="2">
        <v>44774</v>
      </c>
      <c r="B9" s="59" t="s">
        <v>1063</v>
      </c>
      <c r="C9" s="60">
        <v>2300.38</v>
      </c>
      <c r="D9" s="3"/>
      <c r="E9" s="3">
        <f t="shared" si="0"/>
        <v>178552.61</v>
      </c>
      <c r="F9" s="59"/>
      <c r="G9" s="176"/>
      <c r="H9" s="41"/>
      <c r="I9" s="437" t="s">
        <v>1834</v>
      </c>
      <c r="J9" s="438">
        <v>-1750</v>
      </c>
      <c r="K9" s="318"/>
      <c r="L9" s="66"/>
      <c r="M9" s="416" t="s">
        <v>101</v>
      </c>
      <c r="N9" s="66"/>
      <c r="O9" s="66"/>
    </row>
    <row r="10" spans="1:20">
      <c r="A10" s="2">
        <v>44774</v>
      </c>
      <c r="B10" s="59" t="s">
        <v>1826</v>
      </c>
      <c r="C10" s="60">
        <v>635</v>
      </c>
      <c r="D10" s="3"/>
      <c r="E10" s="3">
        <f t="shared" si="0"/>
        <v>177917.61</v>
      </c>
      <c r="F10" s="60"/>
      <c r="G10" s="308"/>
      <c r="H10" s="192"/>
      <c r="I10" s="437" t="s">
        <v>1835</v>
      </c>
      <c r="J10" s="438">
        <v>960</v>
      </c>
      <c r="K10" s="318"/>
      <c r="L10" s="66"/>
      <c r="M10" s="417" t="s">
        <v>1357</v>
      </c>
      <c r="N10" s="66"/>
      <c r="O10" s="66"/>
    </row>
    <row r="11" spans="1:20">
      <c r="A11" s="2">
        <v>44774</v>
      </c>
      <c r="B11" s="59" t="s">
        <v>1063</v>
      </c>
      <c r="C11" s="60">
        <v>5399.6</v>
      </c>
      <c r="D11" s="3"/>
      <c r="E11" s="3">
        <f t="shared" si="0"/>
        <v>172518.00999999998</v>
      </c>
      <c r="F11" s="60"/>
      <c r="G11" s="308"/>
      <c r="H11" s="308"/>
      <c r="I11" s="437" t="s">
        <v>1836</v>
      </c>
      <c r="J11" s="438">
        <v>3250</v>
      </c>
      <c r="K11" s="318"/>
      <c r="L11" s="66"/>
      <c r="M11" s="21"/>
      <c r="N11" s="66"/>
      <c r="O11" s="66"/>
    </row>
    <row r="12" spans="1:20">
      <c r="A12" s="2">
        <v>44775</v>
      </c>
      <c r="B12" s="59" t="s">
        <v>1828</v>
      </c>
      <c r="C12" s="60">
        <v>1600</v>
      </c>
      <c r="D12" s="3"/>
      <c r="E12" s="3">
        <f t="shared" si="0"/>
        <v>170918.00999999998</v>
      </c>
      <c r="F12" s="148">
        <v>740</v>
      </c>
      <c r="I12" s="437" t="s">
        <v>1837</v>
      </c>
      <c r="J12" s="438">
        <v>-1483.33</v>
      </c>
      <c r="K12" s="318"/>
      <c r="L12" s="66"/>
      <c r="M12" s="66"/>
      <c r="N12" s="66"/>
      <c r="O12" s="66"/>
      <c r="S12"/>
      <c r="T12"/>
    </row>
    <row r="13" spans="1:20">
      <c r="A13" s="2">
        <v>44777</v>
      </c>
      <c r="B13" s="59" t="s">
        <v>1827</v>
      </c>
      <c r="C13" s="60">
        <v>37000</v>
      </c>
      <c r="D13" s="3"/>
      <c r="E13" s="3">
        <f t="shared" si="0"/>
        <v>133918.00999999998</v>
      </c>
      <c r="F13" s="60"/>
      <c r="G13" s="57"/>
      <c r="H13" s="57"/>
      <c r="I13" s="437" t="s">
        <v>1847</v>
      </c>
      <c r="J13" s="438">
        <v>-2250</v>
      </c>
      <c r="K13" s="318"/>
      <c r="L13" s="66"/>
      <c r="N13" s="66"/>
      <c r="O13" s="66"/>
      <c r="S13"/>
      <c r="T13"/>
    </row>
    <row r="14" spans="1:20" ht="19">
      <c r="A14" s="2">
        <v>44778</v>
      </c>
      <c r="B14" s="59" t="s">
        <v>1829</v>
      </c>
      <c r="C14" s="60"/>
      <c r="D14" s="3">
        <v>2500</v>
      </c>
      <c r="E14" s="3">
        <f t="shared" si="0"/>
        <v>136418.00999999998</v>
      </c>
      <c r="F14" s="60"/>
      <c r="G14" s="330"/>
      <c r="H14" s="330"/>
      <c r="I14" s="437" t="s">
        <v>1848</v>
      </c>
      <c r="J14" s="438">
        <v>-500</v>
      </c>
      <c r="L14" s="66"/>
      <c r="N14" s="66"/>
      <c r="O14" s="66"/>
      <c r="S14"/>
      <c r="T14"/>
    </row>
    <row r="15" spans="1:20">
      <c r="A15" s="2">
        <v>44778</v>
      </c>
      <c r="B15" s="59" t="s">
        <v>1839</v>
      </c>
      <c r="C15" s="60">
        <v>23463</v>
      </c>
      <c r="D15" s="3"/>
      <c r="E15" s="3">
        <f t="shared" si="0"/>
        <v>112955.00999999998</v>
      </c>
      <c r="F15" s="60"/>
      <c r="I15" s="437" t="s">
        <v>1849</v>
      </c>
      <c r="J15" s="438">
        <v>500</v>
      </c>
      <c r="K15" s="318"/>
      <c r="L15" s="66"/>
      <c r="N15" s="66"/>
      <c r="O15" s="66"/>
      <c r="S15"/>
      <c r="T15"/>
    </row>
    <row r="16" spans="1:20">
      <c r="A16" s="2">
        <v>44778</v>
      </c>
      <c r="B16" s="59" t="s">
        <v>1840</v>
      </c>
      <c r="C16" s="60">
        <f>20666.53-C17</f>
        <v>15666.529999999999</v>
      </c>
      <c r="D16" s="3"/>
      <c r="E16" s="3">
        <f t="shared" si="0"/>
        <v>97288.479999999981</v>
      </c>
      <c r="F16" s="60"/>
      <c r="I16" s="437" t="s">
        <v>1850</v>
      </c>
      <c r="J16" s="438">
        <v>800</v>
      </c>
      <c r="L16" s="66"/>
      <c r="N16" s="66"/>
      <c r="O16" s="66"/>
      <c r="S16"/>
      <c r="T16"/>
    </row>
    <row r="17" spans="1:15">
      <c r="A17" s="2">
        <v>44778</v>
      </c>
      <c r="B17" s="59" t="s">
        <v>1838</v>
      </c>
      <c r="C17" s="60">
        <v>5000</v>
      </c>
      <c r="D17" s="3"/>
      <c r="E17" s="3">
        <f t="shared" si="0"/>
        <v>92288.479999999981</v>
      </c>
      <c r="F17" s="60"/>
      <c r="I17" s="437" t="s">
        <v>1851</v>
      </c>
      <c r="J17" s="438">
        <v>-2355</v>
      </c>
      <c r="L17" s="66"/>
      <c r="M17" s="66"/>
      <c r="N17" s="66"/>
    </row>
    <row r="18" spans="1:15">
      <c r="A18" s="2">
        <v>44778</v>
      </c>
      <c r="B18" s="59" t="s">
        <v>1841</v>
      </c>
      <c r="C18" s="60">
        <v>4500</v>
      </c>
      <c r="D18" s="3"/>
      <c r="E18" s="3">
        <f t="shared" si="0"/>
        <v>87788.479999999981</v>
      </c>
      <c r="F18" s="60"/>
      <c r="I18" s="437" t="s">
        <v>1852</v>
      </c>
      <c r="J18" s="438">
        <v>-455</v>
      </c>
      <c r="L18" s="66"/>
      <c r="M18" s="66"/>
      <c r="N18" s="66"/>
    </row>
    <row r="19" spans="1:15">
      <c r="A19" s="2">
        <v>44778</v>
      </c>
      <c r="B19" s="59" t="s">
        <v>1842</v>
      </c>
      <c r="C19" s="60">
        <v>4500</v>
      </c>
      <c r="D19" s="3"/>
      <c r="E19" s="3">
        <f t="shared" si="0"/>
        <v>83288.479999999981</v>
      </c>
      <c r="F19" s="60"/>
      <c r="I19" s="437" t="s">
        <v>1853</v>
      </c>
      <c r="J19" s="438">
        <v>170</v>
      </c>
      <c r="K19" s="318"/>
      <c r="L19" s="66"/>
      <c r="M19" s="66"/>
      <c r="N19" s="66"/>
    </row>
    <row r="20" spans="1:15">
      <c r="A20" s="2">
        <v>44781</v>
      </c>
      <c r="B20" s="59" t="s">
        <v>1854</v>
      </c>
      <c r="C20" s="60">
        <v>1300</v>
      </c>
      <c r="D20" s="3"/>
      <c r="E20" s="3">
        <f t="shared" si="0"/>
        <v>81988.479999999981</v>
      </c>
      <c r="F20" s="60"/>
      <c r="I20" s="437" t="s">
        <v>1856</v>
      </c>
      <c r="J20" s="438">
        <v>727.5</v>
      </c>
      <c r="K20" s="318"/>
      <c r="L20" s="66"/>
      <c r="M20" s="66"/>
      <c r="N20" s="66"/>
    </row>
    <row r="21" spans="1:15">
      <c r="A21" s="58">
        <v>44784</v>
      </c>
      <c r="B21" s="59" t="s">
        <v>1855</v>
      </c>
      <c r="C21" s="60">
        <f>4700-2100</f>
        <v>2600</v>
      </c>
      <c r="D21" s="3"/>
      <c r="E21" s="3">
        <f t="shared" si="0"/>
        <v>79388.479999999981</v>
      </c>
      <c r="F21" s="96"/>
      <c r="I21" s="437" t="s">
        <v>1861</v>
      </c>
      <c r="J21" s="438">
        <f>+FIJO!E3</f>
        <v>12655.5</v>
      </c>
      <c r="K21" s="318"/>
      <c r="L21" s="66"/>
      <c r="M21" s="66"/>
      <c r="N21" s="66"/>
    </row>
    <row r="22" spans="1:15">
      <c r="A22" s="58">
        <v>44784</v>
      </c>
      <c r="B22" s="59" t="s">
        <v>1857</v>
      </c>
      <c r="C22" s="60">
        <v>2100</v>
      </c>
      <c r="D22" s="3"/>
      <c r="E22" s="3">
        <f t="shared" si="0"/>
        <v>77288.479999999981</v>
      </c>
      <c r="F22" s="60"/>
      <c r="I22" s="437" t="s">
        <v>1862</v>
      </c>
      <c r="J22" s="438">
        <f>+FIJO!E4</f>
        <v>4250</v>
      </c>
      <c r="K22" s="318"/>
      <c r="L22" s="66"/>
      <c r="M22" s="422"/>
      <c r="N22" s="66"/>
    </row>
    <row r="23" spans="1:15">
      <c r="A23" s="2">
        <v>44781</v>
      </c>
      <c r="B23" s="59" t="s">
        <v>830</v>
      </c>
      <c r="C23" s="60">
        <v>20000</v>
      </c>
      <c r="D23" s="3"/>
      <c r="E23" s="3">
        <f t="shared" si="0"/>
        <v>57288.479999999981</v>
      </c>
      <c r="F23" s="401"/>
      <c r="G23" s="41"/>
      <c r="H23" s="41"/>
      <c r="I23" s="437" t="s">
        <v>1863</v>
      </c>
      <c r="J23" s="438">
        <f>+FIJO!E6</f>
        <v>1047.5</v>
      </c>
      <c r="K23" s="318"/>
      <c r="L23" s="66"/>
      <c r="M23" s="66"/>
      <c r="N23" s="66"/>
    </row>
    <row r="24" spans="1:15">
      <c r="A24" s="2">
        <v>44781</v>
      </c>
      <c r="B24" s="59" t="s">
        <v>101</v>
      </c>
      <c r="C24" s="60">
        <f>24202.6-C23</f>
        <v>4202.5999999999985</v>
      </c>
      <c r="D24" s="3"/>
      <c r="E24" s="3">
        <f t="shared" si="0"/>
        <v>53085.879999999983</v>
      </c>
      <c r="F24" s="60"/>
      <c r="I24" s="437" t="s">
        <v>1864</v>
      </c>
      <c r="J24" s="438">
        <v>840</v>
      </c>
      <c r="K24" s="318"/>
      <c r="L24" s="66"/>
      <c r="M24" s="66"/>
      <c r="N24" s="66"/>
    </row>
    <row r="25" spans="1:15">
      <c r="A25" s="2">
        <v>44782</v>
      </c>
      <c r="B25" s="59" t="s">
        <v>1858</v>
      </c>
      <c r="C25" s="60">
        <v>970</v>
      </c>
      <c r="D25" s="60"/>
      <c r="E25" s="3">
        <f t="shared" si="0"/>
        <v>52115.879999999983</v>
      </c>
      <c r="F25" s="60"/>
      <c r="I25" s="437"/>
      <c r="J25" s="438"/>
      <c r="K25" s="318"/>
      <c r="L25" s="66"/>
      <c r="M25" s="66"/>
      <c r="N25" s="66"/>
    </row>
    <row r="26" spans="1:15">
      <c r="A26" s="2">
        <v>44789</v>
      </c>
      <c r="B26" s="59" t="s">
        <v>1860</v>
      </c>
      <c r="C26" s="60">
        <v>2350</v>
      </c>
      <c r="D26" s="3"/>
      <c r="E26" s="3">
        <f t="shared" si="0"/>
        <v>49765.879999999983</v>
      </c>
      <c r="F26" s="37"/>
      <c r="I26" s="433" t="s">
        <v>1866</v>
      </c>
      <c r="J26" s="434">
        <f>SUM(J3:J24)</f>
        <v>16089.17</v>
      </c>
      <c r="K26" s="348" t="s">
        <v>1869</v>
      </c>
      <c r="L26" s="277"/>
      <c r="M26" s="277"/>
      <c r="N26" s="277"/>
      <c r="O26" s="277"/>
    </row>
    <row r="27" spans="1:15">
      <c r="A27" s="2">
        <v>44786</v>
      </c>
      <c r="B27" s="59" t="s">
        <v>1859</v>
      </c>
      <c r="C27" s="60">
        <v>874.35</v>
      </c>
      <c r="D27" s="3"/>
      <c r="E27" s="3">
        <f t="shared" si="0"/>
        <v>48891.529999999984</v>
      </c>
      <c r="F27" s="60"/>
      <c r="I27" s="409"/>
      <c r="K27" s="318"/>
      <c r="L27" s="66"/>
      <c r="M27" s="66"/>
      <c r="N27" s="66"/>
    </row>
    <row r="28" spans="1:15">
      <c r="A28" s="2">
        <v>44786</v>
      </c>
      <c r="B28" s="59" t="s">
        <v>1859</v>
      </c>
      <c r="C28" s="60">
        <v>1000</v>
      </c>
      <c r="D28" s="60"/>
      <c r="E28" s="3">
        <v>43181.53</v>
      </c>
      <c r="F28" s="60"/>
      <c r="I28" s="429" t="s">
        <v>111</v>
      </c>
      <c r="J28" s="430"/>
      <c r="K28" s="339"/>
      <c r="L28" s="66"/>
      <c r="M28" s="66"/>
      <c r="N28" s="66"/>
    </row>
    <row r="29" spans="1:15">
      <c r="A29" s="2">
        <v>44786</v>
      </c>
      <c r="B29" s="59" t="s">
        <v>1859</v>
      </c>
      <c r="C29" s="60">
        <v>1125</v>
      </c>
      <c r="D29" s="60"/>
      <c r="E29" s="3">
        <f t="shared" si="0"/>
        <v>42056.53</v>
      </c>
      <c r="F29" s="37"/>
      <c r="G29" s="41"/>
      <c r="I29" s="431" t="s">
        <v>1875</v>
      </c>
      <c r="J29" s="432">
        <v>131.5</v>
      </c>
      <c r="K29" s="318"/>
      <c r="L29" s="66"/>
      <c r="M29" s="66"/>
      <c r="N29" s="66"/>
    </row>
    <row r="30" spans="1:15">
      <c r="A30" s="2">
        <v>44787</v>
      </c>
      <c r="B30" s="59" t="s">
        <v>1865</v>
      </c>
      <c r="C30" s="60">
        <v>4500</v>
      </c>
      <c r="D30" s="60"/>
      <c r="E30" s="3">
        <f t="shared" si="0"/>
        <v>37556.53</v>
      </c>
      <c r="F30" s="59"/>
      <c r="G30" s="41"/>
      <c r="I30" s="431" t="s">
        <v>1876</v>
      </c>
      <c r="J30" s="432">
        <v>-1400</v>
      </c>
    </row>
    <row r="31" spans="1:15">
      <c r="A31" s="2">
        <v>44789</v>
      </c>
      <c r="B31" s="59" t="s">
        <v>1870</v>
      </c>
      <c r="C31" s="37"/>
      <c r="D31" s="37">
        <v>400</v>
      </c>
      <c r="E31" s="3">
        <f t="shared" si="0"/>
        <v>37956.53</v>
      </c>
      <c r="F31" s="37"/>
      <c r="G31" s="41"/>
      <c r="I31" s="431" t="s">
        <v>1879</v>
      </c>
      <c r="J31" s="432">
        <f>-F40</f>
        <v>-1468.18</v>
      </c>
    </row>
    <row r="32" spans="1:15">
      <c r="A32" s="2">
        <v>44790</v>
      </c>
      <c r="B32" s="59" t="s">
        <v>1871</v>
      </c>
      <c r="C32" s="37">
        <v>720</v>
      </c>
      <c r="D32" s="10"/>
      <c r="E32" s="3">
        <f t="shared" si="0"/>
        <v>37236.53</v>
      </c>
      <c r="F32" s="37"/>
      <c r="I32" s="440" t="s">
        <v>1882</v>
      </c>
      <c r="J32" s="441">
        <v>566</v>
      </c>
    </row>
    <row r="33" spans="1:16">
      <c r="A33" s="196">
        <v>44792</v>
      </c>
      <c r="B33" s="59" t="s">
        <v>1421</v>
      </c>
      <c r="C33" s="37">
        <v>1508.09</v>
      </c>
      <c r="D33" s="10"/>
      <c r="E33" s="3">
        <f t="shared" si="0"/>
        <v>35728.44</v>
      </c>
      <c r="F33" s="37"/>
      <c r="I33" s="440" t="s">
        <v>1883</v>
      </c>
      <c r="J33" s="441">
        <v>-450</v>
      </c>
      <c r="K33" s="413"/>
    </row>
    <row r="34" spans="1:16">
      <c r="A34" s="196">
        <v>44791</v>
      </c>
      <c r="B34" s="59" t="s">
        <v>1421</v>
      </c>
      <c r="C34" s="37">
        <v>1350</v>
      </c>
      <c r="D34" s="10"/>
      <c r="E34" s="3">
        <f t="shared" si="0"/>
        <v>34378.44</v>
      </c>
      <c r="F34" s="37"/>
      <c r="G34" s="308"/>
      <c r="H34" s="308"/>
      <c r="I34" s="440" t="s">
        <v>1884</v>
      </c>
      <c r="J34" s="441">
        <v>-1500</v>
      </c>
      <c r="P34" s="422"/>
    </row>
    <row r="35" spans="1:16">
      <c r="A35" s="196">
        <v>44791</v>
      </c>
      <c r="B35" s="59" t="s">
        <v>830</v>
      </c>
      <c r="C35" s="10">
        <v>18000</v>
      </c>
      <c r="D35" s="10"/>
      <c r="E35" s="3">
        <f t="shared" si="0"/>
        <v>16378.440000000002</v>
      </c>
      <c r="F35" s="37"/>
      <c r="I35" s="440" t="s">
        <v>1885</v>
      </c>
      <c r="J35" s="441">
        <v>-610</v>
      </c>
      <c r="M35" s="66"/>
    </row>
    <row r="36" spans="1:16">
      <c r="A36" s="196">
        <v>44793</v>
      </c>
      <c r="B36" s="59" t="s">
        <v>1872</v>
      </c>
      <c r="C36" s="10">
        <v>2300</v>
      </c>
      <c r="D36" s="10"/>
      <c r="E36" s="3">
        <f t="shared" si="0"/>
        <v>14078.440000000002</v>
      </c>
      <c r="F36" s="37"/>
      <c r="I36" s="440" t="s">
        <v>1887</v>
      </c>
      <c r="J36" s="441">
        <v>935</v>
      </c>
      <c r="M36" s="318"/>
    </row>
    <row r="37" spans="1:16">
      <c r="A37" s="63">
        <v>44795</v>
      </c>
      <c r="B37" s="59" t="s">
        <v>1873</v>
      </c>
      <c r="C37" s="10">
        <v>8490</v>
      </c>
      <c r="D37" s="10"/>
      <c r="E37" s="3">
        <f t="shared" si="0"/>
        <v>5588.4400000000023</v>
      </c>
      <c r="F37" s="36"/>
      <c r="I37" s="442" t="s">
        <v>1886</v>
      </c>
      <c r="J37" s="443">
        <f>SUM(J29:J36)</f>
        <v>-3795.6800000000003</v>
      </c>
      <c r="K37" s="93" t="s">
        <v>1888</v>
      </c>
      <c r="M37" s="66"/>
    </row>
    <row r="38" spans="1:16">
      <c r="A38" s="63">
        <v>44795</v>
      </c>
      <c r="B38" s="6" t="s">
        <v>1874</v>
      </c>
      <c r="C38" s="37"/>
      <c r="D38" s="10">
        <v>1850</v>
      </c>
      <c r="E38" s="3">
        <f t="shared" si="0"/>
        <v>7438.4400000000023</v>
      </c>
      <c r="F38" s="37"/>
      <c r="G38" s="195"/>
      <c r="H38" s="195"/>
    </row>
    <row r="39" spans="1:16">
      <c r="A39" s="63">
        <v>44795</v>
      </c>
      <c r="B39" s="6" t="s">
        <v>1357</v>
      </c>
      <c r="C39" s="37"/>
      <c r="D39" s="10">
        <v>0.18</v>
      </c>
      <c r="E39" s="3">
        <f t="shared" si="0"/>
        <v>7438.6200000000026</v>
      </c>
      <c r="F39" s="37"/>
      <c r="G39" s="195"/>
      <c r="H39" s="195"/>
      <c r="M39" s="66"/>
    </row>
    <row r="40" spans="1:16">
      <c r="A40" s="63">
        <v>44797</v>
      </c>
      <c r="B40" s="36" t="s">
        <v>1721</v>
      </c>
      <c r="C40" s="37">
        <v>2936.36</v>
      </c>
      <c r="D40" s="10"/>
      <c r="E40" s="3">
        <f t="shared" si="0"/>
        <v>4502.260000000002</v>
      </c>
      <c r="F40" s="37">
        <f>+C40/2</f>
        <v>1468.18</v>
      </c>
      <c r="G40" s="195"/>
      <c r="H40" s="195"/>
    </row>
    <row r="41" spans="1:16">
      <c r="A41" s="63">
        <v>44798</v>
      </c>
      <c r="B41" s="36" t="s">
        <v>1878</v>
      </c>
      <c r="C41" s="37"/>
      <c r="D41" s="10">
        <v>3000</v>
      </c>
      <c r="E41" s="3">
        <f t="shared" si="0"/>
        <v>7502.260000000002</v>
      </c>
      <c r="F41" s="118"/>
      <c r="G41" s="195"/>
      <c r="H41" s="195"/>
    </row>
    <row r="42" spans="1:16">
      <c r="A42" s="63">
        <v>44799</v>
      </c>
      <c r="B42" s="6" t="s">
        <v>1880</v>
      </c>
      <c r="C42" s="10">
        <v>500</v>
      </c>
      <c r="D42" s="10"/>
      <c r="E42" s="3">
        <f t="shared" si="0"/>
        <v>7002.260000000002</v>
      </c>
      <c r="F42" s="118"/>
      <c r="G42" s="195"/>
      <c r="H42" s="195"/>
    </row>
    <row r="43" spans="1:16">
      <c r="A43" s="196">
        <v>44801</v>
      </c>
      <c r="B43" s="6" t="s">
        <v>1357</v>
      </c>
      <c r="C43" s="10"/>
      <c r="D43" s="10">
        <v>7.55</v>
      </c>
      <c r="E43" s="3">
        <f t="shared" si="0"/>
        <v>7009.8100000000022</v>
      </c>
      <c r="F43" s="118"/>
    </row>
    <row r="44" spans="1:16">
      <c r="A44" s="196">
        <v>44801</v>
      </c>
      <c r="B44" s="36" t="s">
        <v>101</v>
      </c>
      <c r="C44" s="60">
        <v>4800.8</v>
      </c>
      <c r="D44" s="60"/>
      <c r="E44" s="3">
        <f t="shared" si="0"/>
        <v>2209.010000000002</v>
      </c>
      <c r="F44" s="118"/>
      <c r="G44" s="92"/>
      <c r="H44" s="92"/>
    </row>
    <row r="45" spans="1:16">
      <c r="A45" s="11"/>
      <c r="B45" s="214"/>
      <c r="C45" s="13"/>
      <c r="D45" s="13"/>
      <c r="E45" s="13">
        <f t="shared" si="0"/>
        <v>2209.010000000002</v>
      </c>
      <c r="F45" s="213"/>
      <c r="G45" s="92"/>
      <c r="H45" s="92"/>
    </row>
    <row r="46" spans="1:16">
      <c r="A46" s="11"/>
      <c r="B46" s="214"/>
      <c r="C46" s="13"/>
      <c r="D46" s="13"/>
      <c r="E46" s="13">
        <f t="shared" si="0"/>
        <v>2209.010000000002</v>
      </c>
      <c r="F46" s="316"/>
      <c r="G46" s="92"/>
      <c r="H46" s="92"/>
    </row>
    <row r="47" spans="1:16">
      <c r="A47" s="63"/>
      <c r="B47" s="59"/>
      <c r="C47" s="3"/>
      <c r="D47" s="3"/>
      <c r="E47" s="3">
        <f t="shared" si="0"/>
        <v>2209.010000000002</v>
      </c>
      <c r="F47" s="398"/>
    </row>
    <row r="48" spans="1:16">
      <c r="A48" s="63"/>
      <c r="B48" s="6"/>
      <c r="C48" s="3"/>
      <c r="D48" s="3"/>
      <c r="E48" s="3">
        <f t="shared" si="0"/>
        <v>2209.010000000002</v>
      </c>
      <c r="F48" s="10"/>
    </row>
    <row r="49" spans="1:6">
      <c r="A49" s="63"/>
      <c r="B49" s="1"/>
      <c r="C49" s="3"/>
      <c r="D49" s="3"/>
      <c r="E49" s="3">
        <f t="shared" si="0"/>
        <v>2209.010000000002</v>
      </c>
      <c r="F49" s="400"/>
    </row>
    <row r="50" spans="1:6">
      <c r="A50" s="63"/>
      <c r="B50" s="6"/>
      <c r="C50" s="3"/>
      <c r="D50" s="3"/>
      <c r="E50" s="3">
        <f t="shared" si="0"/>
        <v>2209.010000000002</v>
      </c>
      <c r="F50" s="6"/>
    </row>
    <row r="51" spans="1:6">
      <c r="A51" s="63"/>
      <c r="B51" s="1"/>
      <c r="C51" s="3"/>
      <c r="D51" s="3"/>
      <c r="E51" s="3">
        <f t="shared" si="0"/>
        <v>2209.010000000002</v>
      </c>
      <c r="F51" s="1"/>
    </row>
    <row r="52" spans="1:6">
      <c r="A52" s="63"/>
      <c r="B52" s="1"/>
      <c r="C52" s="60"/>
      <c r="D52" s="3"/>
      <c r="E52" s="3">
        <f t="shared" si="0"/>
        <v>2209.010000000002</v>
      </c>
      <c r="F52" s="76"/>
    </row>
    <row r="53" spans="1:6">
      <c r="A53" s="63"/>
      <c r="B53" s="1"/>
      <c r="C53" s="3"/>
      <c r="D53" s="3"/>
      <c r="E53" s="3">
        <f t="shared" si="0"/>
        <v>2209.010000000002</v>
      </c>
      <c r="F53" s="1"/>
    </row>
    <row r="54" spans="1:6">
      <c r="A54" s="63"/>
      <c r="B54" s="1"/>
      <c r="C54" s="3"/>
      <c r="D54" s="3"/>
      <c r="E54" s="3">
        <f t="shared" si="0"/>
        <v>2209.010000000002</v>
      </c>
      <c r="F54" s="1"/>
    </row>
    <row r="55" spans="1:6">
      <c r="A55" s="63"/>
      <c r="B55" s="1"/>
      <c r="C55" s="3"/>
      <c r="D55" s="3"/>
      <c r="E55" s="3">
        <f t="shared" si="0"/>
        <v>2209.010000000002</v>
      </c>
      <c r="F55" s="1"/>
    </row>
    <row r="56" spans="1:6">
      <c r="A56" s="2"/>
      <c r="B56" s="1"/>
      <c r="C56" s="3"/>
      <c r="D56" s="10"/>
      <c r="E56" s="3">
        <f t="shared" si="0"/>
        <v>2209.010000000002</v>
      </c>
      <c r="F56" s="1"/>
    </row>
    <row r="57" spans="1:6">
      <c r="A57" s="63"/>
      <c r="B57" s="6"/>
      <c r="C57" s="10"/>
      <c r="D57" s="10"/>
      <c r="E57" s="3">
        <f t="shared" si="0"/>
        <v>2209.010000000002</v>
      </c>
      <c r="F57" s="1"/>
    </row>
    <row r="58" spans="1:6">
      <c r="E58" s="3">
        <f t="shared" si="0"/>
        <v>2209.010000000002</v>
      </c>
    </row>
    <row r="59" spans="1:6">
      <c r="E59" s="3">
        <f t="shared" si="0"/>
        <v>2209.010000000002</v>
      </c>
    </row>
    <row r="1048576" spans="1:1">
      <c r="A1048576" s="2"/>
    </row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3910-793C-F543-914B-C2BAC16F202D}">
  <dimension ref="A1:T1048576"/>
  <sheetViews>
    <sheetView showGridLines="0" workbookViewId="0">
      <selection activeCell="I4" sqref="I4:J5"/>
    </sheetView>
  </sheetViews>
  <sheetFormatPr baseColWidth="10" defaultRowHeight="16"/>
  <cols>
    <col min="1" max="1" width="7.33203125" bestFit="1" customWidth="1"/>
    <col min="2" max="2" width="23.33203125" bestFit="1" customWidth="1"/>
    <col min="3" max="3" width="12.5" style="4" bestFit="1" customWidth="1"/>
    <col min="4" max="4" width="13.5" style="4" customWidth="1"/>
    <col min="5" max="5" width="13" customWidth="1"/>
    <col min="6" max="6" width="11.1640625" customWidth="1"/>
    <col min="7" max="7" width="14.1640625" customWidth="1"/>
    <col min="8" max="8" width="5.5" customWidth="1"/>
    <col min="9" max="9" width="33.83203125" style="358" bestFit="1" customWidth="1"/>
    <col min="10" max="10" width="12.5" style="93" bestFit="1" customWidth="1"/>
    <col min="11" max="11" width="3.5" style="93" customWidth="1"/>
    <col min="12" max="12" width="4.6640625" customWidth="1"/>
    <col min="13" max="13" width="23.33203125" customWidth="1"/>
    <col min="14" max="14" width="11.5" bestFit="1" customWidth="1"/>
    <col min="16" max="16" width="10.83203125" style="66"/>
    <col min="17" max="17" width="12" style="66" bestFit="1" customWidth="1"/>
    <col min="18" max="18" width="12.33203125" style="66" customWidth="1"/>
    <col min="19" max="19" width="11.5" style="321" bestFit="1" customWidth="1"/>
    <col min="20" max="20" width="10.5" style="66" bestFit="1" customWidth="1"/>
    <col min="24" max="24" width="11.5" bestFit="1" customWidth="1"/>
  </cols>
  <sheetData>
    <row r="1" spans="1:20">
      <c r="A1" s="471" t="s">
        <v>425</v>
      </c>
      <c r="B1" s="471"/>
      <c r="C1" s="471"/>
      <c r="D1" s="471"/>
      <c r="E1" s="471"/>
      <c r="F1" s="471"/>
      <c r="M1" s="418" t="s">
        <v>1795</v>
      </c>
      <c r="Q1"/>
      <c r="R1"/>
      <c r="S1"/>
      <c r="T1"/>
    </row>
    <row r="2" spans="1:20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4"/>
      <c r="I2" s="435" t="s">
        <v>111</v>
      </c>
      <c r="J2" s="436"/>
      <c r="K2" s="318"/>
      <c r="L2" s="66"/>
      <c r="M2" s="417" t="s">
        <v>1747</v>
      </c>
      <c r="N2" s="66"/>
      <c r="O2" s="66"/>
      <c r="Q2"/>
      <c r="R2"/>
      <c r="S2"/>
      <c r="T2"/>
    </row>
    <row r="3" spans="1:20">
      <c r="A3" s="2">
        <v>44802</v>
      </c>
      <c r="B3" s="1" t="s">
        <v>4</v>
      </c>
      <c r="C3" s="283"/>
      <c r="D3" s="283"/>
      <c r="E3" s="3">
        <v>2209.010000000002</v>
      </c>
      <c r="F3" s="34"/>
      <c r="G3" s="271" t="s">
        <v>170</v>
      </c>
      <c r="H3" s="410"/>
      <c r="I3" s="437" t="s">
        <v>1889</v>
      </c>
      <c r="J3" s="438">
        <f>+'08-22'!J37</f>
        <v>-3795.6800000000003</v>
      </c>
      <c r="K3" s="318"/>
      <c r="L3" s="66"/>
      <c r="M3" s="417" t="s">
        <v>1748</v>
      </c>
      <c r="N3" s="66"/>
      <c r="O3" s="66"/>
      <c r="Q3"/>
      <c r="R3"/>
      <c r="S3"/>
      <c r="T3"/>
    </row>
    <row r="4" spans="1:20">
      <c r="A4" s="2">
        <v>44802</v>
      </c>
      <c r="B4" s="1" t="s">
        <v>1881</v>
      </c>
      <c r="C4" s="3"/>
      <c r="D4" s="3">
        <v>194484</v>
      </c>
      <c r="E4" s="3">
        <f>+E3-C4+D4</f>
        <v>196693.01</v>
      </c>
      <c r="F4" s="59"/>
      <c r="G4" s="56">
        <f>+E57</f>
        <v>5455.64</v>
      </c>
      <c r="H4" s="411"/>
      <c r="I4" s="437" t="s">
        <v>1892</v>
      </c>
      <c r="J4" s="438">
        <f>+FIJO!F6</f>
        <v>1047.5</v>
      </c>
      <c r="K4" s="318"/>
      <c r="L4" s="66"/>
      <c r="M4" s="417" t="s">
        <v>1794</v>
      </c>
      <c r="N4" s="66"/>
      <c r="O4" s="66"/>
      <c r="Q4"/>
      <c r="R4"/>
      <c r="S4"/>
      <c r="T4"/>
    </row>
    <row r="5" spans="1:20">
      <c r="A5" s="2">
        <v>44802</v>
      </c>
      <c r="B5" s="36" t="s">
        <v>830</v>
      </c>
      <c r="C5" s="37">
        <v>20000</v>
      </c>
      <c r="D5" s="37"/>
      <c r="E5" s="37">
        <f t="shared" ref="E5:E59" si="0">+E4-C5+D5</f>
        <v>176693.01</v>
      </c>
      <c r="F5" s="37"/>
      <c r="G5" s="41"/>
      <c r="H5" s="41"/>
      <c r="I5" s="437" t="s">
        <v>1893</v>
      </c>
      <c r="J5" s="438">
        <f>FIJO!F20</f>
        <v>-1483.3333333333333</v>
      </c>
      <c r="K5" s="318"/>
      <c r="L5" s="66"/>
      <c r="M5" s="416" t="s">
        <v>1793</v>
      </c>
      <c r="N5" s="66"/>
      <c r="O5" s="66"/>
      <c r="Q5"/>
      <c r="R5"/>
      <c r="S5"/>
      <c r="T5"/>
    </row>
    <row r="6" spans="1:20">
      <c r="A6" s="2">
        <v>44803</v>
      </c>
      <c r="B6" s="59" t="s">
        <v>1895</v>
      </c>
      <c r="C6" s="60"/>
      <c r="D6" s="3">
        <v>3000</v>
      </c>
      <c r="E6" s="3">
        <f t="shared" si="0"/>
        <v>179693.01</v>
      </c>
      <c r="F6" s="59"/>
      <c r="G6" s="189"/>
      <c r="H6" s="189"/>
      <c r="I6" s="437" t="s">
        <v>1890</v>
      </c>
      <c r="J6" s="438">
        <v>12650</v>
      </c>
      <c r="K6" s="318"/>
      <c r="L6" s="66"/>
      <c r="M6" s="416" t="s">
        <v>1792</v>
      </c>
      <c r="N6" s="66"/>
      <c r="O6" s="66"/>
      <c r="Q6"/>
      <c r="R6"/>
      <c r="S6"/>
      <c r="T6"/>
    </row>
    <row r="7" spans="1:20">
      <c r="A7" s="2">
        <v>44803</v>
      </c>
      <c r="B7" s="59" t="s">
        <v>830</v>
      </c>
      <c r="C7" s="60">
        <v>3500</v>
      </c>
      <c r="D7" s="3"/>
      <c r="E7" s="3">
        <f t="shared" si="0"/>
        <v>176193.01</v>
      </c>
      <c r="F7" s="60"/>
      <c r="G7" s="190"/>
      <c r="H7" s="190"/>
      <c r="I7" s="437" t="s">
        <v>1896</v>
      </c>
      <c r="J7" s="438">
        <v>30000</v>
      </c>
      <c r="K7" s="318"/>
      <c r="L7" s="66"/>
      <c r="M7" s="416" t="s">
        <v>1791</v>
      </c>
      <c r="N7" s="66"/>
      <c r="O7" s="66"/>
      <c r="Q7"/>
      <c r="R7"/>
      <c r="S7"/>
      <c r="T7"/>
    </row>
    <row r="8" spans="1:20">
      <c r="A8" s="2">
        <v>44804</v>
      </c>
      <c r="B8" s="59" t="s">
        <v>830</v>
      </c>
      <c r="C8" s="60">
        <v>6000</v>
      </c>
      <c r="D8" s="3"/>
      <c r="E8" s="3">
        <f t="shared" si="0"/>
        <v>170193.01</v>
      </c>
      <c r="F8" s="197"/>
      <c r="G8" s="189"/>
      <c r="H8" s="189"/>
      <c r="I8" s="437" t="s">
        <v>1891</v>
      </c>
      <c r="J8" s="438">
        <v>2500</v>
      </c>
      <c r="K8" s="318"/>
      <c r="L8" s="66"/>
      <c r="M8" s="417" t="s">
        <v>1749</v>
      </c>
      <c r="N8" s="66"/>
      <c r="O8" s="66"/>
      <c r="Q8"/>
      <c r="R8"/>
      <c r="S8"/>
      <c r="T8"/>
    </row>
    <row r="9" spans="1:20">
      <c r="A9" s="2">
        <v>44807</v>
      </c>
      <c r="B9" s="59" t="s">
        <v>1909</v>
      </c>
      <c r="C9" s="60">
        <v>41418.49</v>
      </c>
      <c r="D9" s="3"/>
      <c r="E9" s="3">
        <f t="shared" si="0"/>
        <v>128774.52000000002</v>
      </c>
      <c r="F9" s="59"/>
      <c r="G9" s="176"/>
      <c r="H9" s="41"/>
      <c r="I9" s="437" t="s">
        <v>1897</v>
      </c>
      <c r="J9" s="438">
        <v>-1000</v>
      </c>
      <c r="K9" s="318"/>
      <c r="L9" s="66"/>
      <c r="M9" s="416" t="s">
        <v>101</v>
      </c>
      <c r="N9" s="66"/>
      <c r="O9" s="66"/>
      <c r="Q9"/>
      <c r="R9"/>
      <c r="S9"/>
      <c r="T9"/>
    </row>
    <row r="10" spans="1:20">
      <c r="A10" s="2">
        <v>44807</v>
      </c>
      <c r="B10" s="59" t="s">
        <v>1907</v>
      </c>
      <c r="C10" s="60">
        <v>1500</v>
      </c>
      <c r="D10" s="3"/>
      <c r="E10" s="3">
        <f t="shared" si="0"/>
        <v>127274.52000000002</v>
      </c>
      <c r="F10" s="60"/>
      <c r="G10" s="308"/>
      <c r="H10" s="192"/>
      <c r="I10" s="437" t="s">
        <v>1898</v>
      </c>
      <c r="J10" s="438">
        <v>-250</v>
      </c>
      <c r="K10" s="318"/>
      <c r="L10" s="66"/>
      <c r="M10" s="417" t="s">
        <v>1357</v>
      </c>
      <c r="N10" s="66"/>
      <c r="O10" s="66"/>
      <c r="Q10"/>
      <c r="R10"/>
      <c r="S10"/>
      <c r="T10"/>
    </row>
    <row r="11" spans="1:20">
      <c r="A11" s="2">
        <v>44809</v>
      </c>
      <c r="B11" s="59" t="s">
        <v>1903</v>
      </c>
      <c r="C11" s="60">
        <v>6000</v>
      </c>
      <c r="D11" s="3"/>
      <c r="E11" s="3">
        <f t="shared" si="0"/>
        <v>121274.52000000002</v>
      </c>
      <c r="F11" s="60"/>
      <c r="G11" s="308"/>
      <c r="H11" s="308"/>
      <c r="I11" s="437" t="s">
        <v>1899</v>
      </c>
      <c r="J11" s="438">
        <v>-500</v>
      </c>
      <c r="K11" s="318"/>
      <c r="L11" s="66"/>
      <c r="M11" s="21"/>
      <c r="N11" s="66"/>
      <c r="O11" s="66"/>
      <c r="Q11"/>
      <c r="R11"/>
      <c r="S11"/>
      <c r="T11"/>
    </row>
    <row r="12" spans="1:20">
      <c r="A12" s="2">
        <v>44809</v>
      </c>
      <c r="B12" s="59" t="s">
        <v>1904</v>
      </c>
      <c r="C12" s="60">
        <v>2370</v>
      </c>
      <c r="D12" s="3"/>
      <c r="E12" s="3">
        <f t="shared" si="0"/>
        <v>118904.52000000002</v>
      </c>
      <c r="F12" s="148"/>
      <c r="I12" s="437" t="s">
        <v>1900</v>
      </c>
      <c r="J12" s="438">
        <v>550</v>
      </c>
      <c r="K12" s="318"/>
      <c r="L12" s="66"/>
      <c r="M12" s="66"/>
      <c r="N12" s="66"/>
      <c r="O12" s="66"/>
      <c r="Q12"/>
      <c r="R12"/>
      <c r="S12"/>
      <c r="T12"/>
    </row>
    <row r="13" spans="1:20">
      <c r="A13" s="2">
        <v>44810</v>
      </c>
      <c r="B13" s="59" t="s">
        <v>1905</v>
      </c>
      <c r="C13" s="60">
        <v>108500</v>
      </c>
      <c r="D13" s="3"/>
      <c r="E13" s="3">
        <f t="shared" si="0"/>
        <v>10404.520000000019</v>
      </c>
      <c r="F13" s="60"/>
      <c r="G13" s="57"/>
      <c r="H13" s="57"/>
      <c r="I13" s="437" t="s">
        <v>1901</v>
      </c>
      <c r="J13" s="438">
        <v>1700</v>
      </c>
      <c r="K13" s="318"/>
      <c r="L13" s="66"/>
      <c r="M13" s="66"/>
      <c r="N13" s="66"/>
      <c r="Q13"/>
      <c r="R13"/>
      <c r="S13"/>
      <c r="T13"/>
    </row>
    <row r="14" spans="1:20" ht="19">
      <c r="A14" s="2">
        <v>44816</v>
      </c>
      <c r="B14" s="59" t="s">
        <v>1905</v>
      </c>
      <c r="C14" s="60">
        <v>2640</v>
      </c>
      <c r="D14" s="3"/>
      <c r="E14" s="3">
        <f t="shared" si="0"/>
        <v>7764.5200000000186</v>
      </c>
      <c r="F14" s="60"/>
      <c r="G14" s="330"/>
      <c r="H14" s="330"/>
      <c r="I14" s="433"/>
      <c r="J14" s="434">
        <f ca="1">SUM(J3:J15)</f>
        <v>41418.486666666664</v>
      </c>
      <c r="L14" s="66"/>
      <c r="M14" s="277" t="s">
        <v>1902</v>
      </c>
      <c r="N14" s="66"/>
      <c r="Q14"/>
      <c r="R14"/>
      <c r="S14"/>
      <c r="T14"/>
    </row>
    <row r="15" spans="1:20">
      <c r="A15" s="2">
        <v>44816</v>
      </c>
      <c r="B15" s="59" t="s">
        <v>1906</v>
      </c>
      <c r="C15" s="60">
        <v>850</v>
      </c>
      <c r="D15" s="3"/>
      <c r="E15" s="3">
        <f t="shared" si="0"/>
        <v>6914.5200000000186</v>
      </c>
      <c r="F15" s="60">
        <f>+C15/2</f>
        <v>425</v>
      </c>
      <c r="H15" s="18"/>
      <c r="I15" s="448"/>
      <c r="J15" s="155"/>
      <c r="K15" s="155"/>
      <c r="L15" s="66"/>
      <c r="M15" s="66"/>
      <c r="N15" s="66"/>
      <c r="Q15"/>
      <c r="R15"/>
      <c r="S15"/>
      <c r="T15"/>
    </row>
    <row r="16" spans="1:20">
      <c r="A16" s="2">
        <v>44816</v>
      </c>
      <c r="B16" s="59" t="s">
        <v>1906</v>
      </c>
      <c r="C16" s="60">
        <v>130</v>
      </c>
      <c r="D16" s="3"/>
      <c r="E16" s="3">
        <f t="shared" si="0"/>
        <v>6784.5200000000186</v>
      </c>
      <c r="F16" s="60">
        <f>+C16/2</f>
        <v>65</v>
      </c>
      <c r="I16" s="435" t="s">
        <v>111</v>
      </c>
      <c r="J16" s="436"/>
      <c r="L16" s="66"/>
      <c r="M16" s="66"/>
      <c r="N16" s="66"/>
      <c r="Q16"/>
      <c r="R16"/>
      <c r="S16"/>
      <c r="T16"/>
    </row>
    <row r="17" spans="1:20">
      <c r="A17" s="2">
        <v>44816</v>
      </c>
      <c r="B17" s="59" t="s">
        <v>1907</v>
      </c>
      <c r="C17" s="60">
        <v>3500</v>
      </c>
      <c r="D17" s="3"/>
      <c r="E17" s="3">
        <f t="shared" si="0"/>
        <v>3284.5200000000186</v>
      </c>
      <c r="F17" s="60"/>
      <c r="I17" s="437" t="s">
        <v>1912</v>
      </c>
      <c r="J17" s="438">
        <v>1561.5</v>
      </c>
      <c r="L17" s="66"/>
      <c r="M17" s="66"/>
      <c r="N17" s="66"/>
    </row>
    <row r="18" spans="1:20">
      <c r="A18" s="2">
        <v>44820</v>
      </c>
      <c r="B18" s="59" t="s">
        <v>1906</v>
      </c>
      <c r="C18" s="60">
        <v>430</v>
      </c>
      <c r="D18" s="3"/>
      <c r="E18" s="3">
        <f t="shared" si="0"/>
        <v>2854.5200000000186</v>
      </c>
      <c r="F18" s="60"/>
      <c r="I18" s="437" t="s">
        <v>1913</v>
      </c>
      <c r="J18" s="438">
        <v>-7500</v>
      </c>
      <c r="L18" s="66"/>
      <c r="M18" s="422"/>
      <c r="N18" s="66"/>
    </row>
    <row r="19" spans="1:20">
      <c r="A19" s="2">
        <v>44822</v>
      </c>
      <c r="B19" s="59" t="s">
        <v>1908</v>
      </c>
      <c r="C19" s="60"/>
      <c r="D19" s="3">
        <v>1000</v>
      </c>
      <c r="E19" s="3">
        <f t="shared" si="0"/>
        <v>3854.5200000000186</v>
      </c>
      <c r="F19" s="60"/>
      <c r="I19" s="449" t="s">
        <v>1914</v>
      </c>
      <c r="J19" s="438">
        <v>1500</v>
      </c>
      <c r="K19" s="318"/>
      <c r="L19" s="66"/>
      <c r="M19" s="66"/>
      <c r="N19" s="66"/>
    </row>
    <row r="20" spans="1:20">
      <c r="A20" s="2">
        <v>44822</v>
      </c>
      <c r="B20" s="59" t="s">
        <v>1909</v>
      </c>
      <c r="C20" s="60">
        <v>7500</v>
      </c>
      <c r="D20" s="3"/>
      <c r="E20" s="3">
        <f t="shared" si="0"/>
        <v>-3645.4799999999814</v>
      </c>
      <c r="F20" s="60"/>
      <c r="I20" s="437" t="s">
        <v>1915</v>
      </c>
      <c r="J20" s="450">
        <v>750</v>
      </c>
      <c r="K20" s="318"/>
      <c r="L20" s="66"/>
      <c r="M20" s="66"/>
      <c r="N20" s="66"/>
    </row>
    <row r="21" spans="1:20">
      <c r="A21" s="58">
        <v>44824</v>
      </c>
      <c r="B21" s="59" t="s">
        <v>1910</v>
      </c>
      <c r="C21" s="60"/>
      <c r="D21" s="3">
        <v>10000</v>
      </c>
      <c r="E21" s="3">
        <v>12318.52</v>
      </c>
      <c r="F21" s="96"/>
      <c r="I21" s="437" t="s">
        <v>1916</v>
      </c>
      <c r="J21" s="438">
        <v>600</v>
      </c>
      <c r="K21" s="318"/>
      <c r="L21" s="66"/>
      <c r="M21" s="66"/>
      <c r="N21" s="66"/>
    </row>
    <row r="22" spans="1:20">
      <c r="A22" s="58">
        <v>44825</v>
      </c>
      <c r="B22" s="59" t="s">
        <v>1909</v>
      </c>
      <c r="C22" s="60">
        <v>4918.28</v>
      </c>
      <c r="D22" s="3"/>
      <c r="E22" s="3">
        <f t="shared" si="0"/>
        <v>7400.2400000000007</v>
      </c>
      <c r="F22" s="60"/>
      <c r="I22" s="437" t="s">
        <v>1917</v>
      </c>
      <c r="J22" s="451">
        <v>400</v>
      </c>
      <c r="K22" s="318"/>
      <c r="L22" s="66"/>
      <c r="M22" s="66"/>
      <c r="N22" s="66"/>
    </row>
    <row r="23" spans="1:20">
      <c r="A23" s="58">
        <v>44825</v>
      </c>
      <c r="B23" s="59" t="s">
        <v>1357</v>
      </c>
      <c r="C23" s="60"/>
      <c r="D23" s="3">
        <v>0.4</v>
      </c>
      <c r="E23" s="3">
        <f t="shared" si="0"/>
        <v>7400.64</v>
      </c>
      <c r="F23" s="401"/>
      <c r="G23" s="41"/>
      <c r="H23" s="41"/>
      <c r="I23" s="437" t="s">
        <v>1918</v>
      </c>
      <c r="J23" s="438">
        <v>3167</v>
      </c>
      <c r="K23" s="318"/>
      <c r="L23" s="66"/>
      <c r="M23" s="66"/>
      <c r="N23" s="66"/>
    </row>
    <row r="24" spans="1:20">
      <c r="A24" s="2">
        <v>44826</v>
      </c>
      <c r="B24" s="59" t="s">
        <v>1929</v>
      </c>
      <c r="C24" s="60">
        <v>890</v>
      </c>
      <c r="D24" s="3"/>
      <c r="E24" s="3">
        <f t="shared" si="0"/>
        <v>6510.64</v>
      </c>
      <c r="F24" s="60"/>
      <c r="I24" s="437" t="s">
        <v>1919</v>
      </c>
      <c r="J24" s="438">
        <v>600</v>
      </c>
      <c r="K24" s="318"/>
      <c r="L24" s="66"/>
      <c r="M24" s="66"/>
      <c r="N24" s="66"/>
    </row>
    <row r="25" spans="1:20">
      <c r="A25" s="2">
        <v>44827</v>
      </c>
      <c r="B25" s="59" t="s">
        <v>1927</v>
      </c>
      <c r="C25" s="60">
        <v>425</v>
      </c>
      <c r="D25" s="60"/>
      <c r="E25" s="3">
        <f t="shared" si="0"/>
        <v>6085.64</v>
      </c>
      <c r="F25" s="60"/>
      <c r="I25" s="437" t="s">
        <v>1920</v>
      </c>
      <c r="J25" s="438">
        <v>970</v>
      </c>
      <c r="K25" s="318"/>
      <c r="L25" s="66"/>
      <c r="M25" s="66"/>
      <c r="N25" s="66"/>
    </row>
    <row r="26" spans="1:20">
      <c r="A26" s="2">
        <v>44828</v>
      </c>
      <c r="B26" s="59" t="s">
        <v>1928</v>
      </c>
      <c r="C26" s="60">
        <v>630</v>
      </c>
      <c r="D26" s="3"/>
      <c r="E26" s="3">
        <f t="shared" si="0"/>
        <v>5455.64</v>
      </c>
      <c r="F26" s="37"/>
      <c r="I26" s="437" t="s">
        <v>1921</v>
      </c>
      <c r="J26" s="450">
        <v>1500</v>
      </c>
      <c r="K26" s="318"/>
      <c r="L26" s="66"/>
      <c r="M26" s="66"/>
      <c r="N26" s="66"/>
      <c r="O26" s="66"/>
    </row>
    <row r="27" spans="1:20">
      <c r="A27" s="11"/>
      <c r="B27" s="214"/>
      <c r="C27" s="215"/>
      <c r="D27" s="13"/>
      <c r="E27" s="13">
        <f t="shared" si="0"/>
        <v>5455.64</v>
      </c>
      <c r="F27" s="215"/>
      <c r="I27" s="437" t="s">
        <v>1922</v>
      </c>
      <c r="J27" s="438">
        <v>-1350</v>
      </c>
      <c r="K27" s="318"/>
      <c r="L27" s="66"/>
      <c r="M27" s="66"/>
      <c r="N27" s="66"/>
    </row>
    <row r="28" spans="1:20">
      <c r="A28" s="11"/>
      <c r="B28" s="214"/>
      <c r="C28" s="215"/>
      <c r="D28" s="215"/>
      <c r="E28" s="13">
        <f t="shared" si="0"/>
        <v>5455.64</v>
      </c>
      <c r="F28" s="215"/>
      <c r="I28" s="437" t="s">
        <v>1923</v>
      </c>
      <c r="J28" s="438">
        <v>4000</v>
      </c>
      <c r="K28" s="318"/>
      <c r="L28" s="66"/>
      <c r="M28" s="66"/>
      <c r="O28" s="66"/>
      <c r="R28"/>
      <c r="S28" s="242"/>
      <c r="T28"/>
    </row>
    <row r="29" spans="1:20">
      <c r="A29" s="2"/>
      <c r="B29" s="59"/>
      <c r="C29" s="60"/>
      <c r="D29" s="60"/>
      <c r="E29" s="3">
        <f t="shared" si="0"/>
        <v>5455.64</v>
      </c>
      <c r="F29" s="37"/>
      <c r="G29" s="41"/>
      <c r="I29" s="437" t="s">
        <v>1924</v>
      </c>
      <c r="J29" s="438">
        <f>-F15-F16</f>
        <v>-490</v>
      </c>
      <c r="K29" s="318"/>
      <c r="L29" s="66"/>
      <c r="M29" s="66"/>
      <c r="O29" s="66"/>
      <c r="R29"/>
      <c r="S29" s="242"/>
      <c r="T29"/>
    </row>
    <row r="30" spans="1:20">
      <c r="A30" s="2"/>
      <c r="B30" s="59"/>
      <c r="C30" s="60"/>
      <c r="D30" s="60"/>
      <c r="E30" s="3">
        <f t="shared" si="0"/>
        <v>5455.64</v>
      </c>
      <c r="F30" s="59"/>
      <c r="G30" s="41"/>
      <c r="I30" s="437" t="s">
        <v>1925</v>
      </c>
      <c r="J30" s="438">
        <f>-1580.44/2</f>
        <v>-790.22</v>
      </c>
      <c r="K30" s="66"/>
      <c r="L30" s="66"/>
      <c r="M30" s="66"/>
      <c r="O30" s="66"/>
      <c r="R30"/>
      <c r="S30" s="242"/>
      <c r="T30"/>
    </row>
    <row r="31" spans="1:20">
      <c r="A31" s="2"/>
      <c r="B31" s="59"/>
      <c r="C31" s="37"/>
      <c r="D31" s="37"/>
      <c r="E31" s="3">
        <f t="shared" si="0"/>
        <v>5455.64</v>
      </c>
      <c r="F31" s="37"/>
      <c r="G31" s="41"/>
      <c r="I31" s="452"/>
      <c r="J31" s="434">
        <f>SUM(J17:J30)</f>
        <v>4918.28</v>
      </c>
      <c r="K31" s="66"/>
      <c r="L31" s="66"/>
      <c r="M31" s="277" t="s">
        <v>1926</v>
      </c>
      <c r="O31" s="66"/>
      <c r="R31"/>
      <c r="S31" s="242"/>
      <c r="T31"/>
    </row>
    <row r="32" spans="1:20">
      <c r="A32" s="2"/>
      <c r="B32" s="59"/>
      <c r="C32" s="37"/>
      <c r="D32" s="10"/>
      <c r="E32" s="3">
        <f t="shared" si="0"/>
        <v>5455.64</v>
      </c>
      <c r="F32" s="37"/>
      <c r="I32" s="409"/>
      <c r="J32" s="444"/>
      <c r="K32" s="318"/>
      <c r="L32" s="66"/>
      <c r="M32" s="318"/>
    </row>
    <row r="33" spans="1:16">
      <c r="A33" s="196"/>
      <c r="B33" s="59"/>
      <c r="C33" s="37"/>
      <c r="D33" s="10"/>
      <c r="E33" s="3">
        <f t="shared" si="0"/>
        <v>5455.64</v>
      </c>
      <c r="F33" s="37"/>
      <c r="I33" s="409"/>
      <c r="J33" s="444"/>
      <c r="K33" s="329"/>
      <c r="L33" s="66"/>
      <c r="M33" s="66"/>
    </row>
    <row r="34" spans="1:16">
      <c r="A34" s="196"/>
      <c r="B34" s="59"/>
      <c r="C34" s="37"/>
      <c r="D34" s="10"/>
      <c r="E34" s="3">
        <f t="shared" si="0"/>
        <v>5455.64</v>
      </c>
      <c r="F34" s="37"/>
      <c r="J34" s="41"/>
      <c r="P34" s="422"/>
    </row>
    <row r="35" spans="1:16">
      <c r="A35" s="196"/>
      <c r="B35" s="59"/>
      <c r="C35" s="10"/>
      <c r="D35" s="10"/>
      <c r="E35" s="3">
        <f t="shared" si="0"/>
        <v>5455.64</v>
      </c>
      <c r="F35" s="37"/>
      <c r="M35" s="66"/>
    </row>
    <row r="36" spans="1:16">
      <c r="A36" s="196"/>
      <c r="B36" s="59"/>
      <c r="C36" s="10"/>
      <c r="D36" s="10"/>
      <c r="E36" s="3">
        <f t="shared" si="0"/>
        <v>5455.64</v>
      </c>
      <c r="F36" s="37"/>
    </row>
    <row r="37" spans="1:16">
      <c r="A37" s="63"/>
      <c r="B37" s="59"/>
      <c r="C37" s="10"/>
      <c r="D37" s="10"/>
      <c r="E37" s="3">
        <f t="shared" si="0"/>
        <v>5455.64</v>
      </c>
      <c r="F37" s="36"/>
    </row>
    <row r="38" spans="1:16">
      <c r="A38" s="63"/>
      <c r="B38" s="6"/>
      <c r="C38" s="37"/>
      <c r="D38" s="10"/>
      <c r="E38" s="3">
        <f t="shared" si="0"/>
        <v>5455.64</v>
      </c>
      <c r="F38" s="37"/>
      <c r="G38" s="195"/>
      <c r="H38" s="195"/>
    </row>
    <row r="39" spans="1:16">
      <c r="A39" s="63"/>
      <c r="B39" s="6"/>
      <c r="C39" s="37"/>
      <c r="D39" s="10"/>
      <c r="E39" s="3">
        <f t="shared" si="0"/>
        <v>5455.64</v>
      </c>
      <c r="F39" s="37"/>
      <c r="G39" s="195"/>
      <c r="H39" s="195"/>
    </row>
    <row r="40" spans="1:16">
      <c r="A40" s="63"/>
      <c r="B40" s="36"/>
      <c r="C40" s="37"/>
      <c r="D40" s="10"/>
      <c r="E40" s="3">
        <f t="shared" si="0"/>
        <v>5455.64</v>
      </c>
      <c r="F40" s="118"/>
      <c r="G40" s="195"/>
      <c r="H40" s="195"/>
    </row>
    <row r="41" spans="1:16">
      <c r="A41" s="63"/>
      <c r="B41" s="36"/>
      <c r="C41" s="37"/>
      <c r="D41" s="10"/>
      <c r="E41" s="3">
        <f t="shared" si="0"/>
        <v>5455.64</v>
      </c>
      <c r="F41" s="118"/>
      <c r="G41" s="195"/>
      <c r="H41" s="195"/>
    </row>
    <row r="42" spans="1:16">
      <c r="A42" s="63"/>
      <c r="B42" s="6"/>
      <c r="C42" s="10"/>
      <c r="D42" s="10"/>
      <c r="E42" s="3">
        <f t="shared" si="0"/>
        <v>5455.64</v>
      </c>
      <c r="F42" s="118"/>
      <c r="G42" s="195"/>
      <c r="H42" s="195"/>
    </row>
    <row r="43" spans="1:16">
      <c r="A43" s="196"/>
      <c r="B43" s="6"/>
      <c r="C43" s="10"/>
      <c r="D43" s="10"/>
      <c r="E43" s="3">
        <f t="shared" si="0"/>
        <v>5455.64</v>
      </c>
      <c r="F43" s="118"/>
    </row>
    <row r="44" spans="1:16">
      <c r="A44" s="196"/>
      <c r="B44" s="36"/>
      <c r="C44" s="60"/>
      <c r="D44" s="60"/>
      <c r="E44" s="3">
        <f t="shared" si="0"/>
        <v>5455.64</v>
      </c>
      <c r="F44" s="118"/>
      <c r="G44" s="92"/>
      <c r="H44" s="92"/>
    </row>
    <row r="45" spans="1:16">
      <c r="A45" s="63"/>
      <c r="B45" s="59"/>
      <c r="C45" s="3"/>
      <c r="D45" s="3"/>
      <c r="E45" s="3">
        <f t="shared" si="0"/>
        <v>5455.64</v>
      </c>
      <c r="F45" s="118"/>
    </row>
    <row r="46" spans="1:16">
      <c r="A46" s="63"/>
      <c r="B46" s="59"/>
      <c r="C46" s="3"/>
      <c r="D46" s="3"/>
      <c r="E46" s="3">
        <f t="shared" si="0"/>
        <v>5455.64</v>
      </c>
      <c r="F46" s="96"/>
      <c r="G46" s="92"/>
      <c r="H46" s="92"/>
    </row>
    <row r="47" spans="1:16">
      <c r="A47" s="63"/>
      <c r="B47" s="59"/>
      <c r="C47" s="3"/>
      <c r="D47" s="3"/>
      <c r="E47" s="3">
        <f t="shared" si="0"/>
        <v>5455.64</v>
      </c>
      <c r="F47" s="398"/>
    </row>
    <row r="48" spans="1:16">
      <c r="A48" s="63"/>
      <c r="B48" s="6"/>
      <c r="C48" s="3"/>
      <c r="D48" s="3"/>
      <c r="E48" s="3">
        <f t="shared" si="0"/>
        <v>5455.64</v>
      </c>
      <c r="F48" s="10"/>
    </row>
    <row r="49" spans="1:6">
      <c r="A49" s="63"/>
      <c r="B49" s="1"/>
      <c r="C49" s="3"/>
      <c r="D49" s="3"/>
      <c r="E49" s="3">
        <f t="shared" si="0"/>
        <v>5455.64</v>
      </c>
      <c r="F49" s="400"/>
    </row>
    <row r="50" spans="1:6">
      <c r="A50" s="63"/>
      <c r="B50" s="6"/>
      <c r="C50" s="3"/>
      <c r="D50" s="3"/>
      <c r="E50" s="3">
        <f t="shared" si="0"/>
        <v>5455.64</v>
      </c>
      <c r="F50" s="6"/>
    </row>
    <row r="51" spans="1:6">
      <c r="A51" s="63"/>
      <c r="B51" s="1"/>
      <c r="C51" s="3"/>
      <c r="D51" s="3"/>
      <c r="E51" s="3">
        <f t="shared" si="0"/>
        <v>5455.64</v>
      </c>
      <c r="F51" s="1"/>
    </row>
    <row r="52" spans="1:6">
      <c r="A52" s="63"/>
      <c r="B52" s="1"/>
      <c r="C52" s="60"/>
      <c r="D52" s="3"/>
      <c r="E52" s="3">
        <f t="shared" si="0"/>
        <v>5455.64</v>
      </c>
      <c r="F52" s="76"/>
    </row>
    <row r="53" spans="1:6">
      <c r="A53" s="63"/>
      <c r="B53" s="1"/>
      <c r="C53" s="3"/>
      <c r="D53" s="3"/>
      <c r="E53" s="3">
        <f t="shared" si="0"/>
        <v>5455.64</v>
      </c>
      <c r="F53" s="1"/>
    </row>
    <row r="54" spans="1:6">
      <c r="A54" s="63"/>
      <c r="B54" s="1"/>
      <c r="C54" s="3"/>
      <c r="D54" s="3"/>
      <c r="E54" s="3">
        <f t="shared" si="0"/>
        <v>5455.64</v>
      </c>
      <c r="F54" s="1"/>
    </row>
    <row r="55" spans="1:6">
      <c r="A55" s="63"/>
      <c r="B55" s="1"/>
      <c r="C55" s="3"/>
      <c r="D55" s="3"/>
      <c r="E55" s="3">
        <f t="shared" si="0"/>
        <v>5455.64</v>
      </c>
      <c r="F55" s="1"/>
    </row>
    <row r="56" spans="1:6">
      <c r="A56" s="2"/>
      <c r="B56" s="1"/>
      <c r="C56" s="3"/>
      <c r="D56" s="10"/>
      <c r="E56" s="3">
        <f t="shared" si="0"/>
        <v>5455.64</v>
      </c>
      <c r="F56" s="1"/>
    </row>
    <row r="57" spans="1:6">
      <c r="A57" s="63"/>
      <c r="B57" s="6"/>
      <c r="C57" s="10"/>
      <c r="D57" s="10"/>
      <c r="E57" s="3">
        <f t="shared" si="0"/>
        <v>5455.64</v>
      </c>
      <c r="F57" s="1"/>
    </row>
    <row r="58" spans="1:6">
      <c r="E58" s="3">
        <f t="shared" si="0"/>
        <v>5455.64</v>
      </c>
    </row>
    <row r="59" spans="1:6">
      <c r="E59" s="3">
        <f t="shared" si="0"/>
        <v>5455.64</v>
      </c>
    </row>
    <row r="1048576" spans="1:1">
      <c r="A1048576" s="2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F805-B7E1-C648-BCD5-730F3AD1E3DC}">
  <dimension ref="A1:T1048576"/>
  <sheetViews>
    <sheetView showGridLines="0" topLeftCell="A2" workbookViewId="0">
      <selection activeCell="M16" sqref="M16"/>
    </sheetView>
  </sheetViews>
  <sheetFormatPr baseColWidth="10" defaultRowHeight="16"/>
  <cols>
    <col min="1" max="1" width="7.33203125" bestFit="1" customWidth="1"/>
    <col min="2" max="2" width="29.1640625" bestFit="1" customWidth="1"/>
    <col min="3" max="3" width="12.5" style="4" bestFit="1" customWidth="1"/>
    <col min="4" max="4" width="13.5" style="4" customWidth="1"/>
    <col min="5" max="5" width="13" customWidth="1"/>
    <col min="6" max="6" width="11.1640625" customWidth="1"/>
    <col min="7" max="7" width="14.1640625" customWidth="1"/>
    <col min="8" max="8" width="5.5" customWidth="1"/>
    <col min="9" max="9" width="33.83203125" style="358" bestFit="1" customWidth="1"/>
    <col min="10" max="10" width="12.5" style="93" bestFit="1" customWidth="1"/>
    <col min="11" max="11" width="3.5" style="93" customWidth="1"/>
    <col min="12" max="12" width="4.6640625" customWidth="1"/>
    <col min="13" max="13" width="23.33203125" customWidth="1"/>
    <col min="14" max="14" width="11.5" bestFit="1" customWidth="1"/>
    <col min="16" max="16" width="10.83203125" style="66"/>
    <col min="17" max="17" width="12" style="66" bestFit="1" customWidth="1"/>
    <col min="18" max="18" width="12.33203125" style="66" customWidth="1"/>
    <col min="19" max="19" width="11.5" style="321" bestFit="1" customWidth="1"/>
    <col min="20" max="20" width="10.5" style="66" bestFit="1" customWidth="1"/>
    <col min="24" max="24" width="11.5" bestFit="1" customWidth="1"/>
  </cols>
  <sheetData>
    <row r="1" spans="1:20">
      <c r="A1" s="471" t="s">
        <v>425</v>
      </c>
      <c r="B1" s="471"/>
      <c r="C1" s="471"/>
      <c r="D1" s="471"/>
      <c r="E1" s="471"/>
      <c r="F1" s="471"/>
      <c r="M1" s="418" t="s">
        <v>1795</v>
      </c>
      <c r="Q1"/>
      <c r="R1"/>
      <c r="S1"/>
      <c r="T1"/>
    </row>
    <row r="2" spans="1:20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4"/>
      <c r="I2" s="435" t="s">
        <v>111</v>
      </c>
      <c r="J2" s="436"/>
      <c r="K2" s="318"/>
      <c r="L2" s="66"/>
      <c r="M2" s="417" t="s">
        <v>1747</v>
      </c>
      <c r="N2" s="66"/>
      <c r="O2" s="66"/>
      <c r="Q2"/>
      <c r="R2"/>
      <c r="S2"/>
      <c r="T2"/>
    </row>
    <row r="3" spans="1:20">
      <c r="A3" s="2">
        <v>44831</v>
      </c>
      <c r="B3" s="1" t="s">
        <v>4</v>
      </c>
      <c r="C3" s="283"/>
      <c r="D3" s="283"/>
      <c r="E3" s="3">
        <v>5455.64</v>
      </c>
      <c r="F3" s="34"/>
      <c r="G3" s="271" t="s">
        <v>170</v>
      </c>
      <c r="H3" s="410"/>
      <c r="I3" s="437" t="s">
        <v>1892</v>
      </c>
      <c r="J3" s="438">
        <v>1047.5</v>
      </c>
      <c r="K3" s="318"/>
      <c r="L3" s="66"/>
      <c r="M3" s="417" t="s">
        <v>1748</v>
      </c>
      <c r="N3" s="66"/>
      <c r="O3" s="66"/>
      <c r="Q3"/>
      <c r="R3"/>
      <c r="S3"/>
      <c r="T3"/>
    </row>
    <row r="4" spans="1:20">
      <c r="A4" s="2">
        <v>44831</v>
      </c>
      <c r="B4" s="1" t="s">
        <v>1930</v>
      </c>
      <c r="C4" s="3"/>
      <c r="D4" s="3">
        <v>195105</v>
      </c>
      <c r="E4" s="3">
        <f>+E3-C4+D4</f>
        <v>200560.64000000001</v>
      </c>
      <c r="F4" s="59"/>
      <c r="G4" s="56">
        <f>+E57</f>
        <v>1630.6000000000022</v>
      </c>
      <c r="H4" s="411"/>
      <c r="I4" s="437" t="s">
        <v>1893</v>
      </c>
      <c r="J4" s="438">
        <v>-1483.3333333333333</v>
      </c>
      <c r="K4" s="318"/>
      <c r="L4" s="66"/>
      <c r="M4" s="417" t="s">
        <v>1794</v>
      </c>
      <c r="N4" s="66"/>
      <c r="O4" s="66"/>
      <c r="Q4"/>
      <c r="R4"/>
      <c r="S4"/>
      <c r="T4"/>
    </row>
    <row r="5" spans="1:20">
      <c r="A5" s="2">
        <v>44831</v>
      </c>
      <c r="B5" s="36" t="s">
        <v>1357</v>
      </c>
      <c r="C5" s="37"/>
      <c r="D5" s="37">
        <v>4.28</v>
      </c>
      <c r="E5" s="37">
        <f t="shared" ref="E5:E59" si="0">+E4-C5+D5</f>
        <v>200564.92</v>
      </c>
      <c r="F5" s="37"/>
      <c r="G5" s="41"/>
      <c r="H5" s="41"/>
      <c r="I5" s="437" t="s">
        <v>1942</v>
      </c>
      <c r="J5" s="438">
        <v>-750</v>
      </c>
      <c r="K5" s="318"/>
      <c r="L5" s="66"/>
      <c r="M5" s="416" t="s">
        <v>1793</v>
      </c>
      <c r="N5" s="66"/>
      <c r="O5" s="66"/>
      <c r="Q5"/>
      <c r="R5"/>
      <c r="S5"/>
      <c r="T5"/>
    </row>
    <row r="6" spans="1:20">
      <c r="A6" s="2">
        <v>44832</v>
      </c>
      <c r="B6" s="59" t="s">
        <v>1071</v>
      </c>
      <c r="C6" s="60">
        <v>20000</v>
      </c>
      <c r="D6" s="3"/>
      <c r="E6" s="3">
        <f t="shared" si="0"/>
        <v>180564.92</v>
      </c>
      <c r="F6" s="59"/>
      <c r="G6" s="189"/>
      <c r="H6" s="189"/>
      <c r="I6" s="437" t="s">
        <v>1943</v>
      </c>
      <c r="J6" s="438">
        <v>-150</v>
      </c>
      <c r="K6" s="318"/>
      <c r="L6" s="66"/>
      <c r="M6" s="416" t="s">
        <v>1792</v>
      </c>
      <c r="N6" s="66"/>
      <c r="O6" s="66"/>
      <c r="Q6"/>
      <c r="R6"/>
      <c r="S6"/>
      <c r="T6"/>
    </row>
    <row r="7" spans="1:20">
      <c r="A7" s="2">
        <v>44832</v>
      </c>
      <c r="B7" s="59" t="s">
        <v>1421</v>
      </c>
      <c r="C7" s="60">
        <f>20691.98-C6</f>
        <v>691.97999999999956</v>
      </c>
      <c r="D7" s="3"/>
      <c r="E7" s="3">
        <f t="shared" si="0"/>
        <v>179872.94</v>
      </c>
      <c r="F7" s="60"/>
      <c r="G7" s="190"/>
      <c r="H7" s="190"/>
      <c r="I7" s="437" t="s">
        <v>1944</v>
      </c>
      <c r="J7" s="438">
        <v>-760</v>
      </c>
      <c r="K7" s="318"/>
      <c r="L7" s="66"/>
      <c r="M7" s="416" t="s">
        <v>1791</v>
      </c>
      <c r="N7" s="66"/>
      <c r="O7" s="66"/>
      <c r="Q7"/>
      <c r="R7"/>
      <c r="S7"/>
      <c r="T7"/>
    </row>
    <row r="8" spans="1:20">
      <c r="A8" s="2">
        <v>44832</v>
      </c>
      <c r="B8" s="59" t="s">
        <v>1071</v>
      </c>
      <c r="C8" s="60">
        <v>26000</v>
      </c>
      <c r="D8" s="3"/>
      <c r="E8" s="3">
        <f t="shared" si="0"/>
        <v>153872.94</v>
      </c>
      <c r="F8" s="197"/>
      <c r="G8" s="189"/>
      <c r="H8" s="189"/>
      <c r="I8" s="437" t="s">
        <v>1945</v>
      </c>
      <c r="J8" s="438">
        <v>600</v>
      </c>
      <c r="K8" s="318"/>
      <c r="L8" s="66"/>
      <c r="M8" s="417" t="s">
        <v>1749</v>
      </c>
      <c r="N8" s="66"/>
      <c r="O8" s="66"/>
      <c r="Q8"/>
      <c r="R8"/>
      <c r="S8"/>
      <c r="T8"/>
    </row>
    <row r="9" spans="1:20">
      <c r="A9" s="2">
        <v>44832</v>
      </c>
      <c r="B9" s="59" t="s">
        <v>1931</v>
      </c>
      <c r="C9" s="60">
        <v>2347</v>
      </c>
      <c r="D9" s="3"/>
      <c r="E9" s="3">
        <f t="shared" si="0"/>
        <v>151525.94</v>
      </c>
      <c r="F9" s="59"/>
      <c r="G9" s="176"/>
      <c r="H9" s="41"/>
      <c r="I9" s="437" t="s">
        <v>1946</v>
      </c>
      <c r="J9" s="438">
        <v>-425</v>
      </c>
      <c r="K9" s="318"/>
      <c r="L9" s="66"/>
      <c r="M9" s="416" t="s">
        <v>101</v>
      </c>
      <c r="N9" s="66"/>
      <c r="O9" s="66"/>
      <c r="Q9"/>
      <c r="R9"/>
      <c r="S9"/>
      <c r="T9"/>
    </row>
    <row r="10" spans="1:20">
      <c r="A10" s="2">
        <v>44832</v>
      </c>
      <c r="B10" s="59" t="s">
        <v>1932</v>
      </c>
      <c r="C10" s="60">
        <v>4500</v>
      </c>
      <c r="D10" s="3"/>
      <c r="E10" s="3">
        <f t="shared" si="0"/>
        <v>147025.94</v>
      </c>
      <c r="F10" s="60"/>
      <c r="G10" s="308"/>
      <c r="H10" s="192"/>
      <c r="I10" s="437" t="s">
        <v>1947</v>
      </c>
      <c r="J10" s="438">
        <v>500</v>
      </c>
      <c r="K10" s="318"/>
      <c r="L10" s="66"/>
      <c r="M10" s="417" t="s">
        <v>1357</v>
      </c>
      <c r="N10" s="66"/>
      <c r="O10" s="66"/>
      <c r="Q10"/>
      <c r="R10"/>
      <c r="S10"/>
      <c r="T10"/>
    </row>
    <row r="11" spans="1:20">
      <c r="A11" s="2">
        <v>44832</v>
      </c>
      <c r="B11" s="59" t="s">
        <v>1933</v>
      </c>
      <c r="C11" s="60">
        <v>1792.37</v>
      </c>
      <c r="D11" s="3"/>
      <c r="E11" s="3">
        <f t="shared" si="0"/>
        <v>145233.57</v>
      </c>
      <c r="F11" s="60"/>
      <c r="G11" s="308"/>
      <c r="H11" s="308"/>
      <c r="I11" s="437" t="s">
        <v>1955</v>
      </c>
      <c r="J11" s="438">
        <v>-2800</v>
      </c>
      <c r="K11" s="318"/>
      <c r="L11" s="66"/>
      <c r="M11" s="21"/>
      <c r="N11" s="66"/>
      <c r="O11" s="66"/>
      <c r="Q11"/>
      <c r="R11"/>
      <c r="S11"/>
      <c r="T11"/>
    </row>
    <row r="12" spans="1:20">
      <c r="A12" s="2">
        <v>44834</v>
      </c>
      <c r="B12" s="59" t="s">
        <v>1934</v>
      </c>
      <c r="C12" s="60">
        <v>3899.9</v>
      </c>
      <c r="D12" s="3"/>
      <c r="E12" s="3">
        <f t="shared" si="0"/>
        <v>141333.67000000001</v>
      </c>
      <c r="F12" s="148"/>
      <c r="I12" s="437" t="s">
        <v>1956</v>
      </c>
      <c r="J12" s="438">
        <v>990</v>
      </c>
      <c r="K12" s="318"/>
      <c r="L12" s="66"/>
      <c r="M12" s="66"/>
      <c r="N12" s="66"/>
      <c r="O12" s="66"/>
      <c r="Q12"/>
      <c r="R12"/>
      <c r="S12"/>
      <c r="T12"/>
    </row>
    <row r="13" spans="1:20">
      <c r="A13" s="2">
        <v>44834</v>
      </c>
      <c r="B13" s="59" t="s">
        <v>1934</v>
      </c>
      <c r="C13" s="60">
        <v>3404</v>
      </c>
      <c r="D13" s="3"/>
      <c r="E13" s="3">
        <f t="shared" si="0"/>
        <v>137929.67000000001</v>
      </c>
      <c r="F13" s="60"/>
      <c r="G13" s="57"/>
      <c r="H13" s="57"/>
      <c r="I13" s="437" t="s">
        <v>1959</v>
      </c>
      <c r="J13" s="438">
        <v>-1075</v>
      </c>
      <c r="K13" s="318"/>
      <c r="L13" s="66"/>
      <c r="M13" s="66"/>
      <c r="N13" s="66"/>
      <c r="Q13"/>
      <c r="R13"/>
      <c r="S13"/>
      <c r="T13"/>
    </row>
    <row r="14" spans="1:20" ht="19">
      <c r="A14" s="2">
        <v>44838</v>
      </c>
      <c r="B14" s="59" t="s">
        <v>1935</v>
      </c>
      <c r="C14" s="60">
        <v>5500</v>
      </c>
      <c r="D14" s="3"/>
      <c r="E14" s="3">
        <f t="shared" si="0"/>
        <v>132429.67000000001</v>
      </c>
      <c r="F14" s="60"/>
      <c r="G14" s="330"/>
      <c r="H14" s="330"/>
      <c r="I14" s="437" t="s">
        <v>1960</v>
      </c>
      <c r="J14" s="438">
        <v>1750</v>
      </c>
      <c r="L14" s="66"/>
      <c r="M14" s="66"/>
      <c r="N14" s="66"/>
      <c r="Q14"/>
      <c r="R14"/>
      <c r="S14"/>
      <c r="T14"/>
    </row>
    <row r="15" spans="1:20">
      <c r="A15" s="2">
        <v>44838</v>
      </c>
      <c r="B15" s="59" t="s">
        <v>1935</v>
      </c>
      <c r="C15" s="60">
        <v>1070</v>
      </c>
      <c r="D15" s="3"/>
      <c r="E15" s="3">
        <f t="shared" si="0"/>
        <v>131359.67000000001</v>
      </c>
      <c r="F15" s="60"/>
      <c r="H15" s="18"/>
      <c r="I15" s="437" t="s">
        <v>1957</v>
      </c>
      <c r="J15" s="438">
        <f>-(3776*0.85)/2</f>
        <v>-1604.8</v>
      </c>
      <c r="K15" s="155"/>
      <c r="L15" s="66"/>
      <c r="M15" s="66"/>
      <c r="N15" s="66"/>
      <c r="Q15"/>
      <c r="R15"/>
      <c r="S15"/>
      <c r="T15"/>
    </row>
    <row r="16" spans="1:20">
      <c r="A16" s="2">
        <v>44838</v>
      </c>
      <c r="B16" s="59" t="s">
        <v>1935</v>
      </c>
      <c r="C16" s="60">
        <v>5294</v>
      </c>
      <c r="D16" s="3"/>
      <c r="E16" s="3">
        <f t="shared" si="0"/>
        <v>126065.67000000001</v>
      </c>
      <c r="F16" s="60"/>
      <c r="I16" s="437" t="s">
        <v>1958</v>
      </c>
      <c r="J16" s="438">
        <v>1500</v>
      </c>
      <c r="L16" s="66"/>
      <c r="M16" s="66"/>
      <c r="N16" s="66"/>
      <c r="Q16"/>
      <c r="R16"/>
      <c r="S16"/>
      <c r="T16"/>
    </row>
    <row r="17" spans="1:20">
      <c r="A17" s="2">
        <v>44838</v>
      </c>
      <c r="B17" s="59" t="s">
        <v>1071</v>
      </c>
      <c r="C17" s="60">
        <v>10000</v>
      </c>
      <c r="D17" s="3"/>
      <c r="E17" s="3">
        <f t="shared" si="0"/>
        <v>116065.67000000001</v>
      </c>
      <c r="F17" s="60"/>
      <c r="I17" s="437" t="s">
        <v>1961</v>
      </c>
      <c r="J17" s="438">
        <v>-300</v>
      </c>
      <c r="L17" s="66"/>
      <c r="M17" s="66"/>
      <c r="N17" s="66"/>
    </row>
    <row r="18" spans="1:20">
      <c r="A18" s="2">
        <v>44840</v>
      </c>
      <c r="B18" s="59" t="s">
        <v>1244</v>
      </c>
      <c r="C18" s="60">
        <v>32500</v>
      </c>
      <c r="D18" s="3"/>
      <c r="E18" s="3">
        <v>83601.67</v>
      </c>
      <c r="F18" s="60"/>
      <c r="I18" s="437" t="s">
        <v>1962</v>
      </c>
      <c r="J18" s="438">
        <v>-1000</v>
      </c>
      <c r="L18" s="66"/>
      <c r="M18" s="422"/>
      <c r="N18" s="66"/>
    </row>
    <row r="19" spans="1:20">
      <c r="A19" s="2">
        <v>44841</v>
      </c>
      <c r="B19" s="59" t="s">
        <v>1936</v>
      </c>
      <c r="C19" s="60">
        <v>1100</v>
      </c>
      <c r="D19" s="3"/>
      <c r="E19" s="3">
        <f t="shared" si="0"/>
        <v>82501.67</v>
      </c>
      <c r="F19" s="60"/>
      <c r="I19" s="437" t="s">
        <v>1963</v>
      </c>
      <c r="J19" s="438">
        <v>-600</v>
      </c>
      <c r="K19" s="318"/>
      <c r="L19" s="66"/>
      <c r="M19" s="66"/>
      <c r="N19" s="66"/>
    </row>
    <row r="20" spans="1:20">
      <c r="A20" s="2">
        <v>44841</v>
      </c>
      <c r="B20" s="59" t="s">
        <v>1939</v>
      </c>
      <c r="C20" s="60">
        <v>26047.26</v>
      </c>
      <c r="D20" s="3"/>
      <c r="E20" s="3">
        <f t="shared" si="0"/>
        <v>56454.41</v>
      </c>
      <c r="F20" s="60"/>
      <c r="I20" s="437" t="s">
        <v>1964</v>
      </c>
      <c r="J20" s="438">
        <v>-754</v>
      </c>
      <c r="K20" s="318"/>
      <c r="L20" s="66"/>
      <c r="M20" s="66"/>
      <c r="N20" s="66"/>
    </row>
    <row r="21" spans="1:20">
      <c r="A21" s="2">
        <v>44841</v>
      </c>
      <c r="B21" s="59" t="s">
        <v>1940</v>
      </c>
      <c r="C21" s="60">
        <v>13922.33</v>
      </c>
      <c r="D21" s="3"/>
      <c r="E21" s="3">
        <f t="shared" si="0"/>
        <v>42532.08</v>
      </c>
      <c r="F21" s="96"/>
      <c r="I21" s="437" t="s">
        <v>1965</v>
      </c>
      <c r="J21" s="438">
        <v>600</v>
      </c>
      <c r="K21" s="318"/>
      <c r="L21" s="66"/>
      <c r="M21" s="66"/>
      <c r="N21" s="66"/>
    </row>
    <row r="22" spans="1:20">
      <c r="A22" s="2">
        <v>44841</v>
      </c>
      <c r="B22" s="453" t="s">
        <v>1941</v>
      </c>
      <c r="C22" s="60">
        <v>5000</v>
      </c>
      <c r="D22" s="3"/>
      <c r="E22" s="3">
        <f t="shared" si="0"/>
        <v>37532.080000000002</v>
      </c>
      <c r="F22" s="60"/>
      <c r="I22" s="437" t="s">
        <v>1966</v>
      </c>
      <c r="J22" s="438">
        <f>-F26-F31</f>
        <v>-1075</v>
      </c>
      <c r="K22" s="318"/>
      <c r="L22" s="66"/>
      <c r="M22" s="66"/>
      <c r="N22" s="66"/>
    </row>
    <row r="23" spans="1:20">
      <c r="A23" s="2">
        <v>44841</v>
      </c>
      <c r="B23" s="59" t="s">
        <v>1938</v>
      </c>
      <c r="C23" s="60">
        <v>10263.77</v>
      </c>
      <c r="D23" s="3"/>
      <c r="E23" s="3">
        <f t="shared" si="0"/>
        <v>27268.31</v>
      </c>
      <c r="F23" s="401"/>
      <c r="G23" s="41"/>
      <c r="H23" s="41"/>
      <c r="I23" s="437" t="s">
        <v>1967</v>
      </c>
      <c r="J23" s="438">
        <v>2500</v>
      </c>
      <c r="K23" s="318"/>
      <c r="L23" s="66"/>
      <c r="M23" s="66"/>
      <c r="N23" s="66"/>
    </row>
    <row r="24" spans="1:20">
      <c r="A24" s="2">
        <v>44841</v>
      </c>
      <c r="B24" s="59" t="s">
        <v>1937</v>
      </c>
      <c r="C24" s="60">
        <v>4500</v>
      </c>
      <c r="D24" s="3"/>
      <c r="E24" s="3">
        <f t="shared" si="0"/>
        <v>22768.31</v>
      </c>
      <c r="F24" s="60"/>
      <c r="I24" s="433"/>
      <c r="J24" s="434">
        <f>SUM(J3:J23)</f>
        <v>-3289.6333333333332</v>
      </c>
      <c r="K24" s="318"/>
      <c r="L24" s="454" t="s">
        <v>1971</v>
      </c>
      <c r="M24" s="277"/>
      <c r="N24" s="66"/>
    </row>
    <row r="25" spans="1:20">
      <c r="A25" s="2">
        <v>44841</v>
      </c>
      <c r="B25" s="59" t="s">
        <v>1948</v>
      </c>
      <c r="C25" s="60">
        <v>12700</v>
      </c>
      <c r="D25" s="60"/>
      <c r="E25" s="3">
        <f t="shared" si="0"/>
        <v>10068.310000000001</v>
      </c>
      <c r="F25" s="76"/>
      <c r="K25" s="318"/>
      <c r="L25" s="66"/>
      <c r="M25" s="66"/>
      <c r="N25" s="66"/>
    </row>
    <row r="26" spans="1:20">
      <c r="A26" s="2">
        <v>44845</v>
      </c>
      <c r="B26" s="59" t="s">
        <v>1950</v>
      </c>
      <c r="C26" s="60">
        <v>640</v>
      </c>
      <c r="D26" s="3"/>
      <c r="E26" s="3">
        <f t="shared" si="0"/>
        <v>9428.3100000000013</v>
      </c>
      <c r="F26" s="37">
        <f>+C26/2</f>
        <v>320</v>
      </c>
      <c r="K26" s="318"/>
      <c r="L26" s="66"/>
      <c r="M26" s="66"/>
      <c r="N26" s="66"/>
      <c r="O26" s="66"/>
    </row>
    <row r="27" spans="1:20">
      <c r="A27" s="2">
        <v>44845</v>
      </c>
      <c r="B27" s="36" t="s">
        <v>1951</v>
      </c>
      <c r="C27" s="37">
        <v>2500</v>
      </c>
      <c r="D27" s="10"/>
      <c r="E27" s="10">
        <f t="shared" si="0"/>
        <v>6928.3100000000013</v>
      </c>
      <c r="F27" s="37"/>
      <c r="I27" s="435" t="s">
        <v>111</v>
      </c>
      <c r="J27" s="436"/>
      <c r="K27" s="318"/>
      <c r="L27" s="66"/>
      <c r="M27" s="66"/>
      <c r="N27" s="66"/>
    </row>
    <row r="28" spans="1:20">
      <c r="A28" s="63">
        <v>44848</v>
      </c>
      <c r="B28" s="36" t="s">
        <v>1952</v>
      </c>
      <c r="C28" s="37">
        <v>600</v>
      </c>
      <c r="D28" s="37"/>
      <c r="E28" s="10">
        <f t="shared" si="0"/>
        <v>6328.3100000000013</v>
      </c>
      <c r="F28" s="37"/>
      <c r="I28" s="437" t="s">
        <v>1972</v>
      </c>
      <c r="J28" s="438">
        <v>1700</v>
      </c>
      <c r="K28" s="318"/>
      <c r="L28" s="66"/>
      <c r="M28" s="66"/>
      <c r="O28" s="66"/>
      <c r="R28"/>
      <c r="S28" s="242"/>
      <c r="T28"/>
    </row>
    <row r="29" spans="1:20">
      <c r="A29" s="2">
        <v>44851</v>
      </c>
      <c r="B29" s="36" t="s">
        <v>1952</v>
      </c>
      <c r="C29" s="60">
        <v>800</v>
      </c>
      <c r="D29" s="60"/>
      <c r="E29" s="3">
        <f t="shared" si="0"/>
        <v>5528.3100000000013</v>
      </c>
      <c r="F29" s="37"/>
      <c r="G29" s="41"/>
      <c r="I29" s="437" t="s">
        <v>1973</v>
      </c>
      <c r="J29" s="438">
        <v>-600</v>
      </c>
      <c r="K29" s="318"/>
      <c r="L29" s="66"/>
      <c r="M29" s="66"/>
      <c r="O29" s="66"/>
      <c r="R29"/>
      <c r="S29" s="242"/>
      <c r="T29"/>
    </row>
    <row r="30" spans="1:20">
      <c r="A30" s="2">
        <v>44851</v>
      </c>
      <c r="B30" s="59" t="s">
        <v>1953</v>
      </c>
      <c r="C30" s="60"/>
      <c r="D30" s="60">
        <v>10000</v>
      </c>
      <c r="E30" s="3">
        <f t="shared" si="0"/>
        <v>15528.310000000001</v>
      </c>
      <c r="F30" s="59"/>
      <c r="G30" s="41"/>
      <c r="I30" s="437" t="s">
        <v>1974</v>
      </c>
      <c r="J30" s="438">
        <v>-1051.5</v>
      </c>
      <c r="K30" s="455"/>
      <c r="L30" s="66"/>
      <c r="M30" s="66"/>
      <c r="O30" s="66"/>
      <c r="R30"/>
      <c r="S30" s="242"/>
      <c r="T30"/>
    </row>
    <row r="31" spans="1:20">
      <c r="A31" s="2">
        <v>44851</v>
      </c>
      <c r="B31" s="59" t="s">
        <v>1954</v>
      </c>
      <c r="C31" s="37">
        <v>1510</v>
      </c>
      <c r="D31" s="37"/>
      <c r="E31" s="3">
        <f t="shared" si="0"/>
        <v>14018.310000000001</v>
      </c>
      <c r="F31" s="37">
        <f>+C31/2</f>
        <v>755</v>
      </c>
      <c r="G31" s="41"/>
      <c r="I31" s="437"/>
      <c r="J31" s="438"/>
      <c r="K31" s="66"/>
      <c r="L31" s="66"/>
      <c r="M31" s="66"/>
      <c r="O31" s="66"/>
      <c r="R31"/>
      <c r="S31" s="242"/>
      <c r="T31"/>
    </row>
    <row r="32" spans="1:20">
      <c r="A32" s="2">
        <v>44852</v>
      </c>
      <c r="B32" s="59" t="s">
        <v>1071</v>
      </c>
      <c r="C32" s="37">
        <v>8000</v>
      </c>
      <c r="D32" s="10"/>
      <c r="E32" s="3">
        <f t="shared" si="0"/>
        <v>6018.3100000000013</v>
      </c>
      <c r="F32" s="118"/>
      <c r="I32" s="437"/>
      <c r="J32" s="438"/>
      <c r="K32" s="318"/>
      <c r="L32" s="66"/>
      <c r="M32" s="318"/>
    </row>
    <row r="33" spans="1:16">
      <c r="A33" s="196">
        <v>44853</v>
      </c>
      <c r="B33" s="59" t="s">
        <v>1968</v>
      </c>
      <c r="C33" s="37"/>
      <c r="D33" s="10">
        <v>3289.63</v>
      </c>
      <c r="E33" s="3">
        <f t="shared" si="0"/>
        <v>9307.9400000000023</v>
      </c>
      <c r="F33" s="37"/>
      <c r="I33" s="437"/>
      <c r="J33" s="438"/>
      <c r="K33" s="329"/>
      <c r="L33" s="66"/>
      <c r="M33" s="66"/>
    </row>
    <row r="34" spans="1:16">
      <c r="A34" s="196">
        <v>44854</v>
      </c>
      <c r="B34" s="59" t="s">
        <v>1969</v>
      </c>
      <c r="C34" s="37"/>
      <c r="D34" s="10">
        <f>533*2</f>
        <v>1066</v>
      </c>
      <c r="E34" s="3">
        <f t="shared" si="0"/>
        <v>10373.940000000002</v>
      </c>
      <c r="F34" s="37"/>
      <c r="I34" s="437"/>
      <c r="J34" s="438"/>
      <c r="P34" s="422"/>
    </row>
    <row r="35" spans="1:16">
      <c r="A35" s="196">
        <v>44854</v>
      </c>
      <c r="B35" s="59" t="s">
        <v>1357</v>
      </c>
      <c r="C35" s="10"/>
      <c r="D35" s="10">
        <v>0.16</v>
      </c>
      <c r="E35" s="3">
        <f t="shared" si="0"/>
        <v>10374.100000000002</v>
      </c>
      <c r="F35" s="37"/>
      <c r="M35" s="66"/>
    </row>
    <row r="36" spans="1:16">
      <c r="A36" s="196">
        <v>44855</v>
      </c>
      <c r="B36" s="59" t="s">
        <v>101</v>
      </c>
      <c r="C36" s="10">
        <v>1700</v>
      </c>
      <c r="D36" s="10"/>
      <c r="E36" s="3">
        <f t="shared" si="0"/>
        <v>8674.1000000000022</v>
      </c>
      <c r="F36" s="37"/>
    </row>
    <row r="37" spans="1:16">
      <c r="A37" s="196">
        <v>44855</v>
      </c>
      <c r="B37" s="59" t="s">
        <v>1071</v>
      </c>
      <c r="C37" s="10">
        <v>5000</v>
      </c>
      <c r="D37" s="10"/>
      <c r="E37" s="3">
        <f t="shared" si="0"/>
        <v>3674.1000000000022</v>
      </c>
      <c r="F37" s="36"/>
    </row>
    <row r="38" spans="1:16">
      <c r="A38" s="63">
        <v>44858</v>
      </c>
      <c r="B38" s="6" t="s">
        <v>1976</v>
      </c>
      <c r="C38" s="37">
        <v>2576.5</v>
      </c>
      <c r="D38" s="10"/>
      <c r="E38" s="3">
        <f t="shared" si="0"/>
        <v>1097.6000000000022</v>
      </c>
      <c r="F38" s="37"/>
      <c r="G38" s="195"/>
      <c r="H38" s="195"/>
    </row>
    <row r="39" spans="1:16">
      <c r="A39" s="63">
        <v>44862</v>
      </c>
      <c r="B39" s="59" t="s">
        <v>1975</v>
      </c>
      <c r="C39" s="37"/>
      <c r="D39" s="10">
        <v>533</v>
      </c>
      <c r="E39" s="3">
        <f t="shared" si="0"/>
        <v>1630.6000000000022</v>
      </c>
      <c r="F39" s="37"/>
      <c r="G39" s="195"/>
      <c r="H39" s="195"/>
    </row>
    <row r="40" spans="1:16">
      <c r="A40" s="11"/>
      <c r="B40" s="214"/>
      <c r="C40" s="215"/>
      <c r="D40" s="13"/>
      <c r="E40" s="13">
        <f t="shared" si="0"/>
        <v>1630.6000000000022</v>
      </c>
      <c r="F40" s="213"/>
      <c r="G40" s="195"/>
      <c r="H40" s="195"/>
    </row>
    <row r="41" spans="1:16">
      <c r="A41" s="11"/>
      <c r="B41" s="214"/>
      <c r="C41" s="215"/>
      <c r="D41" s="13"/>
      <c r="E41" s="13">
        <f t="shared" si="0"/>
        <v>1630.6000000000022</v>
      </c>
      <c r="F41" s="213"/>
      <c r="G41" s="195"/>
      <c r="H41" s="195"/>
    </row>
    <row r="42" spans="1:16">
      <c r="A42" s="63"/>
      <c r="B42" s="6"/>
      <c r="C42" s="10"/>
      <c r="D42" s="10"/>
      <c r="E42" s="3">
        <f t="shared" si="0"/>
        <v>1630.6000000000022</v>
      </c>
      <c r="F42" s="118"/>
      <c r="G42" s="195"/>
      <c r="H42" s="195"/>
    </row>
    <row r="43" spans="1:16">
      <c r="A43" s="196"/>
      <c r="B43" s="6"/>
      <c r="C43" s="10"/>
      <c r="D43" s="10"/>
      <c r="E43" s="3">
        <f t="shared" si="0"/>
        <v>1630.6000000000022</v>
      </c>
      <c r="F43" s="118"/>
    </row>
    <row r="44" spans="1:16">
      <c r="A44" s="196"/>
      <c r="B44" s="36"/>
      <c r="C44" s="60"/>
      <c r="D44" s="60"/>
      <c r="E44" s="3">
        <f t="shared" si="0"/>
        <v>1630.6000000000022</v>
      </c>
      <c r="F44" s="118"/>
      <c r="G44" s="92"/>
      <c r="H44" s="92"/>
    </row>
    <row r="45" spans="1:16">
      <c r="A45" s="63"/>
      <c r="B45" s="59"/>
      <c r="C45" s="3"/>
      <c r="D45" s="3"/>
      <c r="E45" s="3">
        <f t="shared" si="0"/>
        <v>1630.6000000000022</v>
      </c>
      <c r="F45" s="118"/>
    </row>
    <row r="46" spans="1:16">
      <c r="A46" s="63"/>
      <c r="B46" s="59"/>
      <c r="C46" s="3"/>
      <c r="D46" s="3"/>
      <c r="E46" s="3">
        <f t="shared" si="0"/>
        <v>1630.6000000000022</v>
      </c>
      <c r="F46" s="96"/>
      <c r="G46" s="92"/>
      <c r="H46" s="92"/>
    </row>
    <row r="47" spans="1:16">
      <c r="A47" s="63"/>
      <c r="B47" s="59"/>
      <c r="C47" s="3"/>
      <c r="D47" s="3"/>
      <c r="E47" s="3">
        <f t="shared" si="0"/>
        <v>1630.6000000000022</v>
      </c>
      <c r="F47" s="398"/>
    </row>
    <row r="48" spans="1:16">
      <c r="A48" s="63"/>
      <c r="B48" s="6"/>
      <c r="C48" s="3"/>
      <c r="D48" s="3"/>
      <c r="E48" s="3">
        <f t="shared" si="0"/>
        <v>1630.6000000000022</v>
      </c>
      <c r="F48" s="10"/>
    </row>
    <row r="49" spans="1:6">
      <c r="A49" s="63"/>
      <c r="B49" s="1"/>
      <c r="C49" s="3"/>
      <c r="D49" s="3"/>
      <c r="E49" s="3">
        <f t="shared" si="0"/>
        <v>1630.6000000000022</v>
      </c>
      <c r="F49" s="400"/>
    </row>
    <row r="50" spans="1:6">
      <c r="A50" s="63"/>
      <c r="B50" s="6"/>
      <c r="C50" s="3"/>
      <c r="D50" s="3"/>
      <c r="E50" s="3">
        <f t="shared" si="0"/>
        <v>1630.6000000000022</v>
      </c>
      <c r="F50" s="6"/>
    </row>
    <row r="51" spans="1:6">
      <c r="A51" s="63"/>
      <c r="B51" s="1"/>
      <c r="C51" s="3"/>
      <c r="D51" s="3"/>
      <c r="E51" s="3">
        <f t="shared" si="0"/>
        <v>1630.6000000000022</v>
      </c>
      <c r="F51" s="1"/>
    </row>
    <row r="52" spans="1:6">
      <c r="A52" s="63"/>
      <c r="B52" s="1"/>
      <c r="C52" s="60"/>
      <c r="D52" s="3"/>
      <c r="E52" s="3">
        <f t="shared" si="0"/>
        <v>1630.6000000000022</v>
      </c>
      <c r="F52" s="76"/>
    </row>
    <row r="53" spans="1:6">
      <c r="A53" s="63"/>
      <c r="B53" s="1"/>
      <c r="C53" s="3"/>
      <c r="D53" s="3"/>
      <c r="E53" s="3">
        <f t="shared" si="0"/>
        <v>1630.6000000000022</v>
      </c>
      <c r="F53" s="1"/>
    </row>
    <row r="54" spans="1:6">
      <c r="A54" s="63"/>
      <c r="B54" s="1"/>
      <c r="C54" s="3"/>
      <c r="D54" s="3"/>
      <c r="E54" s="3">
        <f t="shared" si="0"/>
        <v>1630.6000000000022</v>
      </c>
      <c r="F54" s="1"/>
    </row>
    <row r="55" spans="1:6">
      <c r="A55" s="63"/>
      <c r="B55" s="1"/>
      <c r="C55" s="3"/>
      <c r="D55" s="3"/>
      <c r="E55" s="3">
        <f t="shared" si="0"/>
        <v>1630.6000000000022</v>
      </c>
      <c r="F55" s="1"/>
    </row>
    <row r="56" spans="1:6">
      <c r="A56" s="2"/>
      <c r="B56" s="1"/>
      <c r="C56" s="3"/>
      <c r="D56" s="10"/>
      <c r="E56" s="3">
        <f t="shared" si="0"/>
        <v>1630.6000000000022</v>
      </c>
      <c r="F56" s="1"/>
    </row>
    <row r="57" spans="1:6">
      <c r="A57" s="63"/>
      <c r="B57" s="6"/>
      <c r="C57" s="10"/>
      <c r="D57" s="10"/>
      <c r="E57" s="3">
        <f t="shared" si="0"/>
        <v>1630.6000000000022</v>
      </c>
      <c r="F57" s="1"/>
    </row>
    <row r="58" spans="1:6">
      <c r="E58" s="3">
        <f t="shared" si="0"/>
        <v>1630.6000000000022</v>
      </c>
    </row>
    <row r="59" spans="1:6">
      <c r="E59" s="3">
        <f t="shared" si="0"/>
        <v>1630.6000000000022</v>
      </c>
    </row>
    <row r="1048576" spans="1:1">
      <c r="A1048576" s="2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FB26-B2EB-1B4B-8E64-9A280563588E}">
  <dimension ref="A1:S1048576"/>
  <sheetViews>
    <sheetView showGridLines="0" topLeftCell="A31" workbookViewId="0">
      <selection activeCell="E52" sqref="E52"/>
    </sheetView>
  </sheetViews>
  <sheetFormatPr baseColWidth="10" defaultRowHeight="16"/>
  <cols>
    <col min="1" max="1" width="7.33203125" bestFit="1" customWidth="1"/>
    <col min="2" max="2" width="29.1640625" bestFit="1" customWidth="1"/>
    <col min="3" max="3" width="12.5" style="4" bestFit="1" customWidth="1"/>
    <col min="4" max="4" width="13.5" style="4" customWidth="1"/>
    <col min="5" max="5" width="13" customWidth="1"/>
    <col min="6" max="6" width="11.1640625" customWidth="1"/>
    <col min="7" max="7" width="13.6640625" customWidth="1"/>
    <col min="8" max="8" width="4.83203125" customWidth="1"/>
    <col min="9" max="9" width="33.83203125" style="358" bestFit="1" customWidth="1"/>
    <col min="10" max="10" width="12.5" style="93" bestFit="1" customWidth="1"/>
    <col min="11" max="11" width="4.6640625" customWidth="1"/>
    <col min="12" max="12" width="23.33203125" customWidth="1"/>
    <col min="13" max="13" width="11.5" bestFit="1" customWidth="1"/>
    <col min="15" max="15" width="10.83203125" style="66"/>
    <col min="16" max="16" width="12" style="66" bestFit="1" customWidth="1"/>
    <col min="17" max="17" width="12.33203125" style="66" customWidth="1"/>
    <col min="18" max="18" width="11.5" style="321" bestFit="1" customWidth="1"/>
    <col min="19" max="19" width="10.5" style="66" bestFit="1" customWidth="1"/>
    <col min="23" max="23" width="11.5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L1" s="418" t="s">
        <v>1795</v>
      </c>
      <c r="P1"/>
      <c r="Q1"/>
      <c r="R1"/>
      <c r="S1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4"/>
      <c r="I2" s="435" t="s">
        <v>111</v>
      </c>
      <c r="J2" s="436"/>
      <c r="K2" s="66"/>
      <c r="L2" s="417" t="s">
        <v>1747</v>
      </c>
      <c r="M2" s="66"/>
      <c r="N2" s="66"/>
      <c r="P2"/>
      <c r="Q2"/>
      <c r="R2"/>
      <c r="S2"/>
    </row>
    <row r="3" spans="1:19">
      <c r="A3" s="2">
        <v>44865</v>
      </c>
      <c r="B3" s="1" t="s">
        <v>4</v>
      </c>
      <c r="C3" s="283"/>
      <c r="D3" s="283"/>
      <c r="E3" s="3">
        <v>1630.6</v>
      </c>
      <c r="F3" s="34"/>
      <c r="G3" s="271" t="s">
        <v>170</v>
      </c>
      <c r="H3" s="410"/>
      <c r="I3" s="437" t="s">
        <v>1972</v>
      </c>
      <c r="J3" s="438">
        <v>1700</v>
      </c>
      <c r="K3" s="66"/>
      <c r="L3" s="417" t="s">
        <v>1748</v>
      </c>
      <c r="M3" s="66"/>
      <c r="N3" s="66"/>
      <c r="P3"/>
      <c r="Q3"/>
      <c r="R3"/>
      <c r="S3"/>
    </row>
    <row r="4" spans="1:19">
      <c r="A4" s="2">
        <v>44865</v>
      </c>
      <c r="B4" s="1" t="s">
        <v>1985</v>
      </c>
      <c r="C4" s="3">
        <v>500</v>
      </c>
      <c r="D4" s="3"/>
      <c r="E4" s="3">
        <f>+E3-C4+D4</f>
        <v>1130.5999999999999</v>
      </c>
      <c r="F4" s="59"/>
      <c r="G4" s="56">
        <f>+E57</f>
        <v>247863.02000000002</v>
      </c>
      <c r="H4" s="411"/>
      <c r="I4" s="437" t="s">
        <v>1973</v>
      </c>
      <c r="J4" s="438">
        <v>-600</v>
      </c>
      <c r="K4" s="66"/>
      <c r="L4" s="417" t="s">
        <v>1794</v>
      </c>
      <c r="M4" s="66"/>
      <c r="N4" s="66"/>
      <c r="P4"/>
      <c r="Q4"/>
      <c r="R4"/>
      <c r="S4"/>
    </row>
    <row r="5" spans="1:19">
      <c r="A5" s="2">
        <v>44865</v>
      </c>
      <c r="B5" s="1" t="s">
        <v>1977</v>
      </c>
      <c r="C5" s="37"/>
      <c r="D5" s="37">
        <v>234137</v>
      </c>
      <c r="E5" s="37">
        <f t="shared" ref="E5:E59" si="0">+E4-C5+D5</f>
        <v>235267.6</v>
      </c>
      <c r="F5" s="37"/>
      <c r="G5" s="41"/>
      <c r="H5" s="41"/>
      <c r="I5" s="437" t="s">
        <v>1974</v>
      </c>
      <c r="J5" s="438">
        <v>-1051.5</v>
      </c>
      <c r="K5" s="66"/>
      <c r="L5" s="416" t="s">
        <v>1793</v>
      </c>
      <c r="M5" s="66"/>
      <c r="N5" s="66"/>
      <c r="P5"/>
      <c r="Q5"/>
      <c r="R5"/>
      <c r="S5"/>
    </row>
    <row r="6" spans="1:19">
      <c r="A6" s="2">
        <v>44865</v>
      </c>
      <c r="B6" s="59" t="s">
        <v>78</v>
      </c>
      <c r="C6" s="60">
        <f>820+1580</f>
        <v>2400</v>
      </c>
      <c r="D6" s="3"/>
      <c r="E6" s="3">
        <f t="shared" si="0"/>
        <v>232867.6</v>
      </c>
      <c r="F6" s="60">
        <f>+C6/2</f>
        <v>1200</v>
      </c>
      <c r="G6" s="189"/>
      <c r="H6" s="189"/>
      <c r="I6" s="437" t="s">
        <v>1978</v>
      </c>
      <c r="J6" s="438">
        <v>3500</v>
      </c>
      <c r="K6" s="66"/>
      <c r="L6" s="416" t="s">
        <v>1792</v>
      </c>
      <c r="M6" s="66"/>
      <c r="N6" s="66"/>
      <c r="P6"/>
      <c r="Q6"/>
      <c r="R6"/>
      <c r="S6"/>
    </row>
    <row r="7" spans="1:19">
      <c r="A7" s="2">
        <v>44865</v>
      </c>
      <c r="B7" s="1" t="s">
        <v>1071</v>
      </c>
      <c r="C7" s="60">
        <v>15000</v>
      </c>
      <c r="D7" s="3"/>
      <c r="E7" s="3">
        <f t="shared" si="0"/>
        <v>217867.6</v>
      </c>
      <c r="F7" s="60"/>
      <c r="G7" s="190"/>
      <c r="H7" s="190"/>
      <c r="I7" s="437" t="s">
        <v>1979</v>
      </c>
      <c r="J7" s="438">
        <v>-3950</v>
      </c>
      <c r="K7" s="66"/>
      <c r="L7" s="416" t="s">
        <v>1791</v>
      </c>
      <c r="M7" s="66"/>
      <c r="N7" s="66"/>
      <c r="P7"/>
      <c r="Q7"/>
      <c r="R7"/>
      <c r="S7"/>
    </row>
    <row r="8" spans="1:19">
      <c r="A8" s="2">
        <v>44866</v>
      </c>
      <c r="B8" s="59" t="s">
        <v>1421</v>
      </c>
      <c r="C8" s="60">
        <v>584.88</v>
      </c>
      <c r="D8" s="3"/>
      <c r="E8" s="3">
        <f t="shared" si="0"/>
        <v>217282.72</v>
      </c>
      <c r="F8" s="197"/>
      <c r="G8" s="189"/>
      <c r="H8" s="189"/>
      <c r="I8" s="437" t="s">
        <v>1980</v>
      </c>
      <c r="J8" s="438">
        <v>-5000</v>
      </c>
      <c r="K8" s="66"/>
      <c r="L8" s="417" t="s">
        <v>1749</v>
      </c>
      <c r="M8" s="66"/>
      <c r="N8" s="66"/>
      <c r="P8"/>
      <c r="Q8"/>
      <c r="R8"/>
      <c r="S8"/>
    </row>
    <row r="9" spans="1:19">
      <c r="A9" s="2">
        <v>44866</v>
      </c>
      <c r="B9" s="59" t="s">
        <v>1986</v>
      </c>
      <c r="C9" s="60">
        <v>2100</v>
      </c>
      <c r="D9" s="3"/>
      <c r="E9" s="3">
        <f t="shared" si="0"/>
        <v>215182.72</v>
      </c>
      <c r="F9" s="59"/>
      <c r="G9" s="176"/>
      <c r="H9" s="41"/>
      <c r="I9" s="437" t="s">
        <v>1981</v>
      </c>
      <c r="J9" s="438">
        <v>-1200</v>
      </c>
      <c r="K9" s="66"/>
      <c r="L9" s="416" t="s">
        <v>101</v>
      </c>
      <c r="M9" s="66"/>
      <c r="N9" s="66"/>
      <c r="P9"/>
      <c r="Q9"/>
      <c r="R9"/>
      <c r="S9"/>
    </row>
    <row r="10" spans="1:19">
      <c r="A10" s="2">
        <v>44866</v>
      </c>
      <c r="B10" s="59" t="s">
        <v>1987</v>
      </c>
      <c r="C10" s="60">
        <v>8000</v>
      </c>
      <c r="D10" s="3"/>
      <c r="E10" s="3">
        <f t="shared" si="0"/>
        <v>207182.72</v>
      </c>
      <c r="F10" s="60"/>
      <c r="G10" s="308"/>
      <c r="H10" s="192"/>
      <c r="I10" s="437" t="s">
        <v>1982</v>
      </c>
      <c r="J10" s="438">
        <v>600</v>
      </c>
      <c r="K10" s="66"/>
      <c r="L10" s="417" t="s">
        <v>1357</v>
      </c>
      <c r="M10" s="66"/>
      <c r="N10" s="66"/>
      <c r="P10"/>
      <c r="Q10"/>
      <c r="R10"/>
      <c r="S10"/>
    </row>
    <row r="11" spans="1:19">
      <c r="A11" s="2">
        <v>44866</v>
      </c>
      <c r="B11" s="59" t="s">
        <v>1988</v>
      </c>
      <c r="C11" s="60">
        <v>2103</v>
      </c>
      <c r="D11" s="3"/>
      <c r="E11" s="3">
        <f t="shared" si="0"/>
        <v>205079.72</v>
      </c>
      <c r="F11" s="60"/>
      <c r="G11" s="308"/>
      <c r="H11" s="308"/>
      <c r="I11" s="437" t="s">
        <v>1983</v>
      </c>
      <c r="J11" s="438">
        <v>1750</v>
      </c>
      <c r="K11" s="66"/>
      <c r="L11" s="21"/>
      <c r="M11" s="66"/>
      <c r="N11" s="66"/>
      <c r="P11"/>
      <c r="Q11"/>
      <c r="R11"/>
      <c r="S11"/>
    </row>
    <row r="12" spans="1:19">
      <c r="A12" s="2">
        <v>44866</v>
      </c>
      <c r="B12" s="59" t="s">
        <v>1989</v>
      </c>
      <c r="C12" s="60">
        <v>27147.26</v>
      </c>
      <c r="D12" s="3"/>
      <c r="E12" s="3">
        <f t="shared" si="0"/>
        <v>177932.46</v>
      </c>
      <c r="F12" s="148"/>
      <c r="I12" s="437" t="s">
        <v>1984</v>
      </c>
      <c r="J12" s="438">
        <v>-500</v>
      </c>
      <c r="K12" s="66"/>
      <c r="L12" s="66"/>
      <c r="M12" s="66"/>
      <c r="N12" s="66"/>
      <c r="P12"/>
      <c r="Q12"/>
      <c r="R12"/>
      <c r="S12"/>
    </row>
    <row r="13" spans="1:19">
      <c r="A13" s="2">
        <v>44866</v>
      </c>
      <c r="B13" s="59" t="s">
        <v>1990</v>
      </c>
      <c r="C13" s="60">
        <v>26085.11</v>
      </c>
      <c r="D13" s="3"/>
      <c r="E13" s="3">
        <f t="shared" si="0"/>
        <v>151847.34999999998</v>
      </c>
      <c r="F13" s="60"/>
      <c r="G13" s="57"/>
      <c r="H13" s="57"/>
      <c r="I13" s="437" t="s">
        <v>1991</v>
      </c>
      <c r="J13" s="438">
        <v>1047.5</v>
      </c>
      <c r="K13" s="66"/>
      <c r="L13" s="66"/>
      <c r="M13" s="66"/>
      <c r="P13"/>
      <c r="Q13"/>
      <c r="R13"/>
      <c r="S13"/>
    </row>
    <row r="14" spans="1:19" ht="19">
      <c r="A14" s="2">
        <v>44867</v>
      </c>
      <c r="B14" s="59" t="s">
        <v>101</v>
      </c>
      <c r="C14" s="60">
        <v>5400.77</v>
      </c>
      <c r="D14" s="3"/>
      <c r="E14" s="3">
        <f t="shared" si="0"/>
        <v>146446.57999999999</v>
      </c>
      <c r="F14" s="60"/>
      <c r="G14" s="330"/>
      <c r="H14" s="330"/>
      <c r="I14" s="437" t="s">
        <v>1992</v>
      </c>
      <c r="J14" s="438">
        <v>-1483.3333333333333</v>
      </c>
      <c r="K14" s="66"/>
      <c r="L14" s="66"/>
      <c r="M14" s="66" t="s">
        <v>1311</v>
      </c>
      <c r="P14"/>
      <c r="Q14"/>
      <c r="R14"/>
      <c r="S14"/>
    </row>
    <row r="15" spans="1:19">
      <c r="A15" s="2">
        <v>44867</v>
      </c>
      <c r="B15" s="59" t="s">
        <v>2001</v>
      </c>
      <c r="C15" s="60">
        <v>49016.67</v>
      </c>
      <c r="D15" s="3"/>
      <c r="E15" s="3">
        <f t="shared" si="0"/>
        <v>97429.909999999989</v>
      </c>
      <c r="F15" s="60"/>
      <c r="H15" s="18"/>
      <c r="I15" s="437" t="s">
        <v>1995</v>
      </c>
      <c r="J15" s="438">
        <v>-1200</v>
      </c>
      <c r="K15" s="66"/>
      <c r="L15" s="66"/>
      <c r="M15" s="66"/>
      <c r="P15"/>
      <c r="Q15"/>
      <c r="R15"/>
      <c r="S15"/>
    </row>
    <row r="16" spans="1:19">
      <c r="A16" s="2">
        <v>44868</v>
      </c>
      <c r="B16" s="59" t="s">
        <v>2006</v>
      </c>
      <c r="C16" s="60"/>
      <c r="D16" s="3">
        <v>933</v>
      </c>
      <c r="E16" s="3">
        <f t="shared" si="0"/>
        <v>98362.909999999989</v>
      </c>
      <c r="F16" s="60"/>
      <c r="I16" s="437" t="s">
        <v>1996</v>
      </c>
      <c r="J16" s="438">
        <v>32500</v>
      </c>
      <c r="K16" s="66"/>
      <c r="L16" s="66"/>
      <c r="M16" s="66"/>
      <c r="P16"/>
      <c r="Q16"/>
      <c r="R16"/>
      <c r="S16"/>
    </row>
    <row r="17" spans="1:19">
      <c r="A17" s="2">
        <v>44869</v>
      </c>
      <c r="B17" s="59" t="s">
        <v>2007</v>
      </c>
      <c r="C17" s="60">
        <v>3600</v>
      </c>
      <c r="D17" s="3"/>
      <c r="E17" s="3">
        <f t="shared" si="0"/>
        <v>94762.909999999989</v>
      </c>
      <c r="F17" s="60"/>
      <c r="I17" s="437" t="s">
        <v>1997</v>
      </c>
      <c r="J17" s="438">
        <v>340</v>
      </c>
      <c r="K17" s="66"/>
      <c r="L17" s="66"/>
      <c r="M17" s="66"/>
    </row>
    <row r="18" spans="1:19">
      <c r="A18" s="2">
        <v>44872</v>
      </c>
      <c r="B18" s="59" t="s">
        <v>2009</v>
      </c>
      <c r="C18" s="60">
        <v>600</v>
      </c>
      <c r="D18" s="3"/>
      <c r="E18" s="3">
        <f t="shared" si="0"/>
        <v>94162.909999999989</v>
      </c>
      <c r="F18" s="60"/>
      <c r="I18" s="437" t="s">
        <v>1998</v>
      </c>
      <c r="J18" s="438">
        <f>+FIJO!H3</f>
        <v>17089</v>
      </c>
      <c r="K18" s="66"/>
      <c r="L18" s="422"/>
      <c r="M18" s="66"/>
    </row>
    <row r="19" spans="1:19">
      <c r="A19" s="2">
        <v>44872</v>
      </c>
      <c r="B19" s="59" t="s">
        <v>2008</v>
      </c>
      <c r="C19" s="60">
        <v>4079</v>
      </c>
      <c r="D19" s="3"/>
      <c r="E19" s="3">
        <f t="shared" si="0"/>
        <v>90083.909999999989</v>
      </c>
      <c r="F19" s="60"/>
      <c r="I19" s="437" t="s">
        <v>1999</v>
      </c>
      <c r="J19" s="438">
        <v>-2525</v>
      </c>
      <c r="K19" s="66"/>
      <c r="L19" s="66"/>
      <c r="M19" s="66"/>
    </row>
    <row r="20" spans="1:19">
      <c r="A20" s="2">
        <v>44873</v>
      </c>
      <c r="B20" s="59" t="s">
        <v>1071</v>
      </c>
      <c r="C20" s="60">
        <v>3000</v>
      </c>
      <c r="D20" s="3"/>
      <c r="E20" s="3">
        <f t="shared" si="0"/>
        <v>87083.909999999989</v>
      </c>
      <c r="F20" s="60"/>
      <c r="I20" s="437" t="s">
        <v>2000</v>
      </c>
      <c r="J20" s="438">
        <v>8000</v>
      </c>
      <c r="K20" s="66"/>
      <c r="L20" s="66"/>
      <c r="M20" s="66"/>
    </row>
    <row r="21" spans="1:19">
      <c r="A21" s="2">
        <v>44875</v>
      </c>
      <c r="B21" s="59" t="s">
        <v>1421</v>
      </c>
      <c r="C21" s="60">
        <v>1318.7</v>
      </c>
      <c r="D21" s="3"/>
      <c r="E21" s="3">
        <f t="shared" si="0"/>
        <v>85765.209999999992</v>
      </c>
      <c r="F21" s="96">
        <v>400</v>
      </c>
      <c r="I21" s="433"/>
      <c r="J21" s="434">
        <f ca="1">SUM(J3:J58)</f>
        <v>49016.666666666672</v>
      </c>
      <c r="K21" s="66"/>
      <c r="L21" s="456" t="s">
        <v>2002</v>
      </c>
      <c r="M21" s="66"/>
    </row>
    <row r="22" spans="1:19">
      <c r="A22" s="2">
        <v>44875</v>
      </c>
      <c r="B22" s="457" t="s">
        <v>1071</v>
      </c>
      <c r="C22" s="60">
        <v>8000</v>
      </c>
      <c r="D22" s="3"/>
      <c r="E22" s="3">
        <f t="shared" si="0"/>
        <v>77765.209999999992</v>
      </c>
      <c r="F22" s="60"/>
      <c r="H22" s="18"/>
      <c r="I22" s="448"/>
      <c r="J22" s="155"/>
      <c r="K22" s="21"/>
      <c r="L22" s="66"/>
      <c r="M22" s="66"/>
    </row>
    <row r="23" spans="1:19">
      <c r="A23" s="2">
        <v>44875</v>
      </c>
      <c r="B23" s="59" t="s">
        <v>2010</v>
      </c>
      <c r="C23" s="60">
        <v>2336</v>
      </c>
      <c r="D23" s="3"/>
      <c r="E23" s="3">
        <f t="shared" si="0"/>
        <v>75429.209999999992</v>
      </c>
      <c r="F23" s="60"/>
      <c r="G23" s="41"/>
      <c r="H23" s="171"/>
      <c r="K23" s="21"/>
      <c r="L23" s="66"/>
      <c r="M23" s="66"/>
    </row>
    <row r="24" spans="1:19">
      <c r="A24" s="2">
        <v>44876</v>
      </c>
      <c r="B24" s="59" t="s">
        <v>2011</v>
      </c>
      <c r="C24" s="60">
        <v>11950</v>
      </c>
      <c r="D24" s="3"/>
      <c r="E24" s="3">
        <f t="shared" si="0"/>
        <v>63479.209999999992</v>
      </c>
      <c r="F24" s="60"/>
      <c r="I24" s="459" t="s">
        <v>2039</v>
      </c>
      <c r="J24" s="460"/>
      <c r="K24" s="456"/>
      <c r="L24" s="66"/>
      <c r="M24" s="66"/>
    </row>
    <row r="25" spans="1:19">
      <c r="A25" s="2">
        <v>44879</v>
      </c>
      <c r="B25" s="59" t="s">
        <v>2015</v>
      </c>
      <c r="C25" s="60">
        <v>4856.08</v>
      </c>
      <c r="D25" s="60"/>
      <c r="E25" s="3">
        <f t="shared" si="0"/>
        <v>58623.12999999999</v>
      </c>
      <c r="F25" s="60">
        <f>+C25/2</f>
        <v>2428.04</v>
      </c>
      <c r="I25" s="461" t="s">
        <v>2016</v>
      </c>
      <c r="J25" s="462">
        <f>-J13*2</f>
        <v>-2095</v>
      </c>
      <c r="K25" s="66"/>
      <c r="L25" s="66"/>
      <c r="M25" s="66"/>
    </row>
    <row r="26" spans="1:19">
      <c r="A26" s="2">
        <v>44879</v>
      </c>
      <c r="B26" s="59" t="s">
        <v>101</v>
      </c>
      <c r="C26" s="60">
        <v>5401.8</v>
      </c>
      <c r="D26" s="3"/>
      <c r="E26" s="3">
        <f t="shared" si="0"/>
        <v>53221.329999999987</v>
      </c>
      <c r="F26" s="37"/>
      <c r="I26" s="461" t="s">
        <v>2017</v>
      </c>
      <c r="J26" s="462">
        <v>855</v>
      </c>
      <c r="K26" s="66"/>
      <c r="L26" s="66"/>
      <c r="M26" s="66"/>
      <c r="N26" s="66"/>
    </row>
    <row r="27" spans="1:19">
      <c r="A27" s="2">
        <v>44880</v>
      </c>
      <c r="B27" s="36" t="s">
        <v>2012</v>
      </c>
      <c r="C27" s="37">
        <v>3220</v>
      </c>
      <c r="D27" s="10"/>
      <c r="E27" s="3">
        <f t="shared" si="0"/>
        <v>50001.329999999987</v>
      </c>
      <c r="F27" s="37"/>
      <c r="I27" s="461" t="s">
        <v>2018</v>
      </c>
      <c r="J27" s="462">
        <v>700</v>
      </c>
      <c r="K27" s="66"/>
      <c r="L27" s="66"/>
      <c r="M27" s="66"/>
    </row>
    <row r="28" spans="1:19">
      <c r="A28" s="2">
        <v>44880</v>
      </c>
      <c r="B28" s="36" t="s">
        <v>2013</v>
      </c>
      <c r="C28" s="37">
        <v>4500</v>
      </c>
      <c r="D28" s="37"/>
      <c r="E28" s="3">
        <f t="shared" si="0"/>
        <v>45501.329999999987</v>
      </c>
      <c r="F28" s="37"/>
      <c r="I28" s="461" t="s">
        <v>2019</v>
      </c>
      <c r="J28" s="462">
        <v>500</v>
      </c>
      <c r="K28" s="66"/>
      <c r="L28" s="66"/>
      <c r="N28" s="66"/>
      <c r="Q28"/>
      <c r="R28" s="242"/>
      <c r="S28"/>
    </row>
    <row r="29" spans="1:19">
      <c r="A29" s="2">
        <v>44872</v>
      </c>
      <c r="B29" s="36" t="s">
        <v>2029</v>
      </c>
      <c r="C29" s="60"/>
      <c r="D29" s="60">
        <v>15000</v>
      </c>
      <c r="E29" s="3">
        <f t="shared" si="0"/>
        <v>60501.329999999987</v>
      </c>
      <c r="F29" s="37"/>
      <c r="G29" s="41"/>
      <c r="I29" s="461" t="s">
        <v>2020</v>
      </c>
      <c r="J29" s="462">
        <f>1800*(0.333333333333333)</f>
        <v>599.99999999999932</v>
      </c>
      <c r="K29" s="66"/>
      <c r="L29" s="66"/>
      <c r="N29" s="66"/>
      <c r="Q29"/>
      <c r="R29" s="242"/>
      <c r="S29"/>
    </row>
    <row r="30" spans="1:19">
      <c r="A30" s="2">
        <v>44880</v>
      </c>
      <c r="B30" s="59" t="s">
        <v>2030</v>
      </c>
      <c r="C30" s="60">
        <v>4380</v>
      </c>
      <c r="D30" s="60"/>
      <c r="E30" s="3">
        <v>52076.43</v>
      </c>
      <c r="F30" s="59"/>
      <c r="G30" s="41"/>
      <c r="I30" s="461" t="s">
        <v>2021</v>
      </c>
      <c r="J30" s="462">
        <v>600</v>
      </c>
      <c r="K30" s="66"/>
      <c r="L30" s="66"/>
      <c r="N30" s="66"/>
      <c r="Q30"/>
      <c r="R30" s="242"/>
      <c r="S30"/>
    </row>
    <row r="31" spans="1:19">
      <c r="A31" s="2">
        <v>44883</v>
      </c>
      <c r="B31" s="59" t="s">
        <v>1421</v>
      </c>
      <c r="C31" s="37">
        <f>12027.97-10000</f>
        <v>2027.9699999999993</v>
      </c>
      <c r="D31" s="37"/>
      <c r="E31" s="3">
        <f t="shared" si="0"/>
        <v>50048.46</v>
      </c>
      <c r="F31" s="37"/>
      <c r="G31" s="41"/>
      <c r="I31" s="461" t="s">
        <v>2022</v>
      </c>
      <c r="J31" s="462">
        <v>300</v>
      </c>
      <c r="K31" s="66"/>
      <c r="L31" s="66"/>
      <c r="N31" s="66"/>
      <c r="Q31"/>
      <c r="R31" s="242"/>
      <c r="S31"/>
    </row>
    <row r="32" spans="1:19">
      <c r="A32" s="2">
        <v>44883</v>
      </c>
      <c r="B32" s="59" t="s">
        <v>1071</v>
      </c>
      <c r="C32" s="37">
        <v>10000</v>
      </c>
      <c r="D32" s="10"/>
      <c r="E32" s="3">
        <f t="shared" si="0"/>
        <v>40048.46</v>
      </c>
      <c r="F32" s="118"/>
      <c r="I32" s="461" t="s">
        <v>2023</v>
      </c>
      <c r="J32" s="462">
        <v>250</v>
      </c>
      <c r="K32" s="66"/>
      <c r="L32" s="318"/>
    </row>
    <row r="33" spans="1:15">
      <c r="A33" s="196">
        <v>44887</v>
      </c>
      <c r="B33" s="59" t="s">
        <v>2034</v>
      </c>
      <c r="C33" s="37">
        <v>1467.74</v>
      </c>
      <c r="D33" s="10"/>
      <c r="E33" s="3">
        <f t="shared" si="0"/>
        <v>38580.720000000001</v>
      </c>
      <c r="F33" s="37">
        <v>200</v>
      </c>
      <c r="I33" s="461" t="s">
        <v>2024</v>
      </c>
      <c r="J33" s="462">
        <v>-933</v>
      </c>
      <c r="K33" s="66"/>
      <c r="L33" s="66"/>
    </row>
    <row r="34" spans="1:15">
      <c r="A34" s="196">
        <v>44888</v>
      </c>
      <c r="B34" s="59" t="s">
        <v>2035</v>
      </c>
      <c r="C34" s="37">
        <v>2502.35</v>
      </c>
      <c r="D34" s="10"/>
      <c r="E34" s="3">
        <f t="shared" si="0"/>
        <v>36078.370000000003</v>
      </c>
      <c r="F34" s="37">
        <v>850</v>
      </c>
      <c r="I34" s="461" t="s">
        <v>2025</v>
      </c>
      <c r="J34" s="462">
        <v>1575</v>
      </c>
      <c r="O34" s="422"/>
    </row>
    <row r="35" spans="1:15">
      <c r="A35" s="196">
        <v>44888</v>
      </c>
      <c r="B35" s="59" t="s">
        <v>1357</v>
      </c>
      <c r="C35" s="10"/>
      <c r="D35" s="10">
        <v>0.34</v>
      </c>
      <c r="E35" s="3">
        <f t="shared" si="0"/>
        <v>36078.71</v>
      </c>
      <c r="F35" s="37"/>
      <c r="I35" s="461" t="s">
        <v>2026</v>
      </c>
      <c r="J35" s="462">
        <v>426.5</v>
      </c>
      <c r="L35" s="66"/>
    </row>
    <row r="36" spans="1:15">
      <c r="A36" s="196">
        <v>44890</v>
      </c>
      <c r="B36" s="59" t="s">
        <v>2047</v>
      </c>
      <c r="C36" s="10">
        <v>19184</v>
      </c>
      <c r="D36" s="10"/>
      <c r="E36" s="3">
        <f>+E35-C36+D36</f>
        <v>16894.71</v>
      </c>
      <c r="F36" s="37"/>
      <c r="I36" s="461" t="s">
        <v>2027</v>
      </c>
      <c r="J36" s="462">
        <v>-425</v>
      </c>
    </row>
    <row r="37" spans="1:15">
      <c r="A37" s="196">
        <v>44890</v>
      </c>
      <c r="B37" s="59" t="s">
        <v>2042</v>
      </c>
      <c r="C37" s="10">
        <v>5357.5</v>
      </c>
      <c r="D37" s="10"/>
      <c r="E37" s="3">
        <f t="shared" si="0"/>
        <v>11537.21</v>
      </c>
      <c r="F37" s="36"/>
      <c r="I37" s="461" t="s">
        <v>2028</v>
      </c>
      <c r="J37" s="462">
        <v>750</v>
      </c>
    </row>
    <row r="38" spans="1:15">
      <c r="A38" s="63">
        <v>44891</v>
      </c>
      <c r="B38" s="6" t="s">
        <v>2048</v>
      </c>
      <c r="C38" s="37"/>
      <c r="D38" s="10">
        <v>10000</v>
      </c>
      <c r="E38" s="3">
        <f t="shared" si="0"/>
        <v>21537.21</v>
      </c>
      <c r="F38" s="37"/>
      <c r="G38" s="195"/>
      <c r="H38" s="195"/>
      <c r="I38" s="461" t="s">
        <v>2031</v>
      </c>
      <c r="J38" s="462">
        <f>-F21-F25</f>
        <v>-2828.04</v>
      </c>
    </row>
    <row r="39" spans="1:15" ht="17" customHeight="1">
      <c r="A39" s="63">
        <v>44891</v>
      </c>
      <c r="B39" s="36" t="s">
        <v>2041</v>
      </c>
      <c r="C39" s="37"/>
      <c r="D39" s="10">
        <v>7000</v>
      </c>
      <c r="E39" s="10">
        <f t="shared" si="0"/>
        <v>28537.21</v>
      </c>
      <c r="F39" s="37"/>
      <c r="G39" s="195"/>
      <c r="H39" s="195"/>
      <c r="I39" s="463" t="s">
        <v>2032</v>
      </c>
      <c r="J39" s="464">
        <f>+SUM(J25:J38)</f>
        <v>275.45999999999913</v>
      </c>
      <c r="L39" s="456" t="s">
        <v>2033</v>
      </c>
    </row>
    <row r="40" spans="1:15">
      <c r="A40" s="63">
        <v>44893</v>
      </c>
      <c r="B40" s="36" t="s">
        <v>2045</v>
      </c>
      <c r="C40" s="37">
        <v>614.9</v>
      </c>
      <c r="D40" s="10"/>
      <c r="E40" s="10">
        <f t="shared" si="0"/>
        <v>27922.309999999998</v>
      </c>
      <c r="F40" s="37"/>
      <c r="G40" s="195"/>
      <c r="H40" s="195"/>
    </row>
    <row r="41" spans="1:15">
      <c r="A41" s="63">
        <v>44893</v>
      </c>
      <c r="B41" s="36" t="s">
        <v>2043</v>
      </c>
      <c r="C41" s="37">
        <v>4870</v>
      </c>
      <c r="D41" s="10"/>
      <c r="E41" s="10">
        <f t="shared" si="0"/>
        <v>23052.309999999998</v>
      </c>
      <c r="F41" s="37"/>
      <c r="G41" s="195"/>
      <c r="H41" s="195"/>
      <c r="I41" s="459" t="s">
        <v>2060</v>
      </c>
      <c r="J41" s="460"/>
    </row>
    <row r="42" spans="1:15">
      <c r="A42" s="63">
        <v>44893</v>
      </c>
      <c r="B42" s="6" t="s">
        <v>2046</v>
      </c>
      <c r="C42" s="10">
        <v>2009.25</v>
      </c>
      <c r="D42" s="10"/>
      <c r="E42" s="3">
        <f t="shared" si="0"/>
        <v>21043.059999999998</v>
      </c>
      <c r="F42" s="37">
        <f>+C42/2</f>
        <v>1004.625</v>
      </c>
      <c r="G42" s="195"/>
      <c r="H42" s="195"/>
      <c r="I42" s="461" t="s">
        <v>2036</v>
      </c>
      <c r="J42" s="462">
        <v>1490</v>
      </c>
    </row>
    <row r="43" spans="1:15">
      <c r="A43" s="63">
        <v>44893</v>
      </c>
      <c r="B43" s="36" t="s">
        <v>2044</v>
      </c>
      <c r="C43" s="10"/>
      <c r="D43" s="10">
        <v>5450</v>
      </c>
      <c r="E43" s="3">
        <f t="shared" si="0"/>
        <v>26493.059999999998</v>
      </c>
      <c r="F43" s="37"/>
      <c r="I43" s="461" t="s">
        <v>2037</v>
      </c>
      <c r="J43" s="462">
        <v>350</v>
      </c>
    </row>
    <row r="44" spans="1:15">
      <c r="A44" s="196">
        <v>44894</v>
      </c>
      <c r="B44" s="36" t="s">
        <v>101</v>
      </c>
      <c r="C44" s="60">
        <v>5700.81</v>
      </c>
      <c r="D44" s="60"/>
      <c r="E44" s="3">
        <f t="shared" si="0"/>
        <v>20792.249999999996</v>
      </c>
      <c r="F44" s="37"/>
      <c r="G44" s="92"/>
      <c r="H44" s="92"/>
      <c r="I44" s="461" t="s">
        <v>2038</v>
      </c>
      <c r="J44" s="462">
        <f>-F33-F34</f>
        <v>-1050</v>
      </c>
    </row>
    <row r="45" spans="1:15">
      <c r="A45" s="196">
        <v>44894</v>
      </c>
      <c r="B45" s="59" t="s">
        <v>2053</v>
      </c>
      <c r="C45" s="3">
        <v>1000</v>
      </c>
      <c r="D45" s="3"/>
      <c r="E45" s="3">
        <f t="shared" si="0"/>
        <v>19792.249999999996</v>
      </c>
      <c r="F45" s="37"/>
      <c r="I45" s="461" t="s">
        <v>2040</v>
      </c>
      <c r="J45" s="462">
        <v>600</v>
      </c>
    </row>
    <row r="46" spans="1:15">
      <c r="A46" s="196">
        <v>44894</v>
      </c>
      <c r="B46" s="59" t="s">
        <v>2054</v>
      </c>
      <c r="C46" s="3"/>
      <c r="D46" s="3">
        <v>245847</v>
      </c>
      <c r="E46" s="3">
        <f t="shared" si="0"/>
        <v>265639.25</v>
      </c>
      <c r="F46" s="96"/>
      <c r="G46" s="92"/>
      <c r="H46" s="92"/>
      <c r="I46" s="461" t="s">
        <v>2049</v>
      </c>
      <c r="J46" s="462">
        <v>1800</v>
      </c>
    </row>
    <row r="47" spans="1:15">
      <c r="A47" s="196">
        <v>44894</v>
      </c>
      <c r="B47" s="59" t="s">
        <v>1357</v>
      </c>
      <c r="C47" s="3"/>
      <c r="D47" s="3">
        <v>8.59</v>
      </c>
      <c r="E47" s="3">
        <f t="shared" si="0"/>
        <v>265647.84000000003</v>
      </c>
      <c r="F47" s="398"/>
      <c r="I47" s="461" t="s">
        <v>2050</v>
      </c>
      <c r="J47" s="462">
        <v>1070</v>
      </c>
    </row>
    <row r="48" spans="1:15">
      <c r="A48" s="196">
        <v>44894</v>
      </c>
      <c r="B48" s="6" t="s">
        <v>2055</v>
      </c>
      <c r="C48" s="3">
        <v>7312.95</v>
      </c>
      <c r="D48" s="3"/>
      <c r="E48" s="3">
        <f t="shared" si="0"/>
        <v>258334.89</v>
      </c>
      <c r="F48" s="37">
        <v>2500</v>
      </c>
      <c r="I48" s="461" t="s">
        <v>2051</v>
      </c>
      <c r="J48" s="462">
        <v>-1450</v>
      </c>
    </row>
    <row r="49" spans="1:13">
      <c r="A49" s="63">
        <v>44896</v>
      </c>
      <c r="B49" s="1" t="s">
        <v>1071</v>
      </c>
      <c r="C49" s="3">
        <v>10000</v>
      </c>
      <c r="D49" s="3"/>
      <c r="E49" s="3">
        <f t="shared" si="0"/>
        <v>248334.89</v>
      </c>
      <c r="F49" s="398"/>
      <c r="I49" s="461" t="s">
        <v>2052</v>
      </c>
      <c r="J49" s="462">
        <v>1938.5</v>
      </c>
    </row>
    <row r="50" spans="1:13">
      <c r="A50" s="63">
        <v>44896</v>
      </c>
      <c r="B50" s="6" t="s">
        <v>2056</v>
      </c>
      <c r="C50" s="3">
        <v>5471.87</v>
      </c>
      <c r="D50" s="3"/>
      <c r="E50" s="3">
        <f t="shared" si="0"/>
        <v>242863.02000000002</v>
      </c>
      <c r="F50" s="6"/>
      <c r="I50" s="461" t="s">
        <v>2059</v>
      </c>
      <c r="J50" s="462">
        <f>-F42-F48</f>
        <v>-3504.625</v>
      </c>
    </row>
    <row r="51" spans="1:13">
      <c r="A51" s="63">
        <v>44896</v>
      </c>
      <c r="B51" s="1" t="s">
        <v>2057</v>
      </c>
      <c r="C51" s="3"/>
      <c r="D51" s="3">
        <v>7000</v>
      </c>
      <c r="E51" s="3">
        <f t="shared" si="0"/>
        <v>249863.02000000002</v>
      </c>
      <c r="F51" s="1"/>
      <c r="I51" s="461" t="s">
        <v>2061</v>
      </c>
      <c r="J51" s="462">
        <v>977.5</v>
      </c>
      <c r="M51" s="308"/>
    </row>
    <row r="52" spans="1:13">
      <c r="A52" s="63">
        <v>44896</v>
      </c>
      <c r="B52" s="1" t="s">
        <v>2058</v>
      </c>
      <c r="C52" s="60">
        <v>2000</v>
      </c>
      <c r="D52" s="3"/>
      <c r="E52" s="3">
        <f t="shared" si="0"/>
        <v>247863.02000000002</v>
      </c>
      <c r="F52" s="76"/>
      <c r="I52" s="437" t="s">
        <v>2065</v>
      </c>
      <c r="J52" s="438">
        <v>1047.5</v>
      </c>
    </row>
    <row r="53" spans="1:13" ht="19">
      <c r="A53" s="11"/>
      <c r="B53" s="12"/>
      <c r="C53" s="13"/>
      <c r="D53" s="13"/>
      <c r="E53" s="13">
        <f t="shared" si="0"/>
        <v>247863.02000000002</v>
      </c>
      <c r="F53" s="12"/>
      <c r="I53" s="437" t="s">
        <v>2064</v>
      </c>
      <c r="J53" s="438">
        <v>-1483.3333333333333</v>
      </c>
      <c r="M53" s="465"/>
    </row>
    <row r="54" spans="1:13">
      <c r="A54" s="11"/>
      <c r="B54" s="12"/>
      <c r="C54" s="13"/>
      <c r="D54" s="13"/>
      <c r="E54" s="13">
        <f t="shared" si="0"/>
        <v>247863.02000000002</v>
      </c>
      <c r="F54" s="12"/>
      <c r="I54" s="461"/>
      <c r="J54" s="462"/>
    </row>
    <row r="55" spans="1:13">
      <c r="A55" s="63"/>
      <c r="B55" s="1"/>
      <c r="C55" s="3"/>
      <c r="D55" s="3"/>
      <c r="E55" s="3">
        <f t="shared" si="0"/>
        <v>247863.02000000002</v>
      </c>
      <c r="F55" s="1"/>
      <c r="I55" s="467" t="s">
        <v>2066</v>
      </c>
      <c r="J55" s="466">
        <f>SUM(J42:J54)</f>
        <v>1785.5416666666667</v>
      </c>
      <c r="L55" s="456" t="s">
        <v>2067</v>
      </c>
    </row>
    <row r="56" spans="1:13">
      <c r="A56" s="2"/>
      <c r="B56" s="1"/>
      <c r="C56" s="3"/>
      <c r="D56" s="10"/>
      <c r="E56" s="3">
        <f t="shared" si="0"/>
        <v>247863.02000000002</v>
      </c>
      <c r="F56" s="1"/>
    </row>
    <row r="57" spans="1:13">
      <c r="A57" s="63"/>
      <c r="B57" s="6"/>
      <c r="C57" s="10"/>
      <c r="D57" s="10"/>
      <c r="E57" s="3">
        <f t="shared" si="0"/>
        <v>247863.02000000002</v>
      </c>
      <c r="F57" s="1"/>
    </row>
    <row r="58" spans="1:13">
      <c r="E58" s="3">
        <f t="shared" si="0"/>
        <v>247863.02000000002</v>
      </c>
      <c r="I58" s="458" t="s">
        <v>2014</v>
      </c>
      <c r="J58" s="155"/>
    </row>
    <row r="59" spans="1:13">
      <c r="E59" s="3">
        <f t="shared" si="0"/>
        <v>247863.02000000002</v>
      </c>
      <c r="I59" s="358" t="s">
        <v>24</v>
      </c>
      <c r="J59" s="93">
        <v>16232.71</v>
      </c>
    </row>
    <row r="60" spans="1:13">
      <c r="I60" s="358" t="s">
        <v>2003</v>
      </c>
      <c r="J60" s="93">
        <v>231630.31</v>
      </c>
    </row>
    <row r="61" spans="1:13">
      <c r="I61" s="358" t="s">
        <v>2004</v>
      </c>
      <c r="J61" s="93">
        <v>11340</v>
      </c>
    </row>
    <row r="62" spans="1:13">
      <c r="I62" s="358" t="s">
        <v>2005</v>
      </c>
      <c r="J62" s="93">
        <f>+J59+J60+J61</f>
        <v>259203.02</v>
      </c>
    </row>
    <row r="1048576" spans="1:1">
      <c r="A1048576" s="2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0A84-E5E9-9A44-A146-B06A14681EAD}">
  <dimension ref="A1:S1048576"/>
  <sheetViews>
    <sheetView showGridLines="0" tabSelected="1" topLeftCell="A4" workbookViewId="0">
      <selection activeCell="M32" sqref="M32"/>
    </sheetView>
  </sheetViews>
  <sheetFormatPr baseColWidth="10" defaultRowHeight="16"/>
  <cols>
    <col min="1" max="1" width="7.33203125" bestFit="1" customWidth="1"/>
    <col min="2" max="2" width="29.1640625" bestFit="1" customWidth="1"/>
    <col min="3" max="3" width="12.5" style="4" bestFit="1" customWidth="1"/>
    <col min="4" max="4" width="13.5" style="4" customWidth="1"/>
    <col min="5" max="5" width="13" customWidth="1"/>
    <col min="6" max="6" width="11.1640625" customWidth="1"/>
    <col min="7" max="7" width="13.6640625" customWidth="1"/>
    <col min="8" max="8" width="4.83203125" customWidth="1"/>
    <col min="9" max="9" width="33.83203125" style="358" bestFit="1" customWidth="1"/>
    <col min="10" max="10" width="12.5" style="93" bestFit="1" customWidth="1"/>
    <col min="11" max="11" width="4.6640625" customWidth="1"/>
    <col min="12" max="12" width="23.33203125" customWidth="1"/>
    <col min="13" max="13" width="11.5" bestFit="1" customWidth="1"/>
    <col min="15" max="15" width="10.83203125" style="66"/>
    <col min="16" max="16" width="12" style="66" bestFit="1" customWidth="1"/>
    <col min="17" max="17" width="12.33203125" style="66" customWidth="1"/>
    <col min="18" max="18" width="11.5" style="321" bestFit="1" customWidth="1"/>
    <col min="19" max="19" width="10.5" style="66" bestFit="1" customWidth="1"/>
    <col min="23" max="23" width="11.5" bestFit="1" customWidth="1"/>
  </cols>
  <sheetData>
    <row r="1" spans="1:19">
      <c r="A1" s="471" t="s">
        <v>425</v>
      </c>
      <c r="B1" s="471"/>
      <c r="C1" s="471"/>
      <c r="D1" s="471"/>
      <c r="E1" s="471"/>
      <c r="F1" s="471"/>
      <c r="L1" s="418" t="s">
        <v>1795</v>
      </c>
      <c r="P1"/>
      <c r="Q1"/>
      <c r="R1"/>
      <c r="S1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4"/>
      <c r="I2" s="435" t="s">
        <v>111</v>
      </c>
      <c r="J2" s="436"/>
      <c r="K2" s="66"/>
      <c r="L2" s="417" t="s">
        <v>1747</v>
      </c>
      <c r="M2" s="66"/>
      <c r="N2" s="66"/>
      <c r="P2"/>
      <c r="Q2"/>
      <c r="R2"/>
      <c r="S2"/>
    </row>
    <row r="3" spans="1:19">
      <c r="A3" s="2">
        <v>44900</v>
      </c>
      <c r="B3" s="1" t="s">
        <v>4</v>
      </c>
      <c r="C3" s="283"/>
      <c r="D3" s="283"/>
      <c r="E3" s="287">
        <v>247863.02000000002</v>
      </c>
      <c r="F3" s="34"/>
      <c r="G3" s="271" t="s">
        <v>170</v>
      </c>
      <c r="H3" s="410"/>
      <c r="I3" s="437" t="s">
        <v>2083</v>
      </c>
      <c r="J3" s="438">
        <v>-1600</v>
      </c>
      <c r="K3" s="66"/>
      <c r="L3" s="417" t="s">
        <v>1748</v>
      </c>
      <c r="M3" s="66"/>
      <c r="N3" s="66"/>
      <c r="P3"/>
      <c r="Q3"/>
      <c r="R3"/>
      <c r="S3"/>
    </row>
    <row r="4" spans="1:19">
      <c r="A4" s="2">
        <v>44900</v>
      </c>
      <c r="B4" s="1" t="s">
        <v>2068</v>
      </c>
      <c r="C4" s="3">
        <v>50000</v>
      </c>
      <c r="D4" s="3"/>
      <c r="E4" s="3">
        <f>+E3-C4+D4</f>
        <v>197863.02000000002</v>
      </c>
      <c r="F4" s="59"/>
      <c r="G4" s="56">
        <f>+E66</f>
        <v>290631.87</v>
      </c>
      <c r="H4" s="411"/>
      <c r="I4" s="437" t="s">
        <v>2084</v>
      </c>
      <c r="J4" s="438">
        <f>-720+150</f>
        <v>-570</v>
      </c>
      <c r="K4" s="66"/>
      <c r="L4" s="417" t="s">
        <v>1794</v>
      </c>
      <c r="M4" s="66"/>
      <c r="N4" s="66"/>
      <c r="P4"/>
      <c r="Q4"/>
      <c r="R4"/>
      <c r="S4"/>
    </row>
    <row r="5" spans="1:19">
      <c r="A5" s="2">
        <v>44900</v>
      </c>
      <c r="B5" s="1" t="s">
        <v>2069</v>
      </c>
      <c r="C5" s="37">
        <v>35000</v>
      </c>
      <c r="D5" s="37"/>
      <c r="E5" s="3">
        <f t="shared" ref="E5:E67" si="0">+E4-C5+D5</f>
        <v>162863.02000000002</v>
      </c>
      <c r="F5" s="37"/>
      <c r="G5" s="41"/>
      <c r="H5" s="41"/>
      <c r="I5" s="437" t="s">
        <v>2085</v>
      </c>
      <c r="J5" s="438">
        <v>-75</v>
      </c>
      <c r="K5" s="66"/>
      <c r="L5" s="416" t="s">
        <v>1793</v>
      </c>
      <c r="M5" s="66"/>
      <c r="N5" s="66"/>
      <c r="P5"/>
      <c r="Q5"/>
      <c r="R5"/>
      <c r="S5"/>
    </row>
    <row r="6" spans="1:19">
      <c r="A6" s="2">
        <v>44900</v>
      </c>
      <c r="B6" s="59" t="s">
        <v>2070</v>
      </c>
      <c r="C6" s="60">
        <v>8000</v>
      </c>
      <c r="D6" s="3"/>
      <c r="E6" s="3">
        <f t="shared" si="0"/>
        <v>154863.02000000002</v>
      </c>
      <c r="F6" s="60"/>
      <c r="G6" s="189"/>
      <c r="H6" s="189"/>
      <c r="I6" s="437" t="s">
        <v>2086</v>
      </c>
      <c r="J6" s="438">
        <v>1375</v>
      </c>
      <c r="K6" s="66"/>
      <c r="L6" s="416" t="s">
        <v>1792</v>
      </c>
      <c r="M6" s="66"/>
      <c r="N6" s="66"/>
      <c r="P6"/>
      <c r="Q6"/>
      <c r="R6"/>
      <c r="S6"/>
    </row>
    <row r="7" spans="1:19">
      <c r="A7" s="2">
        <v>44900</v>
      </c>
      <c r="B7" s="1" t="s">
        <v>1071</v>
      </c>
      <c r="C7" s="60">
        <v>7000</v>
      </c>
      <c r="D7" s="3"/>
      <c r="E7" s="3">
        <f t="shared" si="0"/>
        <v>147863.02000000002</v>
      </c>
      <c r="F7" s="60"/>
      <c r="G7" s="190"/>
      <c r="H7" s="190"/>
      <c r="I7" s="437" t="s">
        <v>507</v>
      </c>
      <c r="J7" s="438">
        <v>1250</v>
      </c>
      <c r="K7" s="66"/>
      <c r="L7" s="416" t="s">
        <v>1791</v>
      </c>
      <c r="M7" s="66"/>
      <c r="N7" s="66"/>
      <c r="P7"/>
      <c r="Q7"/>
      <c r="R7"/>
      <c r="S7"/>
    </row>
    <row r="8" spans="1:19">
      <c r="A8" s="2">
        <v>44901</v>
      </c>
      <c r="B8" s="59" t="s">
        <v>2071</v>
      </c>
      <c r="C8" s="60">
        <v>15000</v>
      </c>
      <c r="D8" s="3"/>
      <c r="E8" s="3">
        <f t="shared" si="0"/>
        <v>132863.02000000002</v>
      </c>
      <c r="F8" s="197"/>
      <c r="G8" s="189"/>
      <c r="H8" s="189"/>
      <c r="I8" s="437" t="s">
        <v>2111</v>
      </c>
      <c r="J8" s="438">
        <v>-345</v>
      </c>
      <c r="K8" s="66"/>
      <c r="L8" s="417" t="s">
        <v>1749</v>
      </c>
      <c r="M8" s="66"/>
      <c r="N8" s="66"/>
      <c r="P8"/>
      <c r="Q8"/>
      <c r="R8"/>
      <c r="S8"/>
    </row>
    <row r="9" spans="1:19">
      <c r="A9" s="2">
        <v>44902</v>
      </c>
      <c r="B9" s="59" t="s">
        <v>2073</v>
      </c>
      <c r="C9" s="60">
        <v>2481</v>
      </c>
      <c r="D9" s="3"/>
      <c r="E9" s="3">
        <f t="shared" si="0"/>
        <v>130382.02000000002</v>
      </c>
      <c r="F9" s="59"/>
      <c r="G9" s="176"/>
      <c r="H9" s="41"/>
      <c r="I9" s="437" t="s">
        <v>507</v>
      </c>
      <c r="J9" s="438">
        <v>1300</v>
      </c>
      <c r="K9" s="66"/>
      <c r="L9" s="416" t="s">
        <v>101</v>
      </c>
      <c r="M9" s="66"/>
      <c r="N9" s="66"/>
      <c r="P9"/>
      <c r="Q9"/>
      <c r="R9"/>
      <c r="S9"/>
    </row>
    <row r="10" spans="1:19">
      <c r="A10" s="2">
        <v>44902</v>
      </c>
      <c r="B10" s="59" t="s">
        <v>101</v>
      </c>
      <c r="C10" s="60">
        <f>21300-15000</f>
        <v>6300</v>
      </c>
      <c r="D10" s="3"/>
      <c r="E10" s="3">
        <f t="shared" si="0"/>
        <v>124082.02000000002</v>
      </c>
      <c r="F10" s="60"/>
      <c r="G10" s="308"/>
      <c r="H10" s="192"/>
      <c r="I10" s="437" t="s">
        <v>2112</v>
      </c>
      <c r="J10" s="438">
        <v>1410</v>
      </c>
      <c r="K10" s="66"/>
      <c r="L10" s="417" t="s">
        <v>1357</v>
      </c>
      <c r="M10" s="66"/>
      <c r="N10" s="66"/>
      <c r="P10"/>
      <c r="Q10"/>
      <c r="R10"/>
      <c r="S10"/>
    </row>
    <row r="11" spans="1:19">
      <c r="A11" s="2">
        <v>44902</v>
      </c>
      <c r="B11" s="59" t="s">
        <v>1071</v>
      </c>
      <c r="C11" s="60">
        <v>15000</v>
      </c>
      <c r="D11" s="3"/>
      <c r="E11" s="3">
        <f t="shared" si="0"/>
        <v>109082.02000000002</v>
      </c>
      <c r="F11" s="60"/>
      <c r="G11" s="308"/>
      <c r="H11" s="308"/>
      <c r="I11" s="437" t="s">
        <v>2113</v>
      </c>
      <c r="J11" s="438">
        <v>-2125</v>
      </c>
      <c r="K11" s="66"/>
      <c r="L11" s="21"/>
      <c r="M11" s="66"/>
      <c r="N11" s="66"/>
      <c r="P11"/>
      <c r="Q11"/>
      <c r="R11"/>
      <c r="S11"/>
    </row>
    <row r="12" spans="1:19">
      <c r="A12" s="2">
        <v>44903</v>
      </c>
      <c r="B12" s="59" t="s">
        <v>1063</v>
      </c>
      <c r="C12" s="60">
        <v>5604.38</v>
      </c>
      <c r="D12" s="3"/>
      <c r="E12" s="3">
        <f t="shared" si="0"/>
        <v>103477.64000000001</v>
      </c>
      <c r="F12" s="148"/>
      <c r="I12" s="437" t="s">
        <v>2114</v>
      </c>
      <c r="J12" s="438">
        <v>2700</v>
      </c>
      <c r="K12" s="66"/>
      <c r="L12" s="66"/>
      <c r="M12" s="66"/>
      <c r="N12" s="66"/>
      <c r="P12"/>
      <c r="Q12"/>
      <c r="R12"/>
      <c r="S12"/>
    </row>
    <row r="13" spans="1:19">
      <c r="A13" s="2">
        <v>44903</v>
      </c>
      <c r="B13" s="59" t="s">
        <v>1063</v>
      </c>
      <c r="C13" s="60">
        <v>5400</v>
      </c>
      <c r="D13" s="3"/>
      <c r="E13" s="3">
        <f t="shared" si="0"/>
        <v>98077.640000000014</v>
      </c>
      <c r="F13" s="60"/>
      <c r="G13" s="57"/>
      <c r="H13" s="57"/>
      <c r="I13" s="437" t="s">
        <v>2115</v>
      </c>
      <c r="J13" s="438">
        <v>2000</v>
      </c>
      <c r="K13" s="66"/>
      <c r="L13" s="66"/>
      <c r="M13" s="66"/>
      <c r="P13"/>
      <c r="Q13"/>
      <c r="R13"/>
      <c r="S13"/>
    </row>
    <row r="14" spans="1:19" ht="19">
      <c r="A14" s="2">
        <v>44904</v>
      </c>
      <c r="B14" s="59" t="s">
        <v>2072</v>
      </c>
      <c r="C14" s="60"/>
      <c r="D14" s="3">
        <v>1040</v>
      </c>
      <c r="E14" s="3">
        <f t="shared" si="0"/>
        <v>99117.640000000014</v>
      </c>
      <c r="F14" s="60"/>
      <c r="G14" s="330"/>
      <c r="H14" s="330"/>
      <c r="I14" s="437" t="s">
        <v>2116</v>
      </c>
      <c r="J14" s="438">
        <v>-1540</v>
      </c>
      <c r="K14" s="66"/>
      <c r="L14" s="66"/>
      <c r="M14" s="66" t="s">
        <v>1311</v>
      </c>
      <c r="P14"/>
      <c r="Q14"/>
      <c r="R14"/>
      <c r="S14"/>
    </row>
    <row r="15" spans="1:19">
      <c r="A15" s="2">
        <v>44904</v>
      </c>
      <c r="B15" s="59" t="s">
        <v>2074</v>
      </c>
      <c r="C15" s="60">
        <v>20170.169999999998</v>
      </c>
      <c r="D15" s="3"/>
      <c r="E15" s="3">
        <f t="shared" si="0"/>
        <v>78947.470000000016</v>
      </c>
      <c r="F15" s="60"/>
      <c r="H15" s="18"/>
      <c r="I15" s="437" t="s">
        <v>2117</v>
      </c>
      <c r="J15" s="438">
        <v>3000</v>
      </c>
      <c r="K15" s="66"/>
      <c r="L15" s="66"/>
      <c r="M15" s="66"/>
      <c r="P15"/>
      <c r="Q15"/>
      <c r="R15"/>
      <c r="S15"/>
    </row>
    <row r="16" spans="1:19">
      <c r="A16" s="2">
        <v>44904</v>
      </c>
      <c r="B16" s="59" t="s">
        <v>2075</v>
      </c>
      <c r="C16" s="60">
        <v>9906.67</v>
      </c>
      <c r="D16" s="3"/>
      <c r="E16" s="3">
        <f t="shared" si="0"/>
        <v>69040.800000000017</v>
      </c>
      <c r="F16" s="60"/>
      <c r="I16" s="437" t="s">
        <v>2118</v>
      </c>
      <c r="J16" s="438">
        <v>165</v>
      </c>
      <c r="K16" s="66"/>
      <c r="L16" s="66"/>
      <c r="M16" s="66"/>
      <c r="P16"/>
      <c r="Q16"/>
      <c r="R16"/>
      <c r="S16"/>
    </row>
    <row r="17" spans="1:19">
      <c r="A17" s="2">
        <v>44904</v>
      </c>
      <c r="B17" s="59" t="s">
        <v>2076</v>
      </c>
      <c r="C17" s="60">
        <v>17500</v>
      </c>
      <c r="D17" s="3"/>
      <c r="E17" s="3">
        <f t="shared" si="0"/>
        <v>51540.800000000017</v>
      </c>
      <c r="F17" s="60"/>
      <c r="I17" s="437" t="s">
        <v>1027</v>
      </c>
      <c r="J17" s="438">
        <v>840.5</v>
      </c>
      <c r="K17" s="66"/>
      <c r="L17" s="66"/>
      <c r="M17" s="66"/>
    </row>
    <row r="18" spans="1:19">
      <c r="A18" s="2">
        <v>44904</v>
      </c>
      <c r="B18" s="59" t="s">
        <v>894</v>
      </c>
      <c r="C18" s="60">
        <v>8150</v>
      </c>
      <c r="D18" s="3"/>
      <c r="E18" s="3">
        <f t="shared" si="0"/>
        <v>43390.800000000017</v>
      </c>
      <c r="F18" s="60"/>
      <c r="I18" s="437" t="s">
        <v>2018</v>
      </c>
      <c r="J18" s="438">
        <f>-F25</f>
        <v>-900</v>
      </c>
      <c r="K18" s="66"/>
      <c r="L18" s="422"/>
      <c r="M18" s="66"/>
    </row>
    <row r="19" spans="1:19">
      <c r="A19" s="2">
        <v>44904</v>
      </c>
      <c r="B19" s="59" t="s">
        <v>2077</v>
      </c>
      <c r="C19" s="60"/>
      <c r="D19" s="3">
        <v>2040</v>
      </c>
      <c r="E19" s="3">
        <f t="shared" si="0"/>
        <v>45430.800000000017</v>
      </c>
      <c r="F19" s="60"/>
      <c r="I19" s="437" t="s">
        <v>2119</v>
      </c>
      <c r="J19" s="438">
        <f>35918.6/2</f>
        <v>17959.3</v>
      </c>
      <c r="K19" s="66"/>
      <c r="L19" s="66"/>
      <c r="M19" s="66"/>
    </row>
    <row r="20" spans="1:19">
      <c r="A20" s="2">
        <v>44907</v>
      </c>
      <c r="B20" s="59" t="s">
        <v>2078</v>
      </c>
      <c r="C20" s="60"/>
      <c r="D20" s="60">
        <v>3800</v>
      </c>
      <c r="E20" s="3">
        <f t="shared" si="0"/>
        <v>49230.800000000017</v>
      </c>
      <c r="F20" s="60"/>
      <c r="I20" s="437"/>
      <c r="J20" s="438"/>
      <c r="K20" s="66"/>
      <c r="L20" s="66"/>
      <c r="M20" s="66"/>
    </row>
    <row r="21" spans="1:19">
      <c r="A21" s="2">
        <v>44907</v>
      </c>
      <c r="B21" s="59" t="s">
        <v>2079</v>
      </c>
      <c r="C21" s="60"/>
      <c r="D21" s="60">
        <v>85000</v>
      </c>
      <c r="E21" s="3">
        <f t="shared" si="0"/>
        <v>134230.80000000002</v>
      </c>
      <c r="F21" s="96"/>
      <c r="I21" s="433" t="s">
        <v>2087</v>
      </c>
      <c r="J21" s="434">
        <f>+SUM(J2:J20)</f>
        <v>24844.799999999999</v>
      </c>
      <c r="K21" s="66"/>
      <c r="L21" s="485" t="s">
        <v>2122</v>
      </c>
      <c r="M21" s="66"/>
    </row>
    <row r="22" spans="1:19">
      <c r="A22" s="2">
        <v>44907</v>
      </c>
      <c r="B22" s="457" t="s">
        <v>2080</v>
      </c>
      <c r="C22" s="3">
        <v>31400</v>
      </c>
      <c r="D22" s="3"/>
      <c r="E22" s="3">
        <f t="shared" si="0"/>
        <v>102830.80000000002</v>
      </c>
      <c r="F22" s="60"/>
      <c r="H22" s="18"/>
      <c r="I22" s="448"/>
      <c r="J22" s="155"/>
      <c r="K22" s="21"/>
      <c r="L22" s="66"/>
      <c r="M22" s="66"/>
    </row>
    <row r="23" spans="1:19">
      <c r="A23" s="2">
        <v>44907</v>
      </c>
      <c r="B23" s="59" t="s">
        <v>2082</v>
      </c>
      <c r="C23" s="484">
        <v>9589</v>
      </c>
      <c r="D23" s="3"/>
      <c r="E23" s="4">
        <v>92511.8</v>
      </c>
      <c r="F23" s="60"/>
      <c r="G23" s="41"/>
      <c r="H23" s="171"/>
      <c r="I23" s="458" t="s">
        <v>2014</v>
      </c>
      <c r="J23" s="155"/>
      <c r="K23" s="21"/>
      <c r="M23" s="66"/>
    </row>
    <row r="24" spans="1:19">
      <c r="A24" s="2">
        <v>45273</v>
      </c>
      <c r="B24" s="59" t="s">
        <v>2088</v>
      </c>
      <c r="C24" s="60"/>
      <c r="D24" s="3">
        <v>4000</v>
      </c>
      <c r="E24" s="3">
        <f t="shared" si="0"/>
        <v>96511.8</v>
      </c>
      <c r="F24" s="60"/>
      <c r="I24" s="358" t="s">
        <v>24</v>
      </c>
      <c r="J24" s="93">
        <v>34529.5</v>
      </c>
      <c r="K24" s="456"/>
      <c r="L24" s="317" t="s">
        <v>2081</v>
      </c>
      <c r="M24" s="66"/>
    </row>
    <row r="25" spans="1:19">
      <c r="A25" s="2">
        <v>45274</v>
      </c>
      <c r="B25" s="59" t="s">
        <v>2018</v>
      </c>
      <c r="C25" s="60">
        <v>2700</v>
      </c>
      <c r="D25" s="60"/>
      <c r="E25" s="3">
        <f t="shared" si="0"/>
        <v>93811.8</v>
      </c>
      <c r="F25" s="37">
        <v>900</v>
      </c>
      <c r="I25" s="358" t="s">
        <v>2003</v>
      </c>
      <c r="J25" s="93">
        <v>256102.37</v>
      </c>
      <c r="K25" s="66"/>
      <c r="L25" s="66"/>
      <c r="M25" s="66"/>
    </row>
    <row r="26" spans="1:19">
      <c r="A26" s="2">
        <v>45274</v>
      </c>
      <c r="B26" s="59" t="s">
        <v>2089</v>
      </c>
      <c r="C26" s="60"/>
      <c r="D26" s="3">
        <v>2050</v>
      </c>
      <c r="E26" s="3">
        <f t="shared" si="0"/>
        <v>95861.8</v>
      </c>
      <c r="F26" s="37"/>
      <c r="I26" s="358" t="s">
        <v>2004</v>
      </c>
      <c r="J26" s="93">
        <v>770</v>
      </c>
      <c r="K26" s="66"/>
      <c r="L26" s="66"/>
      <c r="M26" s="66"/>
      <c r="N26" s="66"/>
    </row>
    <row r="27" spans="1:19">
      <c r="A27" s="2">
        <v>45275</v>
      </c>
      <c r="B27" s="36" t="s">
        <v>2090</v>
      </c>
      <c r="C27" s="37"/>
      <c r="D27" s="37">
        <v>124096</v>
      </c>
      <c r="E27" s="3">
        <f t="shared" si="0"/>
        <v>219957.8</v>
      </c>
      <c r="F27" s="37"/>
      <c r="I27" s="358" t="s">
        <v>2005</v>
      </c>
      <c r="J27" s="93">
        <f>+J24+J25+J26</f>
        <v>291401.87</v>
      </c>
      <c r="K27" s="66"/>
      <c r="L27" s="66"/>
      <c r="M27" s="66"/>
    </row>
    <row r="28" spans="1:19">
      <c r="A28" s="2">
        <v>45275</v>
      </c>
      <c r="B28" s="457" t="s">
        <v>187</v>
      </c>
      <c r="C28" s="484">
        <v>15000</v>
      </c>
      <c r="D28" s="37"/>
      <c r="E28" s="3">
        <f t="shared" si="0"/>
        <v>204957.8</v>
      </c>
      <c r="F28" s="37"/>
      <c r="K28" s="66"/>
      <c r="L28" s="66"/>
      <c r="N28" s="66"/>
      <c r="Q28"/>
      <c r="R28" s="242"/>
      <c r="S28"/>
    </row>
    <row r="29" spans="1:19">
      <c r="A29" s="2">
        <v>45275</v>
      </c>
      <c r="B29" s="36" t="s">
        <v>2091</v>
      </c>
      <c r="C29" s="60">
        <v>1000</v>
      </c>
      <c r="D29" s="60"/>
      <c r="E29" s="3">
        <f t="shared" si="0"/>
        <v>203957.8</v>
      </c>
      <c r="F29" s="37"/>
      <c r="G29" s="41"/>
      <c r="I29" s="358" t="s">
        <v>2120</v>
      </c>
      <c r="J29" s="93">
        <f>-J21</f>
        <v>-24844.799999999999</v>
      </c>
      <c r="K29" s="66"/>
      <c r="L29" s="66"/>
      <c r="N29" s="66"/>
      <c r="Q29"/>
      <c r="R29" s="242"/>
      <c r="S29"/>
    </row>
    <row r="30" spans="1:19">
      <c r="A30" s="2">
        <v>45275</v>
      </c>
      <c r="B30" s="59" t="s">
        <v>2092</v>
      </c>
      <c r="C30" s="60">
        <v>18286</v>
      </c>
      <c r="D30" s="60"/>
      <c r="E30" s="3">
        <f t="shared" si="0"/>
        <v>185671.8</v>
      </c>
      <c r="F30" s="59"/>
      <c r="G30" s="41"/>
      <c r="I30" s="358" t="s">
        <v>2121</v>
      </c>
      <c r="J30" s="93">
        <v>-30000</v>
      </c>
      <c r="K30" s="66"/>
      <c r="L30" s="66"/>
      <c r="N30" s="66"/>
      <c r="Q30"/>
      <c r="R30" s="242"/>
      <c r="S30"/>
    </row>
    <row r="31" spans="1:19">
      <c r="A31" s="2">
        <v>45275</v>
      </c>
      <c r="B31" s="59" t="s">
        <v>1071</v>
      </c>
      <c r="C31" s="37">
        <v>2200</v>
      </c>
      <c r="D31" s="37"/>
      <c r="E31" s="3">
        <f t="shared" si="0"/>
        <v>183471.8</v>
      </c>
      <c r="F31" s="37"/>
      <c r="G31" s="41"/>
      <c r="K31" s="66"/>
      <c r="L31" s="66"/>
      <c r="N31" s="66"/>
      <c r="Q31"/>
      <c r="R31" s="242"/>
      <c r="S31"/>
    </row>
    <row r="32" spans="1:19">
      <c r="A32" s="2">
        <v>45276</v>
      </c>
      <c r="B32" s="59" t="s">
        <v>2093</v>
      </c>
      <c r="C32" s="37">
        <v>700</v>
      </c>
      <c r="D32" s="10"/>
      <c r="E32" s="3">
        <f t="shared" si="0"/>
        <v>182771.8</v>
      </c>
      <c r="F32" s="118"/>
      <c r="K32" s="66"/>
    </row>
    <row r="33" spans="1:15">
      <c r="A33" s="2">
        <v>45276</v>
      </c>
      <c r="B33" s="59" t="s">
        <v>2091</v>
      </c>
      <c r="C33" s="37">
        <v>300</v>
      </c>
      <c r="D33" s="10"/>
      <c r="E33" s="3">
        <f t="shared" si="0"/>
        <v>182471.8</v>
      </c>
      <c r="F33" s="37"/>
      <c r="K33" s="66"/>
      <c r="L33" s="66"/>
    </row>
    <row r="34" spans="1:15">
      <c r="A34" s="2">
        <v>45276</v>
      </c>
      <c r="B34" s="59" t="s">
        <v>2094</v>
      </c>
      <c r="C34" s="37"/>
      <c r="D34" s="10">
        <v>9200</v>
      </c>
      <c r="E34" s="3">
        <f t="shared" si="0"/>
        <v>191671.8</v>
      </c>
      <c r="F34" s="37"/>
      <c r="O34" s="422"/>
    </row>
    <row r="35" spans="1:15">
      <c r="A35" s="196">
        <v>45279</v>
      </c>
      <c r="B35" s="59" t="s">
        <v>2095</v>
      </c>
      <c r="C35" s="10">
        <v>595</v>
      </c>
      <c r="D35" s="10"/>
      <c r="E35" s="3">
        <f t="shared" si="0"/>
        <v>191076.8</v>
      </c>
      <c r="F35" s="37"/>
      <c r="J35" s="93">
        <f>+SUM(J27:J34)</f>
        <v>236557.07</v>
      </c>
      <c r="L35" s="66"/>
    </row>
    <row r="36" spans="1:15">
      <c r="A36" s="196">
        <v>45279</v>
      </c>
      <c r="B36" s="59" t="s">
        <v>2096</v>
      </c>
      <c r="C36" s="10"/>
      <c r="D36" s="483">
        <v>18300</v>
      </c>
      <c r="E36" s="3">
        <f t="shared" si="0"/>
        <v>209376.8</v>
      </c>
      <c r="F36" s="37"/>
    </row>
    <row r="37" spans="1:15">
      <c r="A37" s="196">
        <v>45279</v>
      </c>
      <c r="B37" s="59" t="s">
        <v>2104</v>
      </c>
      <c r="C37" s="10">
        <v>1800</v>
      </c>
      <c r="D37" s="10"/>
      <c r="E37" s="3">
        <f t="shared" si="0"/>
        <v>207576.8</v>
      </c>
      <c r="F37" s="36"/>
    </row>
    <row r="38" spans="1:15">
      <c r="A38" s="196">
        <v>45279</v>
      </c>
      <c r="B38" s="6" t="s">
        <v>2097</v>
      </c>
      <c r="C38" s="37">
        <v>26000</v>
      </c>
      <c r="D38" s="10"/>
      <c r="E38" s="3">
        <f t="shared" si="0"/>
        <v>181576.8</v>
      </c>
      <c r="F38" s="37"/>
      <c r="G38" s="195"/>
      <c r="H38" s="195"/>
    </row>
    <row r="39" spans="1:15" ht="17" customHeight="1">
      <c r="A39" s="63">
        <v>45280</v>
      </c>
      <c r="B39" s="36" t="s">
        <v>2098</v>
      </c>
      <c r="C39" s="37">
        <v>4442</v>
      </c>
      <c r="D39" s="10"/>
      <c r="E39" s="3">
        <f t="shared" si="0"/>
        <v>177134.8</v>
      </c>
      <c r="F39" s="37"/>
      <c r="G39" s="195"/>
      <c r="H39" s="195"/>
      <c r="L39" s="456"/>
    </row>
    <row r="40" spans="1:15">
      <c r="A40" s="63">
        <v>45280</v>
      </c>
      <c r="B40" s="36" t="s">
        <v>2099</v>
      </c>
      <c r="C40" s="37">
        <f>2270+1200</f>
        <v>3470</v>
      </c>
      <c r="D40" s="10"/>
      <c r="E40" s="3">
        <f t="shared" si="0"/>
        <v>173664.8</v>
      </c>
      <c r="F40" s="118"/>
      <c r="G40" s="195"/>
      <c r="H40" s="195"/>
    </row>
    <row r="41" spans="1:15">
      <c r="A41" s="63">
        <v>45280</v>
      </c>
      <c r="B41" s="36" t="s">
        <v>101</v>
      </c>
      <c r="C41" s="37">
        <v>4100.1000000000004</v>
      </c>
      <c r="D41" s="10"/>
      <c r="E41" s="3">
        <f t="shared" si="0"/>
        <v>169564.69999999998</v>
      </c>
      <c r="F41" s="118"/>
      <c r="G41" s="195"/>
      <c r="H41" s="195"/>
    </row>
    <row r="42" spans="1:15">
      <c r="A42" s="63">
        <v>45280</v>
      </c>
      <c r="B42" s="6" t="s">
        <v>1071</v>
      </c>
      <c r="C42" s="10">
        <v>10000</v>
      </c>
      <c r="D42" s="10"/>
      <c r="E42" s="3">
        <f t="shared" si="0"/>
        <v>159564.69999999998</v>
      </c>
      <c r="F42" s="118"/>
      <c r="G42" s="195"/>
      <c r="H42" s="195"/>
    </row>
    <row r="43" spans="1:15">
      <c r="A43" s="63">
        <v>45280</v>
      </c>
      <c r="B43" s="6" t="s">
        <v>2100</v>
      </c>
      <c r="C43" s="10"/>
      <c r="D43" s="10">
        <v>2060</v>
      </c>
      <c r="E43" s="3">
        <f t="shared" si="0"/>
        <v>161624.69999999998</v>
      </c>
      <c r="F43" s="118"/>
    </row>
    <row r="44" spans="1:15">
      <c r="A44" s="196">
        <v>45281</v>
      </c>
      <c r="B44" s="36" t="s">
        <v>1357</v>
      </c>
      <c r="C44" s="60"/>
      <c r="D44" s="60">
        <v>0.43</v>
      </c>
      <c r="E44" s="3">
        <f t="shared" si="0"/>
        <v>161625.12999999998</v>
      </c>
      <c r="F44" s="118"/>
      <c r="G44" s="92"/>
      <c r="H44" s="92"/>
    </row>
    <row r="45" spans="1:15">
      <c r="A45" s="196">
        <v>45281</v>
      </c>
      <c r="B45" s="59" t="s">
        <v>2101</v>
      </c>
      <c r="C45" s="3"/>
      <c r="D45" s="3">
        <v>50000</v>
      </c>
      <c r="E45" s="3">
        <f t="shared" si="0"/>
        <v>211625.12999999998</v>
      </c>
      <c r="F45" s="118"/>
    </row>
    <row r="46" spans="1:15">
      <c r="A46" s="63">
        <v>45282</v>
      </c>
      <c r="B46" s="59" t="s">
        <v>2102</v>
      </c>
      <c r="C46" s="3">
        <v>3400</v>
      </c>
      <c r="D46" s="3"/>
      <c r="E46" s="3">
        <f t="shared" si="0"/>
        <v>208225.12999999998</v>
      </c>
      <c r="F46" s="96"/>
      <c r="G46" s="92"/>
      <c r="H46" s="92"/>
    </row>
    <row r="47" spans="1:15">
      <c r="A47" s="63">
        <v>45282</v>
      </c>
      <c r="B47" s="59" t="s">
        <v>2103</v>
      </c>
      <c r="C47" s="3"/>
      <c r="D47" s="3">
        <v>1700</v>
      </c>
      <c r="E47" s="3">
        <f t="shared" si="0"/>
        <v>209925.12999999998</v>
      </c>
      <c r="F47" s="398"/>
    </row>
    <row r="48" spans="1:15">
      <c r="A48" s="63">
        <v>45282</v>
      </c>
      <c r="B48" s="6"/>
      <c r="C48" s="3">
        <v>3000</v>
      </c>
      <c r="D48" s="3"/>
      <c r="E48" s="3">
        <f t="shared" si="0"/>
        <v>206925.12999999998</v>
      </c>
      <c r="F48" s="10"/>
    </row>
    <row r="49" spans="1:6">
      <c r="A49" s="63">
        <v>45286</v>
      </c>
      <c r="B49" s="1" t="s">
        <v>2105</v>
      </c>
      <c r="C49" s="3">
        <v>3110</v>
      </c>
      <c r="D49" s="3"/>
      <c r="E49" s="3">
        <f t="shared" si="0"/>
        <v>203815.12999999998</v>
      </c>
      <c r="F49" s="400"/>
    </row>
    <row r="50" spans="1:6">
      <c r="A50" s="63">
        <v>45286</v>
      </c>
      <c r="B50" s="6" t="s">
        <v>1071</v>
      </c>
      <c r="C50" s="3">
        <v>130000</v>
      </c>
      <c r="D50" s="3"/>
      <c r="E50" s="3">
        <f t="shared" si="0"/>
        <v>73815.129999999976</v>
      </c>
      <c r="F50" s="6"/>
    </row>
    <row r="51" spans="1:6">
      <c r="A51" s="63">
        <v>45286</v>
      </c>
      <c r="B51" s="1" t="s">
        <v>1357</v>
      </c>
      <c r="C51" s="3"/>
      <c r="D51" s="3">
        <v>16.440000000000001</v>
      </c>
      <c r="E51" s="3">
        <f t="shared" si="0"/>
        <v>73831.569999999978</v>
      </c>
      <c r="F51" s="1"/>
    </row>
    <row r="52" spans="1:6">
      <c r="A52" s="63">
        <v>45286</v>
      </c>
      <c r="B52" s="1" t="s">
        <v>2106</v>
      </c>
      <c r="C52" s="60">
        <v>1621.4</v>
      </c>
      <c r="D52" s="3"/>
      <c r="E52" s="3">
        <f t="shared" si="0"/>
        <v>72210.169999999984</v>
      </c>
      <c r="F52" s="76"/>
    </row>
    <row r="53" spans="1:6">
      <c r="A53" s="63">
        <v>45288</v>
      </c>
      <c r="B53" s="1" t="s">
        <v>2107</v>
      </c>
      <c r="C53" s="3">
        <v>4500</v>
      </c>
      <c r="D53" s="3"/>
      <c r="E53" s="3">
        <f t="shared" si="0"/>
        <v>67710.169999999984</v>
      </c>
      <c r="F53" s="1"/>
    </row>
    <row r="54" spans="1:6">
      <c r="A54" s="63">
        <v>45288</v>
      </c>
      <c r="B54" s="1" t="s">
        <v>2108</v>
      </c>
      <c r="C54" s="3">
        <v>3400</v>
      </c>
      <c r="D54" s="3"/>
      <c r="E54" s="3">
        <f t="shared" si="0"/>
        <v>64310.169999999984</v>
      </c>
      <c r="F54" s="1"/>
    </row>
    <row r="55" spans="1:6">
      <c r="A55" s="63">
        <v>45289</v>
      </c>
      <c r="B55" s="1" t="s">
        <v>101</v>
      </c>
      <c r="C55" s="3">
        <v>5300.3</v>
      </c>
      <c r="D55" s="3"/>
      <c r="E55" s="3">
        <f t="shared" si="0"/>
        <v>59009.869999999981</v>
      </c>
      <c r="F55" s="1"/>
    </row>
    <row r="56" spans="1:6">
      <c r="A56" s="63">
        <v>45289</v>
      </c>
      <c r="B56" s="1" t="s">
        <v>1071</v>
      </c>
      <c r="C56" s="3">
        <v>10000</v>
      </c>
      <c r="D56" s="10"/>
      <c r="E56" s="3">
        <f t="shared" si="0"/>
        <v>49009.869999999981</v>
      </c>
      <c r="F56" s="1"/>
    </row>
    <row r="57" spans="1:6">
      <c r="A57" s="63">
        <v>45289</v>
      </c>
      <c r="B57" s="6" t="s">
        <v>1071</v>
      </c>
      <c r="C57" s="10">
        <v>500</v>
      </c>
      <c r="D57" s="10"/>
      <c r="E57" s="3">
        <f t="shared" si="0"/>
        <v>48509.869999999981</v>
      </c>
      <c r="F57" s="1"/>
    </row>
    <row r="58" spans="1:6">
      <c r="A58" s="63">
        <v>45289</v>
      </c>
      <c r="B58" s="6" t="s">
        <v>2109</v>
      </c>
      <c r="C58" s="3">
        <v>3725</v>
      </c>
      <c r="D58" s="3"/>
      <c r="E58" s="3">
        <f t="shared" si="0"/>
        <v>44784.869999999981</v>
      </c>
      <c r="F58" s="1"/>
    </row>
    <row r="59" spans="1:6">
      <c r="A59" s="63">
        <v>45289</v>
      </c>
      <c r="B59" s="1" t="s">
        <v>2110</v>
      </c>
      <c r="C59" s="3"/>
      <c r="D59" s="3">
        <v>245847</v>
      </c>
      <c r="E59" s="3">
        <f t="shared" si="0"/>
        <v>290631.87</v>
      </c>
      <c r="F59" s="1"/>
    </row>
    <row r="60" spans="1:6">
      <c r="A60" s="12"/>
      <c r="B60" s="12"/>
      <c r="C60" s="13"/>
      <c r="D60" s="13"/>
      <c r="E60" s="13">
        <f t="shared" si="0"/>
        <v>290631.87</v>
      </c>
      <c r="F60" s="12"/>
    </row>
    <row r="61" spans="1:6">
      <c r="A61" s="12"/>
      <c r="B61" s="12"/>
      <c r="C61" s="13"/>
      <c r="D61" s="13"/>
      <c r="E61" s="13">
        <f t="shared" si="0"/>
        <v>290631.87</v>
      </c>
      <c r="F61" s="12"/>
    </row>
    <row r="62" spans="1:6">
      <c r="E62" s="33">
        <f t="shared" si="0"/>
        <v>290631.87</v>
      </c>
    </row>
    <row r="63" spans="1:6">
      <c r="E63" s="3">
        <f t="shared" si="0"/>
        <v>290631.87</v>
      </c>
    </row>
    <row r="64" spans="1:6">
      <c r="E64" s="3">
        <f t="shared" si="0"/>
        <v>290631.87</v>
      </c>
    </row>
    <row r="65" spans="5:5">
      <c r="E65" s="3">
        <f t="shared" si="0"/>
        <v>290631.87</v>
      </c>
    </row>
    <row r="66" spans="5:5">
      <c r="E66" s="3">
        <f t="shared" si="0"/>
        <v>290631.87</v>
      </c>
    </row>
    <row r="67" spans="5:5">
      <c r="E67" s="3">
        <f t="shared" si="0"/>
        <v>290631.87</v>
      </c>
    </row>
    <row r="1048576" spans="1:1">
      <c r="A1048576" s="2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A616-58D7-A64A-8602-CA748B28B74E}">
  <dimension ref="A1:S30"/>
  <sheetViews>
    <sheetView showGridLines="0" workbookViewId="0">
      <pane xSplit="1" ySplit="1" topLeftCell="D15" activePane="bottomRight" state="frozen"/>
      <selection activeCell="L21" sqref="L21"/>
      <selection pane="topRight" activeCell="L21" sqref="L21"/>
      <selection pane="bottomLeft" activeCell="L21" sqref="L21"/>
      <selection pane="bottomRight" activeCell="D21" sqref="D21"/>
    </sheetView>
  </sheetViews>
  <sheetFormatPr baseColWidth="10" defaultRowHeight="25" customHeight="1"/>
  <cols>
    <col min="1" max="1" width="20.5" style="372" customWidth="1"/>
    <col min="2" max="9" width="16.6640625" style="373" customWidth="1"/>
    <col min="10" max="10" width="3.1640625" style="372" customWidth="1"/>
    <col min="11" max="11" width="18.5" style="381" bestFit="1" customWidth="1"/>
    <col min="12" max="12" width="24.83203125" style="381" customWidth="1"/>
    <col min="13" max="13" width="13" style="381" bestFit="1" customWidth="1"/>
    <col min="14" max="14" width="14" style="389" customWidth="1"/>
    <col min="15" max="15" width="8" style="381" customWidth="1"/>
    <col min="16" max="16" width="13.83203125" style="389" bestFit="1" customWidth="1"/>
    <col min="17" max="18" width="12.5" style="381" customWidth="1"/>
    <col min="19" max="19" width="14.5" style="381" bestFit="1" customWidth="1"/>
    <col min="20" max="16384" width="10.83203125" style="372"/>
  </cols>
  <sheetData>
    <row r="1" spans="1:19" s="371" customFormat="1" ht="25" customHeight="1">
      <c r="A1" s="374" t="s">
        <v>1612</v>
      </c>
      <c r="B1" s="375">
        <v>44703</v>
      </c>
      <c r="C1" s="375">
        <v>44734</v>
      </c>
      <c r="D1" s="375">
        <v>44764</v>
      </c>
      <c r="E1" s="375">
        <v>44795</v>
      </c>
      <c r="F1" s="375">
        <v>44826</v>
      </c>
      <c r="G1" s="375">
        <v>44856</v>
      </c>
      <c r="H1" s="375">
        <v>44887</v>
      </c>
      <c r="I1" s="375">
        <v>44917</v>
      </c>
      <c r="K1" s="382" t="s">
        <v>1613</v>
      </c>
      <c r="L1" s="382" t="s">
        <v>1617</v>
      </c>
      <c r="M1" s="382" t="s">
        <v>1614</v>
      </c>
      <c r="N1" s="387" t="s">
        <v>1615</v>
      </c>
      <c r="O1" s="382" t="s">
        <v>1616</v>
      </c>
      <c r="P1" s="387" t="s">
        <v>1623</v>
      </c>
      <c r="Q1" s="382" t="s">
        <v>1624</v>
      </c>
      <c r="R1" s="382" t="s">
        <v>1627</v>
      </c>
      <c r="S1" s="382" t="s">
        <v>1619</v>
      </c>
    </row>
    <row r="2" spans="1:19" s="371" customFormat="1" ht="25" customHeight="1">
      <c r="A2" s="376" t="s">
        <v>1949</v>
      </c>
      <c r="B2" s="379"/>
      <c r="C2" s="379"/>
      <c r="D2" s="379"/>
      <c r="E2" s="379"/>
      <c r="F2" s="379"/>
      <c r="G2" s="379"/>
      <c r="H2" s="379">
        <f>600*4</f>
        <v>2400</v>
      </c>
      <c r="I2" s="379"/>
      <c r="K2" s="424" t="s">
        <v>1621</v>
      </c>
      <c r="L2" s="424" t="s">
        <v>1622</v>
      </c>
      <c r="M2" s="425">
        <v>44673</v>
      </c>
      <c r="N2" s="426">
        <v>6700</v>
      </c>
      <c r="O2" s="427">
        <v>6</v>
      </c>
      <c r="P2" s="426">
        <f>+N2/O2</f>
        <v>1116.6666666666667</v>
      </c>
      <c r="Q2" s="428">
        <v>44682</v>
      </c>
      <c r="R2" s="428">
        <v>44856</v>
      </c>
      <c r="S2" s="427" t="s">
        <v>1706</v>
      </c>
    </row>
    <row r="3" spans="1:19" ht="25" customHeight="1">
      <c r="A3" s="377" t="s">
        <v>1597</v>
      </c>
      <c r="B3" s="379">
        <v>0</v>
      </c>
      <c r="C3" s="379">
        <v>14250</v>
      </c>
      <c r="D3" s="379">
        <f>12785</f>
        <v>12785</v>
      </c>
      <c r="E3" s="379">
        <v>12655.5</v>
      </c>
      <c r="F3" s="379">
        <v>13000</v>
      </c>
      <c r="G3" s="379">
        <v>12700</v>
      </c>
      <c r="H3" s="379">
        <f>34178/2</f>
        <v>17089</v>
      </c>
      <c r="I3" s="379">
        <f>+'12-22 '!C30</f>
        <v>18286</v>
      </c>
      <c r="K3" s="424" t="s">
        <v>1618</v>
      </c>
      <c r="L3" s="424" t="s">
        <v>1620</v>
      </c>
      <c r="M3" s="425">
        <v>44673</v>
      </c>
      <c r="N3" s="426">
        <f>5500/2</f>
        <v>2750</v>
      </c>
      <c r="O3" s="427">
        <v>1</v>
      </c>
      <c r="P3" s="426">
        <f t="shared" ref="P3:P11" si="0">+N3/O3</f>
        <v>2750</v>
      </c>
      <c r="Q3" s="428">
        <v>44682</v>
      </c>
      <c r="R3" s="428">
        <v>44682</v>
      </c>
      <c r="S3" s="427" t="s">
        <v>1706</v>
      </c>
    </row>
    <row r="4" spans="1:19" ht="25" customHeight="1">
      <c r="A4" s="377" t="s">
        <v>1607</v>
      </c>
      <c r="B4" s="379">
        <v>0</v>
      </c>
      <c r="C4" s="379">
        <v>4250</v>
      </c>
      <c r="D4" s="379">
        <v>4250</v>
      </c>
      <c r="E4" s="379">
        <v>4250</v>
      </c>
      <c r="F4" s="379">
        <f>2500+30000</f>
        <v>32500</v>
      </c>
      <c r="G4" s="379">
        <f>2500+30000</f>
        <v>32500</v>
      </c>
      <c r="H4" s="379">
        <v>32500</v>
      </c>
      <c r="I4" s="379">
        <v>32500</v>
      </c>
      <c r="K4" s="424" t="s">
        <v>46</v>
      </c>
      <c r="L4" s="424" t="s">
        <v>1625</v>
      </c>
      <c r="M4" s="425">
        <v>44681</v>
      </c>
      <c r="N4" s="426">
        <v>2900</v>
      </c>
      <c r="O4" s="427">
        <v>3</v>
      </c>
      <c r="P4" s="426">
        <f t="shared" si="0"/>
        <v>966.66666666666663</v>
      </c>
      <c r="Q4" s="428">
        <v>44734</v>
      </c>
      <c r="R4" s="428">
        <v>44795</v>
      </c>
      <c r="S4" s="427" t="s">
        <v>1706</v>
      </c>
    </row>
    <row r="5" spans="1:19" ht="25" customHeight="1">
      <c r="A5" s="377" t="s">
        <v>466</v>
      </c>
      <c r="B5" s="379">
        <v>0</v>
      </c>
      <c r="C5" s="379">
        <v>0</v>
      </c>
      <c r="D5" s="379">
        <v>145</v>
      </c>
      <c r="E5" s="379"/>
      <c r="F5" s="379"/>
      <c r="G5" s="379"/>
      <c r="H5" s="379"/>
      <c r="I5" s="379"/>
      <c r="K5" s="424" t="s">
        <v>46</v>
      </c>
      <c r="L5" s="424" t="s">
        <v>1629</v>
      </c>
      <c r="M5" s="425">
        <v>44703</v>
      </c>
      <c r="N5" s="426">
        <v>18900</v>
      </c>
      <c r="O5" s="427">
        <v>6</v>
      </c>
      <c r="P5" s="426">
        <f t="shared" si="0"/>
        <v>3150</v>
      </c>
      <c r="Q5" s="428">
        <v>44734</v>
      </c>
      <c r="R5" s="428">
        <v>44887</v>
      </c>
      <c r="S5" s="427" t="s">
        <v>1706</v>
      </c>
    </row>
    <row r="6" spans="1:19" ht="25" customHeight="1">
      <c r="A6" s="377" t="s">
        <v>467</v>
      </c>
      <c r="B6" s="379">
        <v>0</v>
      </c>
      <c r="C6" s="379">
        <v>0</v>
      </c>
      <c r="D6" s="379">
        <v>1047.5</v>
      </c>
      <c r="E6" s="379">
        <v>1047.5</v>
      </c>
      <c r="F6" s="379">
        <v>1047.5</v>
      </c>
      <c r="G6" s="379">
        <v>1047.5</v>
      </c>
      <c r="H6" s="379">
        <v>1047.5</v>
      </c>
      <c r="I6" s="379">
        <v>1047.5</v>
      </c>
      <c r="K6" s="424" t="s">
        <v>1628</v>
      </c>
      <c r="L6" s="424" t="s">
        <v>1630</v>
      </c>
      <c r="M6" s="425">
        <v>44703</v>
      </c>
      <c r="N6" s="426">
        <v>18999</v>
      </c>
      <c r="O6" s="427">
        <v>6</v>
      </c>
      <c r="P6" s="426">
        <f t="shared" si="0"/>
        <v>3166.5</v>
      </c>
      <c r="Q6" s="428">
        <v>44734</v>
      </c>
      <c r="R6" s="428">
        <v>44887</v>
      </c>
      <c r="S6" s="427" t="s">
        <v>1706</v>
      </c>
    </row>
    <row r="7" spans="1:19" ht="25" customHeight="1">
      <c r="A7" s="377" t="s">
        <v>1598</v>
      </c>
      <c r="B7" s="379">
        <v>0</v>
      </c>
      <c r="C7" s="379">
        <v>0</v>
      </c>
      <c r="D7" s="379">
        <v>1100</v>
      </c>
      <c r="E7" s="379"/>
      <c r="F7" s="379"/>
      <c r="G7" s="379"/>
      <c r="H7" s="379"/>
      <c r="I7" s="379"/>
      <c r="K7" s="424" t="s">
        <v>1628</v>
      </c>
      <c r="L7" s="424" t="s">
        <v>1704</v>
      </c>
      <c r="M7" s="425">
        <v>44713</v>
      </c>
      <c r="N7" s="426">
        <v>12380</v>
      </c>
      <c r="O7" s="427">
        <v>1</v>
      </c>
      <c r="P7" s="426">
        <f>+N7/O7</f>
        <v>12380</v>
      </c>
      <c r="Q7" s="425">
        <v>44764</v>
      </c>
      <c r="R7" s="425">
        <v>44764</v>
      </c>
      <c r="S7" s="427" t="s">
        <v>1705</v>
      </c>
    </row>
    <row r="8" spans="1:19" ht="25" customHeight="1">
      <c r="A8" s="377" t="s">
        <v>1608</v>
      </c>
      <c r="B8" s="380">
        <v>5000</v>
      </c>
      <c r="C8" s="379">
        <v>5000</v>
      </c>
      <c r="D8" s="379">
        <v>5000</v>
      </c>
      <c r="E8" s="379">
        <v>5000</v>
      </c>
      <c r="F8" s="379">
        <v>5000</v>
      </c>
      <c r="G8" s="379">
        <v>5000</v>
      </c>
      <c r="H8" s="379">
        <v>5000</v>
      </c>
      <c r="I8" s="379">
        <v>5000</v>
      </c>
      <c r="K8" s="424" t="s">
        <v>1628</v>
      </c>
      <c r="L8" s="424" t="s">
        <v>1800</v>
      </c>
      <c r="M8" s="425">
        <v>44743</v>
      </c>
      <c r="N8" s="426">
        <v>1800</v>
      </c>
      <c r="O8" s="427">
        <v>1</v>
      </c>
      <c r="P8" s="426">
        <f t="shared" si="0"/>
        <v>1800</v>
      </c>
      <c r="Q8" s="425">
        <v>44764</v>
      </c>
      <c r="R8" s="425">
        <v>44764</v>
      </c>
      <c r="S8" s="427" t="s">
        <v>1706</v>
      </c>
    </row>
    <row r="9" spans="1:19" ht="25" customHeight="1">
      <c r="A9" s="377" t="s">
        <v>29</v>
      </c>
      <c r="B9" s="380">
        <v>1100</v>
      </c>
      <c r="C9" s="379">
        <v>1100</v>
      </c>
      <c r="D9" s="379">
        <v>1100</v>
      </c>
      <c r="E9" s="379">
        <v>1100</v>
      </c>
      <c r="F9" s="379">
        <v>1100</v>
      </c>
      <c r="G9" s="379">
        <v>1100</v>
      </c>
      <c r="H9" s="379">
        <v>1100</v>
      </c>
      <c r="I9" s="379">
        <v>1100</v>
      </c>
      <c r="K9" s="424" t="s">
        <v>46</v>
      </c>
      <c r="L9" s="424" t="s">
        <v>1799</v>
      </c>
      <c r="M9" s="425">
        <v>44745</v>
      </c>
      <c r="N9" s="426">
        <v>5600</v>
      </c>
      <c r="O9" s="427">
        <v>3</v>
      </c>
      <c r="P9" s="426">
        <f t="shared" si="0"/>
        <v>1866.6666666666667</v>
      </c>
      <c r="Q9" s="425">
        <v>44764</v>
      </c>
      <c r="R9" s="425">
        <v>44826</v>
      </c>
      <c r="S9" s="427" t="s">
        <v>1706</v>
      </c>
    </row>
    <row r="10" spans="1:19" ht="25" customHeight="1">
      <c r="A10" s="377" t="s">
        <v>45</v>
      </c>
      <c r="B10" s="380">
        <v>3800</v>
      </c>
      <c r="C10" s="379">
        <v>4500</v>
      </c>
      <c r="D10" s="379">
        <v>4500</v>
      </c>
      <c r="E10" s="379">
        <v>4500</v>
      </c>
      <c r="F10" s="379">
        <v>0</v>
      </c>
      <c r="G10" s="379"/>
      <c r="H10" s="379">
        <v>4500</v>
      </c>
      <c r="I10" s="379">
        <v>4500</v>
      </c>
      <c r="K10" s="424" t="s">
        <v>24</v>
      </c>
      <c r="L10" s="424" t="s">
        <v>1810</v>
      </c>
      <c r="M10" s="425">
        <v>44745</v>
      </c>
      <c r="N10" s="426">
        <v>6000</v>
      </c>
      <c r="O10" s="427">
        <v>3</v>
      </c>
      <c r="P10" s="426">
        <f t="shared" si="0"/>
        <v>2000</v>
      </c>
      <c r="Q10" s="425">
        <v>44764</v>
      </c>
      <c r="R10" s="425">
        <v>44826</v>
      </c>
      <c r="S10" s="427" t="s">
        <v>1706</v>
      </c>
    </row>
    <row r="11" spans="1:19" ht="25" customHeight="1">
      <c r="A11" s="377" t="s">
        <v>1609</v>
      </c>
      <c r="B11" s="380">
        <v>9000</v>
      </c>
      <c r="C11" s="379">
        <v>4500</v>
      </c>
      <c r="D11" s="379">
        <v>4500</v>
      </c>
      <c r="E11" s="379">
        <v>9000</v>
      </c>
      <c r="F11" s="379">
        <v>0</v>
      </c>
      <c r="G11" s="379">
        <v>9000</v>
      </c>
      <c r="H11" s="379">
        <v>4500</v>
      </c>
      <c r="I11" s="379">
        <v>4500</v>
      </c>
      <c r="K11" s="383" t="s">
        <v>24</v>
      </c>
      <c r="L11" s="383" t="s">
        <v>1811</v>
      </c>
      <c r="M11" s="384">
        <v>44745</v>
      </c>
      <c r="N11" s="388">
        <v>30690</v>
      </c>
      <c r="O11" s="385">
        <v>6</v>
      </c>
      <c r="P11" s="447">
        <f t="shared" si="0"/>
        <v>5115</v>
      </c>
      <c r="Q11" s="384">
        <v>44764</v>
      </c>
      <c r="R11" s="384">
        <v>44917</v>
      </c>
      <c r="S11" s="385" t="s">
        <v>1993</v>
      </c>
    </row>
    <row r="12" spans="1:19" ht="25" customHeight="1">
      <c r="A12" s="377" t="s">
        <v>1610</v>
      </c>
      <c r="B12" s="380">
        <v>4200</v>
      </c>
      <c r="C12" s="379">
        <v>4200</v>
      </c>
      <c r="D12" s="379">
        <v>4200</v>
      </c>
      <c r="E12" s="379">
        <v>0</v>
      </c>
      <c r="F12" s="379">
        <v>0</v>
      </c>
      <c r="G12" s="379">
        <v>0</v>
      </c>
      <c r="H12" s="379">
        <v>0</v>
      </c>
      <c r="I12" s="379">
        <v>0</v>
      </c>
      <c r="K12" s="424" t="s">
        <v>46</v>
      </c>
      <c r="L12" s="424" t="s">
        <v>1804</v>
      </c>
      <c r="M12" s="425">
        <v>44766</v>
      </c>
      <c r="N12" s="426">
        <f>1725.33*0.85</f>
        <v>1466.5304999999998</v>
      </c>
      <c r="O12" s="427">
        <v>1</v>
      </c>
      <c r="P12" s="426">
        <f>+N12/O12</f>
        <v>1466.5304999999998</v>
      </c>
      <c r="Q12" s="425">
        <v>44764</v>
      </c>
      <c r="R12" s="425">
        <v>44764</v>
      </c>
      <c r="S12" s="427" t="s">
        <v>1706</v>
      </c>
    </row>
    <row r="13" spans="1:19" ht="25" customHeight="1">
      <c r="A13" s="377" t="s">
        <v>1626</v>
      </c>
      <c r="B13" s="380">
        <v>890</v>
      </c>
      <c r="C13" s="379">
        <v>890</v>
      </c>
      <c r="D13" s="379">
        <v>0</v>
      </c>
      <c r="E13" s="379">
        <v>0</v>
      </c>
      <c r="F13" s="379">
        <v>0</v>
      </c>
      <c r="G13" s="379">
        <v>0</v>
      </c>
      <c r="H13" s="379">
        <v>0</v>
      </c>
      <c r="I13" s="379">
        <v>0</v>
      </c>
      <c r="K13" s="424" t="s">
        <v>46</v>
      </c>
      <c r="L13" s="424" t="s">
        <v>1845</v>
      </c>
      <c r="M13" s="425">
        <v>44786</v>
      </c>
      <c r="N13" s="426">
        <v>3900</v>
      </c>
      <c r="O13" s="427">
        <v>3</v>
      </c>
      <c r="P13" s="426">
        <f>+N13/O13</f>
        <v>1300</v>
      </c>
      <c r="Q13" s="425">
        <v>44826</v>
      </c>
      <c r="R13" s="425">
        <v>44887</v>
      </c>
      <c r="S13" s="427" t="s">
        <v>1706</v>
      </c>
    </row>
    <row r="14" spans="1:19" ht="25" customHeight="1">
      <c r="A14" s="377" t="s">
        <v>876</v>
      </c>
      <c r="B14" s="380">
        <v>25000</v>
      </c>
      <c r="C14" s="379">
        <v>0</v>
      </c>
      <c r="D14" s="379">
        <v>25000</v>
      </c>
      <c r="E14" s="379">
        <v>0</v>
      </c>
      <c r="F14" s="379">
        <v>0</v>
      </c>
      <c r="G14" s="379">
        <v>35000</v>
      </c>
      <c r="H14" s="379">
        <v>0</v>
      </c>
      <c r="I14" s="379">
        <v>35000</v>
      </c>
      <c r="K14" s="383" t="s">
        <v>46</v>
      </c>
      <c r="L14" s="383" t="s">
        <v>1846</v>
      </c>
      <c r="M14" s="384">
        <v>44786</v>
      </c>
      <c r="N14" s="388">
        <v>9100</v>
      </c>
      <c r="O14" s="385">
        <v>6</v>
      </c>
      <c r="P14" s="446">
        <f t="shared" ref="P14:P20" si="1">+N14/O14</f>
        <v>1516.6666666666667</v>
      </c>
      <c r="Q14" s="384">
        <v>44826</v>
      </c>
      <c r="R14" s="386">
        <v>44980</v>
      </c>
      <c r="S14" s="385" t="s">
        <v>1843</v>
      </c>
    </row>
    <row r="15" spans="1:19" ht="25" customHeight="1">
      <c r="A15" s="377" t="s">
        <v>1820</v>
      </c>
      <c r="B15" s="380">
        <v>0</v>
      </c>
      <c r="C15" s="379">
        <v>0</v>
      </c>
      <c r="D15" s="379">
        <f>+P6+P8+P10+P11</f>
        <v>12081.5</v>
      </c>
      <c r="E15" s="379">
        <f>+P6+P10+P11</f>
        <v>10281.5</v>
      </c>
      <c r="F15" s="379">
        <f>+P6+P10+P11+P16+P15</f>
        <v>24880.593333333331</v>
      </c>
      <c r="G15" s="379">
        <f>+P11+P6+P16+P15+P17</f>
        <v>26047.26</v>
      </c>
      <c r="H15" s="379">
        <f>+P11+P6+P16+P15+P17</f>
        <v>26047.26</v>
      </c>
      <c r="I15" s="379">
        <f>+P11+P16+P17+P26</f>
        <v>19070.166666666664</v>
      </c>
      <c r="K15" s="424" t="s">
        <v>1618</v>
      </c>
      <c r="L15" s="424" t="s">
        <v>1867</v>
      </c>
      <c r="M15" s="425">
        <v>44790</v>
      </c>
      <c r="N15" s="426">
        <v>39931.78</v>
      </c>
      <c r="O15" s="427">
        <v>3</v>
      </c>
      <c r="P15" s="426">
        <f t="shared" si="1"/>
        <v>13310.593333333332</v>
      </c>
      <c r="Q15" s="425">
        <v>44826</v>
      </c>
      <c r="R15" s="425">
        <v>44887</v>
      </c>
      <c r="S15" s="427" t="s">
        <v>1706</v>
      </c>
    </row>
    <row r="16" spans="1:19" ht="25" customHeight="1">
      <c r="A16" s="377" t="s">
        <v>1821</v>
      </c>
      <c r="B16" s="379">
        <f>+P2+P3</f>
        <v>3866.666666666667</v>
      </c>
      <c r="C16" s="379">
        <f>+P2+P4+P5+P6</f>
        <v>8399.8333333333339</v>
      </c>
      <c r="D16" s="379">
        <f>+P2+P4+P5+P9+P12</f>
        <v>8566.5305000000008</v>
      </c>
      <c r="E16" s="379">
        <f>+P2+P4+P5+P9</f>
        <v>7100.0000000000009</v>
      </c>
      <c r="F16" s="379">
        <f>+P5+P9+P13+P14+P18</f>
        <v>12122.333333333334</v>
      </c>
      <c r="G16" s="379">
        <f>+P2+P5+P13+P14+P19+P20</f>
        <v>10263.773333333334</v>
      </c>
      <c r="H16" s="379">
        <f>+P5+P13+P14+P20+P22+P21+P24+P23</f>
        <v>21085.108166666669</v>
      </c>
      <c r="I16" s="379">
        <f>+P14+P20+P25</f>
        <v>4906.666666666667</v>
      </c>
      <c r="K16" s="383" t="s">
        <v>1618</v>
      </c>
      <c r="L16" s="439" t="s">
        <v>1868</v>
      </c>
      <c r="M16" s="384">
        <v>44790</v>
      </c>
      <c r="N16" s="388">
        <v>7731</v>
      </c>
      <c r="O16" s="385">
        <v>6</v>
      </c>
      <c r="P16" s="447">
        <f t="shared" si="1"/>
        <v>1288.5</v>
      </c>
      <c r="Q16" s="384">
        <v>44826</v>
      </c>
      <c r="R16" s="386">
        <v>44980</v>
      </c>
      <c r="S16" s="385" t="s">
        <v>1843</v>
      </c>
    </row>
    <row r="17" spans="1:19" ht="25" customHeight="1">
      <c r="A17" s="377" t="s">
        <v>1822</v>
      </c>
      <c r="B17" s="379">
        <v>0</v>
      </c>
      <c r="C17" s="379">
        <v>0</v>
      </c>
      <c r="D17" s="379">
        <v>0</v>
      </c>
      <c r="E17" s="379"/>
      <c r="F17" s="379"/>
      <c r="G17" s="379"/>
      <c r="H17" s="379"/>
      <c r="I17" s="379"/>
      <c r="K17" s="383" t="s">
        <v>1618</v>
      </c>
      <c r="L17" s="383" t="s">
        <v>1877</v>
      </c>
      <c r="M17" s="384">
        <v>44800</v>
      </c>
      <c r="N17" s="388">
        <v>9500</v>
      </c>
      <c r="O17" s="385">
        <v>3</v>
      </c>
      <c r="P17" s="447">
        <f t="shared" si="1"/>
        <v>3166.6666666666665</v>
      </c>
      <c r="Q17" s="384">
        <v>44856</v>
      </c>
      <c r="R17" s="386">
        <v>44917</v>
      </c>
      <c r="S17" s="385" t="s">
        <v>1994</v>
      </c>
    </row>
    <row r="18" spans="1:19" ht="25" customHeight="1">
      <c r="A18" s="377" t="s">
        <v>1611</v>
      </c>
      <c r="B18" s="380">
        <v>25000</v>
      </c>
      <c r="C18" s="379">
        <v>25000</v>
      </c>
      <c r="D18" s="379">
        <v>0</v>
      </c>
      <c r="E18" s="379">
        <v>37000</v>
      </c>
      <c r="F18" s="379">
        <v>0</v>
      </c>
      <c r="G18" s="379">
        <v>13922.33</v>
      </c>
      <c r="H18" s="379">
        <v>10000</v>
      </c>
      <c r="I18" s="379"/>
      <c r="J18" s="423"/>
      <c r="K18" s="424" t="s">
        <v>46</v>
      </c>
      <c r="L18" s="424" t="s">
        <v>1894</v>
      </c>
      <c r="M18" s="425">
        <v>44768</v>
      </c>
      <c r="N18" s="426">
        <v>4289</v>
      </c>
      <c r="O18" s="427">
        <v>1</v>
      </c>
      <c r="P18" s="426">
        <f t="shared" si="1"/>
        <v>4289</v>
      </c>
      <c r="Q18" s="425">
        <v>44826</v>
      </c>
      <c r="R18" s="425">
        <v>44826</v>
      </c>
      <c r="S18" s="427" t="s">
        <v>1706</v>
      </c>
    </row>
    <row r="19" spans="1:19" ht="25" customHeight="1">
      <c r="B19" s="378">
        <f>SUM(B2:B18)</f>
        <v>77856.666666666657</v>
      </c>
      <c r="C19" s="378">
        <f t="shared" ref="C19:I19" si="2">SUM(C2:C18)</f>
        <v>72089.833333333343</v>
      </c>
      <c r="D19" s="378">
        <f t="shared" si="2"/>
        <v>84275.530499999993</v>
      </c>
      <c r="E19" s="378">
        <f t="shared" si="2"/>
        <v>91934.5</v>
      </c>
      <c r="F19" s="378">
        <f t="shared" si="2"/>
        <v>89650.426666666652</v>
      </c>
      <c r="G19" s="378">
        <f>SUM(G2:G18)</f>
        <v>146580.86333333331</v>
      </c>
      <c r="H19" s="378">
        <f>SUM(H2:H18)</f>
        <v>125268.86816666667</v>
      </c>
      <c r="I19" s="378">
        <f t="shared" si="2"/>
        <v>125910.33333333333</v>
      </c>
      <c r="K19" s="424" t="s">
        <v>46</v>
      </c>
      <c r="L19" s="424" t="s">
        <v>1911</v>
      </c>
      <c r="M19" s="425">
        <v>44824</v>
      </c>
      <c r="N19" s="426">
        <v>1580.44</v>
      </c>
      <c r="O19" s="427">
        <v>1</v>
      </c>
      <c r="P19" s="426">
        <f t="shared" si="1"/>
        <v>1580.44</v>
      </c>
      <c r="Q19" s="425">
        <v>44856</v>
      </c>
      <c r="R19" s="425">
        <v>44856</v>
      </c>
      <c r="S19" s="427" t="s">
        <v>1706</v>
      </c>
    </row>
    <row r="20" spans="1:19" ht="25" customHeight="1">
      <c r="D20" s="419">
        <f t="shared" ref="D20:I20" si="3">-8900/6</f>
        <v>-1483.3333333333333</v>
      </c>
      <c r="E20" s="419">
        <f t="shared" si="3"/>
        <v>-1483.3333333333333</v>
      </c>
      <c r="F20" s="419">
        <f t="shared" si="3"/>
        <v>-1483.3333333333333</v>
      </c>
      <c r="G20" s="419">
        <f t="shared" si="3"/>
        <v>-1483.3333333333333</v>
      </c>
      <c r="H20" s="419">
        <f t="shared" si="3"/>
        <v>-1483.3333333333333</v>
      </c>
      <c r="I20" s="419">
        <f t="shared" si="3"/>
        <v>-1483.3333333333333</v>
      </c>
      <c r="K20" s="383" t="s">
        <v>46</v>
      </c>
      <c r="L20" s="383" t="s">
        <v>1622</v>
      </c>
      <c r="M20" s="384">
        <v>44833</v>
      </c>
      <c r="N20" s="388">
        <f>1600*6</f>
        <v>9600</v>
      </c>
      <c r="O20" s="385">
        <v>6</v>
      </c>
      <c r="P20" s="446">
        <f t="shared" si="1"/>
        <v>1600</v>
      </c>
      <c r="Q20" s="384">
        <v>44856</v>
      </c>
      <c r="R20" s="384">
        <v>44643</v>
      </c>
      <c r="S20" s="385" t="s">
        <v>1844</v>
      </c>
    </row>
    <row r="21" spans="1:19" ht="25" customHeight="1">
      <c r="B21" s="392"/>
      <c r="C21" s="393"/>
      <c r="D21" s="421" t="s">
        <v>1812</v>
      </c>
      <c r="K21" s="424" t="s">
        <v>46</v>
      </c>
      <c r="L21" s="424" t="s">
        <v>585</v>
      </c>
      <c r="M21" s="425">
        <v>44845</v>
      </c>
      <c r="N21" s="426">
        <f>3776.99*0.85</f>
        <v>3210.4414999999999</v>
      </c>
      <c r="O21" s="427">
        <v>1</v>
      </c>
      <c r="P21" s="426">
        <f>+N21</f>
        <v>3210.4414999999999</v>
      </c>
      <c r="Q21" s="425">
        <v>44887</v>
      </c>
      <c r="R21" s="425">
        <v>44887</v>
      </c>
      <c r="S21" s="427" t="s">
        <v>1706</v>
      </c>
    </row>
    <row r="22" spans="1:19" ht="25" customHeight="1">
      <c r="F22" s="445"/>
      <c r="G22" s="445"/>
      <c r="H22" s="445"/>
      <c r="K22" s="424" t="s">
        <v>46</v>
      </c>
      <c r="L22" s="424" t="s">
        <v>1911</v>
      </c>
      <c r="M22" s="425">
        <v>44852</v>
      </c>
      <c r="N22" s="426">
        <v>1508</v>
      </c>
      <c r="O22" s="427">
        <v>1</v>
      </c>
      <c r="P22" s="426">
        <f>+N22</f>
        <v>1508</v>
      </c>
      <c r="Q22" s="425">
        <v>44887</v>
      </c>
      <c r="R22" s="425">
        <v>44887</v>
      </c>
      <c r="S22" s="427" t="s">
        <v>1706</v>
      </c>
    </row>
    <row r="23" spans="1:19" ht="25" customHeight="1">
      <c r="G23" s="445"/>
      <c r="K23" s="424" t="s">
        <v>46</v>
      </c>
      <c r="L23" s="424" t="s">
        <v>101</v>
      </c>
      <c r="M23" s="425">
        <v>44855</v>
      </c>
      <c r="N23" s="426">
        <v>4000</v>
      </c>
      <c r="O23" s="427">
        <v>1</v>
      </c>
      <c r="P23" s="426">
        <f>+N23/O23</f>
        <v>4000</v>
      </c>
      <c r="Q23" s="425">
        <v>44887</v>
      </c>
      <c r="R23" s="425">
        <v>44887</v>
      </c>
      <c r="S23" s="427" t="s">
        <v>1706</v>
      </c>
    </row>
    <row r="24" spans="1:19" ht="25" customHeight="1">
      <c r="K24" s="424" t="s">
        <v>46</v>
      </c>
      <c r="L24" s="424" t="s">
        <v>1970</v>
      </c>
      <c r="M24" s="425">
        <v>44859</v>
      </c>
      <c r="N24" s="426">
        <v>4800</v>
      </c>
      <c r="O24" s="427">
        <v>1</v>
      </c>
      <c r="P24" s="426">
        <f>+N24/O24</f>
        <v>4800</v>
      </c>
      <c r="Q24" s="425">
        <v>44887</v>
      </c>
      <c r="R24" s="425">
        <v>44887</v>
      </c>
      <c r="S24" s="427" t="s">
        <v>1706</v>
      </c>
    </row>
    <row r="25" spans="1:19" ht="25" customHeight="1">
      <c r="K25" s="383" t="s">
        <v>46</v>
      </c>
      <c r="L25" s="383" t="s">
        <v>2062</v>
      </c>
      <c r="M25" s="384">
        <v>44891</v>
      </c>
      <c r="N25" s="388">
        <v>1790</v>
      </c>
      <c r="O25" s="385">
        <v>1</v>
      </c>
      <c r="P25" s="446">
        <f>+N25/O25</f>
        <v>1790</v>
      </c>
      <c r="Q25" s="384">
        <v>44917</v>
      </c>
      <c r="R25" s="384">
        <v>44917</v>
      </c>
      <c r="S25" s="385" t="s">
        <v>1706</v>
      </c>
    </row>
    <row r="26" spans="1:19" ht="25" customHeight="1">
      <c r="K26" s="383" t="s">
        <v>1618</v>
      </c>
      <c r="L26" s="383" t="s">
        <v>2063</v>
      </c>
      <c r="M26" s="384">
        <v>44891</v>
      </c>
      <c r="N26" s="388">
        <v>28500</v>
      </c>
      <c r="O26" s="385">
        <v>3</v>
      </c>
      <c r="P26" s="447">
        <f>+N26/O26</f>
        <v>9500</v>
      </c>
      <c r="Q26" s="384">
        <v>44917</v>
      </c>
      <c r="R26" s="384">
        <v>44614</v>
      </c>
      <c r="S26" s="385"/>
    </row>
    <row r="27" spans="1:19" ht="25" customHeight="1">
      <c r="K27" s="383"/>
      <c r="L27" s="383"/>
      <c r="M27" s="385"/>
      <c r="N27" s="388"/>
      <c r="O27" s="385"/>
      <c r="P27" s="388"/>
      <c r="Q27" s="385"/>
      <c r="R27" s="385"/>
      <c r="S27" s="385"/>
    </row>
    <row r="28" spans="1:19" ht="25" customHeight="1">
      <c r="K28" s="383"/>
      <c r="L28" s="383"/>
      <c r="M28" s="385"/>
      <c r="N28" s="388"/>
      <c r="O28" s="385"/>
      <c r="P28" s="388"/>
      <c r="Q28" s="385"/>
      <c r="R28" s="385"/>
      <c r="S28" s="385"/>
    </row>
    <row r="29" spans="1:19" ht="25" customHeight="1">
      <c r="K29" s="383"/>
      <c r="L29" s="383"/>
      <c r="M29" s="385"/>
      <c r="N29" s="388"/>
      <c r="O29" s="385"/>
      <c r="P29" s="388"/>
      <c r="Q29" s="385"/>
      <c r="R29" s="385"/>
      <c r="S29" s="385"/>
    </row>
    <row r="30" spans="1:19" ht="25" customHeight="1">
      <c r="K30" s="383"/>
      <c r="L30" s="383"/>
      <c r="M30" s="385"/>
      <c r="N30" s="388"/>
      <c r="O30" s="385"/>
      <c r="P30" s="388"/>
      <c r="Q30" s="385"/>
      <c r="R30" s="385"/>
      <c r="S30" s="385"/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7B6A-E82A-064D-8585-6BBDA7FC316A}">
  <dimension ref="A2:Q27"/>
  <sheetViews>
    <sheetView workbookViewId="0">
      <selection activeCell="K20" sqref="K20"/>
    </sheetView>
  </sheetViews>
  <sheetFormatPr baseColWidth="10" defaultRowHeight="16"/>
  <cols>
    <col min="1" max="1" width="4.1640625" customWidth="1"/>
    <col min="2" max="2" width="12.1640625" bestFit="1" customWidth="1"/>
    <col min="3" max="14" width="11.5" bestFit="1" customWidth="1"/>
    <col min="15" max="15" width="11.1640625" customWidth="1"/>
    <col min="16" max="16" width="11.5" bestFit="1" customWidth="1"/>
  </cols>
  <sheetData>
    <row r="2" spans="1:17">
      <c r="B2" s="77" t="s">
        <v>462</v>
      </c>
      <c r="C2" s="78" t="s">
        <v>596</v>
      </c>
      <c r="D2" s="78" t="s">
        <v>597</v>
      </c>
      <c r="E2" s="78" t="s">
        <v>598</v>
      </c>
      <c r="F2" s="78" t="s">
        <v>599</v>
      </c>
      <c r="G2" s="78" t="s">
        <v>600</v>
      </c>
      <c r="H2" s="78" t="s">
        <v>601</v>
      </c>
      <c r="I2" s="78" t="s">
        <v>602</v>
      </c>
      <c r="J2" s="78" t="s">
        <v>603</v>
      </c>
      <c r="K2" s="78" t="s">
        <v>841</v>
      </c>
      <c r="L2" s="78" t="s">
        <v>842</v>
      </c>
      <c r="M2" s="78" t="s">
        <v>843</v>
      </c>
      <c r="N2" s="78" t="s">
        <v>1117</v>
      </c>
      <c r="O2" s="78" t="s">
        <v>596</v>
      </c>
      <c r="P2" s="78" t="s">
        <v>597</v>
      </c>
      <c r="Q2" s="78" t="s">
        <v>598</v>
      </c>
    </row>
    <row r="3" spans="1:17">
      <c r="A3" s="82" t="s">
        <v>481</v>
      </c>
      <c r="B3" s="34" t="s">
        <v>463</v>
      </c>
      <c r="C3" s="87">
        <v>5000</v>
      </c>
      <c r="D3" s="87">
        <v>5000</v>
      </c>
      <c r="E3" s="87">
        <v>5000</v>
      </c>
      <c r="F3" s="87">
        <v>6500</v>
      </c>
      <c r="G3" s="87">
        <v>6500</v>
      </c>
      <c r="H3" s="87">
        <f>6500+600</f>
        <v>7100</v>
      </c>
      <c r="I3" s="87">
        <v>6500</v>
      </c>
      <c r="J3" s="87">
        <v>6500</v>
      </c>
      <c r="K3" s="87">
        <v>6500</v>
      </c>
      <c r="L3" s="87">
        <v>6500</v>
      </c>
      <c r="M3" s="87">
        <v>6500</v>
      </c>
      <c r="N3" s="87">
        <v>6500</v>
      </c>
      <c r="O3" s="87">
        <v>6500</v>
      </c>
      <c r="P3" s="3"/>
      <c r="Q3" s="3"/>
    </row>
    <row r="4" spans="1:17">
      <c r="A4" s="82" t="s">
        <v>482</v>
      </c>
      <c r="B4" s="34" t="s">
        <v>464</v>
      </c>
      <c r="C4" s="87">
        <v>11700</v>
      </c>
      <c r="D4" s="87">
        <v>11914</v>
      </c>
      <c r="E4" s="87">
        <v>12400</v>
      </c>
      <c r="F4" s="87">
        <v>14500</v>
      </c>
      <c r="G4" s="87">
        <v>12200</v>
      </c>
      <c r="H4" s="3"/>
      <c r="I4" s="87">
        <v>12800</v>
      </c>
      <c r="J4" s="87">
        <v>13300</v>
      </c>
      <c r="K4" s="87">
        <v>14500</v>
      </c>
      <c r="L4" s="87">
        <f>+'Julio 2021 '!J15</f>
        <v>13700</v>
      </c>
      <c r="M4" s="87">
        <v>15500</v>
      </c>
      <c r="N4" s="87">
        <v>16000</v>
      </c>
      <c r="O4" s="87"/>
      <c r="P4" s="87">
        <v>13500</v>
      </c>
      <c r="Q4" s="3"/>
    </row>
    <row r="5" spans="1:17">
      <c r="A5" s="82" t="s">
        <v>482</v>
      </c>
      <c r="B5" s="34" t="s">
        <v>465</v>
      </c>
      <c r="C5" s="87">
        <v>688.98</v>
      </c>
      <c r="D5" s="87">
        <v>718.11</v>
      </c>
      <c r="E5" s="87"/>
      <c r="F5" s="87">
        <v>1640</v>
      </c>
      <c r="G5" s="87">
        <v>963.26</v>
      </c>
      <c r="H5" s="87">
        <v>950</v>
      </c>
      <c r="I5" s="87">
        <v>862</v>
      </c>
      <c r="J5" s="87">
        <v>876</v>
      </c>
      <c r="K5" s="87">
        <f>+J5</f>
        <v>876</v>
      </c>
      <c r="L5" s="87">
        <f>425*2</f>
        <v>850</v>
      </c>
      <c r="M5" s="87">
        <v>883</v>
      </c>
      <c r="N5" s="87">
        <v>883</v>
      </c>
      <c r="O5" s="87">
        <v>820</v>
      </c>
      <c r="P5" s="3"/>
      <c r="Q5" s="3"/>
    </row>
    <row r="6" spans="1:17">
      <c r="A6" s="82" t="s">
        <v>482</v>
      </c>
      <c r="B6" s="34" t="s">
        <v>466</v>
      </c>
      <c r="C6" s="87">
        <v>3181.77</v>
      </c>
      <c r="D6" s="87">
        <v>1150</v>
      </c>
      <c r="E6" s="87">
        <v>794</v>
      </c>
      <c r="F6" s="87">
        <v>520</v>
      </c>
      <c r="G6" s="87">
        <v>460.33333333333331</v>
      </c>
      <c r="H6" s="87">
        <v>460.33333333333331</v>
      </c>
      <c r="I6" s="87">
        <v>460.33333333333331</v>
      </c>
      <c r="J6" s="87"/>
      <c r="K6" s="87">
        <f>+'Julio 2021 '!O36*2</f>
        <v>626</v>
      </c>
      <c r="L6" s="244">
        <v>1857</v>
      </c>
      <c r="M6" s="87">
        <v>1867</v>
      </c>
      <c r="N6" s="87">
        <v>1650</v>
      </c>
      <c r="O6" s="87">
        <v>1650</v>
      </c>
      <c r="P6" s="3"/>
      <c r="Q6" s="3"/>
    </row>
    <row r="7" spans="1:17">
      <c r="A7" s="82" t="s">
        <v>483</v>
      </c>
      <c r="B7" s="34" t="s">
        <v>467</v>
      </c>
      <c r="C7" s="87">
        <v>1100</v>
      </c>
      <c r="D7" s="87">
        <v>1090</v>
      </c>
      <c r="E7" s="87">
        <v>1090</v>
      </c>
      <c r="F7" s="87">
        <v>1090</v>
      </c>
      <c r="G7" s="87">
        <v>1090</v>
      </c>
      <c r="H7" s="87">
        <v>1090</v>
      </c>
      <c r="I7" s="87">
        <v>1090</v>
      </c>
      <c r="J7" s="87">
        <v>1090</v>
      </c>
      <c r="K7" s="87">
        <v>1090</v>
      </c>
      <c r="L7" s="87">
        <v>1090</v>
      </c>
      <c r="M7" s="244">
        <v>1090</v>
      </c>
      <c r="N7" s="87">
        <v>1090</v>
      </c>
      <c r="O7" s="3"/>
      <c r="P7" s="3"/>
      <c r="Q7" s="3"/>
    </row>
    <row r="8" spans="1:17">
      <c r="A8" s="82"/>
      <c r="B8" s="79" t="s">
        <v>594</v>
      </c>
      <c r="C8" s="81">
        <f t="shared" ref="C8:J8" si="0">SUM(C3:C7)</f>
        <v>21670.75</v>
      </c>
      <c r="D8" s="81">
        <f t="shared" si="0"/>
        <v>19872.11</v>
      </c>
      <c r="E8" s="81">
        <f t="shared" si="0"/>
        <v>19284</v>
      </c>
      <c r="F8" s="81">
        <f t="shared" si="0"/>
        <v>24250</v>
      </c>
      <c r="G8" s="81">
        <f t="shared" si="0"/>
        <v>21213.593333333331</v>
      </c>
      <c r="H8" s="81">
        <f t="shared" si="0"/>
        <v>9600.3333333333339</v>
      </c>
      <c r="I8" s="81">
        <f t="shared" si="0"/>
        <v>21712.333333333332</v>
      </c>
      <c r="J8" s="81">
        <f t="shared" si="0"/>
        <v>21766</v>
      </c>
      <c r="K8" s="81">
        <f t="shared" ref="K8:M8" si="1">SUM(K3:K7)</f>
        <v>23592</v>
      </c>
      <c r="L8" s="81">
        <f t="shared" si="1"/>
        <v>23997</v>
      </c>
      <c r="M8" s="81">
        <f t="shared" si="1"/>
        <v>25840</v>
      </c>
      <c r="N8" s="81">
        <f t="shared" ref="N8:Q8" si="2">SUM(N3:N7)</f>
        <v>26123</v>
      </c>
      <c r="O8" s="81">
        <f t="shared" si="2"/>
        <v>8970</v>
      </c>
      <c r="P8" s="81">
        <f t="shared" si="2"/>
        <v>13500</v>
      </c>
      <c r="Q8" s="81">
        <f t="shared" si="2"/>
        <v>0</v>
      </c>
    </row>
    <row r="9" spans="1:17">
      <c r="A9" s="82"/>
      <c r="B9" s="34" t="s">
        <v>732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87">
        <v>3000</v>
      </c>
      <c r="I9" s="87">
        <v>2500</v>
      </c>
      <c r="J9" s="87">
        <v>2500</v>
      </c>
      <c r="K9" s="87">
        <v>2500</v>
      </c>
      <c r="L9" s="87">
        <v>2500</v>
      </c>
      <c r="M9" s="87">
        <v>2500</v>
      </c>
      <c r="N9" s="87">
        <v>2500</v>
      </c>
      <c r="O9" s="87">
        <v>2500</v>
      </c>
      <c r="P9" s="87">
        <v>2500</v>
      </c>
      <c r="Q9" s="3"/>
    </row>
    <row r="10" spans="1:17">
      <c r="A10" s="82"/>
      <c r="B10" s="34" t="s">
        <v>29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87">
        <v>0</v>
      </c>
      <c r="I10" s="87">
        <v>1000</v>
      </c>
      <c r="J10" s="87">
        <v>1150</v>
      </c>
      <c r="K10" s="87">
        <v>1055</v>
      </c>
      <c r="L10" s="87">
        <v>1016</v>
      </c>
      <c r="M10" s="87">
        <v>1100</v>
      </c>
      <c r="N10" s="87">
        <v>1100</v>
      </c>
      <c r="O10" s="87">
        <v>1100</v>
      </c>
      <c r="P10" s="87">
        <v>1100</v>
      </c>
      <c r="Q10" s="3"/>
    </row>
    <row r="11" spans="1:17">
      <c r="A11" s="82"/>
      <c r="B11" s="34" t="s">
        <v>593</v>
      </c>
      <c r="C11" s="3">
        <v>0</v>
      </c>
      <c r="D11" s="3">
        <v>0</v>
      </c>
      <c r="E11" s="3">
        <v>0</v>
      </c>
      <c r="F11" s="87">
        <v>3000</v>
      </c>
      <c r="G11" s="87">
        <v>3000</v>
      </c>
      <c r="H11" s="87">
        <v>3000</v>
      </c>
      <c r="I11" s="87">
        <v>2500</v>
      </c>
      <c r="J11" s="87">
        <v>2500</v>
      </c>
      <c r="K11" s="87">
        <v>2500</v>
      </c>
      <c r="L11" s="87">
        <v>2500</v>
      </c>
      <c r="M11" s="87">
        <v>2500</v>
      </c>
      <c r="N11" s="87">
        <v>2500</v>
      </c>
      <c r="O11" s="87">
        <v>2500</v>
      </c>
      <c r="P11" s="87">
        <v>2500</v>
      </c>
      <c r="Q11" s="3"/>
    </row>
    <row r="12" spans="1:17">
      <c r="A12" s="82"/>
      <c r="B12" s="79" t="s">
        <v>595</v>
      </c>
      <c r="C12" s="81">
        <f>+C11+C9</f>
        <v>0</v>
      </c>
      <c r="D12" s="81">
        <f t="shared" ref="D12:J12" si="3">+D11+D9</f>
        <v>0</v>
      </c>
      <c r="E12" s="81">
        <f t="shared" si="3"/>
        <v>0</v>
      </c>
      <c r="F12" s="81">
        <f t="shared" si="3"/>
        <v>3000</v>
      </c>
      <c r="G12" s="81">
        <f t="shared" si="3"/>
        <v>3000</v>
      </c>
      <c r="H12" s="81">
        <f t="shared" si="3"/>
        <v>6000</v>
      </c>
      <c r="I12" s="81">
        <f t="shared" si="3"/>
        <v>5000</v>
      </c>
      <c r="J12" s="81">
        <f t="shared" si="3"/>
        <v>5000</v>
      </c>
      <c r="K12" s="81">
        <f>+K11+K9</f>
        <v>5000</v>
      </c>
      <c r="L12" s="81">
        <f t="shared" ref="L12:M12" si="4">+L11+L9</f>
        <v>5000</v>
      </c>
      <c r="M12" s="81">
        <f t="shared" si="4"/>
        <v>5000</v>
      </c>
      <c r="N12" s="81">
        <f t="shared" ref="N12:Q12" si="5">+N11+N9</f>
        <v>5000</v>
      </c>
      <c r="O12" s="81">
        <f t="shared" si="5"/>
        <v>5000</v>
      </c>
      <c r="P12" s="81">
        <f t="shared" si="5"/>
        <v>5000</v>
      </c>
      <c r="Q12" s="81">
        <f t="shared" si="5"/>
        <v>0</v>
      </c>
    </row>
    <row r="13" spans="1:17">
      <c r="B13" s="77" t="s">
        <v>47</v>
      </c>
      <c r="C13" s="80">
        <f t="shared" ref="C13:J13" si="6">+C8+C12</f>
        <v>21670.75</v>
      </c>
      <c r="D13" s="80">
        <f t="shared" si="6"/>
        <v>19872.11</v>
      </c>
      <c r="E13" s="80">
        <f t="shared" si="6"/>
        <v>19284</v>
      </c>
      <c r="F13" s="80">
        <f t="shared" si="6"/>
        <v>27250</v>
      </c>
      <c r="G13" s="80">
        <f t="shared" si="6"/>
        <v>24213.593333333331</v>
      </c>
      <c r="H13" s="80">
        <f t="shared" si="6"/>
        <v>15600.333333333334</v>
      </c>
      <c r="I13" s="80">
        <f t="shared" si="6"/>
        <v>26712.333333333332</v>
      </c>
      <c r="J13" s="80">
        <f t="shared" si="6"/>
        <v>26766</v>
      </c>
      <c r="K13" s="80">
        <f t="shared" ref="K13:M13" si="7">+K8+K12</f>
        <v>28592</v>
      </c>
      <c r="L13" s="80">
        <f t="shared" si="7"/>
        <v>28997</v>
      </c>
      <c r="M13" s="80">
        <f t="shared" si="7"/>
        <v>30840</v>
      </c>
      <c r="N13" s="80">
        <f t="shared" ref="N13:Q13" si="8">+N8+N12</f>
        <v>31123</v>
      </c>
      <c r="O13" s="80">
        <f t="shared" si="8"/>
        <v>13970</v>
      </c>
      <c r="P13" s="80">
        <f t="shared" si="8"/>
        <v>18500</v>
      </c>
      <c r="Q13" s="80">
        <f t="shared" si="8"/>
        <v>0</v>
      </c>
    </row>
    <row r="14" spans="1:17">
      <c r="B14" s="18"/>
      <c r="C14" s="23"/>
      <c r="D14" s="18"/>
    </row>
    <row r="15" spans="1:17">
      <c r="B15" s="88"/>
      <c r="C15" s="23"/>
      <c r="D15" s="18"/>
      <c r="E15" s="57"/>
    </row>
    <row r="16" spans="1:17">
      <c r="B16" s="174" t="s">
        <v>969</v>
      </c>
      <c r="C16" s="163"/>
      <c r="D16" s="134"/>
      <c r="E16" s="174" t="s">
        <v>967</v>
      </c>
      <c r="F16" s="129"/>
      <c r="G16" s="130"/>
      <c r="M16" s="273"/>
      <c r="N16" s="83"/>
      <c r="O16" s="57"/>
    </row>
    <row r="17" spans="2:15">
      <c r="B17" s="164" t="s">
        <v>871</v>
      </c>
      <c r="C17" s="155">
        <f>+SUM(G6:I6)</f>
        <v>1381</v>
      </c>
      <c r="D17" s="136" t="s">
        <v>870</v>
      </c>
      <c r="E17" s="164" t="s">
        <v>885</v>
      </c>
      <c r="F17" s="19">
        <v>6500</v>
      </c>
      <c r="G17" s="136" t="s">
        <v>870</v>
      </c>
      <c r="M17" s="41"/>
      <c r="N17" s="83"/>
      <c r="O17" s="57"/>
    </row>
    <row r="18" spans="2:15">
      <c r="B18" s="165" t="s">
        <v>872</v>
      </c>
      <c r="C18" s="155">
        <v>862</v>
      </c>
      <c r="D18" s="136" t="s">
        <v>870</v>
      </c>
      <c r="E18" s="135" t="s">
        <v>968</v>
      </c>
      <c r="F18" s="19">
        <f>14500-5000</f>
        <v>9500</v>
      </c>
      <c r="G18" s="149" t="s">
        <v>870</v>
      </c>
      <c r="M18" s="4"/>
      <c r="N18" s="4"/>
    </row>
    <row r="19" spans="2:15">
      <c r="B19" s="165" t="s">
        <v>873</v>
      </c>
      <c r="C19" s="166">
        <v>1090</v>
      </c>
      <c r="D19" s="136" t="s">
        <v>870</v>
      </c>
      <c r="E19" s="135" t="s">
        <v>968</v>
      </c>
      <c r="F19" s="19">
        <v>5000</v>
      </c>
      <c r="G19" s="149" t="s">
        <v>231</v>
      </c>
      <c r="M19" s="4"/>
      <c r="N19" s="41"/>
    </row>
    <row r="20" spans="2:15">
      <c r="B20" s="165" t="s">
        <v>883</v>
      </c>
      <c r="C20" s="166">
        <v>6500</v>
      </c>
      <c r="D20" s="136" t="s">
        <v>231</v>
      </c>
      <c r="E20" s="135"/>
      <c r="F20" s="171"/>
      <c r="G20" s="149"/>
      <c r="M20" s="41"/>
      <c r="N20" s="41"/>
      <c r="O20" s="41"/>
    </row>
    <row r="21" spans="2:15">
      <c r="B21" s="165" t="s">
        <v>884</v>
      </c>
      <c r="C21" s="166">
        <v>13300</v>
      </c>
      <c r="D21" s="136" t="s">
        <v>870</v>
      </c>
      <c r="E21" s="135"/>
      <c r="F21" s="18"/>
      <c r="G21" s="149"/>
    </row>
    <row r="22" spans="2:15">
      <c r="B22" s="183" t="s">
        <v>885</v>
      </c>
      <c r="C22" s="184">
        <v>6500</v>
      </c>
      <c r="D22" s="185" t="s">
        <v>870</v>
      </c>
      <c r="E22" s="175"/>
      <c r="F22" s="18"/>
      <c r="G22" s="149"/>
    </row>
    <row r="23" spans="2:15">
      <c r="B23" s="167"/>
      <c r="C23" s="168"/>
      <c r="D23" s="169"/>
      <c r="E23" s="176"/>
      <c r="F23" s="171"/>
      <c r="G23" s="149"/>
    </row>
    <row r="24" spans="2:15">
      <c r="B24" s="170"/>
      <c r="C24" s="171">
        <f>+SUM(C17:C22)-C22-C20</f>
        <v>16633</v>
      </c>
      <c r="D24" s="136" t="s">
        <v>870</v>
      </c>
      <c r="E24" s="170"/>
      <c r="F24" s="171">
        <f>+F17+F18</f>
        <v>16000</v>
      </c>
      <c r="G24" s="149" t="s">
        <v>870</v>
      </c>
    </row>
    <row r="25" spans="2:15">
      <c r="B25" s="170"/>
      <c r="C25" s="171">
        <f>+C20</f>
        <v>6500</v>
      </c>
      <c r="D25" s="136" t="s">
        <v>231</v>
      </c>
      <c r="E25" s="170"/>
      <c r="F25" s="19">
        <v>5000</v>
      </c>
      <c r="G25" s="149" t="s">
        <v>231</v>
      </c>
    </row>
    <row r="26" spans="2:15">
      <c r="B26" s="170"/>
      <c r="C26" s="171">
        <f>+C24-C25</f>
        <v>10133</v>
      </c>
      <c r="D26" s="136" t="s">
        <v>901</v>
      </c>
      <c r="E26" s="170"/>
      <c r="F26" s="19">
        <f>+F24-F25</f>
        <v>11000</v>
      </c>
      <c r="G26" s="177" t="s">
        <v>901</v>
      </c>
    </row>
    <row r="27" spans="2:15">
      <c r="B27" s="172"/>
      <c r="C27" s="173">
        <f>+C26/2</f>
        <v>5066.5</v>
      </c>
      <c r="D27" s="142" t="s">
        <v>902</v>
      </c>
      <c r="E27" s="172"/>
      <c r="F27" s="128">
        <f>+F26/2</f>
        <v>5500</v>
      </c>
      <c r="G27" s="131" t="s">
        <v>902</v>
      </c>
    </row>
  </sheetData>
  <phoneticPr fontId="13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B20A-A1A2-C34D-B519-7DCA1E42255A}">
  <dimension ref="A1:M42"/>
  <sheetViews>
    <sheetView workbookViewId="0">
      <selection activeCell="I67" sqref="I67"/>
    </sheetView>
  </sheetViews>
  <sheetFormatPr baseColWidth="10" defaultRowHeight="16"/>
  <cols>
    <col min="1" max="1" width="7.33203125" bestFit="1" customWidth="1"/>
    <col min="2" max="2" width="26.1640625" bestFit="1" customWidth="1"/>
    <col min="3" max="5" width="11.5" bestFit="1" customWidth="1"/>
    <col min="6" max="6" width="36.5" bestFit="1" customWidth="1"/>
    <col min="7" max="7" width="11.5" bestFit="1" customWidth="1"/>
    <col min="9" max="9" width="21" bestFit="1" customWidth="1"/>
    <col min="11" max="12" width="11.5" bestFit="1" customWidth="1"/>
    <col min="13" max="13" width="25.6640625" bestFit="1" customWidth="1"/>
  </cols>
  <sheetData>
    <row r="1" spans="1:13">
      <c r="A1" s="471" t="s">
        <v>153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3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3">
      <c r="A3" s="2">
        <v>43951</v>
      </c>
      <c r="B3" s="473" t="s">
        <v>144</v>
      </c>
      <c r="C3" s="474"/>
      <c r="D3" s="475"/>
      <c r="E3" s="3">
        <v>38481.78</v>
      </c>
      <c r="F3" s="31" t="s">
        <v>143</v>
      </c>
      <c r="G3" s="32">
        <f>16561+D9</f>
        <v>35713.68</v>
      </c>
      <c r="H3" s="2">
        <v>43951</v>
      </c>
      <c r="I3" s="473" t="s">
        <v>4</v>
      </c>
      <c r="J3" s="474"/>
      <c r="K3" s="475"/>
      <c r="L3" s="3">
        <v>2000</v>
      </c>
      <c r="M3" s="34"/>
    </row>
    <row r="4" spans="1:13">
      <c r="A4" s="2">
        <v>43953</v>
      </c>
      <c r="B4" s="1" t="s">
        <v>145</v>
      </c>
      <c r="C4" s="3">
        <v>4000</v>
      </c>
      <c r="D4" s="3"/>
      <c r="E4" s="3">
        <f>E3+D4-C4</f>
        <v>34481.78</v>
      </c>
      <c r="F4" s="30"/>
      <c r="H4" s="2">
        <v>43959</v>
      </c>
      <c r="I4" s="1" t="s">
        <v>149</v>
      </c>
      <c r="J4" s="3">
        <v>500</v>
      </c>
      <c r="K4" s="3"/>
      <c r="L4" s="3">
        <f>L3+K4-J4</f>
        <v>1500</v>
      </c>
      <c r="M4" s="30"/>
    </row>
    <row r="5" spans="1:13">
      <c r="A5" s="2">
        <v>43953</v>
      </c>
      <c r="B5" s="1" t="s">
        <v>146</v>
      </c>
      <c r="C5" s="3">
        <v>2000</v>
      </c>
      <c r="D5" s="3"/>
      <c r="E5" s="3">
        <f t="shared" ref="E5:E39" si="0">E4+D5-C5</f>
        <v>32481.78</v>
      </c>
      <c r="F5" s="1"/>
      <c r="G5" s="39" t="s">
        <v>170</v>
      </c>
      <c r="H5" s="2">
        <v>43959</v>
      </c>
      <c r="I5" s="1" t="s">
        <v>151</v>
      </c>
      <c r="J5" s="3"/>
      <c r="K5" s="3">
        <v>1000</v>
      </c>
      <c r="L5" s="3">
        <f t="shared" ref="L5:L38" si="1">L4+K5-J5</f>
        <v>2500</v>
      </c>
      <c r="M5" s="1"/>
    </row>
    <row r="6" spans="1:13">
      <c r="A6" s="2">
        <v>43953</v>
      </c>
      <c r="B6" s="1" t="s">
        <v>147</v>
      </c>
      <c r="C6" s="3">
        <v>2200</v>
      </c>
      <c r="D6" s="3"/>
      <c r="E6" s="3">
        <f t="shared" si="0"/>
        <v>30281.78</v>
      </c>
      <c r="F6" s="1" t="s">
        <v>148</v>
      </c>
      <c r="G6" s="40">
        <f>E39+L38</f>
        <v>13841.280000000002</v>
      </c>
      <c r="H6" s="2">
        <v>43959</v>
      </c>
      <c r="I6" s="1" t="s">
        <v>150</v>
      </c>
      <c r="J6" s="3">
        <v>1000</v>
      </c>
      <c r="K6" s="3"/>
      <c r="L6" s="3">
        <f t="shared" si="1"/>
        <v>1500</v>
      </c>
      <c r="M6" s="1"/>
    </row>
    <row r="7" spans="1:13">
      <c r="A7" s="2">
        <v>43958</v>
      </c>
      <c r="B7" s="1" t="s">
        <v>152</v>
      </c>
      <c r="C7" s="3">
        <v>1000</v>
      </c>
      <c r="D7" s="3"/>
      <c r="E7" s="3">
        <f t="shared" si="0"/>
        <v>29281.78</v>
      </c>
      <c r="F7" s="1" t="s">
        <v>154</v>
      </c>
      <c r="H7" s="2">
        <v>43959</v>
      </c>
      <c r="I7" s="1" t="s">
        <v>160</v>
      </c>
      <c r="J7" s="3">
        <v>190</v>
      </c>
      <c r="K7" s="3"/>
      <c r="L7" s="3">
        <f t="shared" si="1"/>
        <v>1310</v>
      </c>
      <c r="M7" s="1"/>
    </row>
    <row r="8" spans="1:13">
      <c r="A8" s="2">
        <v>43959</v>
      </c>
      <c r="B8" s="36" t="s">
        <v>155</v>
      </c>
      <c r="C8" s="37">
        <v>1000</v>
      </c>
      <c r="D8" s="3"/>
      <c r="E8" s="3">
        <v>28282</v>
      </c>
      <c r="F8" s="1"/>
      <c r="H8" s="35">
        <v>43962</v>
      </c>
      <c r="I8" s="1" t="s">
        <v>159</v>
      </c>
      <c r="J8" s="3">
        <v>400</v>
      </c>
      <c r="K8" s="3"/>
      <c r="L8" s="3">
        <f t="shared" si="1"/>
        <v>910</v>
      </c>
      <c r="M8" s="1"/>
    </row>
    <row r="9" spans="1:13">
      <c r="A9" s="2">
        <v>43960</v>
      </c>
      <c r="B9" s="1" t="s">
        <v>156</v>
      </c>
      <c r="C9" s="3"/>
      <c r="D9" s="3">
        <v>19152.68</v>
      </c>
      <c r="E9" s="3">
        <f t="shared" si="0"/>
        <v>47434.68</v>
      </c>
      <c r="F9" s="1"/>
      <c r="H9" s="2">
        <v>43967</v>
      </c>
      <c r="I9" s="1" t="s">
        <v>164</v>
      </c>
      <c r="J9" s="3">
        <v>780</v>
      </c>
      <c r="K9" s="3"/>
      <c r="L9" s="3">
        <f t="shared" si="1"/>
        <v>130</v>
      </c>
      <c r="M9" s="1"/>
    </row>
    <row r="10" spans="1:13">
      <c r="A10" s="2">
        <v>43960</v>
      </c>
      <c r="B10" s="1" t="s">
        <v>157</v>
      </c>
      <c r="C10" s="3"/>
      <c r="D10" s="3">
        <v>1074.4000000000001</v>
      </c>
      <c r="E10" s="3">
        <f t="shared" si="0"/>
        <v>48509.08</v>
      </c>
      <c r="F10" s="1"/>
      <c r="H10" s="2">
        <v>43969</v>
      </c>
      <c r="I10" s="1" t="s">
        <v>151</v>
      </c>
      <c r="J10" s="3"/>
      <c r="K10" s="3">
        <v>5000</v>
      </c>
      <c r="L10" s="3">
        <f t="shared" si="1"/>
        <v>5130</v>
      </c>
      <c r="M10" s="1"/>
    </row>
    <row r="11" spans="1:13">
      <c r="A11" s="2">
        <v>43961</v>
      </c>
      <c r="B11" s="1" t="s">
        <v>158</v>
      </c>
      <c r="C11" s="3">
        <v>2000</v>
      </c>
      <c r="D11" s="3"/>
      <c r="E11" s="3">
        <f t="shared" si="0"/>
        <v>46509.08</v>
      </c>
      <c r="F11" s="1"/>
      <c r="H11" s="2">
        <v>43970</v>
      </c>
      <c r="I11" s="1" t="s">
        <v>174</v>
      </c>
      <c r="J11" s="3"/>
      <c r="K11" s="3">
        <v>1000</v>
      </c>
      <c r="L11" s="3">
        <f t="shared" si="1"/>
        <v>6130</v>
      </c>
      <c r="M11" s="1"/>
    </row>
    <row r="12" spans="1:13">
      <c r="A12" s="2">
        <v>43962</v>
      </c>
      <c r="B12" s="1" t="s">
        <v>161</v>
      </c>
      <c r="C12" s="3">
        <f>4171.8+13906</f>
        <v>18077.8</v>
      </c>
      <c r="D12" s="3"/>
      <c r="E12" s="3">
        <f t="shared" si="0"/>
        <v>28431.280000000002</v>
      </c>
      <c r="F12" s="1"/>
      <c r="H12" s="2">
        <v>43970</v>
      </c>
      <c r="I12" s="1" t="s">
        <v>171</v>
      </c>
      <c r="J12" s="3">
        <v>2140</v>
      </c>
      <c r="K12" s="3"/>
      <c r="L12" s="3">
        <f t="shared" si="1"/>
        <v>3990</v>
      </c>
      <c r="M12" s="1"/>
    </row>
    <row r="13" spans="1:13">
      <c r="A13" s="2">
        <v>43963</v>
      </c>
      <c r="B13" s="1" t="s">
        <v>162</v>
      </c>
      <c r="C13" s="3">
        <v>1500</v>
      </c>
      <c r="D13" s="3"/>
      <c r="E13" s="3">
        <f t="shared" si="0"/>
        <v>26931.280000000002</v>
      </c>
      <c r="F13" s="1"/>
      <c r="H13" s="2">
        <v>43970</v>
      </c>
      <c r="I13" s="1" t="s">
        <v>172</v>
      </c>
      <c r="J13" s="3">
        <v>510</v>
      </c>
      <c r="K13" s="3"/>
      <c r="L13" s="3">
        <f t="shared" si="1"/>
        <v>3480</v>
      </c>
      <c r="M13" s="1"/>
    </row>
    <row r="14" spans="1:13">
      <c r="A14" s="2">
        <v>43963</v>
      </c>
      <c r="B14" s="1" t="s">
        <v>163</v>
      </c>
      <c r="C14" s="3"/>
      <c r="D14" s="3">
        <v>2500</v>
      </c>
      <c r="E14" s="3">
        <f t="shared" si="0"/>
        <v>29431.280000000002</v>
      </c>
      <c r="F14" s="1"/>
      <c r="H14" s="2">
        <v>43970</v>
      </c>
      <c r="I14" s="1" t="s">
        <v>35</v>
      </c>
      <c r="J14" s="3">
        <v>200</v>
      </c>
      <c r="K14" s="3"/>
      <c r="L14" s="3">
        <f t="shared" si="1"/>
        <v>3280</v>
      </c>
      <c r="M14" s="1"/>
    </row>
    <row r="15" spans="1:13">
      <c r="A15" s="2">
        <v>43965</v>
      </c>
      <c r="B15" s="1" t="s">
        <v>162</v>
      </c>
      <c r="C15" s="3">
        <v>7000</v>
      </c>
      <c r="D15" s="3"/>
      <c r="E15" s="3">
        <f t="shared" si="0"/>
        <v>22431.280000000002</v>
      </c>
      <c r="F15" s="1"/>
      <c r="H15" s="2">
        <v>43970</v>
      </c>
      <c r="I15" s="1" t="s">
        <v>28</v>
      </c>
      <c r="J15" s="3">
        <v>700</v>
      </c>
      <c r="K15" s="1"/>
      <c r="L15" s="3">
        <f t="shared" si="1"/>
        <v>2580</v>
      </c>
      <c r="M15" s="1"/>
    </row>
    <row r="16" spans="1:13">
      <c r="A16" s="2">
        <v>43969</v>
      </c>
      <c r="B16" s="1" t="s">
        <v>165</v>
      </c>
      <c r="C16" s="3">
        <v>300</v>
      </c>
      <c r="D16" s="3"/>
      <c r="E16" s="3">
        <f t="shared" si="0"/>
        <v>22131.280000000002</v>
      </c>
      <c r="F16" s="1"/>
      <c r="H16" s="2">
        <v>43972</v>
      </c>
      <c r="I16" s="6" t="s">
        <v>173</v>
      </c>
      <c r="J16" s="10">
        <v>1000</v>
      </c>
      <c r="K16" s="1"/>
      <c r="L16" s="3">
        <f t="shared" si="1"/>
        <v>1580</v>
      </c>
      <c r="M16" s="1"/>
    </row>
    <row r="17" spans="1:13">
      <c r="A17" s="2">
        <v>43969</v>
      </c>
      <c r="B17" s="6" t="s">
        <v>166</v>
      </c>
      <c r="C17" s="10">
        <v>200</v>
      </c>
      <c r="D17" s="1"/>
      <c r="E17" s="3">
        <f t="shared" si="0"/>
        <v>21931.280000000002</v>
      </c>
      <c r="F17" s="1"/>
      <c r="H17" s="2">
        <v>43975</v>
      </c>
      <c r="I17" s="6" t="s">
        <v>175</v>
      </c>
      <c r="J17" s="10">
        <v>1570</v>
      </c>
      <c r="K17" s="1"/>
      <c r="L17" s="3">
        <f t="shared" si="1"/>
        <v>10</v>
      </c>
      <c r="M17" s="1"/>
    </row>
    <row r="18" spans="1:13">
      <c r="A18" s="2">
        <v>43969</v>
      </c>
      <c r="B18" s="6" t="s">
        <v>167</v>
      </c>
      <c r="C18" s="10">
        <v>100</v>
      </c>
      <c r="D18" s="1"/>
      <c r="E18" s="3">
        <f t="shared" si="0"/>
        <v>21831.280000000002</v>
      </c>
      <c r="F18" s="1"/>
      <c r="H18" s="20"/>
      <c r="I18" s="20"/>
      <c r="J18" s="20"/>
      <c r="K18" s="20"/>
      <c r="L18" s="48">
        <f t="shared" si="1"/>
        <v>10</v>
      </c>
      <c r="M18" s="20"/>
    </row>
    <row r="19" spans="1:13">
      <c r="A19" s="2">
        <v>43969</v>
      </c>
      <c r="B19" s="6" t="s">
        <v>168</v>
      </c>
      <c r="C19" s="10">
        <v>5000</v>
      </c>
      <c r="D19" s="1"/>
      <c r="E19" s="3">
        <f t="shared" si="0"/>
        <v>16831.280000000002</v>
      </c>
      <c r="F19" s="1"/>
      <c r="H19" s="20"/>
      <c r="I19" s="20"/>
      <c r="J19" s="20"/>
      <c r="K19" s="20"/>
      <c r="L19" s="13">
        <f t="shared" si="1"/>
        <v>10</v>
      </c>
      <c r="M19" s="20"/>
    </row>
    <row r="20" spans="1:13">
      <c r="A20" s="2">
        <v>43969</v>
      </c>
      <c r="B20" s="6" t="s">
        <v>169</v>
      </c>
      <c r="C20" s="10">
        <v>3000</v>
      </c>
      <c r="D20" s="1"/>
      <c r="E20" s="3">
        <f t="shared" si="0"/>
        <v>13831.280000000002</v>
      </c>
      <c r="F20" s="1"/>
      <c r="L20" s="3">
        <f t="shared" si="1"/>
        <v>10</v>
      </c>
    </row>
    <row r="21" spans="1:13">
      <c r="A21" s="12"/>
      <c r="B21" s="12"/>
      <c r="C21" s="12"/>
      <c r="D21" s="12"/>
      <c r="E21" s="13">
        <f t="shared" si="0"/>
        <v>13831.280000000002</v>
      </c>
      <c r="F21" s="12"/>
      <c r="L21" s="3">
        <f t="shared" si="1"/>
        <v>10</v>
      </c>
    </row>
    <row r="22" spans="1:13">
      <c r="A22" s="15"/>
      <c r="B22" s="15"/>
      <c r="C22" s="15"/>
      <c r="D22" s="15"/>
      <c r="E22" s="16">
        <f t="shared" si="0"/>
        <v>13831.280000000002</v>
      </c>
      <c r="F22" s="15"/>
      <c r="L22" s="3">
        <f t="shared" si="1"/>
        <v>10</v>
      </c>
    </row>
    <row r="23" spans="1:13">
      <c r="A23" s="18"/>
      <c r="B23" s="18"/>
      <c r="C23" s="18"/>
      <c r="D23" s="18"/>
      <c r="E23" s="19">
        <f t="shared" si="0"/>
        <v>13831.280000000002</v>
      </c>
      <c r="F23" s="18"/>
      <c r="L23" s="3">
        <f t="shared" si="1"/>
        <v>10</v>
      </c>
    </row>
    <row r="24" spans="1:13">
      <c r="A24" s="18"/>
      <c r="B24" s="18"/>
      <c r="C24" s="18"/>
      <c r="D24" s="18"/>
      <c r="E24" s="19">
        <f t="shared" si="0"/>
        <v>13831.280000000002</v>
      </c>
      <c r="F24" s="18"/>
      <c r="L24" s="3">
        <f t="shared" si="1"/>
        <v>10</v>
      </c>
    </row>
    <row r="25" spans="1:13">
      <c r="A25" s="18"/>
      <c r="B25" s="18"/>
      <c r="C25" s="18"/>
      <c r="D25" s="18"/>
      <c r="E25" s="19">
        <f t="shared" si="0"/>
        <v>13831.280000000002</v>
      </c>
      <c r="F25" s="18"/>
      <c r="L25" s="3">
        <f t="shared" si="1"/>
        <v>10</v>
      </c>
    </row>
    <row r="26" spans="1:13">
      <c r="A26" s="18"/>
      <c r="B26" s="18"/>
      <c r="C26" s="18"/>
      <c r="D26" s="18"/>
      <c r="E26" s="19">
        <f t="shared" si="0"/>
        <v>13831.280000000002</v>
      </c>
      <c r="F26" s="18"/>
      <c r="L26" s="3">
        <f t="shared" si="1"/>
        <v>10</v>
      </c>
    </row>
    <row r="27" spans="1:13">
      <c r="A27" s="18"/>
      <c r="B27" s="18"/>
      <c r="C27" s="18"/>
      <c r="D27" s="18"/>
      <c r="E27" s="19">
        <f t="shared" si="0"/>
        <v>13831.280000000002</v>
      </c>
      <c r="F27" s="18"/>
      <c r="L27" s="3">
        <f t="shared" si="1"/>
        <v>10</v>
      </c>
    </row>
    <row r="28" spans="1:13">
      <c r="A28" s="18"/>
      <c r="B28" s="18"/>
      <c r="C28" s="18"/>
      <c r="D28" s="18"/>
      <c r="E28" s="19">
        <f t="shared" si="0"/>
        <v>13831.280000000002</v>
      </c>
      <c r="F28" s="18"/>
      <c r="L28" s="3">
        <f t="shared" si="1"/>
        <v>10</v>
      </c>
    </row>
    <row r="29" spans="1:13">
      <c r="A29" s="18"/>
      <c r="B29" s="18"/>
      <c r="C29" s="18"/>
      <c r="D29" s="18"/>
      <c r="E29" s="19">
        <f t="shared" si="0"/>
        <v>13831.280000000002</v>
      </c>
      <c r="F29" s="18"/>
      <c r="L29" s="3">
        <f t="shared" si="1"/>
        <v>10</v>
      </c>
    </row>
    <row r="30" spans="1:13">
      <c r="A30" s="18"/>
      <c r="B30" s="18"/>
      <c r="C30" s="18"/>
      <c r="D30" s="18"/>
      <c r="E30" s="19">
        <f t="shared" si="0"/>
        <v>13831.280000000002</v>
      </c>
      <c r="F30" s="18"/>
      <c r="L30" s="3">
        <f t="shared" si="1"/>
        <v>10</v>
      </c>
    </row>
    <row r="31" spans="1:13">
      <c r="D31" s="18"/>
      <c r="E31" s="19">
        <f t="shared" si="0"/>
        <v>13831.280000000002</v>
      </c>
      <c r="F31" s="18"/>
      <c r="L31" s="3">
        <f t="shared" si="1"/>
        <v>10</v>
      </c>
    </row>
    <row r="32" spans="1:13">
      <c r="D32" s="18"/>
      <c r="E32" s="19">
        <f t="shared" si="0"/>
        <v>13831.280000000002</v>
      </c>
      <c r="F32" s="18"/>
      <c r="L32" s="3">
        <f t="shared" si="1"/>
        <v>10</v>
      </c>
    </row>
    <row r="33" spans="4:12">
      <c r="D33" s="18"/>
      <c r="E33" s="19">
        <f t="shared" si="0"/>
        <v>13831.280000000002</v>
      </c>
      <c r="F33" s="18"/>
      <c r="L33" s="3">
        <f t="shared" si="1"/>
        <v>10</v>
      </c>
    </row>
    <row r="34" spans="4:12">
      <c r="D34" s="18"/>
      <c r="E34" s="19">
        <f t="shared" si="0"/>
        <v>13831.280000000002</v>
      </c>
      <c r="F34" s="18"/>
      <c r="L34" s="3">
        <f t="shared" si="1"/>
        <v>10</v>
      </c>
    </row>
    <row r="35" spans="4:12">
      <c r="D35" s="18"/>
      <c r="E35" s="19">
        <f t="shared" si="0"/>
        <v>13831.280000000002</v>
      </c>
      <c r="F35" s="18"/>
      <c r="L35" s="3">
        <f t="shared" si="1"/>
        <v>10</v>
      </c>
    </row>
    <row r="36" spans="4:12">
      <c r="D36" s="18"/>
      <c r="E36" s="19">
        <f t="shared" si="0"/>
        <v>13831.280000000002</v>
      </c>
      <c r="F36" s="18"/>
      <c r="L36" s="3">
        <f t="shared" si="1"/>
        <v>10</v>
      </c>
    </row>
    <row r="37" spans="4:12">
      <c r="D37" s="18"/>
      <c r="E37" s="19">
        <f t="shared" si="0"/>
        <v>13831.280000000002</v>
      </c>
      <c r="F37" s="18"/>
      <c r="L37" s="3">
        <f t="shared" si="1"/>
        <v>10</v>
      </c>
    </row>
    <row r="38" spans="4:12">
      <c r="D38" s="18"/>
      <c r="E38" s="19">
        <f t="shared" si="0"/>
        <v>13831.280000000002</v>
      </c>
      <c r="F38" s="18"/>
      <c r="L38" s="3">
        <f t="shared" si="1"/>
        <v>10</v>
      </c>
    </row>
    <row r="39" spans="4:12">
      <c r="D39" s="18"/>
      <c r="E39" s="19">
        <f t="shared" si="0"/>
        <v>13831.280000000002</v>
      </c>
      <c r="F39" s="18"/>
    </row>
    <row r="40" spans="4:12">
      <c r="D40" s="18"/>
      <c r="E40" s="18"/>
      <c r="F40" s="18"/>
    </row>
    <row r="41" spans="4:12">
      <c r="D41" s="18"/>
      <c r="E41" s="18"/>
      <c r="F41" s="18"/>
    </row>
    <row r="42" spans="4:12">
      <c r="D42" s="18"/>
      <c r="E42" s="18"/>
      <c r="F42" s="18"/>
    </row>
  </sheetData>
  <mergeCells count="4">
    <mergeCell ref="A1:F1"/>
    <mergeCell ref="H1:M1"/>
    <mergeCell ref="I3:K3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E97C-E460-0E41-B65C-E8C0AE49AE0E}">
  <dimension ref="A1:N39"/>
  <sheetViews>
    <sheetView zoomScale="137" workbookViewId="0">
      <selection activeCell="I67" sqref="I67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2" bestFit="1" customWidth="1"/>
    <col min="9" max="9" width="24.5" bestFit="1" customWidth="1"/>
    <col min="10" max="12" width="11.5" bestFit="1" customWidth="1"/>
    <col min="13" max="13" width="25.6640625" bestFit="1" customWidth="1"/>
  </cols>
  <sheetData>
    <row r="1" spans="1:13">
      <c r="A1" s="471" t="s">
        <v>153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3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1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3">
      <c r="A3" s="2">
        <v>43981</v>
      </c>
      <c r="B3" s="473" t="s">
        <v>144</v>
      </c>
      <c r="C3" s="474"/>
      <c r="D3" s="475"/>
      <c r="E3" s="3">
        <f>13831.28+0.15</f>
        <v>13831.43</v>
      </c>
      <c r="F3" s="31" t="s">
        <v>192</v>
      </c>
      <c r="G3" s="32">
        <f>16561+D5+D15</f>
        <v>36690.230000000003</v>
      </c>
      <c r="H3" s="2">
        <v>43981</v>
      </c>
      <c r="I3" s="473" t="s">
        <v>4</v>
      </c>
      <c r="J3" s="474"/>
      <c r="K3" s="475"/>
      <c r="L3" s="3">
        <v>10</v>
      </c>
      <c r="M3" s="34"/>
    </row>
    <row r="4" spans="1:13">
      <c r="A4" s="2">
        <v>43981</v>
      </c>
      <c r="B4" s="1" t="s">
        <v>177</v>
      </c>
      <c r="C4" s="3"/>
      <c r="D4" s="3">
        <v>16561</v>
      </c>
      <c r="E4" s="3">
        <f>E3+D4-C4</f>
        <v>30392.43</v>
      </c>
      <c r="F4" s="42" t="s">
        <v>204</v>
      </c>
      <c r="G4" s="43">
        <f>D22</f>
        <v>16844.45</v>
      </c>
      <c r="H4" s="2">
        <v>43985</v>
      </c>
      <c r="I4" s="1" t="s">
        <v>183</v>
      </c>
      <c r="J4" s="3"/>
      <c r="K4" s="3">
        <v>7000</v>
      </c>
      <c r="L4" s="3">
        <f>L3+K4-J4</f>
        <v>7010</v>
      </c>
      <c r="M4" s="30"/>
    </row>
    <row r="5" spans="1:13">
      <c r="A5" s="2">
        <v>43985</v>
      </c>
      <c r="B5" s="1" t="s">
        <v>176</v>
      </c>
      <c r="C5" s="3"/>
      <c r="D5" s="3">
        <v>19152.68</v>
      </c>
      <c r="E5" s="3">
        <f t="shared" ref="E5:E32" si="0">E4+D5-C5</f>
        <v>49545.11</v>
      </c>
      <c r="F5" s="1"/>
      <c r="G5" s="39" t="s">
        <v>170</v>
      </c>
      <c r="H5" s="2">
        <v>43987</v>
      </c>
      <c r="I5" s="1" t="s">
        <v>184</v>
      </c>
      <c r="J5" s="3"/>
      <c r="K5" s="3">
        <v>2000</v>
      </c>
      <c r="L5" s="3">
        <f t="shared" ref="L5:L38" si="1">L4+K5-J5</f>
        <v>9010</v>
      </c>
      <c r="M5" s="1"/>
    </row>
    <row r="6" spans="1:13">
      <c r="A6" s="2">
        <v>43985</v>
      </c>
      <c r="B6" s="1" t="s">
        <v>178</v>
      </c>
      <c r="C6" s="3">
        <v>2000</v>
      </c>
      <c r="D6" s="3"/>
      <c r="E6" s="3">
        <f t="shared" si="0"/>
        <v>47545.11</v>
      </c>
      <c r="F6" s="1"/>
      <c r="G6" s="40">
        <f>E39+L38</f>
        <v>24776.480000000003</v>
      </c>
      <c r="H6" s="2">
        <v>43987</v>
      </c>
      <c r="I6" s="1" t="s">
        <v>185</v>
      </c>
      <c r="J6" s="3">
        <v>2340</v>
      </c>
      <c r="K6" s="3"/>
      <c r="L6" s="3">
        <f t="shared" si="1"/>
        <v>6670</v>
      </c>
      <c r="M6" s="1"/>
    </row>
    <row r="7" spans="1:13">
      <c r="A7" s="2">
        <v>43985</v>
      </c>
      <c r="B7" s="1" t="s">
        <v>179</v>
      </c>
      <c r="C7" s="3">
        <v>2000</v>
      </c>
      <c r="D7" s="3"/>
      <c r="E7" s="3">
        <f t="shared" si="0"/>
        <v>45545.11</v>
      </c>
      <c r="F7" s="1"/>
      <c r="H7" s="2">
        <v>43989</v>
      </c>
      <c r="I7" s="1" t="s">
        <v>186</v>
      </c>
      <c r="J7" s="3"/>
      <c r="K7" s="3">
        <v>730</v>
      </c>
      <c r="L7" s="3">
        <f t="shared" si="1"/>
        <v>7400</v>
      </c>
      <c r="M7" s="1"/>
    </row>
    <row r="8" spans="1:13">
      <c r="A8" s="2">
        <v>43985</v>
      </c>
      <c r="B8" s="36" t="s">
        <v>180</v>
      </c>
      <c r="C8" s="37">
        <v>5300</v>
      </c>
      <c r="D8" s="3"/>
      <c r="E8" s="3">
        <f t="shared" si="0"/>
        <v>40245.11</v>
      </c>
      <c r="F8" s="1"/>
      <c r="H8" s="35">
        <v>43989</v>
      </c>
      <c r="I8" s="1" t="s">
        <v>187</v>
      </c>
      <c r="J8" s="3">
        <v>5000</v>
      </c>
      <c r="K8" s="3"/>
      <c r="L8" s="3">
        <f t="shared" si="1"/>
        <v>2400</v>
      </c>
      <c r="M8" s="1"/>
    </row>
    <row r="9" spans="1:13">
      <c r="A9" s="2">
        <v>43985</v>
      </c>
      <c r="B9" s="1" t="s">
        <v>181</v>
      </c>
      <c r="C9" s="3">
        <v>1500</v>
      </c>
      <c r="D9" s="3"/>
      <c r="E9" s="3">
        <f t="shared" si="0"/>
        <v>38745.11</v>
      </c>
      <c r="F9" s="1"/>
      <c r="H9" s="2">
        <v>43990</v>
      </c>
      <c r="I9" s="1" t="s">
        <v>190</v>
      </c>
      <c r="J9" s="3"/>
      <c r="K9" s="3">
        <v>10200</v>
      </c>
      <c r="L9" s="3">
        <f t="shared" si="1"/>
        <v>12600</v>
      </c>
      <c r="M9" s="1"/>
    </row>
    <row r="10" spans="1:13">
      <c r="A10" s="2">
        <v>43985</v>
      </c>
      <c r="B10" s="1" t="s">
        <v>168</v>
      </c>
      <c r="C10" s="3">
        <v>7000</v>
      </c>
      <c r="D10" s="3"/>
      <c r="E10" s="3">
        <f t="shared" si="0"/>
        <v>31745.11</v>
      </c>
      <c r="F10" s="1"/>
      <c r="H10" s="2">
        <v>43991</v>
      </c>
      <c r="I10" s="1" t="s">
        <v>193</v>
      </c>
      <c r="J10" s="3">
        <v>1000</v>
      </c>
      <c r="K10" s="3"/>
      <c r="L10" s="3">
        <f t="shared" si="1"/>
        <v>11600</v>
      </c>
      <c r="M10" s="1"/>
    </row>
    <row r="11" spans="1:13">
      <c r="A11" s="2">
        <v>43985</v>
      </c>
      <c r="B11" s="1" t="s">
        <v>182</v>
      </c>
      <c r="C11" s="3">
        <v>1263.1500000000001</v>
      </c>
      <c r="D11" s="3"/>
      <c r="E11" s="3">
        <f t="shared" si="0"/>
        <v>30481.96</v>
      </c>
      <c r="F11" s="1"/>
      <c r="H11" s="2">
        <v>43992</v>
      </c>
      <c r="I11" s="1" t="s">
        <v>193</v>
      </c>
      <c r="J11" s="3">
        <v>1000</v>
      </c>
      <c r="K11" s="3"/>
      <c r="L11" s="3">
        <f t="shared" si="1"/>
        <v>10600</v>
      </c>
      <c r="M11" s="1"/>
    </row>
    <row r="12" spans="1:13">
      <c r="A12" s="2">
        <v>43988</v>
      </c>
      <c r="B12" s="1" t="s">
        <v>188</v>
      </c>
      <c r="C12" s="3"/>
      <c r="D12" s="3">
        <v>4000</v>
      </c>
      <c r="E12" s="3">
        <f t="shared" si="0"/>
        <v>34481.96</v>
      </c>
      <c r="F12" s="1"/>
      <c r="H12" s="2">
        <v>43994</v>
      </c>
      <c r="I12" s="1" t="s">
        <v>194</v>
      </c>
      <c r="J12" s="3">
        <v>850</v>
      </c>
      <c r="K12" s="3"/>
      <c r="L12" s="3">
        <f t="shared" si="1"/>
        <v>9750</v>
      </c>
      <c r="M12" s="1"/>
    </row>
    <row r="13" spans="1:13">
      <c r="A13" s="2">
        <v>43990</v>
      </c>
      <c r="B13" s="1" t="s">
        <v>161</v>
      </c>
      <c r="C13" s="3">
        <f>14406+4321.8</f>
        <v>18727.8</v>
      </c>
      <c r="D13" s="3"/>
      <c r="E13" s="3">
        <f t="shared" si="0"/>
        <v>15754.16</v>
      </c>
      <c r="F13" s="1" t="s">
        <v>189</v>
      </c>
      <c r="H13" s="2">
        <v>43995</v>
      </c>
      <c r="I13" s="1" t="s">
        <v>195</v>
      </c>
      <c r="J13" s="3">
        <v>300</v>
      </c>
      <c r="K13" s="3"/>
      <c r="L13" s="3">
        <f t="shared" si="1"/>
        <v>9450</v>
      </c>
      <c r="M13" s="1"/>
    </row>
    <row r="14" spans="1:13">
      <c r="A14" s="2">
        <v>43991</v>
      </c>
      <c r="B14" s="1" t="s">
        <v>188</v>
      </c>
      <c r="C14" s="3"/>
      <c r="D14" s="3">
        <v>5000</v>
      </c>
      <c r="E14" s="3">
        <f t="shared" si="0"/>
        <v>20754.16</v>
      </c>
      <c r="F14" s="1"/>
      <c r="H14" s="2">
        <v>43997</v>
      </c>
      <c r="I14" s="1" t="s">
        <v>207</v>
      </c>
      <c r="J14" s="3">
        <v>470</v>
      </c>
      <c r="K14" s="3"/>
      <c r="L14" s="3">
        <f t="shared" si="1"/>
        <v>8980</v>
      </c>
      <c r="M14" s="1"/>
    </row>
    <row r="15" spans="1:13">
      <c r="A15" s="2">
        <v>43994</v>
      </c>
      <c r="B15" s="1" t="s">
        <v>191</v>
      </c>
      <c r="C15" s="3"/>
      <c r="D15" s="3">
        <v>976.55</v>
      </c>
      <c r="E15" s="3">
        <f t="shared" si="0"/>
        <v>21730.71</v>
      </c>
      <c r="F15" s="1"/>
      <c r="H15" s="2">
        <v>43997</v>
      </c>
      <c r="I15" s="1" t="s">
        <v>196</v>
      </c>
      <c r="J15" s="3">
        <v>500</v>
      </c>
      <c r="K15" s="1"/>
      <c r="L15" s="3">
        <f t="shared" si="1"/>
        <v>8480</v>
      </c>
      <c r="M15" s="1"/>
    </row>
    <row r="16" spans="1:13">
      <c r="A16" s="2">
        <v>43995</v>
      </c>
      <c r="B16" s="1" t="s">
        <v>197</v>
      </c>
      <c r="C16" s="3">
        <v>1249</v>
      </c>
      <c r="D16" s="3"/>
      <c r="E16" s="3">
        <f t="shared" si="0"/>
        <v>20481.71</v>
      </c>
      <c r="F16" s="1"/>
      <c r="H16" s="2">
        <v>44000</v>
      </c>
      <c r="I16" s="6" t="s">
        <v>205</v>
      </c>
      <c r="J16" s="10">
        <v>1100</v>
      </c>
      <c r="K16" s="1"/>
      <c r="L16" s="3">
        <f t="shared" si="1"/>
        <v>7380</v>
      </c>
      <c r="M16" s="44"/>
    </row>
    <row r="17" spans="1:14">
      <c r="A17" s="2">
        <v>43998</v>
      </c>
      <c r="B17" s="1" t="s">
        <v>198</v>
      </c>
      <c r="C17" s="10">
        <v>600</v>
      </c>
      <c r="D17" s="3"/>
      <c r="E17" s="3">
        <f t="shared" si="0"/>
        <v>19881.71</v>
      </c>
      <c r="F17" s="1"/>
      <c r="H17" s="2">
        <v>44000</v>
      </c>
      <c r="I17" s="6" t="s">
        <v>35</v>
      </c>
      <c r="J17" s="10">
        <v>135</v>
      </c>
      <c r="K17" s="1"/>
      <c r="L17" s="3">
        <f t="shared" si="1"/>
        <v>7245</v>
      </c>
      <c r="M17" s="1"/>
    </row>
    <row r="18" spans="1:14">
      <c r="A18" s="2">
        <v>43998</v>
      </c>
      <c r="B18" s="6" t="s">
        <v>199</v>
      </c>
      <c r="C18" s="10"/>
      <c r="D18" s="3">
        <v>300</v>
      </c>
      <c r="E18" s="3">
        <f t="shared" si="0"/>
        <v>20181.71</v>
      </c>
      <c r="F18" s="1"/>
      <c r="H18" s="2">
        <v>44000</v>
      </c>
      <c r="I18" s="6" t="s">
        <v>206</v>
      </c>
      <c r="J18" s="10">
        <v>360</v>
      </c>
      <c r="K18" s="1"/>
      <c r="L18" s="3">
        <f t="shared" si="1"/>
        <v>6885</v>
      </c>
      <c r="M18" s="45" t="s">
        <v>208</v>
      </c>
      <c r="N18" s="41"/>
    </row>
    <row r="19" spans="1:14">
      <c r="A19" s="2">
        <v>43998</v>
      </c>
      <c r="B19" s="6" t="s">
        <v>200</v>
      </c>
      <c r="C19" s="10"/>
      <c r="D19" s="3">
        <v>300</v>
      </c>
      <c r="E19" s="3">
        <f t="shared" si="0"/>
        <v>20481.71</v>
      </c>
      <c r="F19" s="1"/>
      <c r="H19" s="2">
        <v>44000</v>
      </c>
      <c r="I19" s="1" t="s">
        <v>209</v>
      </c>
      <c r="J19" s="3">
        <v>780</v>
      </c>
      <c r="K19" s="3"/>
      <c r="L19" s="3">
        <f t="shared" si="1"/>
        <v>6105</v>
      </c>
      <c r="M19" s="1"/>
    </row>
    <row r="20" spans="1:14">
      <c r="A20" s="2">
        <v>43998</v>
      </c>
      <c r="B20" s="6" t="s">
        <v>201</v>
      </c>
      <c r="C20" s="10">
        <v>2000</v>
      </c>
      <c r="D20" s="3"/>
      <c r="E20" s="3">
        <f t="shared" si="0"/>
        <v>18481.71</v>
      </c>
      <c r="F20" s="1"/>
      <c r="H20" s="2">
        <v>44009</v>
      </c>
      <c r="I20" s="1" t="s">
        <v>215</v>
      </c>
      <c r="J20" s="3">
        <v>1600</v>
      </c>
      <c r="K20" s="3"/>
      <c r="L20" s="3">
        <f t="shared" si="1"/>
        <v>4505</v>
      </c>
      <c r="M20" s="1"/>
    </row>
    <row r="21" spans="1:14">
      <c r="A21" s="2">
        <v>43998</v>
      </c>
      <c r="B21" s="6" t="s">
        <v>202</v>
      </c>
      <c r="C21" s="3"/>
      <c r="D21" s="3">
        <v>300</v>
      </c>
      <c r="E21" s="3">
        <f t="shared" si="0"/>
        <v>18781.71</v>
      </c>
      <c r="F21" s="44"/>
      <c r="H21" s="2">
        <v>44011</v>
      </c>
      <c r="I21" s="1" t="s">
        <v>217</v>
      </c>
      <c r="J21" s="3">
        <v>405</v>
      </c>
      <c r="K21" s="3"/>
      <c r="L21" s="3">
        <f t="shared" si="1"/>
        <v>4100</v>
      </c>
      <c r="M21" s="1"/>
    </row>
    <row r="22" spans="1:14">
      <c r="A22" s="2">
        <v>43999</v>
      </c>
      <c r="B22" s="1" t="s">
        <v>203</v>
      </c>
      <c r="C22" s="3"/>
      <c r="D22" s="3">
        <v>16844.45</v>
      </c>
      <c r="E22" s="3">
        <f t="shared" si="0"/>
        <v>35626.160000000003</v>
      </c>
      <c r="F22" s="1"/>
      <c r="H22" s="2">
        <v>44012</v>
      </c>
      <c r="I22" s="1" t="s">
        <v>222</v>
      </c>
      <c r="J22" s="3">
        <v>1500</v>
      </c>
      <c r="K22" s="3"/>
      <c r="L22" s="3">
        <f t="shared" si="1"/>
        <v>2600</v>
      </c>
      <c r="M22" s="45" t="s">
        <v>221</v>
      </c>
    </row>
    <row r="23" spans="1:14">
      <c r="A23" s="2">
        <v>43999</v>
      </c>
      <c r="B23" s="1" t="s">
        <v>211</v>
      </c>
      <c r="C23" s="3"/>
      <c r="D23" s="3">
        <v>0.32</v>
      </c>
      <c r="E23" s="3">
        <f t="shared" si="0"/>
        <v>35626.480000000003</v>
      </c>
      <c r="F23" s="1"/>
      <c r="H23" s="12"/>
      <c r="I23" s="12"/>
      <c r="J23" s="13"/>
      <c r="K23" s="13"/>
      <c r="L23" s="13">
        <f t="shared" si="1"/>
        <v>2600</v>
      </c>
      <c r="M23" s="12"/>
    </row>
    <row r="24" spans="1:14">
      <c r="A24" s="2">
        <v>44006</v>
      </c>
      <c r="B24" s="1" t="s">
        <v>210</v>
      </c>
      <c r="C24" s="3"/>
      <c r="D24" s="3">
        <v>600</v>
      </c>
      <c r="E24" s="3">
        <f t="shared" si="0"/>
        <v>36226.480000000003</v>
      </c>
      <c r="F24" s="1"/>
      <c r="H24" s="12"/>
      <c r="I24" s="12"/>
      <c r="J24" s="13"/>
      <c r="K24" s="13"/>
      <c r="L24" s="13">
        <f t="shared" si="1"/>
        <v>2600</v>
      </c>
      <c r="M24" s="12"/>
    </row>
    <row r="25" spans="1:14">
      <c r="A25" s="2">
        <v>44007</v>
      </c>
      <c r="B25" s="1" t="s">
        <v>216</v>
      </c>
      <c r="C25" s="3">
        <v>1000</v>
      </c>
      <c r="D25" s="3"/>
      <c r="E25" s="3">
        <f t="shared" si="0"/>
        <v>35226.480000000003</v>
      </c>
      <c r="F25" s="1"/>
      <c r="J25" s="4"/>
      <c r="K25" s="4"/>
      <c r="L25" s="3">
        <f t="shared" si="1"/>
        <v>2600</v>
      </c>
      <c r="M25" s="1"/>
    </row>
    <row r="26" spans="1:14">
      <c r="A26" s="2">
        <v>44011</v>
      </c>
      <c r="B26" s="46" t="s">
        <v>213</v>
      </c>
      <c r="C26" s="47">
        <v>100</v>
      </c>
      <c r="D26" s="3"/>
      <c r="E26" s="3">
        <f t="shared" si="0"/>
        <v>35126.480000000003</v>
      </c>
      <c r="F26" s="46" t="s">
        <v>214</v>
      </c>
      <c r="J26" s="4"/>
      <c r="K26" s="4"/>
      <c r="L26" s="3">
        <f t="shared" si="1"/>
        <v>2600</v>
      </c>
    </row>
    <row r="27" spans="1:14">
      <c r="A27" s="2">
        <v>44011</v>
      </c>
      <c r="B27" s="46" t="s">
        <v>213</v>
      </c>
      <c r="C27" s="47">
        <v>50</v>
      </c>
      <c r="D27" s="3"/>
      <c r="E27" s="3">
        <f t="shared" si="0"/>
        <v>35076.480000000003</v>
      </c>
      <c r="F27" s="1"/>
      <c r="J27" s="4"/>
      <c r="K27" s="4"/>
      <c r="L27" s="3">
        <f t="shared" si="1"/>
        <v>2600</v>
      </c>
    </row>
    <row r="28" spans="1:14">
      <c r="A28" s="2">
        <v>44011</v>
      </c>
      <c r="B28" s="46" t="s">
        <v>213</v>
      </c>
      <c r="C28" s="47">
        <v>50</v>
      </c>
      <c r="D28" s="3"/>
      <c r="E28" s="3">
        <f t="shared" si="0"/>
        <v>35026.480000000003</v>
      </c>
      <c r="F28" s="1"/>
      <c r="J28" s="4"/>
      <c r="K28" s="4"/>
      <c r="L28" s="3">
        <f t="shared" si="1"/>
        <v>2600</v>
      </c>
    </row>
    <row r="29" spans="1:14">
      <c r="A29" s="2">
        <v>44011</v>
      </c>
      <c r="B29" s="46" t="s">
        <v>213</v>
      </c>
      <c r="C29" s="47">
        <v>50</v>
      </c>
      <c r="D29" s="3"/>
      <c r="E29" s="3">
        <f t="shared" si="0"/>
        <v>34976.480000000003</v>
      </c>
      <c r="F29" s="1"/>
      <c r="J29" s="4"/>
      <c r="K29" s="4"/>
      <c r="L29" s="3">
        <f t="shared" si="1"/>
        <v>2600</v>
      </c>
    </row>
    <row r="30" spans="1:14">
      <c r="A30" s="2">
        <v>44011</v>
      </c>
      <c r="B30" s="1" t="s">
        <v>212</v>
      </c>
      <c r="C30" s="3">
        <v>2500</v>
      </c>
      <c r="D30" s="3"/>
      <c r="E30" s="3">
        <f t="shared" si="0"/>
        <v>32476.480000000003</v>
      </c>
      <c r="F30" s="1"/>
      <c r="J30" s="4"/>
      <c r="K30" s="4"/>
      <c r="L30" s="3">
        <f t="shared" si="1"/>
        <v>2600</v>
      </c>
    </row>
    <row r="31" spans="1:14">
      <c r="A31" s="2">
        <v>44011</v>
      </c>
      <c r="B31" s="1" t="s">
        <v>218</v>
      </c>
      <c r="C31" s="3">
        <v>5300</v>
      </c>
      <c r="D31" s="3"/>
      <c r="E31" s="3">
        <f t="shared" si="0"/>
        <v>27176.480000000003</v>
      </c>
      <c r="F31" s="1" t="s">
        <v>219</v>
      </c>
      <c r="J31" s="4"/>
      <c r="K31" s="4"/>
      <c r="L31" s="3">
        <f t="shared" si="1"/>
        <v>2600</v>
      </c>
    </row>
    <row r="32" spans="1:14">
      <c r="A32" s="2">
        <v>44011</v>
      </c>
      <c r="B32" s="36" t="s">
        <v>220</v>
      </c>
      <c r="C32" s="3">
        <v>5000</v>
      </c>
      <c r="D32" s="3"/>
      <c r="E32" s="3">
        <f t="shared" si="0"/>
        <v>22176.480000000003</v>
      </c>
      <c r="F32" s="1"/>
      <c r="J32" s="4"/>
      <c r="K32" s="4"/>
      <c r="L32" s="3">
        <f t="shared" si="1"/>
        <v>2600</v>
      </c>
    </row>
    <row r="33" spans="1:12">
      <c r="A33" s="20"/>
      <c r="B33" s="20"/>
      <c r="C33" s="49"/>
      <c r="D33" s="49"/>
      <c r="E33" s="48">
        <f t="shared" ref="E33:E39" si="2">E32+D33-C33</f>
        <v>22176.480000000003</v>
      </c>
      <c r="F33" s="20"/>
      <c r="J33" s="4"/>
      <c r="K33" s="4"/>
      <c r="L33" s="3">
        <f t="shared" si="1"/>
        <v>2600</v>
      </c>
    </row>
    <row r="34" spans="1:12">
      <c r="A34" s="20"/>
      <c r="B34" s="20"/>
      <c r="C34" s="49"/>
      <c r="D34" s="49"/>
      <c r="E34" s="48">
        <f t="shared" si="2"/>
        <v>22176.480000000003</v>
      </c>
      <c r="F34" s="20"/>
      <c r="J34" s="4"/>
      <c r="K34" s="4"/>
      <c r="L34" s="3">
        <f t="shared" si="1"/>
        <v>2600</v>
      </c>
    </row>
    <row r="35" spans="1:12">
      <c r="E35" s="33">
        <f t="shared" si="2"/>
        <v>22176.480000000003</v>
      </c>
      <c r="J35" s="4"/>
      <c r="K35" s="4"/>
      <c r="L35" s="3">
        <f t="shared" si="1"/>
        <v>2600</v>
      </c>
    </row>
    <row r="36" spans="1:12">
      <c r="E36" s="33">
        <f t="shared" si="2"/>
        <v>22176.480000000003</v>
      </c>
      <c r="J36" s="4"/>
      <c r="K36" s="4"/>
      <c r="L36" s="3">
        <f t="shared" si="1"/>
        <v>2600</v>
      </c>
    </row>
    <row r="37" spans="1:12">
      <c r="E37" s="33">
        <f t="shared" si="2"/>
        <v>22176.480000000003</v>
      </c>
      <c r="J37" s="4"/>
      <c r="K37" s="4"/>
      <c r="L37" s="3">
        <f t="shared" si="1"/>
        <v>2600</v>
      </c>
    </row>
    <row r="38" spans="1:12">
      <c r="E38" s="33">
        <f t="shared" si="2"/>
        <v>22176.480000000003</v>
      </c>
      <c r="L38" s="3">
        <f t="shared" si="1"/>
        <v>2600</v>
      </c>
    </row>
    <row r="39" spans="1:12">
      <c r="E39" s="33">
        <f t="shared" si="2"/>
        <v>22176.480000000003</v>
      </c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8253-B4E2-9E48-9458-1E233A71ADE4}">
  <dimension ref="A1:R39"/>
  <sheetViews>
    <sheetView workbookViewId="0">
      <selection activeCell="I67" sqref="I67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2" bestFit="1" customWidth="1"/>
    <col min="10" max="12" width="11.5" bestFit="1" customWidth="1"/>
    <col min="13" max="13" width="25.6640625" bestFit="1" customWidth="1"/>
    <col min="15" max="15" width="19.5" bestFit="1" customWidth="1"/>
  </cols>
  <sheetData>
    <row r="1" spans="1:18">
      <c r="A1" s="471" t="s">
        <v>153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8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>
        <v>36361.1</v>
      </c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1"/>
      <c r="P2" s="1" t="s">
        <v>231</v>
      </c>
      <c r="Q2" s="1" t="s">
        <v>232</v>
      </c>
    </row>
    <row r="3" spans="1:18">
      <c r="A3" s="2">
        <v>44012</v>
      </c>
      <c r="B3" s="473" t="s">
        <v>144</v>
      </c>
      <c r="C3" s="474"/>
      <c r="D3" s="475"/>
      <c r="E3" s="3">
        <v>22176.480000000003</v>
      </c>
      <c r="F3" s="31" t="s">
        <v>223</v>
      </c>
      <c r="G3" s="32">
        <f>16844.45+D5+D6+D8</f>
        <v>44642.1</v>
      </c>
      <c r="H3" s="2">
        <v>44012</v>
      </c>
      <c r="I3" s="473" t="s">
        <v>4</v>
      </c>
      <c r="J3" s="474"/>
      <c r="K3" s="475"/>
      <c r="L3" s="3">
        <v>2600</v>
      </c>
      <c r="M3" s="34"/>
      <c r="O3" s="1" t="s">
        <v>230</v>
      </c>
      <c r="P3" s="3">
        <v>880</v>
      </c>
      <c r="Q3" s="3"/>
      <c r="R3" t="s">
        <v>240</v>
      </c>
    </row>
    <row r="4" spans="1:18">
      <c r="A4" s="2">
        <v>44012</v>
      </c>
      <c r="B4" s="1"/>
      <c r="C4" s="3">
        <v>50</v>
      </c>
      <c r="D4" s="3"/>
      <c r="E4" s="3">
        <f>E3+D4-C4</f>
        <v>22126.480000000003</v>
      </c>
      <c r="F4" s="42" t="s">
        <v>269</v>
      </c>
      <c r="G4" s="55">
        <f>D21</f>
        <v>16560.59</v>
      </c>
      <c r="H4" s="2">
        <v>44017</v>
      </c>
      <c r="I4" s="1" t="s">
        <v>248</v>
      </c>
      <c r="J4" s="3">
        <v>880</v>
      </c>
      <c r="K4" s="3"/>
      <c r="L4" s="3">
        <f>L3+K4-J4</f>
        <v>1720</v>
      </c>
      <c r="M4" s="30"/>
      <c r="O4" s="1" t="s">
        <v>233</v>
      </c>
      <c r="P4" s="3"/>
      <c r="Q4" s="3">
        <v>1325</v>
      </c>
      <c r="R4" t="s">
        <v>241</v>
      </c>
    </row>
    <row r="5" spans="1:18">
      <c r="A5" s="2">
        <v>44014</v>
      </c>
      <c r="B5" s="1" t="s">
        <v>225</v>
      </c>
      <c r="C5" s="3"/>
      <c r="D5" s="3">
        <v>18869.23</v>
      </c>
      <c r="E5" s="3">
        <f t="shared" ref="E5:E16" si="0">E4+D5-C5</f>
        <v>40995.710000000006</v>
      </c>
      <c r="F5" s="1"/>
      <c r="G5" s="39" t="s">
        <v>170</v>
      </c>
      <c r="H5" s="2">
        <v>44017</v>
      </c>
      <c r="I5" s="1" t="s">
        <v>249</v>
      </c>
      <c r="J5" s="3">
        <v>800</v>
      </c>
      <c r="K5" s="3"/>
      <c r="L5" s="3">
        <f t="shared" ref="L5:L38" si="1">L4+K5-J5</f>
        <v>920</v>
      </c>
      <c r="M5" s="1"/>
      <c r="O5" s="1" t="s">
        <v>234</v>
      </c>
      <c r="P5" s="3"/>
      <c r="Q5" s="3">
        <v>470</v>
      </c>
    </row>
    <row r="6" spans="1:18">
      <c r="A6" s="2">
        <v>44014</v>
      </c>
      <c r="B6" s="1" t="s">
        <v>226</v>
      </c>
      <c r="C6" s="3"/>
      <c r="D6" s="3">
        <v>647.41999999999996</v>
      </c>
      <c r="E6" s="3">
        <f t="shared" si="0"/>
        <v>41643.130000000005</v>
      </c>
      <c r="F6" s="1"/>
      <c r="G6" s="56">
        <f>E39+L38</f>
        <v>7533.0400000000063</v>
      </c>
      <c r="H6" s="2">
        <v>44017</v>
      </c>
      <c r="I6" s="1" t="s">
        <v>243</v>
      </c>
      <c r="J6" s="3"/>
      <c r="K6" s="3">
        <v>5000</v>
      </c>
      <c r="L6" s="3">
        <f t="shared" si="1"/>
        <v>5920</v>
      </c>
      <c r="M6" s="1"/>
      <c r="O6" s="1" t="s">
        <v>235</v>
      </c>
      <c r="P6" s="3"/>
      <c r="Q6" s="3">
        <v>300</v>
      </c>
    </row>
    <row r="7" spans="1:18">
      <c r="A7" s="2">
        <v>44014</v>
      </c>
      <c r="B7" s="1" t="s">
        <v>227</v>
      </c>
      <c r="C7" s="3"/>
      <c r="D7" s="3">
        <v>300</v>
      </c>
      <c r="E7" s="3">
        <f t="shared" si="0"/>
        <v>41943.130000000005</v>
      </c>
      <c r="F7" s="1"/>
      <c r="H7" s="2">
        <v>44017</v>
      </c>
      <c r="I7" s="1" t="s">
        <v>245</v>
      </c>
      <c r="J7" s="3"/>
      <c r="K7" s="3">
        <v>2000</v>
      </c>
      <c r="L7" s="3">
        <f t="shared" si="1"/>
        <v>7920</v>
      </c>
      <c r="M7" s="1"/>
      <c r="O7" s="1" t="s">
        <v>236</v>
      </c>
      <c r="P7" s="3">
        <v>800</v>
      </c>
      <c r="Q7" s="3"/>
    </row>
    <row r="8" spans="1:18">
      <c r="A8" s="2">
        <v>44014</v>
      </c>
      <c r="B8" s="36" t="s">
        <v>228</v>
      </c>
      <c r="C8" s="37"/>
      <c r="D8" s="3">
        <v>8281</v>
      </c>
      <c r="E8" s="3">
        <f t="shared" si="0"/>
        <v>50224.130000000005</v>
      </c>
      <c r="F8" s="1"/>
      <c r="H8" s="2">
        <v>44017</v>
      </c>
      <c r="I8" s="1" t="s">
        <v>246</v>
      </c>
      <c r="J8" s="3">
        <v>220</v>
      </c>
      <c r="K8" s="3"/>
      <c r="L8" s="3">
        <f t="shared" si="1"/>
        <v>7700</v>
      </c>
      <c r="M8" s="1"/>
      <c r="O8" s="1" t="s">
        <v>237</v>
      </c>
      <c r="P8" s="3"/>
      <c r="Q8" s="3">
        <v>1200</v>
      </c>
    </row>
    <row r="9" spans="1:18">
      <c r="A9" s="2">
        <v>44015</v>
      </c>
      <c r="B9" s="1" t="s">
        <v>224</v>
      </c>
      <c r="C9" s="3">
        <v>2000</v>
      </c>
      <c r="D9" s="3"/>
      <c r="E9" s="3">
        <f t="shared" si="0"/>
        <v>48224.130000000005</v>
      </c>
      <c r="F9" s="44"/>
      <c r="H9" s="2">
        <v>44017</v>
      </c>
      <c r="I9" s="1" t="s">
        <v>247</v>
      </c>
      <c r="J9" s="3">
        <v>2400</v>
      </c>
      <c r="K9" s="3"/>
      <c r="L9" s="3">
        <f t="shared" si="1"/>
        <v>5300</v>
      </c>
      <c r="M9" s="44"/>
      <c r="O9" s="1" t="s">
        <v>238</v>
      </c>
      <c r="P9" s="3">
        <v>1400</v>
      </c>
      <c r="Q9" s="3"/>
    </row>
    <row r="10" spans="1:18">
      <c r="A10" s="2">
        <v>44015</v>
      </c>
      <c r="B10" s="1" t="s">
        <v>229</v>
      </c>
      <c r="C10" s="3">
        <v>2000</v>
      </c>
      <c r="D10" s="3"/>
      <c r="E10" s="3">
        <f t="shared" si="0"/>
        <v>46224.130000000005</v>
      </c>
      <c r="F10" s="1"/>
      <c r="H10" s="2">
        <v>44017</v>
      </c>
      <c r="I10" s="1" t="s">
        <v>250</v>
      </c>
      <c r="J10" s="3">
        <v>60</v>
      </c>
      <c r="K10" s="3"/>
      <c r="L10" s="3">
        <f t="shared" si="1"/>
        <v>5240</v>
      </c>
      <c r="M10" s="1"/>
      <c r="O10" s="50" t="s">
        <v>239</v>
      </c>
      <c r="P10" s="3">
        <f>SUM(P3:P9)</f>
        <v>3080</v>
      </c>
      <c r="Q10" s="3">
        <f>SUM(Q4:Q9)</f>
        <v>3295</v>
      </c>
    </row>
    <row r="11" spans="1:18">
      <c r="A11" s="2">
        <v>44017</v>
      </c>
      <c r="B11" s="1" t="s">
        <v>243</v>
      </c>
      <c r="C11" s="3">
        <v>5000</v>
      </c>
      <c r="D11" s="3"/>
      <c r="E11" s="3">
        <f t="shared" si="0"/>
        <v>41224.130000000005</v>
      </c>
      <c r="F11" s="1"/>
      <c r="H11" s="52">
        <v>44017</v>
      </c>
      <c r="I11" s="53" t="s">
        <v>251</v>
      </c>
      <c r="J11" s="54">
        <v>420</v>
      </c>
      <c r="K11" s="3"/>
      <c r="L11" s="3">
        <f t="shared" si="1"/>
        <v>4820</v>
      </c>
      <c r="M11" s="5"/>
      <c r="O11" s="6" t="s">
        <v>242</v>
      </c>
      <c r="P11" s="3"/>
      <c r="Q11" s="51">
        <f>Q10-P10</f>
        <v>215</v>
      </c>
    </row>
    <row r="12" spans="1:18">
      <c r="A12" s="2">
        <v>44017</v>
      </c>
      <c r="B12" s="1" t="s">
        <v>244</v>
      </c>
      <c r="C12" s="3">
        <v>1363.21</v>
      </c>
      <c r="D12" s="3"/>
      <c r="E12" s="3">
        <f t="shared" si="0"/>
        <v>39860.920000000006</v>
      </c>
      <c r="F12" s="1"/>
      <c r="H12" s="2">
        <v>44018</v>
      </c>
      <c r="I12" s="1" t="s">
        <v>253</v>
      </c>
      <c r="J12" s="3">
        <v>700</v>
      </c>
      <c r="K12" s="3"/>
      <c r="L12" s="3">
        <f t="shared" si="1"/>
        <v>4120</v>
      </c>
      <c r="M12" s="44"/>
      <c r="P12" s="4"/>
      <c r="Q12" s="4"/>
    </row>
    <row r="13" spans="1:18">
      <c r="A13" s="2">
        <v>44017</v>
      </c>
      <c r="B13" s="1" t="s">
        <v>245</v>
      </c>
      <c r="C13" s="3">
        <v>2000</v>
      </c>
      <c r="D13" s="3"/>
      <c r="E13" s="3">
        <f t="shared" si="0"/>
        <v>37860.920000000006</v>
      </c>
      <c r="F13" s="1"/>
      <c r="H13" s="2">
        <v>44020</v>
      </c>
      <c r="I13" s="1" t="s">
        <v>254</v>
      </c>
      <c r="J13" s="3">
        <v>500</v>
      </c>
      <c r="K13" s="3"/>
      <c r="L13" s="3">
        <f t="shared" si="1"/>
        <v>3620</v>
      </c>
      <c r="M13" s="1"/>
    </row>
    <row r="14" spans="1:18">
      <c r="A14" s="2">
        <v>44018</v>
      </c>
      <c r="B14" s="1" t="s">
        <v>252</v>
      </c>
      <c r="C14" s="3">
        <f>14906+4471.8</f>
        <v>19377.8</v>
      </c>
      <c r="D14" s="3"/>
      <c r="E14" s="3">
        <f t="shared" si="0"/>
        <v>18483.120000000006</v>
      </c>
      <c r="F14" s="1"/>
      <c r="H14" s="2">
        <v>44020</v>
      </c>
      <c r="I14" s="1" t="s">
        <v>255</v>
      </c>
      <c r="J14" s="3">
        <v>320</v>
      </c>
      <c r="K14" s="3"/>
      <c r="L14" s="3">
        <f t="shared" si="1"/>
        <v>3300</v>
      </c>
      <c r="M14" s="1"/>
    </row>
    <row r="15" spans="1:18">
      <c r="A15" s="2">
        <v>44018</v>
      </c>
      <c r="B15" s="1" t="s">
        <v>257</v>
      </c>
      <c r="C15" s="3">
        <v>800</v>
      </c>
      <c r="D15" s="3"/>
      <c r="E15" s="3">
        <f t="shared" si="0"/>
        <v>17683.120000000006</v>
      </c>
      <c r="F15" s="1"/>
      <c r="H15" s="2">
        <v>44023</v>
      </c>
      <c r="I15" s="1" t="s">
        <v>262</v>
      </c>
      <c r="J15" s="3">
        <v>550</v>
      </c>
      <c r="K15" s="1"/>
      <c r="L15" s="3">
        <f t="shared" si="1"/>
        <v>2750</v>
      </c>
      <c r="M15" s="1"/>
    </row>
    <row r="16" spans="1:18">
      <c r="A16" s="2">
        <v>44019</v>
      </c>
      <c r="B16" s="1" t="s">
        <v>258</v>
      </c>
      <c r="C16" s="3"/>
      <c r="D16" s="3">
        <v>300</v>
      </c>
      <c r="E16" s="3">
        <f t="shared" si="0"/>
        <v>17983.120000000006</v>
      </c>
      <c r="F16" s="44"/>
      <c r="G16" s="57"/>
      <c r="H16" s="2">
        <v>44024</v>
      </c>
      <c r="I16" s="6" t="s">
        <v>263</v>
      </c>
      <c r="J16" s="10">
        <v>1385</v>
      </c>
      <c r="K16" s="1"/>
      <c r="L16" s="3">
        <f t="shared" si="1"/>
        <v>1365</v>
      </c>
      <c r="M16" s="44"/>
    </row>
    <row r="17" spans="1:14">
      <c r="A17" s="2">
        <v>44019</v>
      </c>
      <c r="B17" s="1" t="s">
        <v>259</v>
      </c>
      <c r="C17" s="10">
        <v>100</v>
      </c>
      <c r="D17" s="3"/>
      <c r="E17" s="3">
        <f t="shared" ref="E17:E39" si="2">E16+D17-C17</f>
        <v>17883.120000000006</v>
      </c>
      <c r="F17" s="44"/>
      <c r="H17" s="2">
        <v>44027</v>
      </c>
      <c r="I17" s="6" t="s">
        <v>264</v>
      </c>
      <c r="J17" s="10">
        <v>2900</v>
      </c>
      <c r="K17" s="1"/>
      <c r="L17" s="3">
        <f t="shared" si="1"/>
        <v>-1535</v>
      </c>
      <c r="M17" s="1"/>
    </row>
    <row r="18" spans="1:14">
      <c r="A18" s="2">
        <v>44023</v>
      </c>
      <c r="B18" s="6" t="s">
        <v>256</v>
      </c>
      <c r="C18" s="10"/>
      <c r="D18" s="3">
        <v>740</v>
      </c>
      <c r="E18" s="3">
        <f t="shared" si="2"/>
        <v>18623.120000000006</v>
      </c>
      <c r="F18" s="44"/>
      <c r="H18" s="2">
        <v>44027</v>
      </c>
      <c r="I18" s="6" t="s">
        <v>265</v>
      </c>
      <c r="J18" s="10"/>
      <c r="K18" s="3">
        <v>10000</v>
      </c>
      <c r="L18" s="3">
        <f t="shared" si="1"/>
        <v>8465</v>
      </c>
      <c r="M18" s="45"/>
      <c r="N18" s="41"/>
    </row>
    <row r="19" spans="1:14">
      <c r="A19" s="2">
        <v>44027</v>
      </c>
      <c r="B19" s="6" t="s">
        <v>260</v>
      </c>
      <c r="C19" s="10">
        <v>10000</v>
      </c>
      <c r="D19" s="3"/>
      <c r="E19" s="3">
        <f t="shared" si="2"/>
        <v>8623.1200000000063</v>
      </c>
      <c r="F19" s="57"/>
      <c r="H19" s="2">
        <v>44027</v>
      </c>
      <c r="I19" s="1" t="s">
        <v>266</v>
      </c>
      <c r="J19" s="3">
        <v>450</v>
      </c>
      <c r="K19" s="3"/>
      <c r="L19" s="3">
        <f t="shared" si="1"/>
        <v>8015</v>
      </c>
      <c r="M19" s="1"/>
    </row>
    <row r="20" spans="1:14">
      <c r="A20" s="2">
        <v>44028</v>
      </c>
      <c r="B20" s="6" t="s">
        <v>261</v>
      </c>
      <c r="C20" s="10">
        <v>2500</v>
      </c>
      <c r="D20" s="3"/>
      <c r="E20" s="3">
        <f t="shared" si="2"/>
        <v>6123.1200000000063</v>
      </c>
      <c r="F20" s="1"/>
      <c r="H20" s="2">
        <v>44023</v>
      </c>
      <c r="I20" s="1" t="s">
        <v>267</v>
      </c>
      <c r="J20" s="3">
        <v>900</v>
      </c>
      <c r="K20" s="3"/>
      <c r="L20" s="3">
        <f t="shared" si="1"/>
        <v>7115</v>
      </c>
      <c r="M20" s="1"/>
    </row>
    <row r="21" spans="1:14">
      <c r="A21" s="2">
        <v>44029</v>
      </c>
      <c r="B21" s="1" t="s">
        <v>268</v>
      </c>
      <c r="C21" s="3"/>
      <c r="D21" s="3">
        <v>16560.59</v>
      </c>
      <c r="E21" s="3">
        <f t="shared" si="2"/>
        <v>22683.710000000006</v>
      </c>
      <c r="F21" s="44"/>
      <c r="H21" s="52">
        <v>44028</v>
      </c>
      <c r="I21" s="53" t="s">
        <v>251</v>
      </c>
      <c r="J21" s="54">
        <v>115</v>
      </c>
      <c r="K21" s="3"/>
      <c r="L21" s="3">
        <f t="shared" si="1"/>
        <v>7000</v>
      </c>
      <c r="M21" s="1"/>
    </row>
    <row r="22" spans="1:14">
      <c r="A22" s="2">
        <v>44029</v>
      </c>
      <c r="B22" s="1" t="s">
        <v>272</v>
      </c>
      <c r="C22" s="3">
        <v>6100</v>
      </c>
      <c r="D22" s="3"/>
      <c r="E22" s="3">
        <f t="shared" si="2"/>
        <v>16583.710000000006</v>
      </c>
      <c r="F22" s="1"/>
      <c r="H22" s="2">
        <v>44029</v>
      </c>
      <c r="I22" s="1" t="s">
        <v>270</v>
      </c>
      <c r="J22" s="3">
        <v>175</v>
      </c>
      <c r="K22" s="3"/>
      <c r="L22" s="3">
        <f t="shared" si="1"/>
        <v>6825</v>
      </c>
      <c r="M22" s="1"/>
    </row>
    <row r="23" spans="1:14">
      <c r="A23" s="2">
        <v>44029</v>
      </c>
      <c r="B23" s="1" t="s">
        <v>274</v>
      </c>
      <c r="C23" s="3">
        <v>10</v>
      </c>
      <c r="D23" s="3"/>
      <c r="E23" s="3">
        <f t="shared" si="2"/>
        <v>16573.710000000006</v>
      </c>
      <c r="F23" s="1"/>
      <c r="H23" s="2">
        <v>44029</v>
      </c>
      <c r="I23" s="1" t="s">
        <v>271</v>
      </c>
      <c r="J23" s="3">
        <v>1500</v>
      </c>
      <c r="K23" s="3"/>
      <c r="L23" s="3">
        <f t="shared" si="1"/>
        <v>5325</v>
      </c>
      <c r="M23" s="1"/>
    </row>
    <row r="24" spans="1:14">
      <c r="A24" s="2">
        <v>44030</v>
      </c>
      <c r="B24" s="1" t="s">
        <v>276</v>
      </c>
      <c r="C24" s="3">
        <v>2371</v>
      </c>
      <c r="D24" s="3"/>
      <c r="E24" s="3">
        <f t="shared" si="2"/>
        <v>14202.710000000006</v>
      </c>
      <c r="F24" s="44"/>
      <c r="H24" s="2">
        <v>44030</v>
      </c>
      <c r="I24" s="1" t="s">
        <v>273</v>
      </c>
      <c r="J24" s="3"/>
      <c r="K24" s="3">
        <v>2200</v>
      </c>
      <c r="L24" s="3">
        <f t="shared" si="1"/>
        <v>7525</v>
      </c>
      <c r="M24" s="44"/>
    </row>
    <row r="25" spans="1:14">
      <c r="A25" s="2">
        <v>44033</v>
      </c>
      <c r="B25" s="1" t="s">
        <v>277</v>
      </c>
      <c r="C25" s="3">
        <v>960</v>
      </c>
      <c r="D25" s="3"/>
      <c r="E25" s="3">
        <f t="shared" si="2"/>
        <v>13242.710000000006</v>
      </c>
      <c r="F25" s="1"/>
      <c r="H25" s="2">
        <v>44030</v>
      </c>
      <c r="I25" s="6" t="s">
        <v>275</v>
      </c>
      <c r="J25" s="3">
        <v>1000</v>
      </c>
      <c r="K25" s="3"/>
      <c r="L25" s="3">
        <f t="shared" si="1"/>
        <v>6525</v>
      </c>
      <c r="M25" s="1"/>
    </row>
    <row r="26" spans="1:14">
      <c r="A26" s="2">
        <v>44033</v>
      </c>
      <c r="B26" s="1" t="s">
        <v>281</v>
      </c>
      <c r="C26" s="3"/>
      <c r="D26" s="3">
        <v>0.33</v>
      </c>
      <c r="E26" s="3">
        <f t="shared" si="2"/>
        <v>13243.040000000006</v>
      </c>
      <c r="F26" s="1"/>
      <c r="H26" s="2">
        <v>44035</v>
      </c>
      <c r="I26" s="1" t="s">
        <v>278</v>
      </c>
      <c r="J26" s="3">
        <v>900</v>
      </c>
      <c r="K26" s="3"/>
      <c r="L26" s="3">
        <f t="shared" si="1"/>
        <v>5625</v>
      </c>
      <c r="M26" s="1"/>
    </row>
    <row r="27" spans="1:14">
      <c r="A27" s="2">
        <v>44033</v>
      </c>
      <c r="B27" s="1" t="s">
        <v>282</v>
      </c>
      <c r="C27" s="3"/>
      <c r="D27" s="3">
        <v>740</v>
      </c>
      <c r="E27" s="3">
        <f t="shared" si="2"/>
        <v>13983.040000000006</v>
      </c>
      <c r="F27" s="1"/>
      <c r="H27" s="2">
        <v>44035</v>
      </c>
      <c r="I27" s="1" t="s">
        <v>279</v>
      </c>
      <c r="J27" s="3">
        <v>500</v>
      </c>
      <c r="K27" s="3"/>
      <c r="L27" s="3">
        <f t="shared" si="1"/>
        <v>5125</v>
      </c>
      <c r="M27" s="1"/>
    </row>
    <row r="28" spans="1:14">
      <c r="A28" s="2">
        <v>44036</v>
      </c>
      <c r="B28" s="1" t="s">
        <v>283</v>
      </c>
      <c r="C28" s="3"/>
      <c r="D28" s="3">
        <v>300</v>
      </c>
      <c r="E28" s="3">
        <f t="shared" si="2"/>
        <v>14283.040000000006</v>
      </c>
      <c r="F28" s="1"/>
      <c r="H28" s="2">
        <v>44036</v>
      </c>
      <c r="I28" s="1" t="s">
        <v>280</v>
      </c>
      <c r="J28" s="3">
        <v>700</v>
      </c>
      <c r="K28" s="3"/>
      <c r="L28" s="3">
        <f t="shared" si="1"/>
        <v>4425</v>
      </c>
      <c r="M28" s="1"/>
    </row>
    <row r="29" spans="1:14">
      <c r="A29" s="2">
        <v>44036</v>
      </c>
      <c r="B29" s="1" t="s">
        <v>284</v>
      </c>
      <c r="C29" s="3">
        <v>900</v>
      </c>
      <c r="D29" s="3"/>
      <c r="E29" s="3">
        <f t="shared" si="2"/>
        <v>13383.040000000006</v>
      </c>
      <c r="F29" s="1"/>
      <c r="H29" s="2">
        <v>44039</v>
      </c>
      <c r="I29" s="1" t="s">
        <v>285</v>
      </c>
      <c r="J29" s="3">
        <v>300</v>
      </c>
      <c r="K29" s="3"/>
      <c r="L29" s="3">
        <f t="shared" si="1"/>
        <v>4125</v>
      </c>
      <c r="M29" s="1"/>
    </row>
    <row r="30" spans="1:14">
      <c r="A30" s="2">
        <v>44040</v>
      </c>
      <c r="B30" s="1" t="s">
        <v>287</v>
      </c>
      <c r="C30" s="3">
        <v>2500</v>
      </c>
      <c r="D30" s="3"/>
      <c r="E30" s="3">
        <f t="shared" si="2"/>
        <v>10883.040000000006</v>
      </c>
      <c r="F30" s="1"/>
      <c r="H30" s="2">
        <v>44039</v>
      </c>
      <c r="I30" s="1" t="s">
        <v>286</v>
      </c>
      <c r="J30" s="3">
        <v>1010</v>
      </c>
      <c r="K30" s="3"/>
      <c r="L30" s="3">
        <f t="shared" si="1"/>
        <v>3115</v>
      </c>
      <c r="M30" s="1"/>
    </row>
    <row r="31" spans="1:14">
      <c r="A31" s="2">
        <v>44043</v>
      </c>
      <c r="B31" s="1" t="s">
        <v>291</v>
      </c>
      <c r="C31" s="3">
        <v>4750</v>
      </c>
      <c r="D31" s="3"/>
      <c r="E31" s="3">
        <f t="shared" si="2"/>
        <v>6133.0400000000063</v>
      </c>
      <c r="F31" s="1"/>
      <c r="H31" s="2">
        <v>44040</v>
      </c>
      <c r="I31" s="1" t="s">
        <v>288</v>
      </c>
      <c r="J31" s="3">
        <v>850</v>
      </c>
      <c r="K31" s="3"/>
      <c r="L31" s="3">
        <f t="shared" si="1"/>
        <v>2265</v>
      </c>
      <c r="M31" s="1"/>
    </row>
    <row r="32" spans="1:14">
      <c r="A32" s="12"/>
      <c r="B32" s="12"/>
      <c r="C32" s="13"/>
      <c r="D32" s="13"/>
      <c r="E32" s="13">
        <f t="shared" si="2"/>
        <v>6133.0400000000063</v>
      </c>
      <c r="F32" s="12"/>
      <c r="H32" s="2">
        <v>44040</v>
      </c>
      <c r="I32" s="1" t="s">
        <v>289</v>
      </c>
      <c r="J32" s="3">
        <v>265</v>
      </c>
      <c r="K32" s="3"/>
      <c r="L32" s="3">
        <f t="shared" si="1"/>
        <v>2000</v>
      </c>
      <c r="M32" s="1"/>
    </row>
    <row r="33" spans="1:13">
      <c r="A33" s="12"/>
      <c r="B33" s="12"/>
      <c r="C33" s="13"/>
      <c r="D33" s="13"/>
      <c r="E33" s="13">
        <f t="shared" si="2"/>
        <v>6133.0400000000063</v>
      </c>
      <c r="F33" s="12"/>
      <c r="H33" s="2">
        <v>44043</v>
      </c>
      <c r="I33" s="6" t="s">
        <v>290</v>
      </c>
      <c r="J33" s="3">
        <v>600</v>
      </c>
      <c r="K33" s="3"/>
      <c r="L33" s="3">
        <f t="shared" si="1"/>
        <v>1400</v>
      </c>
      <c r="M33" s="1"/>
    </row>
    <row r="34" spans="1:13">
      <c r="E34" s="33">
        <f t="shared" si="2"/>
        <v>6133.0400000000063</v>
      </c>
      <c r="H34" s="20"/>
      <c r="I34" s="20"/>
      <c r="J34" s="49"/>
      <c r="K34" s="49"/>
      <c r="L34" s="48">
        <f t="shared" si="1"/>
        <v>1400</v>
      </c>
      <c r="M34" s="20"/>
    </row>
    <row r="35" spans="1:13">
      <c r="E35" s="33">
        <f t="shared" si="2"/>
        <v>6133.0400000000063</v>
      </c>
      <c r="H35" s="20"/>
      <c r="I35" s="20"/>
      <c r="J35" s="49"/>
      <c r="K35" s="49"/>
      <c r="L35" s="13">
        <f t="shared" si="1"/>
        <v>1400</v>
      </c>
      <c r="M35" s="20"/>
    </row>
    <row r="36" spans="1:13">
      <c r="E36" s="33">
        <f t="shared" si="2"/>
        <v>6133.0400000000063</v>
      </c>
      <c r="J36" s="4"/>
      <c r="K36" s="4"/>
      <c r="L36" s="3">
        <f t="shared" si="1"/>
        <v>1400</v>
      </c>
    </row>
    <row r="37" spans="1:13">
      <c r="E37" s="33">
        <f t="shared" si="2"/>
        <v>6133.0400000000063</v>
      </c>
      <c r="J37" s="4"/>
      <c r="K37" s="4"/>
      <c r="L37" s="3">
        <f t="shared" si="1"/>
        <v>1400</v>
      </c>
    </row>
    <row r="38" spans="1:13">
      <c r="E38" s="33">
        <f t="shared" si="2"/>
        <v>6133.0400000000063</v>
      </c>
      <c r="L38" s="3">
        <f t="shared" si="1"/>
        <v>1400</v>
      </c>
    </row>
    <row r="39" spans="1:13">
      <c r="E39" s="33">
        <f t="shared" si="2"/>
        <v>6133.0400000000063</v>
      </c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6F63-D6FF-3442-A968-1A24AD5D0780}">
  <dimension ref="A1:R39"/>
  <sheetViews>
    <sheetView topLeftCell="A4" workbookViewId="0">
      <selection activeCell="I67" sqref="I67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2" width="11.5" bestFit="1" customWidth="1"/>
    <col min="13" max="13" width="25.6640625" bestFit="1" customWidth="1"/>
    <col min="15" max="15" width="19.5" bestFit="1" customWidth="1"/>
  </cols>
  <sheetData>
    <row r="1" spans="1:18">
      <c r="A1" s="471" t="s">
        <v>292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8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1"/>
      <c r="P2" s="1" t="s">
        <v>231</v>
      </c>
      <c r="Q2" s="1" t="s">
        <v>232</v>
      </c>
    </row>
    <row r="3" spans="1:18">
      <c r="A3" s="2">
        <v>44043</v>
      </c>
      <c r="B3" s="473" t="s">
        <v>144</v>
      </c>
      <c r="C3" s="474"/>
      <c r="D3" s="475"/>
      <c r="E3" s="3">
        <v>6133.0400000000063</v>
      </c>
      <c r="F3" s="31" t="s">
        <v>327</v>
      </c>
      <c r="G3" s="32">
        <f>D6+D7+'Julio 2020'!G4+D20</f>
        <v>45339.630000000005</v>
      </c>
      <c r="H3" s="2">
        <v>44012</v>
      </c>
      <c r="I3" s="473" t="s">
        <v>4</v>
      </c>
      <c r="J3" s="474"/>
      <c r="K3" s="475"/>
      <c r="L3" s="3">
        <v>1400</v>
      </c>
      <c r="M3" s="34"/>
      <c r="O3" s="1" t="s">
        <v>230</v>
      </c>
      <c r="P3" s="3">
        <v>880</v>
      </c>
      <c r="Q3" s="3"/>
      <c r="R3" t="s">
        <v>240</v>
      </c>
    </row>
    <row r="4" spans="1:18">
      <c r="A4" s="2">
        <v>44045</v>
      </c>
      <c r="B4" s="1" t="s">
        <v>297</v>
      </c>
      <c r="C4" s="3">
        <v>870</v>
      </c>
      <c r="D4" s="3"/>
      <c r="E4" s="3">
        <f>E3+D4-C4</f>
        <v>5263.0400000000063</v>
      </c>
      <c r="F4" s="1"/>
      <c r="G4" s="39" t="s">
        <v>170</v>
      </c>
      <c r="H4" s="2">
        <v>44044</v>
      </c>
      <c r="I4" s="1" t="s">
        <v>293</v>
      </c>
      <c r="J4" s="3"/>
      <c r="K4" s="3">
        <v>2370</v>
      </c>
      <c r="L4" s="3">
        <f>L3+K4-J4</f>
        <v>3770</v>
      </c>
      <c r="M4" s="30"/>
      <c r="O4" s="1" t="s">
        <v>233</v>
      </c>
      <c r="P4" s="3"/>
      <c r="Q4" s="3">
        <v>1325</v>
      </c>
      <c r="R4" t="s">
        <v>241</v>
      </c>
    </row>
    <row r="5" spans="1:18">
      <c r="A5" s="2">
        <v>44045</v>
      </c>
      <c r="B5" s="1" t="s">
        <v>295</v>
      </c>
      <c r="C5" s="3">
        <v>5000</v>
      </c>
      <c r="D5" s="3"/>
      <c r="E5" s="3">
        <f t="shared" ref="E5:E38" si="0">E4+D5-C5</f>
        <v>263.04000000000633</v>
      </c>
      <c r="F5" s="1"/>
      <c r="G5" s="56">
        <f>E38+L38</f>
        <v>17195.340000000004</v>
      </c>
      <c r="H5" s="2">
        <v>44044</v>
      </c>
      <c r="I5" s="1" t="s">
        <v>294</v>
      </c>
      <c r="J5" s="3">
        <v>950</v>
      </c>
      <c r="K5" s="3"/>
      <c r="L5" s="3">
        <f t="shared" ref="L5:L38" si="1">L4+K5-J5</f>
        <v>2820</v>
      </c>
      <c r="M5" s="1"/>
      <c r="O5" s="1" t="s">
        <v>234</v>
      </c>
      <c r="P5" s="3"/>
      <c r="Q5" s="3">
        <v>470</v>
      </c>
    </row>
    <row r="6" spans="1:18">
      <c r="A6" s="2">
        <v>44046</v>
      </c>
      <c r="B6" s="1" t="s">
        <v>298</v>
      </c>
      <c r="C6" s="3"/>
      <c r="D6" s="3">
        <v>19153.09</v>
      </c>
      <c r="E6" s="3">
        <f t="shared" si="0"/>
        <v>19416.130000000005</v>
      </c>
      <c r="F6" s="61" t="s">
        <v>321</v>
      </c>
      <c r="G6" s="62">
        <f>D13</f>
        <v>16560.59</v>
      </c>
      <c r="H6" s="2">
        <v>44045</v>
      </c>
      <c r="I6" s="1" t="s">
        <v>295</v>
      </c>
      <c r="J6" s="3"/>
      <c r="K6" s="3">
        <v>5000</v>
      </c>
      <c r="L6" s="3">
        <f t="shared" si="1"/>
        <v>7820</v>
      </c>
      <c r="M6" s="1"/>
      <c r="O6" s="1" t="s">
        <v>235</v>
      </c>
      <c r="P6" s="3"/>
      <c r="Q6" s="3">
        <v>300</v>
      </c>
    </row>
    <row r="7" spans="1:18">
      <c r="A7" s="2">
        <v>44046</v>
      </c>
      <c r="B7" s="36" t="s">
        <v>299</v>
      </c>
      <c r="C7" s="37"/>
      <c r="D7" s="3">
        <v>8928.42</v>
      </c>
      <c r="E7" s="3">
        <f t="shared" si="0"/>
        <v>28344.550000000003</v>
      </c>
      <c r="F7" s="30"/>
      <c r="G7" s="41"/>
      <c r="H7" s="2">
        <v>44045</v>
      </c>
      <c r="I7" s="1" t="s">
        <v>296</v>
      </c>
      <c r="J7" s="3"/>
      <c r="K7" s="3">
        <v>10000</v>
      </c>
      <c r="L7" s="3">
        <f t="shared" si="1"/>
        <v>17820</v>
      </c>
      <c r="M7" s="1"/>
      <c r="O7" s="1" t="s">
        <v>236</v>
      </c>
      <c r="P7" s="3">
        <v>800</v>
      </c>
      <c r="Q7" s="3"/>
    </row>
    <row r="8" spans="1:18">
      <c r="A8" s="2">
        <v>44047</v>
      </c>
      <c r="B8" s="1" t="s">
        <v>300</v>
      </c>
      <c r="C8" s="3">
        <f>15306+4591.8</f>
        <v>19897.8</v>
      </c>
      <c r="D8" s="3"/>
      <c r="E8" s="3">
        <f t="shared" si="0"/>
        <v>8446.7500000000036</v>
      </c>
      <c r="F8" s="64"/>
      <c r="G8" s="41"/>
      <c r="H8" s="58">
        <v>44046</v>
      </c>
      <c r="I8" s="59" t="s">
        <v>303</v>
      </c>
      <c r="J8" s="60">
        <v>5300</v>
      </c>
      <c r="K8" s="60"/>
      <c r="L8" s="60">
        <f t="shared" si="1"/>
        <v>12520</v>
      </c>
      <c r="M8" s="44"/>
      <c r="O8" s="1" t="s">
        <v>237</v>
      </c>
      <c r="P8" s="3"/>
      <c r="Q8" s="3">
        <v>1200</v>
      </c>
    </row>
    <row r="9" spans="1:18">
      <c r="A9" s="2">
        <v>44047</v>
      </c>
      <c r="B9" s="1" t="s">
        <v>301</v>
      </c>
      <c r="C9" s="3">
        <v>490</v>
      </c>
      <c r="D9" s="3"/>
      <c r="E9" s="3">
        <f t="shared" si="0"/>
        <v>7956.7500000000036</v>
      </c>
      <c r="F9" s="44"/>
      <c r="H9" s="2">
        <v>44047</v>
      </c>
      <c r="I9" s="1" t="s">
        <v>304</v>
      </c>
      <c r="J9" s="3">
        <v>200</v>
      </c>
      <c r="K9" s="3"/>
      <c r="L9" s="3">
        <f t="shared" si="1"/>
        <v>12320</v>
      </c>
      <c r="M9" s="1"/>
      <c r="O9" s="1" t="s">
        <v>238</v>
      </c>
      <c r="P9" s="3">
        <v>1400</v>
      </c>
      <c r="Q9" s="3"/>
    </row>
    <row r="10" spans="1:18">
      <c r="A10" s="2">
        <v>44047</v>
      </c>
      <c r="B10" s="1" t="s">
        <v>302</v>
      </c>
      <c r="C10" s="3">
        <v>2000</v>
      </c>
      <c r="D10" s="3"/>
      <c r="E10" s="3">
        <f t="shared" si="0"/>
        <v>5956.7500000000036</v>
      </c>
      <c r="F10" s="44"/>
      <c r="H10" s="2">
        <v>44048</v>
      </c>
      <c r="I10" s="1" t="s">
        <v>305</v>
      </c>
      <c r="J10" s="3">
        <v>500</v>
      </c>
      <c r="K10" s="3"/>
      <c r="L10" s="3">
        <f>L9+K10-J10</f>
        <v>11820</v>
      </c>
      <c r="M10" s="1"/>
      <c r="O10" s="50" t="s">
        <v>239</v>
      </c>
      <c r="P10" s="3">
        <f>SUM(P3:P9)</f>
        <v>3080</v>
      </c>
      <c r="Q10" s="3">
        <f>SUM(Q4:Q9)</f>
        <v>3295</v>
      </c>
    </row>
    <row r="11" spans="1:18">
      <c r="A11" s="2">
        <v>44049</v>
      </c>
      <c r="B11" s="1" t="s">
        <v>307</v>
      </c>
      <c r="C11" s="3"/>
      <c r="D11" s="3">
        <v>490</v>
      </c>
      <c r="E11" s="3">
        <f t="shared" si="0"/>
        <v>6446.7500000000036</v>
      </c>
      <c r="F11" s="1"/>
      <c r="H11" s="58">
        <v>44048</v>
      </c>
      <c r="I11" s="59" t="s">
        <v>306</v>
      </c>
      <c r="J11" s="60">
        <v>210</v>
      </c>
      <c r="K11" s="3"/>
      <c r="L11" s="3">
        <f>L10+K11-J11</f>
        <v>11610</v>
      </c>
      <c r="M11" s="5"/>
      <c r="O11" s="6" t="s">
        <v>242</v>
      </c>
      <c r="P11" s="3"/>
      <c r="Q11" s="51">
        <f>Q10-P10</f>
        <v>215</v>
      </c>
    </row>
    <row r="12" spans="1:18">
      <c r="A12" s="2">
        <v>44051</v>
      </c>
      <c r="B12" s="1" t="s">
        <v>308</v>
      </c>
      <c r="C12" s="3">
        <v>2511</v>
      </c>
      <c r="D12" s="3"/>
      <c r="E12" s="3">
        <f t="shared" si="0"/>
        <v>3935.7500000000036</v>
      </c>
      <c r="F12" s="44"/>
      <c r="H12" s="2">
        <v>44049</v>
      </c>
      <c r="I12" s="1" t="s">
        <v>309</v>
      </c>
      <c r="J12" s="3">
        <v>1000</v>
      </c>
      <c r="K12" s="3"/>
      <c r="L12" s="3">
        <f t="shared" si="1"/>
        <v>10610</v>
      </c>
      <c r="M12" s="44"/>
      <c r="P12" s="4"/>
      <c r="Q12" s="4"/>
    </row>
    <row r="13" spans="1:18">
      <c r="A13" s="2">
        <v>44054</v>
      </c>
      <c r="B13" s="1" t="s">
        <v>314</v>
      </c>
      <c r="C13" s="3"/>
      <c r="D13" s="3">
        <v>16560.59</v>
      </c>
      <c r="E13" s="3">
        <f t="shared" si="0"/>
        <v>20496.340000000004</v>
      </c>
      <c r="F13" s="1"/>
      <c r="H13" s="2">
        <v>44052</v>
      </c>
      <c r="I13" s="1" t="s">
        <v>310</v>
      </c>
      <c r="J13" s="3"/>
      <c r="K13" s="3">
        <v>390</v>
      </c>
      <c r="L13" s="3">
        <f t="shared" si="1"/>
        <v>11000</v>
      </c>
      <c r="M13" s="1" t="s">
        <v>311</v>
      </c>
    </row>
    <row r="14" spans="1:18">
      <c r="A14" s="2">
        <v>44054</v>
      </c>
      <c r="B14" s="1" t="s">
        <v>312</v>
      </c>
      <c r="C14" s="3">
        <v>3430</v>
      </c>
      <c r="D14" s="3"/>
      <c r="E14" s="3">
        <f t="shared" si="0"/>
        <v>17066.340000000004</v>
      </c>
      <c r="F14" s="1"/>
      <c r="H14" s="2">
        <v>44054</v>
      </c>
      <c r="I14" s="1" t="s">
        <v>316</v>
      </c>
      <c r="J14" s="3">
        <v>2000</v>
      </c>
      <c r="K14" s="3"/>
      <c r="L14" s="3">
        <f t="shared" si="1"/>
        <v>9000</v>
      </c>
      <c r="M14" s="1"/>
    </row>
    <row r="15" spans="1:18">
      <c r="A15" s="2">
        <v>44054</v>
      </c>
      <c r="B15" s="1" t="s">
        <v>313</v>
      </c>
      <c r="C15" s="3"/>
      <c r="D15" s="3">
        <v>3430</v>
      </c>
      <c r="E15" s="3">
        <f t="shared" si="0"/>
        <v>20496.340000000004</v>
      </c>
      <c r="F15" s="44"/>
      <c r="G15" s="57"/>
      <c r="H15" s="2">
        <v>44057</v>
      </c>
      <c r="I15" s="1" t="s">
        <v>317</v>
      </c>
      <c r="J15" s="3">
        <v>500</v>
      </c>
      <c r="K15" s="1"/>
      <c r="L15" s="3">
        <f t="shared" si="1"/>
        <v>8500</v>
      </c>
      <c r="M15" s="1"/>
    </row>
    <row r="16" spans="1:18">
      <c r="A16" s="2">
        <v>44054</v>
      </c>
      <c r="B16" s="1" t="s">
        <v>315</v>
      </c>
      <c r="C16" s="10">
        <v>2500</v>
      </c>
      <c r="D16" s="3"/>
      <c r="E16" s="3">
        <f t="shared" si="0"/>
        <v>17996.340000000004</v>
      </c>
      <c r="F16" s="44"/>
      <c r="H16" s="2">
        <v>44057</v>
      </c>
      <c r="I16" s="6" t="s">
        <v>318</v>
      </c>
      <c r="J16" s="10">
        <v>600</v>
      </c>
      <c r="K16" s="1"/>
      <c r="L16" s="3">
        <f t="shared" si="1"/>
        <v>7900</v>
      </c>
      <c r="M16" s="44"/>
    </row>
    <row r="17" spans="1:14">
      <c r="A17" s="2">
        <v>44061</v>
      </c>
      <c r="B17" s="1" t="s">
        <v>323</v>
      </c>
      <c r="C17" s="10">
        <v>900</v>
      </c>
      <c r="D17" s="3"/>
      <c r="E17" s="3">
        <f t="shared" si="0"/>
        <v>17096.340000000004</v>
      </c>
      <c r="F17" s="44"/>
      <c r="H17" s="2">
        <v>44057</v>
      </c>
      <c r="I17" s="6" t="s">
        <v>319</v>
      </c>
      <c r="J17" s="10">
        <v>200</v>
      </c>
      <c r="K17" s="1"/>
      <c r="L17" s="3">
        <f t="shared" si="1"/>
        <v>7700</v>
      </c>
      <c r="M17" s="1"/>
    </row>
    <row r="18" spans="1:14">
      <c r="A18" s="2">
        <v>44062</v>
      </c>
      <c r="B18" s="6" t="s">
        <v>324</v>
      </c>
      <c r="C18" s="10">
        <v>5000</v>
      </c>
      <c r="D18" s="3"/>
      <c r="E18" s="3">
        <f t="shared" si="0"/>
        <v>12096.340000000004</v>
      </c>
      <c r="F18" s="57"/>
      <c r="H18" s="2">
        <v>44059</v>
      </c>
      <c r="I18" s="6" t="s">
        <v>320</v>
      </c>
      <c r="J18" s="10">
        <v>1200</v>
      </c>
      <c r="K18" s="3"/>
      <c r="L18" s="3">
        <f t="shared" si="1"/>
        <v>6500</v>
      </c>
      <c r="M18" s="45"/>
      <c r="N18" s="41"/>
    </row>
    <row r="19" spans="1:14">
      <c r="A19" s="2">
        <v>44064</v>
      </c>
      <c r="B19" s="6" t="s">
        <v>325</v>
      </c>
      <c r="C19" s="10"/>
      <c r="D19" s="3">
        <v>0.17</v>
      </c>
      <c r="E19" s="3">
        <f t="shared" si="0"/>
        <v>12096.510000000004</v>
      </c>
      <c r="F19" s="1"/>
      <c r="H19" s="63">
        <v>44055</v>
      </c>
      <c r="I19" s="6" t="s">
        <v>333</v>
      </c>
      <c r="J19" s="10">
        <v>450</v>
      </c>
      <c r="K19" s="10"/>
      <c r="L19" s="10">
        <f t="shared" si="1"/>
        <v>6050</v>
      </c>
      <c r="M19" s="6"/>
    </row>
    <row r="20" spans="1:14">
      <c r="A20" s="2">
        <v>44064</v>
      </c>
      <c r="B20" s="1" t="s">
        <v>326</v>
      </c>
      <c r="C20" s="3"/>
      <c r="D20" s="3">
        <v>697.53</v>
      </c>
      <c r="E20" s="3">
        <f t="shared" si="0"/>
        <v>12794.040000000005</v>
      </c>
      <c r="F20" s="64"/>
      <c r="H20" s="2">
        <v>44064</v>
      </c>
      <c r="I20" s="1" t="s">
        <v>336</v>
      </c>
      <c r="J20" s="3">
        <v>90</v>
      </c>
      <c r="K20" s="3"/>
      <c r="L20" s="3">
        <f t="shared" si="1"/>
        <v>5960</v>
      </c>
      <c r="M20" s="1"/>
    </row>
    <row r="21" spans="1:14">
      <c r="A21" s="2">
        <v>44065</v>
      </c>
      <c r="B21" s="1" t="s">
        <v>328</v>
      </c>
      <c r="C21" s="3">
        <v>10</v>
      </c>
      <c r="D21" s="3"/>
      <c r="E21" s="3">
        <f t="shared" si="0"/>
        <v>12784.040000000005</v>
      </c>
      <c r="F21" s="1"/>
      <c r="H21" s="58">
        <v>44065</v>
      </c>
      <c r="I21" s="59" t="s">
        <v>331</v>
      </c>
      <c r="J21" s="3"/>
      <c r="K21" s="3">
        <v>540</v>
      </c>
      <c r="L21" s="3">
        <f t="shared" si="1"/>
        <v>6500</v>
      </c>
      <c r="M21" s="1"/>
    </row>
    <row r="22" spans="1:14">
      <c r="A22" s="2">
        <v>44065</v>
      </c>
      <c r="B22" s="1" t="s">
        <v>329</v>
      </c>
      <c r="C22" s="3">
        <v>1689</v>
      </c>
      <c r="D22" s="3"/>
      <c r="E22" s="3">
        <f t="shared" si="0"/>
        <v>11095.040000000005</v>
      </c>
      <c r="F22" s="1"/>
      <c r="H22" s="58">
        <v>44065</v>
      </c>
      <c r="I22" s="59" t="s">
        <v>335</v>
      </c>
      <c r="J22" s="3">
        <v>250</v>
      </c>
      <c r="K22" s="3"/>
      <c r="L22" s="3">
        <f t="shared" si="1"/>
        <v>6250</v>
      </c>
      <c r="M22" s="1"/>
    </row>
    <row r="23" spans="1:14">
      <c r="A23" s="2">
        <v>44065</v>
      </c>
      <c r="B23" s="1" t="s">
        <v>330</v>
      </c>
      <c r="C23" s="3"/>
      <c r="D23" s="3">
        <v>563</v>
      </c>
      <c r="E23" s="3">
        <f t="shared" si="0"/>
        <v>11658.040000000005</v>
      </c>
      <c r="F23" s="44"/>
      <c r="H23" s="58">
        <v>44066</v>
      </c>
      <c r="I23" s="59" t="s">
        <v>334</v>
      </c>
      <c r="J23" s="3">
        <v>500</v>
      </c>
      <c r="K23" s="3"/>
      <c r="L23" s="3">
        <f t="shared" si="1"/>
        <v>5750</v>
      </c>
      <c r="M23" s="1"/>
    </row>
    <row r="24" spans="1:14">
      <c r="A24" s="2">
        <v>44066</v>
      </c>
      <c r="B24" s="1" t="s">
        <v>332</v>
      </c>
      <c r="C24" s="3">
        <v>1000</v>
      </c>
      <c r="D24" s="3"/>
      <c r="E24" s="3">
        <f t="shared" si="0"/>
        <v>10658.040000000005</v>
      </c>
      <c r="F24" s="1"/>
      <c r="H24" s="58">
        <v>44066</v>
      </c>
      <c r="I24" s="59" t="s">
        <v>322</v>
      </c>
      <c r="J24" s="3">
        <v>700</v>
      </c>
      <c r="K24" s="3"/>
      <c r="L24" s="3">
        <f t="shared" si="1"/>
        <v>5050</v>
      </c>
      <c r="M24" s="44"/>
    </row>
    <row r="25" spans="1:14">
      <c r="A25" s="2">
        <v>44067</v>
      </c>
      <c r="B25" s="1" t="s">
        <v>337</v>
      </c>
      <c r="C25" s="3">
        <v>2500</v>
      </c>
      <c r="D25" s="3"/>
      <c r="E25" s="3">
        <f t="shared" si="0"/>
        <v>8158.0400000000045</v>
      </c>
      <c r="F25" s="1"/>
      <c r="H25" s="2">
        <v>44071</v>
      </c>
      <c r="I25" s="6" t="s">
        <v>339</v>
      </c>
      <c r="J25" s="3"/>
      <c r="K25" s="3">
        <v>4000</v>
      </c>
      <c r="L25" s="3">
        <f t="shared" si="1"/>
        <v>9050</v>
      </c>
      <c r="M25" s="1" t="s">
        <v>340</v>
      </c>
    </row>
    <row r="26" spans="1:14">
      <c r="A26" s="2">
        <v>44068</v>
      </c>
      <c r="B26" s="1" t="s">
        <v>338</v>
      </c>
      <c r="C26" s="3">
        <v>833.7</v>
      </c>
      <c r="D26" s="3"/>
      <c r="E26" s="3">
        <f t="shared" si="0"/>
        <v>7324.3400000000047</v>
      </c>
      <c r="F26" s="1"/>
      <c r="H26" s="2">
        <v>44070</v>
      </c>
      <c r="I26" s="1" t="s">
        <v>333</v>
      </c>
      <c r="J26" s="3">
        <v>900</v>
      </c>
      <c r="K26" s="3"/>
      <c r="L26" s="3">
        <f t="shared" si="1"/>
        <v>8150</v>
      </c>
      <c r="M26" s="44"/>
    </row>
    <row r="27" spans="1:14">
      <c r="A27" s="2">
        <v>44070</v>
      </c>
      <c r="B27" s="1" t="s">
        <v>341</v>
      </c>
      <c r="C27" s="3">
        <v>1299</v>
      </c>
      <c r="D27" s="3"/>
      <c r="E27" s="3">
        <f t="shared" si="0"/>
        <v>6025.3400000000047</v>
      </c>
      <c r="F27" s="1"/>
      <c r="H27" s="2">
        <v>44071</v>
      </c>
      <c r="I27" s="1" t="s">
        <v>344</v>
      </c>
      <c r="J27" s="3">
        <v>2100</v>
      </c>
      <c r="K27" s="3"/>
      <c r="L27" s="3">
        <f t="shared" si="1"/>
        <v>6050</v>
      </c>
      <c r="M27" s="1"/>
    </row>
    <row r="28" spans="1:14">
      <c r="A28" s="2">
        <v>44071</v>
      </c>
      <c r="B28" s="1" t="s">
        <v>339</v>
      </c>
      <c r="C28" s="3"/>
      <c r="D28" s="3">
        <v>700</v>
      </c>
      <c r="E28" s="3">
        <f t="shared" si="0"/>
        <v>6725.3400000000047</v>
      </c>
      <c r="F28" s="1"/>
      <c r="H28" s="2">
        <v>44071</v>
      </c>
      <c r="I28" s="1" t="s">
        <v>345</v>
      </c>
      <c r="J28" s="3">
        <v>990</v>
      </c>
      <c r="K28" s="3"/>
      <c r="L28" s="3">
        <f t="shared" si="1"/>
        <v>5060</v>
      </c>
      <c r="M28" s="1"/>
    </row>
    <row r="29" spans="1:14">
      <c r="A29" s="2">
        <v>44071</v>
      </c>
      <c r="B29" s="1" t="s">
        <v>342</v>
      </c>
      <c r="C29" s="3">
        <v>0</v>
      </c>
      <c r="D29" s="3"/>
      <c r="E29" s="3">
        <f t="shared" si="0"/>
        <v>6725.3400000000047</v>
      </c>
      <c r="F29" s="1" t="s">
        <v>343</v>
      </c>
      <c r="H29" s="2">
        <v>44071</v>
      </c>
      <c r="I29" s="1" t="s">
        <v>346</v>
      </c>
      <c r="J29" s="3">
        <v>1000</v>
      </c>
      <c r="K29" s="3"/>
      <c r="L29" s="3">
        <f t="shared" si="1"/>
        <v>4060</v>
      </c>
      <c r="M29" s="65"/>
    </row>
    <row r="30" spans="1:14">
      <c r="A30" s="2">
        <v>44072</v>
      </c>
      <c r="B30" s="1" t="s">
        <v>349</v>
      </c>
      <c r="C30" s="3"/>
      <c r="D30" s="3">
        <v>650</v>
      </c>
      <c r="E30" s="3">
        <f t="shared" si="0"/>
        <v>7375.3400000000047</v>
      </c>
      <c r="F30" s="44"/>
      <c r="H30" s="2">
        <v>44072</v>
      </c>
      <c r="I30" s="1" t="s">
        <v>347</v>
      </c>
      <c r="J30" s="3">
        <v>2726</v>
      </c>
      <c r="K30" s="3"/>
      <c r="L30" s="3">
        <f t="shared" si="1"/>
        <v>1334</v>
      </c>
      <c r="M30" s="1"/>
    </row>
    <row r="31" spans="1:14">
      <c r="A31" s="2">
        <v>44073</v>
      </c>
      <c r="B31" s="1" t="s">
        <v>353</v>
      </c>
      <c r="C31" s="3">
        <v>3000</v>
      </c>
      <c r="D31" s="3"/>
      <c r="E31" s="3">
        <f t="shared" si="0"/>
        <v>4375.3400000000047</v>
      </c>
      <c r="F31" s="1"/>
      <c r="H31" s="2">
        <v>44072</v>
      </c>
      <c r="I31" s="1" t="s">
        <v>348</v>
      </c>
      <c r="J31" s="3"/>
      <c r="K31" s="3">
        <v>200</v>
      </c>
      <c r="L31" s="3">
        <f t="shared" si="1"/>
        <v>1534</v>
      </c>
      <c r="M31" s="1"/>
    </row>
    <row r="32" spans="1:14">
      <c r="A32" s="2">
        <v>44073</v>
      </c>
      <c r="B32" s="1" t="s">
        <v>339</v>
      </c>
      <c r="C32" s="3"/>
      <c r="D32" s="3">
        <v>10000</v>
      </c>
      <c r="E32" s="3">
        <f t="shared" si="0"/>
        <v>14375.340000000004</v>
      </c>
      <c r="F32" s="1" t="s">
        <v>354</v>
      </c>
      <c r="H32" s="2">
        <v>44072</v>
      </c>
      <c r="I32" s="1" t="s">
        <v>351</v>
      </c>
      <c r="J32" s="3">
        <v>250</v>
      </c>
      <c r="K32" s="3"/>
      <c r="L32" s="3">
        <f t="shared" si="1"/>
        <v>1284</v>
      </c>
      <c r="M32" s="1"/>
    </row>
    <row r="33" spans="1:13">
      <c r="A33" s="2">
        <v>44074</v>
      </c>
      <c r="B33" s="6" t="s">
        <v>355</v>
      </c>
      <c r="C33" s="3">
        <v>200</v>
      </c>
      <c r="D33" s="3"/>
      <c r="E33" s="3">
        <f t="shared" si="0"/>
        <v>14175.340000000004</v>
      </c>
      <c r="F33" s="1" t="s">
        <v>356</v>
      </c>
      <c r="H33" s="2">
        <v>44073</v>
      </c>
      <c r="I33" s="6" t="s">
        <v>350</v>
      </c>
      <c r="J33" s="3">
        <v>50</v>
      </c>
      <c r="K33" s="3"/>
      <c r="L33" s="3">
        <f t="shared" si="1"/>
        <v>1234</v>
      </c>
      <c r="M33" s="1"/>
    </row>
    <row r="34" spans="1:13">
      <c r="A34" s="2">
        <v>44074</v>
      </c>
      <c r="B34" s="6" t="s">
        <v>358</v>
      </c>
      <c r="C34" s="3">
        <v>600</v>
      </c>
      <c r="D34" s="3"/>
      <c r="E34" s="3">
        <f t="shared" si="0"/>
        <v>13575.340000000004</v>
      </c>
      <c r="F34" s="1"/>
      <c r="H34" s="63">
        <v>44073</v>
      </c>
      <c r="I34" s="6" t="s">
        <v>322</v>
      </c>
      <c r="J34" s="3">
        <v>554</v>
      </c>
      <c r="K34" s="3"/>
      <c r="L34" s="3">
        <f t="shared" si="1"/>
        <v>680</v>
      </c>
      <c r="M34" s="1"/>
    </row>
    <row r="35" spans="1:13">
      <c r="A35" s="20"/>
      <c r="B35" s="20"/>
      <c r="C35" s="49"/>
      <c r="D35" s="49"/>
      <c r="E35" s="48">
        <f t="shared" si="0"/>
        <v>13575.340000000004</v>
      </c>
      <c r="F35" s="20"/>
      <c r="H35" s="2">
        <v>44073</v>
      </c>
      <c r="I35" s="1" t="s">
        <v>353</v>
      </c>
      <c r="J35" s="3"/>
      <c r="K35" s="3">
        <v>3000</v>
      </c>
      <c r="L35" s="3">
        <f t="shared" si="1"/>
        <v>3680</v>
      </c>
      <c r="M35" s="1"/>
    </row>
    <row r="36" spans="1:13">
      <c r="A36" s="20"/>
      <c r="B36" s="20"/>
      <c r="C36" s="49"/>
      <c r="D36" s="49"/>
      <c r="E36" s="48">
        <f t="shared" si="0"/>
        <v>13575.340000000004</v>
      </c>
      <c r="F36" s="20"/>
      <c r="H36" s="2">
        <v>44074</v>
      </c>
      <c r="I36" s="1" t="s">
        <v>352</v>
      </c>
      <c r="J36" s="3">
        <v>500</v>
      </c>
      <c r="K36" s="3"/>
      <c r="L36" s="3">
        <f t="shared" si="1"/>
        <v>3180</v>
      </c>
      <c r="M36" s="1"/>
    </row>
    <row r="37" spans="1:13">
      <c r="E37" s="33">
        <f t="shared" si="0"/>
        <v>13575.340000000004</v>
      </c>
      <c r="H37" s="2">
        <v>44074</v>
      </c>
      <c r="I37" s="6" t="s">
        <v>355</v>
      </c>
      <c r="J37" s="3"/>
      <c r="K37" s="3">
        <v>440</v>
      </c>
      <c r="L37" s="3">
        <f t="shared" si="1"/>
        <v>3620</v>
      </c>
      <c r="M37" s="1"/>
    </row>
    <row r="38" spans="1:13">
      <c r="E38" s="33">
        <f t="shared" si="0"/>
        <v>13575.340000000004</v>
      </c>
      <c r="H38" s="20"/>
      <c r="I38" s="20"/>
      <c r="J38" s="20"/>
      <c r="K38" s="20"/>
      <c r="L38" s="48">
        <f t="shared" si="1"/>
        <v>3620</v>
      </c>
      <c r="M38" s="20"/>
    </row>
    <row r="39" spans="1:13">
      <c r="H39" s="20"/>
      <c r="I39" s="20"/>
      <c r="J39" s="20"/>
      <c r="K39" s="20"/>
      <c r="L39" s="20"/>
      <c r="M39" s="20"/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DDD3-E7C3-624A-A8F2-415DA40173DB}">
  <dimension ref="A1:S45"/>
  <sheetViews>
    <sheetView workbookViewId="0">
      <selection activeCell="I67" sqref="I67"/>
    </sheetView>
  </sheetViews>
  <sheetFormatPr baseColWidth="10" defaultRowHeight="16"/>
  <cols>
    <col min="1" max="1" width="7.33203125" bestFit="1" customWidth="1"/>
    <col min="2" max="2" width="39.1640625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2" width="11.5" bestFit="1" customWidth="1"/>
    <col min="13" max="13" width="25.6640625" bestFit="1" customWidth="1"/>
    <col min="15" max="15" width="19.5" bestFit="1" customWidth="1"/>
  </cols>
  <sheetData>
    <row r="1" spans="1:19">
      <c r="A1" s="471" t="s">
        <v>292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9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  <c r="O2" s="476" t="s">
        <v>386</v>
      </c>
      <c r="P2" s="476"/>
      <c r="Q2" s="476"/>
    </row>
    <row r="3" spans="1:19">
      <c r="A3" s="2">
        <v>44074</v>
      </c>
      <c r="B3" s="473" t="s">
        <v>144</v>
      </c>
      <c r="C3" s="474"/>
      <c r="D3" s="475"/>
      <c r="E3" s="3">
        <v>13575.340000000004</v>
      </c>
      <c r="F3" s="31" t="s">
        <v>357</v>
      </c>
      <c r="G3" s="32"/>
      <c r="H3" s="2">
        <v>44074</v>
      </c>
      <c r="I3" s="473" t="s">
        <v>4</v>
      </c>
      <c r="J3" s="474"/>
      <c r="K3" s="475"/>
      <c r="L3" s="3">
        <v>3620</v>
      </c>
      <c r="M3" s="34"/>
      <c r="O3" s="71" t="s">
        <v>387</v>
      </c>
      <c r="P3" s="71">
        <v>4000</v>
      </c>
      <c r="Q3" s="71">
        <f>SUM(P3:P19)</f>
        <v>8686.5</v>
      </c>
    </row>
    <row r="4" spans="1:19">
      <c r="A4" s="2">
        <v>44075</v>
      </c>
      <c r="B4" s="1" t="s">
        <v>359</v>
      </c>
      <c r="C4" s="3"/>
      <c r="D4" s="3">
        <v>19153.09</v>
      </c>
      <c r="E4" s="3">
        <f>E3+D4-C4</f>
        <v>32728.430000000004</v>
      </c>
      <c r="F4" s="1" t="s">
        <v>360</v>
      </c>
      <c r="G4" s="39" t="s">
        <v>170</v>
      </c>
      <c r="H4" s="2">
        <v>44078</v>
      </c>
      <c r="I4" s="1" t="s">
        <v>365</v>
      </c>
      <c r="J4" s="3">
        <v>2542</v>
      </c>
      <c r="K4" s="3"/>
      <c r="L4" s="3">
        <f>L3+K4-J4</f>
        <v>1078</v>
      </c>
      <c r="M4" s="30"/>
      <c r="O4" s="71" t="s">
        <v>388</v>
      </c>
      <c r="P4" s="71">
        <f>900/2</f>
        <v>450</v>
      </c>
      <c r="Q4" s="72" t="s">
        <v>430</v>
      </c>
    </row>
    <row r="5" spans="1:19">
      <c r="A5" s="2">
        <v>44075</v>
      </c>
      <c r="B5" s="1" t="s">
        <v>362</v>
      </c>
      <c r="C5" s="3">
        <f>15706+4711.8</f>
        <v>20417.8</v>
      </c>
      <c r="D5" s="3"/>
      <c r="E5" s="3">
        <f t="shared" ref="E5:E38" si="0">E4+D5-C5</f>
        <v>12310.630000000005</v>
      </c>
      <c r="F5" s="1"/>
      <c r="G5" s="56">
        <f>E38+L43</f>
        <v>5700.5000000000055</v>
      </c>
      <c r="H5" s="2">
        <v>44079</v>
      </c>
      <c r="I5" s="1" t="s">
        <v>366</v>
      </c>
      <c r="J5" s="3"/>
      <c r="K5" s="3">
        <v>100</v>
      </c>
      <c r="L5" s="3">
        <f t="shared" ref="L5:L43" si="1">L4+K5-J5</f>
        <v>1178</v>
      </c>
      <c r="M5" s="1"/>
      <c r="O5" s="71" t="s">
        <v>35</v>
      </c>
      <c r="P5" s="71">
        <f>500/2</f>
        <v>250</v>
      </c>
      <c r="Q5" s="72"/>
    </row>
    <row r="6" spans="1:19">
      <c r="A6" s="2">
        <v>44075</v>
      </c>
      <c r="B6" s="1" t="s">
        <v>363</v>
      </c>
      <c r="C6" s="3"/>
      <c r="D6" s="3">
        <v>500</v>
      </c>
      <c r="E6" s="3">
        <f t="shared" si="0"/>
        <v>12810.630000000005</v>
      </c>
      <c r="F6" s="30"/>
      <c r="G6" s="41"/>
      <c r="H6" s="2">
        <v>44079</v>
      </c>
      <c r="I6" s="1" t="s">
        <v>367</v>
      </c>
      <c r="J6" s="3"/>
      <c r="K6" s="3">
        <v>3000</v>
      </c>
      <c r="L6" s="3">
        <f t="shared" si="1"/>
        <v>4178</v>
      </c>
      <c r="M6" s="1"/>
      <c r="O6" s="71" t="s">
        <v>391</v>
      </c>
      <c r="P6" s="71">
        <v>1000</v>
      </c>
      <c r="Q6" s="72"/>
    </row>
    <row r="7" spans="1:19">
      <c r="A7" s="2">
        <v>44077</v>
      </c>
      <c r="B7" s="36" t="s">
        <v>361</v>
      </c>
      <c r="C7" s="37">
        <v>2000</v>
      </c>
      <c r="D7" s="3"/>
      <c r="E7" s="3">
        <f t="shared" si="0"/>
        <v>10810.630000000005</v>
      </c>
      <c r="F7" s="64"/>
      <c r="G7" s="41"/>
      <c r="H7" s="2">
        <v>44079</v>
      </c>
      <c r="I7" s="1" t="s">
        <v>369</v>
      </c>
      <c r="J7" s="3">
        <v>325</v>
      </c>
      <c r="K7" s="3"/>
      <c r="L7" s="3">
        <f t="shared" si="1"/>
        <v>3853</v>
      </c>
      <c r="M7" s="1"/>
      <c r="O7" s="71" t="s">
        <v>392</v>
      </c>
      <c r="P7" s="71">
        <f>(2813-1000)/2</f>
        <v>906.5</v>
      </c>
      <c r="Q7" s="72"/>
    </row>
    <row r="8" spans="1:19">
      <c r="A8" s="2">
        <v>44077</v>
      </c>
      <c r="B8" s="1" t="s">
        <v>364</v>
      </c>
      <c r="C8" s="3">
        <v>5660</v>
      </c>
      <c r="D8" s="3"/>
      <c r="E8" s="3">
        <f t="shared" si="0"/>
        <v>5150.6300000000047</v>
      </c>
      <c r="F8" s="44"/>
      <c r="H8" s="2">
        <v>44079</v>
      </c>
      <c r="I8" s="59" t="s">
        <v>368</v>
      </c>
      <c r="J8" s="60">
        <v>1200</v>
      </c>
      <c r="K8" s="60"/>
      <c r="L8" s="60">
        <f t="shared" si="1"/>
        <v>2653</v>
      </c>
      <c r="M8" s="44"/>
      <c r="O8" s="73" t="s">
        <v>387</v>
      </c>
      <c r="P8" s="71">
        <v>3000</v>
      </c>
      <c r="Q8" s="72"/>
    </row>
    <row r="9" spans="1:19">
      <c r="A9" s="2">
        <v>44077</v>
      </c>
      <c r="B9" s="1" t="s">
        <v>372</v>
      </c>
      <c r="C9" s="3"/>
      <c r="D9" s="3">
        <v>976.54</v>
      </c>
      <c r="E9" s="3">
        <f t="shared" si="0"/>
        <v>6127.1700000000046</v>
      </c>
      <c r="F9" s="59" t="s">
        <v>374</v>
      </c>
      <c r="H9" s="2">
        <v>44080</v>
      </c>
      <c r="I9" s="1" t="s">
        <v>370</v>
      </c>
      <c r="J9" s="3">
        <v>1100</v>
      </c>
      <c r="K9" s="3"/>
      <c r="L9" s="3">
        <f t="shared" si="1"/>
        <v>1553</v>
      </c>
      <c r="M9" s="1"/>
      <c r="O9" s="73" t="s">
        <v>411</v>
      </c>
      <c r="P9" s="74">
        <f>-(J31-1150)/2</f>
        <v>-920</v>
      </c>
      <c r="Q9" s="72"/>
    </row>
    <row r="10" spans="1:19">
      <c r="A10" s="2">
        <v>44079</v>
      </c>
      <c r="B10" s="1" t="s">
        <v>367</v>
      </c>
      <c r="C10" s="3">
        <v>3000</v>
      </c>
      <c r="D10" s="3"/>
      <c r="E10" s="3">
        <f t="shared" si="0"/>
        <v>3127.1700000000046</v>
      </c>
      <c r="F10" s="1"/>
      <c r="H10" s="2">
        <v>44080</v>
      </c>
      <c r="I10" s="1" t="s">
        <v>371</v>
      </c>
      <c r="J10" s="3"/>
      <c r="K10" s="3">
        <v>37</v>
      </c>
      <c r="L10" s="3">
        <f>L9+K10-J10</f>
        <v>1590</v>
      </c>
      <c r="M10" s="1"/>
      <c r="N10" s="69"/>
    </row>
    <row r="11" spans="1:19">
      <c r="A11" s="2">
        <v>44079</v>
      </c>
      <c r="B11" s="1" t="s">
        <v>373</v>
      </c>
      <c r="C11" s="3"/>
      <c r="D11" s="3">
        <v>1200</v>
      </c>
      <c r="E11" s="3">
        <f t="shared" si="0"/>
        <v>4327.1700000000046</v>
      </c>
      <c r="F11" s="44"/>
      <c r="H11" s="58">
        <v>44082</v>
      </c>
      <c r="I11" s="59" t="s">
        <v>375</v>
      </c>
      <c r="J11" s="60"/>
      <c r="K11" s="3">
        <v>4000</v>
      </c>
      <c r="L11" s="3">
        <f>L10+K11-J11</f>
        <v>5590</v>
      </c>
      <c r="M11" s="5"/>
      <c r="N11" s="69"/>
    </row>
    <row r="12" spans="1:19">
      <c r="A12" s="2">
        <v>44082</v>
      </c>
      <c r="B12" s="1" t="s">
        <v>376</v>
      </c>
      <c r="C12" s="3">
        <v>2500</v>
      </c>
      <c r="D12" s="3"/>
      <c r="E12" s="3">
        <f t="shared" si="0"/>
        <v>1827.1700000000046</v>
      </c>
      <c r="F12" s="1"/>
      <c r="H12" s="58">
        <v>44082</v>
      </c>
      <c r="I12" s="1" t="s">
        <v>377</v>
      </c>
      <c r="J12" s="3">
        <v>180</v>
      </c>
      <c r="K12" s="3"/>
      <c r="L12" s="3">
        <f t="shared" si="1"/>
        <v>5410</v>
      </c>
      <c r="M12" s="44"/>
      <c r="N12" s="38">
        <v>44085</v>
      </c>
      <c r="O12" s="71" t="s">
        <v>395</v>
      </c>
      <c r="P12" s="71" t="s">
        <v>46</v>
      </c>
      <c r="Q12" s="71">
        <v>2071.0100000000002</v>
      </c>
      <c r="R12" s="72" t="s">
        <v>430</v>
      </c>
      <c r="S12" s="72">
        <f>SUM(Q12:Q23)</f>
        <v>10771.01</v>
      </c>
    </row>
    <row r="13" spans="1:19">
      <c r="A13" s="2">
        <v>44084</v>
      </c>
      <c r="B13" s="1" t="s">
        <v>389</v>
      </c>
      <c r="C13" s="3"/>
      <c r="D13" s="3">
        <v>2650</v>
      </c>
      <c r="E13" s="3">
        <f t="shared" si="0"/>
        <v>4477.1700000000046</v>
      </c>
      <c r="F13" s="1" t="s">
        <v>390</v>
      </c>
      <c r="H13" s="58">
        <v>44083</v>
      </c>
      <c r="I13" s="1" t="s">
        <v>378</v>
      </c>
      <c r="J13" s="3">
        <v>200</v>
      </c>
      <c r="K13" s="3"/>
      <c r="L13" s="3">
        <f t="shared" si="1"/>
        <v>5210</v>
      </c>
      <c r="M13" s="1"/>
      <c r="N13" s="38">
        <v>44093</v>
      </c>
      <c r="O13" s="71" t="s">
        <v>396</v>
      </c>
      <c r="P13" s="71" t="s">
        <v>24</v>
      </c>
      <c r="Q13" s="71">
        <v>6700</v>
      </c>
      <c r="R13" s="72"/>
      <c r="S13" s="72"/>
    </row>
    <row r="14" spans="1:19">
      <c r="A14" s="2">
        <v>44088</v>
      </c>
      <c r="B14" s="1" t="s">
        <v>397</v>
      </c>
      <c r="C14" s="3"/>
      <c r="D14" s="3">
        <v>250</v>
      </c>
      <c r="E14" s="3">
        <f t="shared" si="0"/>
        <v>4727.1700000000046</v>
      </c>
      <c r="F14" s="44"/>
      <c r="G14" s="57"/>
      <c r="H14" s="58">
        <v>44083</v>
      </c>
      <c r="I14" s="1" t="s">
        <v>83</v>
      </c>
      <c r="J14" s="3">
        <v>2480</v>
      </c>
      <c r="K14" s="3"/>
      <c r="L14" s="3">
        <f>L13+K14-J14</f>
        <v>2730</v>
      </c>
      <c r="M14" s="1"/>
      <c r="N14" s="75">
        <v>44099</v>
      </c>
      <c r="O14" s="72" t="s">
        <v>395</v>
      </c>
      <c r="P14" s="72" t="s">
        <v>46</v>
      </c>
      <c r="Q14" s="72">
        <v>2000</v>
      </c>
      <c r="R14" s="72"/>
      <c r="S14" s="72"/>
    </row>
    <row r="15" spans="1:19">
      <c r="A15" s="2">
        <v>44088</v>
      </c>
      <c r="B15" s="1" t="s">
        <v>393</v>
      </c>
      <c r="C15" s="3">
        <v>400</v>
      </c>
      <c r="D15" s="3"/>
      <c r="E15" s="3">
        <f t="shared" si="0"/>
        <v>4327.1700000000046</v>
      </c>
      <c r="F15" s="44"/>
      <c r="H15" s="58">
        <v>44083</v>
      </c>
      <c r="I15" s="1" t="s">
        <v>379</v>
      </c>
      <c r="J15" s="3"/>
      <c r="K15" s="1">
        <v>1000</v>
      </c>
      <c r="L15" s="3">
        <f t="shared" si="1"/>
        <v>3730</v>
      </c>
      <c r="M15" s="1"/>
    </row>
    <row r="16" spans="1:19">
      <c r="A16" s="2">
        <v>44091</v>
      </c>
      <c r="B16" s="1" t="s">
        <v>398</v>
      </c>
      <c r="C16" s="10"/>
      <c r="D16" s="3">
        <v>500</v>
      </c>
      <c r="E16" s="3">
        <f t="shared" si="0"/>
        <v>4827.1700000000046</v>
      </c>
      <c r="F16" s="44"/>
      <c r="H16" s="2">
        <v>44083</v>
      </c>
      <c r="I16" s="6" t="s">
        <v>380</v>
      </c>
      <c r="J16" s="10">
        <v>50</v>
      </c>
      <c r="K16" s="1"/>
      <c r="L16" s="3">
        <f t="shared" si="1"/>
        <v>3680</v>
      </c>
      <c r="M16" s="44"/>
    </row>
    <row r="17" spans="1:14">
      <c r="A17" s="2">
        <v>44091</v>
      </c>
      <c r="B17" s="1" t="s">
        <v>399</v>
      </c>
      <c r="C17" s="10"/>
      <c r="D17" s="3">
        <v>500</v>
      </c>
      <c r="E17" s="3">
        <f t="shared" si="0"/>
        <v>5327.1700000000046</v>
      </c>
      <c r="F17" s="57"/>
      <c r="H17" s="2">
        <v>44084</v>
      </c>
      <c r="I17" s="6" t="s">
        <v>381</v>
      </c>
      <c r="J17" s="10">
        <v>320</v>
      </c>
      <c r="K17" s="1"/>
      <c r="L17" s="3">
        <f t="shared" si="1"/>
        <v>3360</v>
      </c>
      <c r="M17" s="1"/>
    </row>
    <row r="18" spans="1:14">
      <c r="A18" s="2">
        <v>44091</v>
      </c>
      <c r="B18" s="6" t="s">
        <v>400</v>
      </c>
      <c r="C18" s="10">
        <v>750.78</v>
      </c>
      <c r="D18" s="3"/>
      <c r="E18" s="3">
        <f t="shared" si="0"/>
        <v>4576.3900000000049</v>
      </c>
      <c r="F18" s="1"/>
      <c r="H18" s="2">
        <v>44085</v>
      </c>
      <c r="I18" s="6" t="s">
        <v>382</v>
      </c>
      <c r="J18" s="10">
        <v>100</v>
      </c>
      <c r="K18" s="3"/>
      <c r="L18" s="3">
        <f t="shared" si="1"/>
        <v>3260</v>
      </c>
      <c r="M18" s="45"/>
      <c r="N18" s="41"/>
    </row>
    <row r="19" spans="1:14">
      <c r="A19" s="2">
        <v>44092</v>
      </c>
      <c r="B19" s="6" t="s">
        <v>401</v>
      </c>
      <c r="C19" s="10">
        <v>895</v>
      </c>
      <c r="D19" s="3"/>
      <c r="E19" s="3">
        <f t="shared" si="0"/>
        <v>3681.3900000000049</v>
      </c>
      <c r="F19" s="44"/>
      <c r="H19" s="63">
        <v>44086</v>
      </c>
      <c r="I19" s="6" t="s">
        <v>383</v>
      </c>
      <c r="J19" s="10">
        <v>761</v>
      </c>
      <c r="K19" s="10"/>
      <c r="L19" s="3">
        <f t="shared" si="1"/>
        <v>2499</v>
      </c>
      <c r="M19" s="68"/>
    </row>
    <row r="20" spans="1:14">
      <c r="A20" s="2">
        <v>44097</v>
      </c>
      <c r="B20" s="1" t="s">
        <v>405</v>
      </c>
      <c r="C20" s="3">
        <v>2000</v>
      </c>
      <c r="D20" s="3"/>
      <c r="E20" s="3">
        <f t="shared" si="0"/>
        <v>1681.3900000000049</v>
      </c>
      <c r="F20" s="1"/>
      <c r="H20" s="2">
        <v>44086</v>
      </c>
      <c r="I20" s="1" t="s">
        <v>384</v>
      </c>
      <c r="J20" s="3">
        <f>2700-J19-20</f>
        <v>1919</v>
      </c>
      <c r="K20" s="3"/>
      <c r="L20" s="3">
        <f t="shared" si="1"/>
        <v>580</v>
      </c>
      <c r="M20" s="1"/>
    </row>
    <row r="21" spans="1:14">
      <c r="A21" s="2"/>
      <c r="B21" s="1" t="s">
        <v>407</v>
      </c>
      <c r="C21" s="3"/>
      <c r="D21" s="3">
        <v>223.75</v>
      </c>
      <c r="E21" s="3">
        <f t="shared" si="0"/>
        <v>1905.1400000000049</v>
      </c>
      <c r="F21" s="1"/>
      <c r="H21" s="58">
        <v>44085</v>
      </c>
      <c r="I21" s="59" t="s">
        <v>385</v>
      </c>
      <c r="J21" s="3">
        <v>500</v>
      </c>
      <c r="K21" s="3"/>
      <c r="L21" s="3">
        <f t="shared" si="1"/>
        <v>80</v>
      </c>
      <c r="M21" s="1"/>
    </row>
    <row r="22" spans="1:14">
      <c r="A22" s="2"/>
      <c r="B22" s="1" t="s">
        <v>407</v>
      </c>
      <c r="C22" s="3"/>
      <c r="D22" s="3">
        <v>0.09</v>
      </c>
      <c r="E22" s="3">
        <f t="shared" si="0"/>
        <v>1905.2300000000048</v>
      </c>
      <c r="F22" s="44"/>
      <c r="H22" s="58">
        <v>44088</v>
      </c>
      <c r="I22" s="59" t="s">
        <v>377</v>
      </c>
      <c r="J22" s="3">
        <v>60</v>
      </c>
      <c r="K22" s="3"/>
      <c r="L22" s="3">
        <f t="shared" si="1"/>
        <v>20</v>
      </c>
      <c r="M22" s="1"/>
    </row>
    <row r="23" spans="1:14">
      <c r="A23" s="2"/>
      <c r="B23" s="1" t="s">
        <v>407</v>
      </c>
      <c r="C23" s="3">
        <v>50</v>
      </c>
      <c r="D23" s="3"/>
      <c r="E23" s="3">
        <f t="shared" si="0"/>
        <v>1855.2300000000048</v>
      </c>
      <c r="F23" s="1"/>
      <c r="H23" s="58">
        <v>44088</v>
      </c>
      <c r="I23" s="59" t="s">
        <v>394</v>
      </c>
      <c r="J23" s="3">
        <v>20</v>
      </c>
      <c r="K23" s="3"/>
      <c r="L23" s="3">
        <f t="shared" si="1"/>
        <v>0</v>
      </c>
      <c r="M23" s="44"/>
    </row>
    <row r="24" spans="1:14">
      <c r="A24" s="2">
        <v>44098</v>
      </c>
      <c r="B24" s="1" t="s">
        <v>414</v>
      </c>
      <c r="C24" s="3"/>
      <c r="D24" s="3">
        <v>5719.71</v>
      </c>
      <c r="E24" s="3">
        <f t="shared" si="0"/>
        <v>7574.9400000000051</v>
      </c>
      <c r="F24" s="1"/>
      <c r="H24" s="58">
        <v>44088</v>
      </c>
      <c r="I24" s="59" t="s">
        <v>375</v>
      </c>
      <c r="J24" s="3"/>
      <c r="K24" s="3">
        <v>500</v>
      </c>
      <c r="L24" s="3">
        <f t="shared" si="1"/>
        <v>500</v>
      </c>
      <c r="M24" s="44"/>
    </row>
    <row r="25" spans="1:14">
      <c r="A25" s="2">
        <v>44102</v>
      </c>
      <c r="B25" s="1" t="s">
        <v>416</v>
      </c>
      <c r="C25" s="3">
        <v>850</v>
      </c>
      <c r="D25" s="3"/>
      <c r="E25" s="3">
        <f t="shared" si="0"/>
        <v>6724.9400000000051</v>
      </c>
      <c r="F25" s="1"/>
      <c r="H25" s="2">
        <v>44092</v>
      </c>
      <c r="I25" s="6" t="s">
        <v>402</v>
      </c>
      <c r="J25" s="3"/>
      <c r="K25" s="3">
        <v>600</v>
      </c>
      <c r="L25" s="3">
        <f t="shared" si="1"/>
        <v>1100</v>
      </c>
      <c r="M25" s="1"/>
    </row>
    <row r="26" spans="1:14">
      <c r="A26" s="2">
        <v>44103</v>
      </c>
      <c r="B26" s="1" t="s">
        <v>419</v>
      </c>
      <c r="C26" s="3">
        <v>1379</v>
      </c>
      <c r="D26" s="3"/>
      <c r="E26" s="3">
        <f t="shared" si="0"/>
        <v>5345.9400000000051</v>
      </c>
      <c r="F26" s="53"/>
      <c r="H26" s="2">
        <v>44094</v>
      </c>
      <c r="I26" s="1" t="s">
        <v>403</v>
      </c>
      <c r="J26" s="3"/>
      <c r="K26" s="3"/>
      <c r="L26" s="3">
        <v>750</v>
      </c>
      <c r="M26" s="44"/>
    </row>
    <row r="27" spans="1:14">
      <c r="A27" s="2">
        <v>44104</v>
      </c>
      <c r="B27" s="1" t="s">
        <v>421</v>
      </c>
      <c r="C27" s="3">
        <v>2500</v>
      </c>
      <c r="D27" s="3"/>
      <c r="E27" s="3">
        <f t="shared" si="0"/>
        <v>2845.9400000000051</v>
      </c>
      <c r="F27" s="1"/>
      <c r="H27" s="2">
        <v>44095</v>
      </c>
      <c r="I27" s="1" t="s">
        <v>404</v>
      </c>
      <c r="J27" s="3">
        <v>120</v>
      </c>
      <c r="K27" s="3"/>
      <c r="L27" s="3">
        <f t="shared" si="1"/>
        <v>630</v>
      </c>
      <c r="M27" s="1"/>
    </row>
    <row r="28" spans="1:14">
      <c r="A28" s="2">
        <v>44104</v>
      </c>
      <c r="B28" s="1" t="s">
        <v>422</v>
      </c>
      <c r="C28" s="3"/>
      <c r="D28" s="3">
        <v>1534.56</v>
      </c>
      <c r="E28" s="3">
        <f t="shared" si="0"/>
        <v>4380.5000000000055</v>
      </c>
      <c r="F28" s="5"/>
      <c r="H28" s="2">
        <v>44095</v>
      </c>
      <c r="I28" s="1" t="s">
        <v>375</v>
      </c>
      <c r="J28" s="3"/>
      <c r="K28" s="3">
        <v>3000</v>
      </c>
      <c r="L28" s="3">
        <f t="shared" si="1"/>
        <v>3630</v>
      </c>
      <c r="M28" s="1"/>
    </row>
    <row r="29" spans="1:14">
      <c r="A29" s="11"/>
      <c r="B29" s="12"/>
      <c r="C29" s="13"/>
      <c r="D29" s="13"/>
      <c r="E29" s="13">
        <f t="shared" si="0"/>
        <v>4380.5000000000055</v>
      </c>
      <c r="F29" s="70"/>
      <c r="H29" s="2">
        <v>44096</v>
      </c>
      <c r="I29" s="1" t="s">
        <v>394</v>
      </c>
      <c r="J29" s="3">
        <v>10</v>
      </c>
      <c r="K29" s="3"/>
      <c r="L29" s="3">
        <f t="shared" si="1"/>
        <v>3620</v>
      </c>
      <c r="M29" s="44"/>
    </row>
    <row r="30" spans="1:14">
      <c r="A30" s="11"/>
      <c r="B30" s="12"/>
      <c r="C30" s="13"/>
      <c r="D30" s="13"/>
      <c r="E30" s="13">
        <f t="shared" si="0"/>
        <v>4380.5000000000055</v>
      </c>
      <c r="F30" s="12"/>
      <c r="H30" s="2">
        <v>44096</v>
      </c>
      <c r="I30" s="1" t="s">
        <v>410</v>
      </c>
      <c r="J30" s="3">
        <v>220</v>
      </c>
      <c r="K30" s="3"/>
      <c r="L30" s="3">
        <f t="shared" si="1"/>
        <v>3400</v>
      </c>
      <c r="M30" s="1"/>
    </row>
    <row r="31" spans="1:14">
      <c r="A31" s="2"/>
      <c r="B31" s="1"/>
      <c r="C31" s="3"/>
      <c r="D31" s="3"/>
      <c r="E31" s="3">
        <f t="shared" si="0"/>
        <v>4380.5000000000055</v>
      </c>
      <c r="F31" s="1"/>
      <c r="H31" s="2">
        <v>44097</v>
      </c>
      <c r="I31" s="1" t="s">
        <v>408</v>
      </c>
      <c r="J31" s="3">
        <v>2990</v>
      </c>
      <c r="K31" s="3"/>
      <c r="L31" s="3">
        <f t="shared" si="1"/>
        <v>410</v>
      </c>
      <c r="M31" s="1"/>
    </row>
    <row r="32" spans="1:14">
      <c r="A32" s="2"/>
      <c r="B32" s="1"/>
      <c r="C32" s="3"/>
      <c r="D32" s="3"/>
      <c r="E32" s="3">
        <f t="shared" si="0"/>
        <v>4380.5000000000055</v>
      </c>
      <c r="F32" s="1"/>
      <c r="H32" s="2">
        <v>44097</v>
      </c>
      <c r="I32" s="1" t="s">
        <v>409</v>
      </c>
      <c r="J32" s="3">
        <v>500</v>
      </c>
      <c r="K32" s="3"/>
      <c r="L32" s="3">
        <f t="shared" si="1"/>
        <v>-90</v>
      </c>
      <c r="M32" s="1"/>
    </row>
    <row r="33" spans="1:13">
      <c r="A33" s="2"/>
      <c r="B33" s="6"/>
      <c r="C33" s="3"/>
      <c r="D33" s="3"/>
      <c r="E33" s="3">
        <f t="shared" si="0"/>
        <v>4380.5000000000055</v>
      </c>
      <c r="H33" s="2">
        <v>44097</v>
      </c>
      <c r="I33" s="6" t="s">
        <v>406</v>
      </c>
      <c r="J33" s="3"/>
      <c r="K33" s="3">
        <v>1400</v>
      </c>
      <c r="L33" s="3">
        <f t="shared" si="1"/>
        <v>1310</v>
      </c>
      <c r="M33" s="1"/>
    </row>
    <row r="34" spans="1:13">
      <c r="E34" s="33">
        <f t="shared" si="0"/>
        <v>4380.5000000000055</v>
      </c>
      <c r="H34" s="2">
        <v>44097</v>
      </c>
      <c r="I34" s="1" t="s">
        <v>405</v>
      </c>
      <c r="J34" s="3"/>
      <c r="K34" s="3">
        <v>2000</v>
      </c>
      <c r="L34" s="3">
        <v>3190</v>
      </c>
      <c r="M34" s="1"/>
    </row>
    <row r="35" spans="1:13">
      <c r="E35" s="33">
        <f t="shared" si="0"/>
        <v>4380.5000000000055</v>
      </c>
      <c r="H35" s="2">
        <v>44098</v>
      </c>
      <c r="I35" s="1" t="s">
        <v>412</v>
      </c>
      <c r="J35" s="3">
        <v>270</v>
      </c>
      <c r="K35" s="3"/>
      <c r="L35" s="3">
        <f t="shared" si="1"/>
        <v>2920</v>
      </c>
      <c r="M35" s="1"/>
    </row>
    <row r="36" spans="1:13">
      <c r="E36" s="33">
        <f t="shared" si="0"/>
        <v>4380.5000000000055</v>
      </c>
      <c r="H36" s="2">
        <v>44098</v>
      </c>
      <c r="I36" s="1" t="s">
        <v>365</v>
      </c>
      <c r="J36" s="3">
        <v>1360</v>
      </c>
      <c r="K36" s="3"/>
      <c r="L36" s="3">
        <f t="shared" si="1"/>
        <v>1560</v>
      </c>
      <c r="M36" s="1"/>
    </row>
    <row r="37" spans="1:13">
      <c r="E37" s="33">
        <f t="shared" si="0"/>
        <v>4380.5000000000055</v>
      </c>
      <c r="H37" s="2">
        <v>44099</v>
      </c>
      <c r="I37" s="6" t="s">
        <v>413</v>
      </c>
      <c r="J37" s="3">
        <v>200</v>
      </c>
      <c r="K37" s="3"/>
      <c r="L37" s="3">
        <f t="shared" si="1"/>
        <v>1360</v>
      </c>
      <c r="M37" s="1"/>
    </row>
    <row r="38" spans="1:13">
      <c r="E38" s="33">
        <f t="shared" si="0"/>
        <v>4380.5000000000055</v>
      </c>
      <c r="H38" s="2">
        <v>44100</v>
      </c>
      <c r="I38" s="6" t="s">
        <v>415</v>
      </c>
      <c r="J38" s="10">
        <v>180</v>
      </c>
      <c r="K38" s="1"/>
      <c r="L38" s="3">
        <f t="shared" si="1"/>
        <v>1180</v>
      </c>
      <c r="M38" s="1"/>
    </row>
    <row r="39" spans="1:13">
      <c r="H39" s="2">
        <v>44102</v>
      </c>
      <c r="I39" s="1" t="s">
        <v>132</v>
      </c>
      <c r="J39" s="1">
        <v>340</v>
      </c>
      <c r="K39" s="1"/>
      <c r="L39" s="3">
        <f t="shared" si="1"/>
        <v>840</v>
      </c>
      <c r="M39" s="1"/>
    </row>
    <row r="40" spans="1:13">
      <c r="H40" s="2">
        <v>44102</v>
      </c>
      <c r="I40" s="1" t="s">
        <v>417</v>
      </c>
      <c r="J40" s="1">
        <v>500</v>
      </c>
      <c r="K40" s="1"/>
      <c r="L40" s="3">
        <f t="shared" si="1"/>
        <v>340</v>
      </c>
      <c r="M40" s="1"/>
    </row>
    <row r="41" spans="1:13">
      <c r="H41" s="2">
        <v>44102</v>
      </c>
      <c r="I41" s="1" t="s">
        <v>418</v>
      </c>
      <c r="J41" s="1"/>
      <c r="K41" s="1">
        <v>500</v>
      </c>
      <c r="L41" s="3">
        <f t="shared" si="1"/>
        <v>840</v>
      </c>
      <c r="M41" s="1"/>
    </row>
    <row r="42" spans="1:13">
      <c r="H42" s="2">
        <v>44103</v>
      </c>
      <c r="I42" s="1" t="s">
        <v>83</v>
      </c>
      <c r="J42" s="1">
        <v>220</v>
      </c>
      <c r="K42" s="1"/>
      <c r="L42" s="3">
        <f t="shared" si="1"/>
        <v>620</v>
      </c>
      <c r="M42" s="1"/>
    </row>
    <row r="43" spans="1:13">
      <c r="H43" s="2">
        <v>44103</v>
      </c>
      <c r="I43" s="6" t="s">
        <v>420</v>
      </c>
      <c r="J43" s="1"/>
      <c r="K43" s="1">
        <v>700</v>
      </c>
      <c r="L43" s="3">
        <f t="shared" si="1"/>
        <v>1320</v>
      </c>
      <c r="M43" s="1"/>
    </row>
    <row r="44" spans="1:13">
      <c r="H44" s="12"/>
      <c r="I44" s="12"/>
      <c r="J44" s="12"/>
      <c r="K44" s="12"/>
      <c r="L44" s="12"/>
      <c r="M44" s="12"/>
    </row>
    <row r="45" spans="1:13">
      <c r="H45" s="12"/>
      <c r="I45" s="12"/>
      <c r="J45" s="12"/>
      <c r="K45" s="12"/>
      <c r="L45" s="12"/>
      <c r="M45" s="12"/>
    </row>
  </sheetData>
  <mergeCells count="5">
    <mergeCell ref="A1:F1"/>
    <mergeCell ref="H1:M1"/>
    <mergeCell ref="B3:D3"/>
    <mergeCell ref="I3:K3"/>
    <mergeCell ref="O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0115-7598-5C44-AD1A-2585AEBDB7D5}">
  <dimension ref="A1:Q161"/>
  <sheetViews>
    <sheetView workbookViewId="0">
      <selection activeCell="I67" sqref="I67"/>
    </sheetView>
  </sheetViews>
  <sheetFormatPr baseColWidth="10" defaultRowHeight="16"/>
  <cols>
    <col min="1" max="1" width="7.33203125" bestFit="1" customWidth="1"/>
    <col min="2" max="2" width="32.83203125" bestFit="1" customWidth="1"/>
    <col min="3" max="4" width="11.5" style="4" bestFit="1" customWidth="1"/>
    <col min="5" max="5" width="11.5" bestFit="1" customWidth="1"/>
    <col min="6" max="6" width="36.5" bestFit="1" customWidth="1"/>
    <col min="7" max="7" width="11.5" bestFit="1" customWidth="1"/>
    <col min="9" max="9" width="35.33203125" bestFit="1" customWidth="1"/>
    <col min="10" max="12" width="11.5" bestFit="1" customWidth="1"/>
    <col min="13" max="13" width="25.6640625" bestFit="1" customWidth="1"/>
    <col min="15" max="15" width="19.5" bestFit="1" customWidth="1"/>
  </cols>
  <sheetData>
    <row r="1" spans="1:13">
      <c r="A1" s="471" t="s">
        <v>425</v>
      </c>
      <c r="B1" s="471"/>
      <c r="C1" s="471"/>
      <c r="D1" s="471"/>
      <c r="E1" s="471"/>
      <c r="F1" s="471"/>
      <c r="H1" s="472" t="s">
        <v>129</v>
      </c>
      <c r="I1" s="472"/>
      <c r="J1" s="472"/>
      <c r="K1" s="472"/>
      <c r="L1" s="472"/>
      <c r="M1" s="472"/>
    </row>
    <row r="2" spans="1:13">
      <c r="A2" s="1" t="s">
        <v>0</v>
      </c>
      <c r="B2" s="1" t="s">
        <v>1</v>
      </c>
      <c r="C2" s="3" t="s">
        <v>5</v>
      </c>
      <c r="D2" s="3" t="s">
        <v>6</v>
      </c>
      <c r="E2" s="3" t="s">
        <v>2</v>
      </c>
      <c r="F2" s="29" t="s">
        <v>3</v>
      </c>
      <c r="G2" s="4"/>
      <c r="H2" s="1" t="s">
        <v>0</v>
      </c>
      <c r="I2" s="1" t="s">
        <v>1</v>
      </c>
      <c r="J2" s="3" t="s">
        <v>5</v>
      </c>
      <c r="K2" s="3" t="s">
        <v>6</v>
      </c>
      <c r="L2" s="3" t="s">
        <v>2</v>
      </c>
      <c r="M2" s="29" t="s">
        <v>3</v>
      </c>
    </row>
    <row r="3" spans="1:13">
      <c r="A3" s="2">
        <v>44104</v>
      </c>
      <c r="B3" s="473" t="s">
        <v>144</v>
      </c>
      <c r="C3" s="474"/>
      <c r="D3" s="475"/>
      <c r="E3" s="3">
        <v>4380.5000000000055</v>
      </c>
      <c r="F3" s="31" t="s">
        <v>424</v>
      </c>
      <c r="G3" s="32">
        <f>+D6</f>
        <v>50005</v>
      </c>
      <c r="H3" s="2">
        <v>44104</v>
      </c>
      <c r="I3" s="473" t="s">
        <v>4</v>
      </c>
      <c r="J3" s="474"/>
      <c r="K3" s="475"/>
      <c r="L3" s="3">
        <v>1320</v>
      </c>
      <c r="M3" s="34"/>
    </row>
    <row r="4" spans="1:13">
      <c r="A4" s="2">
        <v>44105</v>
      </c>
      <c r="B4" s="1" t="s">
        <v>427</v>
      </c>
      <c r="C4" s="3">
        <v>759</v>
      </c>
      <c r="D4" s="3"/>
      <c r="E4" s="3">
        <f>E3+D4-C4</f>
        <v>3621.5000000000055</v>
      </c>
      <c r="F4" s="1"/>
      <c r="G4" s="39" t="s">
        <v>170</v>
      </c>
      <c r="H4" s="2">
        <v>44105</v>
      </c>
      <c r="I4" s="1" t="s">
        <v>432</v>
      </c>
      <c r="J4" s="3"/>
      <c r="K4" s="3">
        <v>430</v>
      </c>
      <c r="L4" s="3">
        <f>L3+K4-J4</f>
        <v>1750</v>
      </c>
      <c r="M4" s="30"/>
    </row>
    <row r="5" spans="1:13">
      <c r="A5" s="2">
        <v>44105</v>
      </c>
      <c r="B5" s="1" t="s">
        <v>423</v>
      </c>
      <c r="C5" s="3"/>
      <c r="D5" s="3">
        <v>22073.78</v>
      </c>
      <c r="E5" s="3">
        <f t="shared" ref="E5:E6" si="0">E4+D5-C5</f>
        <v>25695.280000000006</v>
      </c>
      <c r="F5" s="44"/>
      <c r="G5" s="56">
        <f>+E34+L43</f>
        <v>4926.21</v>
      </c>
      <c r="H5" s="2">
        <v>44105</v>
      </c>
      <c r="I5" s="1" t="s">
        <v>433</v>
      </c>
      <c r="J5" s="3">
        <v>400</v>
      </c>
      <c r="K5" s="3"/>
      <c r="L5" s="3">
        <f t="shared" ref="L5:L53" si="1">L4+K5-J5</f>
        <v>1350</v>
      </c>
      <c r="M5" s="1"/>
    </row>
    <row r="6" spans="1:13">
      <c r="A6" s="2">
        <v>44106</v>
      </c>
      <c r="B6" s="1" t="s">
        <v>426</v>
      </c>
      <c r="C6" s="3"/>
      <c r="D6" s="3">
        <v>50005</v>
      </c>
      <c r="E6" s="3">
        <f t="shared" si="0"/>
        <v>75700.28</v>
      </c>
      <c r="F6" s="30"/>
      <c r="G6" s="41"/>
      <c r="H6" s="2">
        <v>44106</v>
      </c>
      <c r="I6" s="1" t="s">
        <v>394</v>
      </c>
      <c r="J6" s="3">
        <v>100</v>
      </c>
      <c r="K6" s="3"/>
      <c r="L6" s="3">
        <f t="shared" si="1"/>
        <v>1250</v>
      </c>
      <c r="M6" s="1"/>
    </row>
    <row r="7" spans="1:13">
      <c r="A7" s="2">
        <v>44106</v>
      </c>
      <c r="B7" s="36" t="s">
        <v>428</v>
      </c>
      <c r="C7" s="37">
        <v>2000</v>
      </c>
      <c r="D7" s="3"/>
      <c r="E7" s="3">
        <f>E6+D7-C7</f>
        <v>73700.28</v>
      </c>
      <c r="F7" s="64"/>
      <c r="G7" s="41"/>
      <c r="H7" s="2">
        <v>44107</v>
      </c>
      <c r="I7" s="1" t="s">
        <v>434</v>
      </c>
      <c r="J7" s="3">
        <v>1566</v>
      </c>
      <c r="K7" s="3"/>
      <c r="L7" s="3">
        <f t="shared" si="1"/>
        <v>-316</v>
      </c>
      <c r="M7" s="1"/>
    </row>
    <row r="8" spans="1:13">
      <c r="A8" s="2">
        <v>44106</v>
      </c>
      <c r="B8" s="1" t="s">
        <v>429</v>
      </c>
      <c r="C8" s="3">
        <v>10000</v>
      </c>
      <c r="D8" s="3"/>
      <c r="E8" s="3">
        <f t="shared" ref="E8:E25" si="2">E7+D8-C8</f>
        <v>63700.28</v>
      </c>
      <c r="F8" s="44"/>
      <c r="H8" s="2">
        <v>44107</v>
      </c>
      <c r="I8" s="1" t="s">
        <v>435</v>
      </c>
      <c r="J8" s="60"/>
      <c r="K8" s="60">
        <v>10000</v>
      </c>
      <c r="L8" s="3">
        <f t="shared" si="1"/>
        <v>9684</v>
      </c>
      <c r="M8" s="44"/>
    </row>
    <row r="9" spans="1:13">
      <c r="A9" s="2">
        <v>44106</v>
      </c>
      <c r="B9" s="1" t="s">
        <v>431</v>
      </c>
      <c r="C9" s="3">
        <v>11000</v>
      </c>
      <c r="D9" s="3"/>
      <c r="E9" s="3">
        <f t="shared" si="2"/>
        <v>52700.28</v>
      </c>
      <c r="F9" s="53"/>
      <c r="H9" s="2">
        <v>44107</v>
      </c>
      <c r="I9" s="1" t="s">
        <v>437</v>
      </c>
      <c r="J9" s="3">
        <v>290</v>
      </c>
      <c r="K9" s="3"/>
      <c r="L9" s="3">
        <f t="shared" si="1"/>
        <v>9394</v>
      </c>
      <c r="M9" s="1"/>
    </row>
    <row r="10" spans="1:13">
      <c r="A10" s="2">
        <v>44107</v>
      </c>
      <c r="B10" s="1" t="s">
        <v>435</v>
      </c>
      <c r="C10" s="3">
        <v>10000</v>
      </c>
      <c r="D10" s="3"/>
      <c r="E10" s="3">
        <f t="shared" si="2"/>
        <v>42700.28</v>
      </c>
      <c r="F10" s="1"/>
      <c r="H10" s="2">
        <v>44107</v>
      </c>
      <c r="I10" s="1" t="s">
        <v>365</v>
      </c>
      <c r="J10" s="3">
        <v>1780</v>
      </c>
      <c r="K10" s="3"/>
      <c r="L10" s="3">
        <f t="shared" si="1"/>
        <v>7614</v>
      </c>
      <c r="M10" s="44"/>
    </row>
    <row r="11" spans="1:13">
      <c r="A11" s="2">
        <v>44108</v>
      </c>
      <c r="B11" s="1" t="s">
        <v>436</v>
      </c>
      <c r="C11" s="3">
        <v>1050</v>
      </c>
      <c r="D11" s="3"/>
      <c r="E11" s="3">
        <f t="shared" si="2"/>
        <v>41650.28</v>
      </c>
      <c r="F11" s="44"/>
      <c r="H11" s="58">
        <v>44109</v>
      </c>
      <c r="I11" s="59" t="s">
        <v>438</v>
      </c>
      <c r="J11" s="60">
        <v>669</v>
      </c>
      <c r="K11" s="3"/>
      <c r="L11" s="3">
        <f t="shared" si="1"/>
        <v>6945</v>
      </c>
      <c r="M11" s="5"/>
    </row>
    <row r="12" spans="1:13">
      <c r="A12" s="2">
        <v>44112</v>
      </c>
      <c r="B12" s="1" t="s">
        <v>447</v>
      </c>
      <c r="C12" s="3">
        <v>3000</v>
      </c>
      <c r="D12" s="3"/>
      <c r="E12" s="3">
        <f t="shared" si="2"/>
        <v>38650.28</v>
      </c>
      <c r="F12" s="1"/>
      <c r="G12" s="41"/>
      <c r="H12" s="58">
        <v>44110</v>
      </c>
      <c r="I12" s="1" t="s">
        <v>83</v>
      </c>
      <c r="J12" s="3">
        <v>1540</v>
      </c>
      <c r="K12" s="3"/>
      <c r="L12" s="3">
        <f t="shared" si="1"/>
        <v>5405</v>
      </c>
      <c r="M12" s="44"/>
    </row>
    <row r="13" spans="1:13">
      <c r="A13" s="2">
        <v>44114</v>
      </c>
      <c r="B13" s="1" t="s">
        <v>448</v>
      </c>
      <c r="C13" s="3">
        <v>1000</v>
      </c>
      <c r="D13" s="3"/>
      <c r="E13" s="76">
        <v>35150.28</v>
      </c>
      <c r="F13" s="1"/>
      <c r="H13" s="58">
        <v>44111</v>
      </c>
      <c r="I13" s="1" t="s">
        <v>439</v>
      </c>
      <c r="J13" s="3">
        <v>471</v>
      </c>
      <c r="K13" s="3"/>
      <c r="L13" s="3">
        <f t="shared" si="1"/>
        <v>4934</v>
      </c>
      <c r="M13" s="44"/>
    </row>
    <row r="14" spans="1:13">
      <c r="A14" s="58">
        <v>44116</v>
      </c>
      <c r="B14" s="1" t="s">
        <v>449</v>
      </c>
      <c r="C14" s="3">
        <v>5000</v>
      </c>
      <c r="D14" s="3"/>
      <c r="E14" s="3">
        <f t="shared" si="2"/>
        <v>30150.28</v>
      </c>
      <c r="F14" s="44"/>
      <c r="G14" s="57"/>
      <c r="H14" s="58">
        <v>44112</v>
      </c>
      <c r="I14" s="1" t="s">
        <v>441</v>
      </c>
      <c r="J14" s="3">
        <v>210</v>
      </c>
      <c r="K14" s="3"/>
      <c r="L14" s="3">
        <f t="shared" si="1"/>
        <v>4724</v>
      </c>
      <c r="M14" s="1"/>
    </row>
    <row r="15" spans="1:13">
      <c r="A15" s="2">
        <v>44118</v>
      </c>
      <c r="B15" s="1" t="s">
        <v>453</v>
      </c>
      <c r="C15" s="3">
        <v>2500</v>
      </c>
      <c r="D15" s="3"/>
      <c r="E15" s="3">
        <f t="shared" si="2"/>
        <v>27650.28</v>
      </c>
      <c r="F15" s="44"/>
      <c r="H15" s="58">
        <v>44112</v>
      </c>
      <c r="I15" s="1" t="s">
        <v>440</v>
      </c>
      <c r="J15" s="3">
        <v>300</v>
      </c>
      <c r="K15" s="1"/>
      <c r="L15" s="3">
        <f t="shared" si="1"/>
        <v>4424</v>
      </c>
      <c r="M15" s="1"/>
    </row>
    <row r="16" spans="1:13">
      <c r="A16" s="2">
        <v>44117</v>
      </c>
      <c r="B16" s="1" t="s">
        <v>454</v>
      </c>
      <c r="C16" s="10"/>
      <c r="D16" s="3">
        <v>200</v>
      </c>
      <c r="E16" s="3">
        <f t="shared" si="2"/>
        <v>27850.28</v>
      </c>
      <c r="F16" s="44"/>
      <c r="H16" s="58">
        <v>44112</v>
      </c>
      <c r="I16" s="6" t="s">
        <v>394</v>
      </c>
      <c r="J16" s="10">
        <v>300</v>
      </c>
      <c r="K16" s="1"/>
      <c r="L16" s="3">
        <f t="shared" si="1"/>
        <v>4124</v>
      </c>
      <c r="M16" s="44"/>
    </row>
    <row r="17" spans="1:13">
      <c r="A17" s="2">
        <v>44121</v>
      </c>
      <c r="B17" s="1" t="s">
        <v>455</v>
      </c>
      <c r="C17" s="10">
        <v>2951.62</v>
      </c>
      <c r="D17" s="3"/>
      <c r="E17" s="3">
        <f t="shared" si="2"/>
        <v>24898.66</v>
      </c>
      <c r="F17" s="57"/>
      <c r="H17" s="2">
        <v>44112</v>
      </c>
      <c r="I17" s="6" t="s">
        <v>443</v>
      </c>
      <c r="J17" s="10">
        <v>900</v>
      </c>
      <c r="K17" s="1"/>
      <c r="L17" s="3">
        <f t="shared" si="1"/>
        <v>3224</v>
      </c>
      <c r="M17" s="1"/>
    </row>
    <row r="18" spans="1:13">
      <c r="A18" s="2">
        <v>44122</v>
      </c>
      <c r="B18" s="6" t="s">
        <v>456</v>
      </c>
      <c r="C18" s="10">
        <v>1090</v>
      </c>
      <c r="D18" s="3"/>
      <c r="E18" s="3">
        <f t="shared" si="2"/>
        <v>23808.66</v>
      </c>
      <c r="F18" s="1"/>
      <c r="H18" s="2">
        <v>44113</v>
      </c>
      <c r="I18" s="6" t="s">
        <v>444</v>
      </c>
      <c r="J18" s="10">
        <v>200</v>
      </c>
      <c r="K18" s="3"/>
      <c r="L18" s="3">
        <f t="shared" si="1"/>
        <v>3024</v>
      </c>
      <c r="M18" s="44"/>
    </row>
    <row r="19" spans="1:13">
      <c r="A19" s="2">
        <v>44122</v>
      </c>
      <c r="B19" s="6" t="s">
        <v>435</v>
      </c>
      <c r="C19" s="10">
        <v>10000</v>
      </c>
      <c r="D19" s="3"/>
      <c r="E19" s="3">
        <f t="shared" si="2"/>
        <v>13808.66</v>
      </c>
      <c r="F19" s="44"/>
      <c r="H19" s="2">
        <v>44113</v>
      </c>
      <c r="I19" s="6" t="s">
        <v>445</v>
      </c>
      <c r="J19" s="10">
        <v>470</v>
      </c>
      <c r="K19" s="10"/>
      <c r="L19" s="3">
        <f t="shared" si="1"/>
        <v>2554</v>
      </c>
      <c r="M19" s="68"/>
    </row>
    <row r="20" spans="1:13">
      <c r="A20" s="2">
        <v>44122</v>
      </c>
      <c r="B20" s="1" t="s">
        <v>469</v>
      </c>
      <c r="C20" s="3"/>
      <c r="D20" s="3">
        <v>1100</v>
      </c>
      <c r="E20" s="3">
        <f t="shared" si="2"/>
        <v>14908.66</v>
      </c>
      <c r="F20" s="1"/>
      <c r="H20" s="2">
        <v>44113</v>
      </c>
      <c r="I20" s="6" t="s">
        <v>446</v>
      </c>
      <c r="J20" s="10">
        <v>300</v>
      </c>
      <c r="K20" s="3"/>
      <c r="L20" s="3">
        <f t="shared" si="1"/>
        <v>2254</v>
      </c>
      <c r="M20" s="1"/>
    </row>
    <row r="21" spans="1:13">
      <c r="A21" s="2">
        <v>44124</v>
      </c>
      <c r="B21" s="1" t="s">
        <v>475</v>
      </c>
      <c r="C21" s="3">
        <v>400</v>
      </c>
      <c r="D21" s="3"/>
      <c r="E21" s="3">
        <f t="shared" si="2"/>
        <v>14508.66</v>
      </c>
      <c r="F21" s="1"/>
      <c r="H21" s="2">
        <v>44114</v>
      </c>
      <c r="I21" s="6" t="s">
        <v>30</v>
      </c>
      <c r="J21" s="10">
        <v>1500</v>
      </c>
      <c r="K21" s="3"/>
      <c r="L21" s="3">
        <f t="shared" si="1"/>
        <v>754</v>
      </c>
      <c r="M21" s="1"/>
    </row>
    <row r="22" spans="1:13">
      <c r="A22" s="2">
        <v>44130</v>
      </c>
      <c r="B22" s="1" t="s">
        <v>476</v>
      </c>
      <c r="C22" s="3">
        <v>620</v>
      </c>
      <c r="D22" s="3"/>
      <c r="E22" s="3">
        <f t="shared" si="2"/>
        <v>13888.66</v>
      </c>
      <c r="F22" s="44"/>
      <c r="H22" s="2">
        <v>44114</v>
      </c>
      <c r="I22" s="6" t="s">
        <v>442</v>
      </c>
      <c r="J22" s="10">
        <v>300</v>
      </c>
      <c r="K22" s="3"/>
      <c r="L22" s="3">
        <v>450</v>
      </c>
      <c r="M22" s="44"/>
    </row>
    <row r="23" spans="1:13">
      <c r="A23" s="2">
        <v>44131</v>
      </c>
      <c r="B23" s="1" t="s">
        <v>484</v>
      </c>
      <c r="C23" s="3">
        <v>6000</v>
      </c>
      <c r="D23" s="3"/>
      <c r="E23" s="3">
        <f t="shared" si="2"/>
        <v>7888.66</v>
      </c>
      <c r="F23" s="1"/>
      <c r="H23" s="58">
        <v>44116</v>
      </c>
      <c r="I23" s="59" t="s">
        <v>450</v>
      </c>
      <c r="J23" s="3">
        <v>300</v>
      </c>
      <c r="K23" s="3"/>
      <c r="L23" s="3">
        <f t="shared" si="1"/>
        <v>150</v>
      </c>
      <c r="M23" s="44"/>
    </row>
    <row r="24" spans="1:13">
      <c r="A24" s="2">
        <v>44131</v>
      </c>
      <c r="B24" s="1" t="s">
        <v>487</v>
      </c>
      <c r="C24" s="3">
        <f>604-151</f>
        <v>453</v>
      </c>
      <c r="D24" s="3"/>
      <c r="E24" s="3">
        <f t="shared" si="2"/>
        <v>7435.66</v>
      </c>
      <c r="F24" s="64"/>
      <c r="H24" s="58">
        <v>44116</v>
      </c>
      <c r="I24" s="1" t="s">
        <v>449</v>
      </c>
      <c r="J24" s="3"/>
      <c r="K24" s="3">
        <v>5000</v>
      </c>
      <c r="L24" s="3">
        <f t="shared" si="1"/>
        <v>5150</v>
      </c>
      <c r="M24" s="44"/>
    </row>
    <row r="25" spans="1:13">
      <c r="A25" s="2">
        <v>44133</v>
      </c>
      <c r="B25" s="1" t="s">
        <v>488</v>
      </c>
      <c r="C25" s="3"/>
      <c r="D25" s="3">
        <f>0.27+60.4</f>
        <v>60.67</v>
      </c>
      <c r="E25" s="3">
        <f t="shared" si="2"/>
        <v>7496.33</v>
      </c>
      <c r="F25" s="1"/>
      <c r="H25" s="58">
        <v>44116</v>
      </c>
      <c r="I25" s="6" t="s">
        <v>83</v>
      </c>
      <c r="J25" s="3">
        <v>1370</v>
      </c>
      <c r="K25" s="3"/>
      <c r="L25" s="3">
        <f t="shared" si="1"/>
        <v>3780</v>
      </c>
      <c r="M25" s="1"/>
    </row>
    <row r="26" spans="1:13">
      <c r="A26" s="2">
        <v>44135</v>
      </c>
      <c r="B26" s="1" t="s">
        <v>101</v>
      </c>
      <c r="C26" s="3">
        <v>2360.12</v>
      </c>
      <c r="D26" s="3"/>
      <c r="E26" s="3">
        <f t="shared" ref="E26:E38" si="3">E25+D26-C26</f>
        <v>5136.21</v>
      </c>
      <c r="F26" s="53"/>
      <c r="H26" s="58">
        <v>44116</v>
      </c>
      <c r="I26" s="1" t="s">
        <v>451</v>
      </c>
      <c r="J26" s="3">
        <v>390</v>
      </c>
      <c r="K26" s="3"/>
      <c r="L26" s="3">
        <f t="shared" si="1"/>
        <v>3390</v>
      </c>
      <c r="M26" s="44"/>
    </row>
    <row r="27" spans="1:13">
      <c r="A27" s="2">
        <v>44135</v>
      </c>
      <c r="B27" s="1" t="s">
        <v>489</v>
      </c>
      <c r="C27" s="3">
        <v>640</v>
      </c>
      <c r="D27" s="3"/>
      <c r="E27" s="3">
        <f t="shared" si="3"/>
        <v>4496.21</v>
      </c>
      <c r="F27" s="1"/>
      <c r="H27" s="2">
        <v>44116</v>
      </c>
      <c r="I27" s="1" t="s">
        <v>452</v>
      </c>
      <c r="J27" s="3"/>
      <c r="K27" s="3">
        <v>1000</v>
      </c>
      <c r="L27" s="3">
        <f t="shared" si="1"/>
        <v>4390</v>
      </c>
      <c r="M27" s="1"/>
    </row>
    <row r="28" spans="1:13">
      <c r="A28" s="11"/>
      <c r="B28" s="12"/>
      <c r="C28" s="13"/>
      <c r="D28" s="13"/>
      <c r="E28" s="13">
        <f t="shared" si="3"/>
        <v>4496.21</v>
      </c>
      <c r="F28" s="12"/>
      <c r="H28" s="2">
        <v>44120</v>
      </c>
      <c r="I28" s="1" t="s">
        <v>433</v>
      </c>
      <c r="J28" s="3">
        <v>200</v>
      </c>
      <c r="K28" s="3"/>
      <c r="L28" s="3">
        <f t="shared" si="1"/>
        <v>4190</v>
      </c>
      <c r="M28" s="1"/>
    </row>
    <row r="29" spans="1:13">
      <c r="A29" s="11"/>
      <c r="B29" s="12"/>
      <c r="C29" s="13"/>
      <c r="D29" s="13"/>
      <c r="E29" s="13">
        <f t="shared" si="3"/>
        <v>4496.21</v>
      </c>
      <c r="F29" s="70"/>
      <c r="H29" s="2">
        <v>44120</v>
      </c>
      <c r="I29" s="1" t="s">
        <v>457</v>
      </c>
      <c r="J29" s="3">
        <v>380</v>
      </c>
      <c r="K29" s="3"/>
      <c r="L29" s="3">
        <f t="shared" si="1"/>
        <v>3810</v>
      </c>
      <c r="M29" s="44"/>
    </row>
    <row r="30" spans="1:13">
      <c r="A30" s="2"/>
      <c r="B30" s="1"/>
      <c r="C30" s="3"/>
      <c r="D30" s="3"/>
      <c r="E30" s="3">
        <f t="shared" si="3"/>
        <v>4496.21</v>
      </c>
      <c r="F30" s="1"/>
      <c r="H30" s="2">
        <v>44120</v>
      </c>
      <c r="I30" s="1" t="s">
        <v>458</v>
      </c>
      <c r="J30" s="3">
        <v>250</v>
      </c>
      <c r="K30" s="3"/>
      <c r="L30" s="3">
        <f t="shared" si="1"/>
        <v>3560</v>
      </c>
      <c r="M30" s="1"/>
    </row>
    <row r="31" spans="1:13">
      <c r="A31" s="2"/>
      <c r="B31" s="1"/>
      <c r="C31" s="3"/>
      <c r="D31" s="3"/>
      <c r="E31" s="3">
        <f t="shared" si="3"/>
        <v>4496.21</v>
      </c>
      <c r="F31" s="1"/>
      <c r="H31" s="2">
        <v>44121</v>
      </c>
      <c r="I31" s="1" t="s">
        <v>459</v>
      </c>
      <c r="J31" s="3">
        <v>2400</v>
      </c>
      <c r="K31" s="3"/>
      <c r="L31" s="3">
        <f t="shared" si="1"/>
        <v>1160</v>
      </c>
      <c r="M31" s="1"/>
    </row>
    <row r="32" spans="1:13">
      <c r="A32" s="2"/>
      <c r="B32" s="1"/>
      <c r="C32" s="3"/>
      <c r="D32" s="3"/>
      <c r="E32" s="3">
        <f t="shared" si="3"/>
        <v>4496.21</v>
      </c>
      <c r="F32" s="1"/>
      <c r="H32" s="2">
        <v>44122</v>
      </c>
      <c r="I32" s="1" t="s">
        <v>460</v>
      </c>
      <c r="J32" s="3"/>
      <c r="K32" s="3">
        <v>1500</v>
      </c>
      <c r="L32" s="3">
        <f t="shared" si="1"/>
        <v>2660</v>
      </c>
      <c r="M32" s="1"/>
    </row>
    <row r="33" spans="1:14">
      <c r="A33" s="2"/>
      <c r="B33" s="6"/>
      <c r="C33" s="3"/>
      <c r="D33" s="3"/>
      <c r="E33" s="3">
        <f t="shared" si="3"/>
        <v>4496.21</v>
      </c>
      <c r="H33" s="2">
        <v>44122</v>
      </c>
      <c r="I33" s="6" t="s">
        <v>461</v>
      </c>
      <c r="J33" s="3">
        <v>1400</v>
      </c>
      <c r="K33" s="3"/>
      <c r="L33" s="3">
        <f t="shared" si="1"/>
        <v>1260</v>
      </c>
      <c r="M33" s="44"/>
    </row>
    <row r="34" spans="1:14">
      <c r="E34" s="33">
        <f t="shared" si="3"/>
        <v>4496.21</v>
      </c>
      <c r="H34" s="2">
        <v>44122</v>
      </c>
      <c r="I34" s="6" t="s">
        <v>435</v>
      </c>
      <c r="J34" s="3"/>
      <c r="K34" s="3">
        <v>10000</v>
      </c>
      <c r="L34" s="3">
        <f t="shared" si="1"/>
        <v>11260</v>
      </c>
      <c r="M34" s="1"/>
    </row>
    <row r="35" spans="1:14">
      <c r="E35" s="33">
        <f t="shared" si="3"/>
        <v>4496.21</v>
      </c>
      <c r="H35" s="2">
        <v>44122</v>
      </c>
      <c r="I35" s="1" t="s">
        <v>468</v>
      </c>
      <c r="J35" s="3"/>
      <c r="K35" s="3">
        <v>500</v>
      </c>
      <c r="L35" s="3">
        <f t="shared" si="1"/>
        <v>11760</v>
      </c>
      <c r="M35" s="44"/>
    </row>
    <row r="36" spans="1:14">
      <c r="E36" s="33">
        <f t="shared" si="3"/>
        <v>4496.21</v>
      </c>
      <c r="H36" s="2">
        <v>44123</v>
      </c>
      <c r="I36" s="1" t="s">
        <v>470</v>
      </c>
      <c r="J36" s="3">
        <v>1250</v>
      </c>
      <c r="K36" s="3"/>
      <c r="L36" s="3">
        <f t="shared" si="1"/>
        <v>10510</v>
      </c>
      <c r="M36" s="1"/>
    </row>
    <row r="37" spans="1:14">
      <c r="E37" s="33">
        <f t="shared" si="3"/>
        <v>4496.21</v>
      </c>
      <c r="H37" s="2">
        <v>44123</v>
      </c>
      <c r="I37" s="6" t="s">
        <v>471</v>
      </c>
      <c r="J37" s="3">
        <v>6000</v>
      </c>
      <c r="K37" s="3"/>
      <c r="L37" s="3">
        <f t="shared" si="1"/>
        <v>4510</v>
      </c>
      <c r="M37" s="1"/>
    </row>
    <row r="38" spans="1:14">
      <c r="E38" s="33">
        <f t="shared" si="3"/>
        <v>4496.21</v>
      </c>
      <c r="H38" s="2">
        <v>44124</v>
      </c>
      <c r="I38" s="6" t="s">
        <v>472</v>
      </c>
      <c r="J38" s="10">
        <v>210</v>
      </c>
      <c r="K38" s="1"/>
      <c r="L38" s="3">
        <f t="shared" si="1"/>
        <v>4300</v>
      </c>
      <c r="M38" s="1"/>
    </row>
    <row r="39" spans="1:14">
      <c r="H39" s="58">
        <v>44124</v>
      </c>
      <c r="I39" s="59" t="s">
        <v>473</v>
      </c>
      <c r="J39" s="60">
        <v>600</v>
      </c>
      <c r="K39" s="60"/>
      <c r="L39" s="60">
        <f t="shared" si="1"/>
        <v>3700</v>
      </c>
      <c r="M39" s="44"/>
    </row>
    <row r="40" spans="1:14">
      <c r="H40" s="2"/>
      <c r="I40" s="1" t="s">
        <v>474</v>
      </c>
      <c r="J40" s="3"/>
      <c r="K40" s="3">
        <v>600</v>
      </c>
      <c r="L40" s="3">
        <f t="shared" si="1"/>
        <v>4300</v>
      </c>
      <c r="M40" s="1"/>
    </row>
    <row r="41" spans="1:14">
      <c r="H41" s="58">
        <v>44124</v>
      </c>
      <c r="I41" s="1" t="s">
        <v>477</v>
      </c>
      <c r="J41" s="3">
        <v>1400</v>
      </c>
      <c r="K41" s="3"/>
      <c r="L41" s="3">
        <f t="shared" si="1"/>
        <v>2900</v>
      </c>
      <c r="M41" s="64"/>
    </row>
    <row r="42" spans="1:14">
      <c r="H42" s="2">
        <v>44126</v>
      </c>
      <c r="I42" s="1" t="s">
        <v>83</v>
      </c>
      <c r="J42" s="3">
        <v>1610</v>
      </c>
      <c r="K42" s="3"/>
      <c r="L42" s="3">
        <f t="shared" si="1"/>
        <v>1290</v>
      </c>
      <c r="M42" s="64"/>
    </row>
    <row r="43" spans="1:14">
      <c r="H43" s="2">
        <v>44128</v>
      </c>
      <c r="I43" s="6" t="s">
        <v>478</v>
      </c>
      <c r="J43" s="3">
        <v>860</v>
      </c>
      <c r="K43" s="3"/>
      <c r="L43" s="3">
        <f t="shared" si="1"/>
        <v>430</v>
      </c>
    </row>
    <row r="44" spans="1:14">
      <c r="H44" s="2">
        <v>44125</v>
      </c>
      <c r="I44" s="6" t="s">
        <v>480</v>
      </c>
      <c r="J44" s="3">
        <f>190+30</f>
        <v>220</v>
      </c>
      <c r="K44" s="3"/>
      <c r="L44" s="3">
        <f t="shared" si="1"/>
        <v>210</v>
      </c>
    </row>
    <row r="45" spans="1:14">
      <c r="H45" s="2">
        <v>44130</v>
      </c>
      <c r="I45" s="1" t="s">
        <v>479</v>
      </c>
      <c r="J45" s="3">
        <v>160</v>
      </c>
      <c r="K45" s="3"/>
      <c r="L45" s="3">
        <f t="shared" si="1"/>
        <v>50</v>
      </c>
    </row>
    <row r="46" spans="1:14">
      <c r="H46" s="2">
        <v>44131</v>
      </c>
      <c r="I46" s="1" t="s">
        <v>484</v>
      </c>
      <c r="J46" s="3"/>
      <c r="K46" s="3">
        <v>6000</v>
      </c>
      <c r="L46" s="3">
        <f t="shared" si="1"/>
        <v>6050</v>
      </c>
    </row>
    <row r="47" spans="1:14">
      <c r="H47" s="2">
        <v>44131</v>
      </c>
      <c r="I47" s="1" t="s">
        <v>83</v>
      </c>
      <c r="J47" s="3">
        <v>2890</v>
      </c>
      <c r="K47" s="3"/>
      <c r="L47" s="3">
        <f t="shared" si="1"/>
        <v>3160</v>
      </c>
      <c r="M47" s="83"/>
      <c r="N47" s="83"/>
    </row>
    <row r="48" spans="1:14">
      <c r="H48" s="2">
        <v>44131</v>
      </c>
      <c r="I48" s="1" t="s">
        <v>485</v>
      </c>
      <c r="J48" s="3">
        <v>200</v>
      </c>
      <c r="K48" s="3"/>
      <c r="L48" s="3">
        <f t="shared" si="1"/>
        <v>2960</v>
      </c>
    </row>
    <row r="49" spans="8:17">
      <c r="H49" s="2">
        <v>44131</v>
      </c>
      <c r="I49" s="1" t="s">
        <v>486</v>
      </c>
      <c r="J49" s="3"/>
      <c r="K49" s="3">
        <v>700</v>
      </c>
      <c r="L49" s="3">
        <f t="shared" si="1"/>
        <v>3660</v>
      </c>
      <c r="M49" s="57"/>
      <c r="P49" s="84"/>
      <c r="Q49" s="84"/>
    </row>
    <row r="50" spans="8:17">
      <c r="H50" s="2">
        <v>44133</v>
      </c>
      <c r="I50" s="1" t="s">
        <v>132</v>
      </c>
      <c r="J50" s="3">
        <v>463</v>
      </c>
      <c r="K50" s="3"/>
      <c r="L50" s="3">
        <f t="shared" si="1"/>
        <v>3197</v>
      </c>
      <c r="M50" s="83"/>
    </row>
    <row r="51" spans="8:17">
      <c r="H51" s="2">
        <v>44135</v>
      </c>
      <c r="I51" s="1" t="s">
        <v>493</v>
      </c>
      <c r="J51" s="3">
        <f>300+77</f>
        <v>377</v>
      </c>
      <c r="K51" s="3"/>
      <c r="L51" s="3">
        <f t="shared" si="1"/>
        <v>2820</v>
      </c>
    </row>
    <row r="52" spans="8:17">
      <c r="H52" s="2">
        <v>44134</v>
      </c>
      <c r="I52" s="6" t="s">
        <v>494</v>
      </c>
      <c r="J52" s="3">
        <v>220</v>
      </c>
      <c r="K52" s="3"/>
      <c r="L52" s="3">
        <f t="shared" si="1"/>
        <v>2600</v>
      </c>
    </row>
    <row r="53" spans="8:17">
      <c r="H53" s="20"/>
      <c r="I53" s="20"/>
      <c r="J53" s="49"/>
      <c r="K53" s="49"/>
      <c r="L53" s="48">
        <f t="shared" si="1"/>
        <v>2600</v>
      </c>
    </row>
    <row r="54" spans="8:17">
      <c r="H54" s="20"/>
      <c r="I54" s="20"/>
      <c r="J54" s="49"/>
      <c r="K54" s="49"/>
      <c r="L54" s="20"/>
      <c r="M54" s="41"/>
    </row>
    <row r="55" spans="8:17">
      <c r="J55" s="4"/>
      <c r="K55" s="4"/>
    </row>
    <row r="56" spans="8:17">
      <c r="J56" s="4"/>
      <c r="K56" s="4"/>
    </row>
    <row r="57" spans="8:17">
      <c r="J57" s="4"/>
      <c r="K57" s="4"/>
    </row>
    <row r="58" spans="8:17">
      <c r="J58" s="4"/>
      <c r="K58" s="4"/>
    </row>
    <row r="59" spans="8:17">
      <c r="J59" s="4"/>
      <c r="K59" s="4"/>
    </row>
    <row r="60" spans="8:17">
      <c r="J60" s="4"/>
      <c r="K60" s="4"/>
    </row>
    <row r="61" spans="8:17">
      <c r="J61" s="4"/>
      <c r="K61" s="4"/>
    </row>
    <row r="62" spans="8:17">
      <c r="J62" s="4"/>
      <c r="K62" s="4"/>
    </row>
    <row r="63" spans="8:17">
      <c r="J63" s="4"/>
      <c r="K63" s="4"/>
    </row>
    <row r="64" spans="8:17">
      <c r="J64" s="4"/>
      <c r="K64" s="4"/>
    </row>
    <row r="65" spans="10:11">
      <c r="J65" s="4"/>
      <c r="K65" s="4"/>
    </row>
    <row r="66" spans="10:11">
      <c r="J66" s="4"/>
      <c r="K66" s="4"/>
    </row>
    <row r="67" spans="10:11">
      <c r="J67" s="4"/>
      <c r="K67" s="4"/>
    </row>
    <row r="68" spans="10:11">
      <c r="J68" s="4"/>
      <c r="K68" s="4"/>
    </row>
    <row r="69" spans="10:11">
      <c r="J69" s="4"/>
      <c r="K69" s="4"/>
    </row>
    <row r="70" spans="10:11">
      <c r="J70" s="4"/>
      <c r="K70" s="4"/>
    </row>
    <row r="71" spans="10:11">
      <c r="J71" s="4"/>
      <c r="K71" s="4"/>
    </row>
    <row r="72" spans="10:11">
      <c r="J72" s="4"/>
      <c r="K72" s="4"/>
    </row>
    <row r="73" spans="10:11">
      <c r="J73" s="4"/>
      <c r="K73" s="4"/>
    </row>
    <row r="74" spans="10:11">
      <c r="J74" s="4"/>
      <c r="K74" s="4"/>
    </row>
    <row r="75" spans="10:11">
      <c r="J75" s="4"/>
      <c r="K75" s="4"/>
    </row>
    <row r="76" spans="10:11">
      <c r="J76" s="4"/>
      <c r="K76" s="4"/>
    </row>
    <row r="77" spans="10:11">
      <c r="J77" s="4"/>
      <c r="K77" s="4"/>
    </row>
    <row r="78" spans="10:11">
      <c r="J78" s="4"/>
      <c r="K78" s="4"/>
    </row>
    <row r="79" spans="10:11">
      <c r="J79" s="4"/>
      <c r="K79" s="4"/>
    </row>
    <row r="80" spans="10:11">
      <c r="J80" s="4"/>
      <c r="K80" s="4"/>
    </row>
    <row r="81" spans="10:11">
      <c r="J81" s="4"/>
      <c r="K81" s="4"/>
    </row>
    <row r="82" spans="10:11">
      <c r="J82" s="4"/>
      <c r="K82" s="4"/>
    </row>
    <row r="83" spans="10:11">
      <c r="J83" s="4"/>
      <c r="K83" s="4"/>
    </row>
    <row r="84" spans="10:11">
      <c r="J84" s="4"/>
      <c r="K84" s="4"/>
    </row>
    <row r="85" spans="10:11">
      <c r="J85" s="4"/>
      <c r="K85" s="4"/>
    </row>
    <row r="86" spans="10:11">
      <c r="J86" s="4"/>
      <c r="K86" s="4"/>
    </row>
    <row r="87" spans="10:11">
      <c r="J87" s="4"/>
      <c r="K87" s="4"/>
    </row>
    <row r="88" spans="10:11">
      <c r="J88" s="4"/>
      <c r="K88" s="4"/>
    </row>
    <row r="89" spans="10:11">
      <c r="J89" s="4"/>
      <c r="K89" s="4"/>
    </row>
    <row r="90" spans="10:11">
      <c r="J90" s="4"/>
      <c r="K90" s="4"/>
    </row>
    <row r="91" spans="10:11">
      <c r="J91" s="4"/>
      <c r="K91" s="4"/>
    </row>
    <row r="92" spans="10:11">
      <c r="J92" s="4"/>
      <c r="K92" s="4"/>
    </row>
    <row r="93" spans="10:11">
      <c r="J93" s="4"/>
      <c r="K93" s="4"/>
    </row>
    <row r="94" spans="10:11">
      <c r="J94" s="4"/>
      <c r="K94" s="4"/>
    </row>
    <row r="95" spans="10:11">
      <c r="J95" s="4"/>
      <c r="K95" s="4"/>
    </row>
    <row r="96" spans="10:11">
      <c r="J96" s="4"/>
      <c r="K96" s="4"/>
    </row>
    <row r="97" spans="10:11">
      <c r="J97" s="4"/>
      <c r="K97" s="4"/>
    </row>
    <row r="98" spans="10:11">
      <c r="J98" s="4"/>
      <c r="K98" s="4"/>
    </row>
    <row r="99" spans="10:11">
      <c r="J99" s="4"/>
      <c r="K99" s="4"/>
    </row>
    <row r="100" spans="10:11">
      <c r="J100" s="4"/>
      <c r="K100" s="4"/>
    </row>
    <row r="101" spans="10:11">
      <c r="J101" s="4"/>
      <c r="K101" s="4"/>
    </row>
    <row r="102" spans="10:11">
      <c r="J102" s="4"/>
      <c r="K102" s="4"/>
    </row>
    <row r="103" spans="10:11">
      <c r="J103" s="4"/>
      <c r="K103" s="4"/>
    </row>
    <row r="104" spans="10:11">
      <c r="J104" s="4"/>
      <c r="K104" s="4"/>
    </row>
    <row r="105" spans="10:11">
      <c r="J105" s="4"/>
      <c r="K105" s="4"/>
    </row>
    <row r="106" spans="10:11">
      <c r="J106" s="4"/>
      <c r="K106" s="4"/>
    </row>
    <row r="107" spans="10:11">
      <c r="J107" s="4"/>
      <c r="K107" s="4"/>
    </row>
    <row r="108" spans="10:11">
      <c r="J108" s="4"/>
      <c r="K108" s="4"/>
    </row>
    <row r="109" spans="10:11">
      <c r="J109" s="4"/>
      <c r="K109" s="4"/>
    </row>
    <row r="110" spans="10:11">
      <c r="J110" s="4"/>
      <c r="K110" s="4"/>
    </row>
    <row r="111" spans="10:11">
      <c r="J111" s="4"/>
      <c r="K111" s="4"/>
    </row>
    <row r="112" spans="10:11">
      <c r="J112" s="4"/>
      <c r="K112" s="4"/>
    </row>
    <row r="113" spans="10:11">
      <c r="J113" s="4"/>
      <c r="K113" s="4"/>
    </row>
    <row r="114" spans="10:11">
      <c r="J114" s="4"/>
      <c r="K114" s="4"/>
    </row>
    <row r="115" spans="10:11">
      <c r="J115" s="4"/>
      <c r="K115" s="4"/>
    </row>
    <row r="116" spans="10:11">
      <c r="J116" s="4"/>
      <c r="K116" s="4"/>
    </row>
    <row r="117" spans="10:11">
      <c r="J117" s="4"/>
      <c r="K117" s="4"/>
    </row>
    <row r="118" spans="10:11">
      <c r="J118" s="4"/>
      <c r="K118" s="4"/>
    </row>
    <row r="119" spans="10:11">
      <c r="J119" s="4"/>
      <c r="K119" s="4"/>
    </row>
    <row r="120" spans="10:11">
      <c r="J120" s="4"/>
      <c r="K120" s="4"/>
    </row>
    <row r="121" spans="10:11">
      <c r="J121" s="4"/>
      <c r="K121" s="4"/>
    </row>
    <row r="122" spans="10:11">
      <c r="J122" s="4"/>
      <c r="K122" s="4"/>
    </row>
    <row r="123" spans="10:11">
      <c r="J123" s="4"/>
      <c r="K123" s="4"/>
    </row>
    <row r="124" spans="10:11">
      <c r="J124" s="4"/>
      <c r="K124" s="4"/>
    </row>
    <row r="125" spans="10:11">
      <c r="J125" s="4"/>
      <c r="K125" s="4"/>
    </row>
    <row r="126" spans="10:11">
      <c r="J126" s="4"/>
      <c r="K126" s="4"/>
    </row>
    <row r="127" spans="10:11">
      <c r="J127" s="4"/>
      <c r="K127" s="4"/>
    </row>
    <row r="128" spans="10:11">
      <c r="J128" s="4"/>
      <c r="K128" s="4"/>
    </row>
    <row r="129" spans="10:11">
      <c r="J129" s="4"/>
      <c r="K129" s="4"/>
    </row>
    <row r="130" spans="10:11">
      <c r="J130" s="4"/>
      <c r="K130" s="4"/>
    </row>
    <row r="131" spans="10:11">
      <c r="J131" s="4"/>
      <c r="K131" s="4"/>
    </row>
    <row r="132" spans="10:11">
      <c r="J132" s="4"/>
      <c r="K132" s="4"/>
    </row>
    <row r="133" spans="10:11">
      <c r="J133" s="4"/>
      <c r="K133" s="4"/>
    </row>
    <row r="134" spans="10:11">
      <c r="J134" s="4"/>
      <c r="K134" s="4"/>
    </row>
    <row r="135" spans="10:11">
      <c r="J135" s="4"/>
      <c r="K135" s="4"/>
    </row>
    <row r="136" spans="10:11">
      <c r="J136" s="4"/>
      <c r="K136" s="4"/>
    </row>
    <row r="137" spans="10:11">
      <c r="J137" s="4"/>
      <c r="K137" s="4"/>
    </row>
    <row r="138" spans="10:11">
      <c r="J138" s="4"/>
      <c r="K138" s="4"/>
    </row>
    <row r="139" spans="10:11">
      <c r="J139" s="4"/>
      <c r="K139" s="4"/>
    </row>
    <row r="140" spans="10:11">
      <c r="J140" s="4"/>
      <c r="K140" s="4"/>
    </row>
    <row r="141" spans="10:11">
      <c r="J141" s="4"/>
      <c r="K141" s="4"/>
    </row>
    <row r="142" spans="10:11">
      <c r="J142" s="4"/>
      <c r="K142" s="4"/>
    </row>
    <row r="143" spans="10:11">
      <c r="J143" s="4"/>
      <c r="K143" s="4"/>
    </row>
    <row r="144" spans="10:11">
      <c r="J144" s="4"/>
      <c r="K144" s="4"/>
    </row>
    <row r="145" spans="10:11">
      <c r="J145" s="4"/>
      <c r="K145" s="4"/>
    </row>
    <row r="146" spans="10:11">
      <c r="J146" s="4"/>
      <c r="K146" s="4"/>
    </row>
    <row r="147" spans="10:11">
      <c r="J147" s="4"/>
      <c r="K147" s="4"/>
    </row>
    <row r="148" spans="10:11">
      <c r="J148" s="4"/>
      <c r="K148" s="4"/>
    </row>
    <row r="149" spans="10:11">
      <c r="J149" s="4"/>
      <c r="K149" s="4"/>
    </row>
    <row r="150" spans="10:11">
      <c r="J150" s="4"/>
      <c r="K150" s="4"/>
    </row>
    <row r="151" spans="10:11">
      <c r="J151" s="4"/>
      <c r="K151" s="4"/>
    </row>
    <row r="152" spans="10:11">
      <c r="J152" s="4"/>
      <c r="K152" s="4"/>
    </row>
    <row r="153" spans="10:11">
      <c r="J153" s="4"/>
      <c r="K153" s="4"/>
    </row>
    <row r="154" spans="10:11">
      <c r="J154" s="4"/>
      <c r="K154" s="4"/>
    </row>
    <row r="155" spans="10:11">
      <c r="J155" s="4"/>
      <c r="K155" s="4"/>
    </row>
    <row r="156" spans="10:11">
      <c r="J156" s="4"/>
      <c r="K156" s="4"/>
    </row>
    <row r="157" spans="10:11">
      <c r="J157" s="4"/>
      <c r="K157" s="4"/>
    </row>
    <row r="158" spans="10:11">
      <c r="J158" s="4"/>
      <c r="K158" s="4"/>
    </row>
    <row r="159" spans="10:11">
      <c r="J159" s="4"/>
      <c r="K159" s="4"/>
    </row>
    <row r="160" spans="10:11">
      <c r="J160" s="4"/>
      <c r="K160" s="4"/>
    </row>
    <row r="161" spans="10:11">
      <c r="J161" s="4"/>
      <c r="K161" s="4"/>
    </row>
  </sheetData>
  <mergeCells count="4">
    <mergeCell ref="A1:F1"/>
    <mergeCell ref="H1:M1"/>
    <mergeCell ref="B3:D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Pre-marzo 2020</vt:lpstr>
      <vt:lpstr>Marzo 2020</vt:lpstr>
      <vt:lpstr>CoVid - Abril 2020</vt:lpstr>
      <vt:lpstr>Mayo 2020</vt:lpstr>
      <vt:lpstr>Junio 2020</vt:lpstr>
      <vt:lpstr>Julio 2020</vt:lpstr>
      <vt:lpstr>Agosto 2020</vt:lpstr>
      <vt:lpstr>Septiembre 2020</vt:lpstr>
      <vt:lpstr>Octubre 2020</vt:lpstr>
      <vt:lpstr>Nov. 2020</vt:lpstr>
      <vt:lpstr>Dic. 2020</vt:lpstr>
      <vt:lpstr>Enero 2021</vt:lpstr>
      <vt:lpstr>Feb. 2021</vt:lpstr>
      <vt:lpstr>Mar. 2021</vt:lpstr>
      <vt:lpstr>Abr. 2021</vt:lpstr>
      <vt:lpstr>Mayo 2021</vt:lpstr>
      <vt:lpstr>Junio 2021</vt:lpstr>
      <vt:lpstr>Julio 2021 </vt:lpstr>
      <vt:lpstr>Agosto 2021</vt:lpstr>
      <vt:lpstr>Septiembre 2021 </vt:lpstr>
      <vt:lpstr>Octubre 2021</vt:lpstr>
      <vt:lpstr>Noviembre 2021</vt:lpstr>
      <vt:lpstr>Diciembre 2021</vt:lpstr>
      <vt:lpstr>Enero 2022</vt:lpstr>
      <vt:lpstr>02-22</vt:lpstr>
      <vt:lpstr>03-22 </vt:lpstr>
      <vt:lpstr>04-22 </vt:lpstr>
      <vt:lpstr>05-22</vt:lpstr>
      <vt:lpstr>06-22 </vt:lpstr>
      <vt:lpstr>07-22</vt:lpstr>
      <vt:lpstr>08-22</vt:lpstr>
      <vt:lpstr>09-22 </vt:lpstr>
      <vt:lpstr>10-22 </vt:lpstr>
      <vt:lpstr>11-22</vt:lpstr>
      <vt:lpstr>12-22 </vt:lpstr>
      <vt:lpstr>FIJO</vt:lpstr>
      <vt:lpstr>Gastos fijos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2019-11-01T21:17:10Z</dcterms:created>
  <dcterms:modified xsi:type="dcterms:W3CDTF">2023-01-02T03:10:20Z</dcterms:modified>
</cp:coreProperties>
</file>