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mbeddings/oleObject1.bin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5" yWindow="43" windowWidth="15198" windowHeight="9724" tabRatio="762" activeTab="3"/>
  </bookViews>
  <sheets>
    <sheet name="HIGHLIGHTS" sheetId="1" r:id="rId1"/>
    <sheet name="Profitability" sheetId="4" r:id="rId2"/>
    <sheet name="balance sheet" sheetId="5" r:id="rId3"/>
    <sheet name="Annexures" sheetId="15" r:id="rId4"/>
  </sheets>
  <calcPr calcId="124519"/>
</workbook>
</file>

<file path=xl/calcChain.xml><?xml version="1.0" encoding="utf-8"?>
<calcChain xmlns="http://schemas.openxmlformats.org/spreadsheetml/2006/main">
  <c r="A2" i="15"/>
  <c r="A1"/>
  <c r="D33" i="5"/>
  <c r="D30"/>
  <c r="D29"/>
  <c r="D31" i="4"/>
  <c r="E31" s="1"/>
  <c r="F31" s="1"/>
  <c r="G31" s="1"/>
  <c r="H31" s="1"/>
  <c r="I31" s="1"/>
  <c r="F22" i="5"/>
  <c r="G22" s="1"/>
  <c r="H22" s="1"/>
  <c r="I22" s="1"/>
  <c r="J22" s="1"/>
  <c r="E22"/>
  <c r="J12"/>
  <c r="I12"/>
  <c r="H12"/>
  <c r="G12"/>
  <c r="F12"/>
  <c r="E12"/>
  <c r="D27" i="4"/>
  <c r="E10" i="5" s="1"/>
  <c r="I25" i="4"/>
  <c r="H25"/>
  <c r="G25"/>
  <c r="F25"/>
  <c r="E25"/>
  <c r="D25"/>
  <c r="C25"/>
  <c r="I16"/>
  <c r="H16"/>
  <c r="G16"/>
  <c r="F16"/>
  <c r="E16"/>
  <c r="D16"/>
  <c r="C16"/>
  <c r="H63" i="15"/>
  <c r="G63"/>
  <c r="F63"/>
  <c r="E63"/>
  <c r="D63"/>
  <c r="C63"/>
  <c r="B63"/>
  <c r="H62"/>
  <c r="G62"/>
  <c r="F62"/>
  <c r="E62"/>
  <c r="D62"/>
  <c r="C62"/>
  <c r="B62"/>
  <c r="D61"/>
  <c r="E61" s="1"/>
  <c r="F61" s="1"/>
  <c r="G61" s="1"/>
  <c r="H61" s="1"/>
  <c r="E60"/>
  <c r="F60" s="1"/>
  <c r="G60" s="1"/>
  <c r="H60" s="1"/>
  <c r="D60"/>
  <c r="F59"/>
  <c r="G59" s="1"/>
  <c r="H59" s="1"/>
  <c r="E59"/>
  <c r="D59"/>
  <c r="D58"/>
  <c r="E58" s="1"/>
  <c r="F58" s="1"/>
  <c r="G58" s="1"/>
  <c r="H58" s="1"/>
  <c r="D57"/>
  <c r="E57" s="1"/>
  <c r="F57" s="1"/>
  <c r="G57" s="1"/>
  <c r="H57" s="1"/>
  <c r="E56"/>
  <c r="F56" s="1"/>
  <c r="G56" s="1"/>
  <c r="H56" s="1"/>
  <c r="D56"/>
  <c r="F55"/>
  <c r="G55" s="1"/>
  <c r="H55" s="1"/>
  <c r="E55"/>
  <c r="D55"/>
  <c r="D54"/>
  <c r="E54" s="1"/>
  <c r="F54" s="1"/>
  <c r="G54" s="1"/>
  <c r="H54" s="1"/>
  <c r="D53"/>
  <c r="E53" s="1"/>
  <c r="F53" s="1"/>
  <c r="G53" s="1"/>
  <c r="H53" s="1"/>
  <c r="E52"/>
  <c r="F52" s="1"/>
  <c r="G52" s="1"/>
  <c r="H52" s="1"/>
  <c r="D52"/>
  <c r="F51"/>
  <c r="G51" s="1"/>
  <c r="H51" s="1"/>
  <c r="E51"/>
  <c r="D51"/>
  <c r="D50"/>
  <c r="E50" s="1"/>
  <c r="F50" s="1"/>
  <c r="G50" s="1"/>
  <c r="H50" s="1"/>
  <c r="D49"/>
  <c r="E49" s="1"/>
  <c r="F49" s="1"/>
  <c r="G49" s="1"/>
  <c r="H49" s="1"/>
  <c r="C61"/>
  <c r="C60"/>
  <c r="C59"/>
  <c r="C58"/>
  <c r="C57"/>
  <c r="C56"/>
  <c r="C55"/>
  <c r="C54"/>
  <c r="C53"/>
  <c r="C52"/>
  <c r="C51"/>
  <c r="C50"/>
  <c r="C49"/>
  <c r="B61"/>
  <c r="B60"/>
  <c r="B58"/>
  <c r="B55"/>
  <c r="B53"/>
  <c r="B51"/>
  <c r="B50"/>
  <c r="H43"/>
  <c r="G43"/>
  <c r="F43"/>
  <c r="E43"/>
  <c r="D43"/>
  <c r="C43"/>
  <c r="B43"/>
  <c r="H42"/>
  <c r="G42"/>
  <c r="F42"/>
  <c r="E42"/>
  <c r="D42"/>
  <c r="C42"/>
  <c r="B42"/>
  <c r="E41"/>
  <c r="F41" s="1"/>
  <c r="G41" s="1"/>
  <c r="H41" s="1"/>
  <c r="E40"/>
  <c r="F40" s="1"/>
  <c r="G40" s="1"/>
  <c r="H40" s="1"/>
  <c r="E39"/>
  <c r="F39" s="1"/>
  <c r="G39" s="1"/>
  <c r="H39" s="1"/>
  <c r="E38"/>
  <c r="F38" s="1"/>
  <c r="G38" s="1"/>
  <c r="H38" s="1"/>
  <c r="E37"/>
  <c r="F37" s="1"/>
  <c r="G37" s="1"/>
  <c r="H37" s="1"/>
  <c r="E36"/>
  <c r="F36" s="1"/>
  <c r="G36" s="1"/>
  <c r="H36" s="1"/>
  <c r="E35"/>
  <c r="F35" s="1"/>
  <c r="G35" s="1"/>
  <c r="H35" s="1"/>
  <c r="E34"/>
  <c r="F34" s="1"/>
  <c r="G34" s="1"/>
  <c r="H34" s="1"/>
  <c r="E33"/>
  <c r="F33" s="1"/>
  <c r="G33" s="1"/>
  <c r="H33" s="1"/>
  <c r="E32"/>
  <c r="F32" s="1"/>
  <c r="G32" s="1"/>
  <c r="H32" s="1"/>
  <c r="E31"/>
  <c r="F31" s="1"/>
  <c r="G31" s="1"/>
  <c r="H31" s="1"/>
  <c r="E30"/>
  <c r="F30" s="1"/>
  <c r="G30" s="1"/>
  <c r="H30" s="1"/>
  <c r="E29"/>
  <c r="F29" s="1"/>
  <c r="G29" s="1"/>
  <c r="H29" s="1"/>
  <c r="E28"/>
  <c r="F28" s="1"/>
  <c r="G28" s="1"/>
  <c r="H28" s="1"/>
  <c r="D41"/>
  <c r="D40"/>
  <c r="D39"/>
  <c r="D38"/>
  <c r="D37"/>
  <c r="D36"/>
  <c r="D35"/>
  <c r="D34"/>
  <c r="D33"/>
  <c r="D32"/>
  <c r="D31"/>
  <c r="D30"/>
  <c r="D29"/>
  <c r="D28"/>
  <c r="C41"/>
  <c r="C40"/>
  <c r="C39"/>
  <c r="C38"/>
  <c r="C37"/>
  <c r="C36"/>
  <c r="C35"/>
  <c r="C34"/>
  <c r="C33"/>
  <c r="C32"/>
  <c r="C31"/>
  <c r="C29"/>
  <c r="C28"/>
  <c r="B40"/>
  <c r="B38"/>
  <c r="B36"/>
  <c r="B35"/>
  <c r="B29"/>
  <c r="C15" i="4"/>
  <c r="C22" i="15"/>
  <c r="D15" i="4" s="1"/>
  <c r="B22" i="15"/>
  <c r="F21"/>
  <c r="F22" s="1"/>
  <c r="G15" i="4" s="1"/>
  <c r="G17" s="1"/>
  <c r="C21" i="15"/>
  <c r="B21"/>
  <c r="D19"/>
  <c r="E19" s="1"/>
  <c r="F19" s="1"/>
  <c r="G19" s="1"/>
  <c r="H19" s="1"/>
  <c r="H21" s="1"/>
  <c r="H22" s="1"/>
  <c r="I15" i="4" s="1"/>
  <c r="D17" i="15"/>
  <c r="E17" s="1"/>
  <c r="F17" s="1"/>
  <c r="G17" s="1"/>
  <c r="H17" s="1"/>
  <c r="D16"/>
  <c r="E16" s="1"/>
  <c r="F16" s="1"/>
  <c r="G16" s="1"/>
  <c r="H16" s="1"/>
  <c r="D11"/>
  <c r="E11" s="1"/>
  <c r="F11" s="1"/>
  <c r="G11" s="1"/>
  <c r="H11" s="1"/>
  <c r="C20"/>
  <c r="D20" s="1"/>
  <c r="E20" s="1"/>
  <c r="F20" s="1"/>
  <c r="G20" s="1"/>
  <c r="H20" s="1"/>
  <c r="C18"/>
  <c r="D18" s="1"/>
  <c r="E18" s="1"/>
  <c r="F18" s="1"/>
  <c r="G18" s="1"/>
  <c r="H18" s="1"/>
  <c r="C17"/>
  <c r="C16"/>
  <c r="C15"/>
  <c r="D15" s="1"/>
  <c r="E15" s="1"/>
  <c r="F15" s="1"/>
  <c r="G15" s="1"/>
  <c r="H15" s="1"/>
  <c r="C14"/>
  <c r="D14" s="1"/>
  <c r="E14" s="1"/>
  <c r="F14" s="1"/>
  <c r="G14" s="1"/>
  <c r="H14" s="1"/>
  <c r="C12"/>
  <c r="D12" s="1"/>
  <c r="E12" s="1"/>
  <c r="F12" s="1"/>
  <c r="G12" s="1"/>
  <c r="H12" s="1"/>
  <c r="C11"/>
  <c r="C9"/>
  <c r="D9" s="1"/>
  <c r="E9" s="1"/>
  <c r="F9" s="1"/>
  <c r="G9" s="1"/>
  <c r="H9" s="1"/>
  <c r="C8"/>
  <c r="F10" i="5" l="1"/>
  <c r="G10" s="1"/>
  <c r="H10" s="1"/>
  <c r="I10" s="1"/>
  <c r="J10" s="1"/>
  <c r="E27" i="4"/>
  <c r="F27" s="1"/>
  <c r="G27" s="1"/>
  <c r="H27" s="1"/>
  <c r="I27" s="1"/>
  <c r="I17"/>
  <c r="D17"/>
  <c r="D21" i="15"/>
  <c r="D22" s="1"/>
  <c r="E15" i="4" s="1"/>
  <c r="E17" s="1"/>
  <c r="E21" i="15"/>
  <c r="E22" s="1"/>
  <c r="F15" i="4" s="1"/>
  <c r="F17" s="1"/>
  <c r="G21" i="15"/>
  <c r="G22" s="1"/>
  <c r="H15" i="4" s="1"/>
  <c r="H17" s="1"/>
  <c r="D8" i="15"/>
  <c r="E8" l="1"/>
  <c r="F8" l="1"/>
  <c r="G8" l="1"/>
  <c r="H8" l="1"/>
  <c r="C17" i="4" l="1"/>
  <c r="D11"/>
  <c r="E11" s="1"/>
  <c r="F11" s="1"/>
  <c r="G11" s="1"/>
  <c r="H11" s="1"/>
  <c r="I11" s="1"/>
  <c r="C9"/>
  <c r="D9" s="1"/>
  <c r="E9" s="1"/>
  <c r="F9" s="1"/>
  <c r="G9" s="1"/>
  <c r="H9" s="1"/>
  <c r="I9" s="1"/>
  <c r="J32" i="5"/>
  <c r="I32"/>
  <c r="H32"/>
  <c r="G32"/>
  <c r="F32"/>
  <c r="E32"/>
  <c r="D32"/>
  <c r="C12" i="4" l="1"/>
  <c r="D12"/>
  <c r="F12"/>
  <c r="E12"/>
  <c r="G12" l="1"/>
  <c r="E11" i="5"/>
  <c r="D15"/>
  <c r="I19" i="4"/>
  <c r="H19"/>
  <c r="G19"/>
  <c r="F19"/>
  <c r="E19"/>
  <c r="I12" l="1"/>
  <c r="H12"/>
  <c r="F11" i="5"/>
  <c r="C21" i="4"/>
  <c r="G11" i="5" l="1"/>
  <c r="C23" i="4"/>
  <c r="C26" s="1"/>
  <c r="C29" s="1"/>
  <c r="H11" i="5" l="1"/>
  <c r="D19" i="4"/>
  <c r="I11" i="5" l="1"/>
  <c r="J11" l="1"/>
  <c r="D21" i="4" l="1"/>
  <c r="E21"/>
  <c r="D23" l="1"/>
  <c r="D26" s="1"/>
  <c r="D29" s="1"/>
  <c r="E23"/>
  <c r="E26" l="1"/>
  <c r="E29" s="1"/>
  <c r="F21"/>
  <c r="F23" s="1"/>
  <c r="F26" l="1"/>
  <c r="F29" s="1"/>
  <c r="G21"/>
  <c r="G23" s="1"/>
  <c r="G26" l="1"/>
  <c r="G29" s="1"/>
  <c r="H21"/>
  <c r="H23" s="1"/>
  <c r="H26" l="1"/>
  <c r="H29" s="1"/>
  <c r="I21"/>
  <c r="I23" s="1"/>
  <c r="I26" l="1"/>
  <c r="I29" s="1"/>
  <c r="A2" i="5"/>
  <c r="A1"/>
  <c r="A2" i="4"/>
  <c r="A1"/>
  <c r="D31" i="5" l="1"/>
  <c r="E31" l="1"/>
  <c r="D33" i="4"/>
  <c r="E15" i="5"/>
  <c r="E30" l="1"/>
  <c r="F31" l="1"/>
  <c r="F15"/>
  <c r="G15" l="1"/>
  <c r="G31" l="1"/>
  <c r="H15" l="1"/>
  <c r="H31" l="1"/>
  <c r="I15" l="1"/>
  <c r="I31" l="1"/>
  <c r="J31" l="1"/>
  <c r="J15"/>
  <c r="I33" i="4" l="1"/>
  <c r="H33"/>
  <c r="G33"/>
  <c r="F33"/>
  <c r="E33"/>
  <c r="C33"/>
  <c r="F30" i="5" l="1"/>
  <c r="J30"/>
  <c r="I30"/>
  <c r="H30"/>
  <c r="G30"/>
  <c r="D34"/>
  <c r="E29" l="1"/>
  <c r="E34" s="1"/>
  <c r="D23"/>
  <c r="D25" s="1"/>
  <c r="E18" l="1"/>
  <c r="E23" s="1"/>
  <c r="E25" s="1"/>
  <c r="F29"/>
  <c r="F34" s="1"/>
  <c r="F18" l="1"/>
  <c r="F23" s="1"/>
  <c r="F25" s="1"/>
  <c r="G29"/>
  <c r="G34" s="1"/>
  <c r="H29" l="1"/>
  <c r="H34" s="1"/>
  <c r="G18"/>
  <c r="G23" s="1"/>
  <c r="G25" s="1"/>
  <c r="H18" l="1"/>
  <c r="H23" s="1"/>
  <c r="H25" s="1"/>
  <c r="I29"/>
  <c r="I34" s="1"/>
  <c r="J29" l="1"/>
  <c r="J34" s="1"/>
  <c r="I18"/>
  <c r="I23" s="1"/>
  <c r="I25" s="1"/>
  <c r="J18" l="1"/>
  <c r="J23" s="1"/>
  <c r="J25" s="1"/>
</calcChain>
</file>

<file path=xl/sharedStrings.xml><?xml version="1.0" encoding="utf-8"?>
<sst xmlns="http://schemas.openxmlformats.org/spreadsheetml/2006/main" count="125" uniqueCount="115">
  <si>
    <t>Particulars</t>
  </si>
  <si>
    <t>Profitability Statement</t>
  </si>
  <si>
    <t>Rs. In Lacs</t>
  </si>
  <si>
    <t>PROJECTED BALANCE SHEET</t>
  </si>
  <si>
    <t>PARTICULARS</t>
  </si>
  <si>
    <t>ASSETS    :-</t>
  </si>
  <si>
    <t>LIABILITIES :-</t>
  </si>
  <si>
    <t>YEAR</t>
  </si>
  <si>
    <t>TOTAL</t>
  </si>
  <si>
    <t>LESS:-</t>
  </si>
  <si>
    <t>YEARS</t>
  </si>
  <si>
    <t>Add : Opening Stock</t>
  </si>
  <si>
    <t>Less : Closing Stock</t>
  </si>
  <si>
    <t>Less :</t>
  </si>
  <si>
    <t>Partner Salary</t>
  </si>
  <si>
    <t>Profit Available to Partners</t>
  </si>
  <si>
    <t>Gross Profit</t>
  </si>
  <si>
    <t>Total Direct Cost</t>
  </si>
  <si>
    <t>Total Income</t>
  </si>
  <si>
    <t>PBDIT</t>
  </si>
  <si>
    <t>Sundry Debtors</t>
  </si>
  <si>
    <t>Cash/Bank</t>
  </si>
  <si>
    <t>Partners Capital Account</t>
  </si>
  <si>
    <t>Opening Balance</t>
  </si>
  <si>
    <t>Closing Balance</t>
  </si>
  <si>
    <t>Add : Net Profit</t>
  </si>
  <si>
    <t>Capital Induced/(Withdrawn)</t>
  </si>
  <si>
    <t>Add : Partner Salary</t>
  </si>
  <si>
    <t>Add : Partner Int on Capital</t>
  </si>
  <si>
    <t>Avg Interest on Partner Capital</t>
  </si>
  <si>
    <t>Other Current Liabilities</t>
  </si>
  <si>
    <t>M/S GAYATRI STEEL</t>
  </si>
  <si>
    <t>E-515, MIA, IIND PHASE</t>
  </si>
  <si>
    <t>BASNI,JODHPUR</t>
  </si>
  <si>
    <t>BASNI, JODHPUR</t>
  </si>
  <si>
    <t>Gross Sales</t>
  </si>
  <si>
    <t>2018
Actuals</t>
  </si>
  <si>
    <t>Job Work Receipts</t>
  </si>
  <si>
    <t xml:space="preserve">Other Income </t>
  </si>
  <si>
    <t>Cost Of Production</t>
  </si>
  <si>
    <t>Financial Exp</t>
  </si>
  <si>
    <t>Material, Stores &amp; Spares (Ann-A)</t>
  </si>
  <si>
    <t xml:space="preserve">DESCRIPTION </t>
  </si>
  <si>
    <t>Machinery Spares</t>
  </si>
  <si>
    <t>Consumable Goods</t>
  </si>
  <si>
    <t>Furnance Oil &amp; C B F S</t>
  </si>
  <si>
    <t>Oil &amp; Lubricants</t>
  </si>
  <si>
    <t>Consumable Tools</t>
  </si>
  <si>
    <t>Hot Mill Rolls</t>
  </si>
  <si>
    <t>S.S.Flat A/C</t>
  </si>
  <si>
    <t>Packing Material</t>
  </si>
  <si>
    <t>S.S. Circle GST18%</t>
  </si>
  <si>
    <t>S.S. Scrap</t>
  </si>
  <si>
    <t>S.S. Utensils (GST12%)</t>
  </si>
  <si>
    <t>S.S. Sheet</t>
  </si>
  <si>
    <t>S.S. Utensils (VAT 1%)</t>
  </si>
  <si>
    <t>CONSUMPTION OF STORES AND SPARES   (Ann-A)</t>
  </si>
  <si>
    <t>(Fig in Lacs)</t>
  </si>
  <si>
    <t>Bonus</t>
  </si>
  <si>
    <t>Machinery Repairs</t>
  </si>
  <si>
    <t>Electricity and Power Expenses</t>
  </si>
  <si>
    <t>Factory Repairs</t>
  </si>
  <si>
    <t>Diesel</t>
  </si>
  <si>
    <t>Pollution Control Expenses</t>
  </si>
  <si>
    <t>Labour Welfare</t>
  </si>
  <si>
    <t xml:space="preserve">Freight  </t>
  </si>
  <si>
    <t>Outside Job Work</t>
  </si>
  <si>
    <t>Carriage Inward</t>
  </si>
  <si>
    <t>Roll Machining Charges</t>
  </si>
  <si>
    <t>Light And Water Exp</t>
  </si>
  <si>
    <t>ESI &amp; PF</t>
  </si>
  <si>
    <t>Direct Wages</t>
  </si>
  <si>
    <t>Audit Fees</t>
  </si>
  <si>
    <t xml:space="preserve">Fee &amp; Subscription </t>
  </si>
  <si>
    <t xml:space="preserve">Insurance Premium </t>
  </si>
  <si>
    <t>Consultation Charges</t>
  </si>
  <si>
    <t>Postage Expenses</t>
  </si>
  <si>
    <t>Computer Expenses</t>
  </si>
  <si>
    <t xml:space="preserve">Printing &amp; Stationery </t>
  </si>
  <si>
    <t>Salaries</t>
  </si>
  <si>
    <t>Sundry Expenses</t>
  </si>
  <si>
    <t>Office Expenses</t>
  </si>
  <si>
    <t>Legal Expenses</t>
  </si>
  <si>
    <t>Telephone Expenses</t>
  </si>
  <si>
    <t>Vehicle Expenses</t>
  </si>
  <si>
    <t>FACTORY OVERHEADS   (Ann-B)</t>
  </si>
  <si>
    <t>ADMINISTRATIVE EXPENSES (Ann-C)</t>
  </si>
  <si>
    <t>Factory Overhead (Ann-B)</t>
  </si>
  <si>
    <t xml:space="preserve">Depriciation </t>
  </si>
  <si>
    <t>Fixed Assets</t>
  </si>
  <si>
    <t>Closing Stock</t>
  </si>
  <si>
    <t>Term Loan From SIDBI</t>
  </si>
  <si>
    <t>Working Capital Loan from SIDBI</t>
  </si>
  <si>
    <t>Loans &amp; Advances</t>
  </si>
  <si>
    <t>Unsecured Loans</t>
  </si>
  <si>
    <t>Net Profit</t>
  </si>
  <si>
    <t>GROSS REVENUE</t>
  </si>
  <si>
    <t>Administrative Exp. (Ann-C)</t>
  </si>
  <si>
    <t>Cost Of Productions</t>
  </si>
  <si>
    <t>HIGHLIGHTS OF THE UNIT</t>
  </si>
  <si>
    <t>Name of the Unit</t>
  </si>
  <si>
    <t>Registered Office</t>
  </si>
  <si>
    <t>Constitution</t>
  </si>
  <si>
    <t xml:space="preserve">Partner </t>
  </si>
  <si>
    <t>Nature of Activity</t>
  </si>
  <si>
    <t>Installed Capacity</t>
  </si>
  <si>
    <t>M/s Gayatri Steel</t>
  </si>
  <si>
    <t>410, Vyapar Bhawan, P.D. Mello Road, Mumbai</t>
  </si>
  <si>
    <t>Works Office</t>
  </si>
  <si>
    <t>E-515, MIA, IInd Phase, Basni, Jodhpur</t>
  </si>
  <si>
    <t>Partnership</t>
  </si>
  <si>
    <t>Mr Chetan Singh Parihar (60%)</t>
  </si>
  <si>
    <t>Mr Akshit Parihar (40%)</t>
  </si>
  <si>
    <t>Date Of Establishment</t>
  </si>
  <si>
    <t>Avg. Capacity Utilisation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</si>
</sst>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.00_);_(* \(#,##0.00\);_(* \-??_);_(@_)"/>
    <numFmt numFmtId="165" formatCode="0.000"/>
    <numFmt numFmtId="166" formatCode="0.00;[Red]0.00"/>
  </numFmts>
  <fonts count="15">
    <font>
      <sz val="10"/>
      <name val="Arial"/>
    </font>
    <font>
      <sz val="10"/>
      <name val="Arial"/>
    </font>
    <font>
      <sz val="8"/>
      <name val="Arial"/>
    </font>
    <font>
      <sz val="12"/>
      <name val="Arial"/>
      <family val="2"/>
    </font>
    <font>
      <b/>
      <sz val="12"/>
      <name val="Bookman Old Style"/>
      <family val="1"/>
    </font>
    <font>
      <sz val="12"/>
      <name val="Bookman Old Style"/>
      <family val="1"/>
    </font>
    <font>
      <sz val="11"/>
      <name val="Bookman Old Style"/>
      <family val="1"/>
    </font>
    <font>
      <b/>
      <sz val="11"/>
      <name val="Bookman Old Style"/>
      <family val="1"/>
    </font>
    <font>
      <sz val="11"/>
      <name val="Arial"/>
      <family val="2"/>
    </font>
    <font>
      <b/>
      <u/>
      <sz val="11"/>
      <name val="Bookman Old Style"/>
      <family val="1"/>
    </font>
    <font>
      <b/>
      <u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 applyAlignment="1"/>
    <xf numFmtId="0" fontId="3" fillId="0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4" xfId="0" applyFont="1" applyBorder="1"/>
    <xf numFmtId="0" fontId="8" fillId="0" borderId="0" xfId="0" applyFont="1"/>
    <xf numFmtId="0" fontId="9" fillId="0" borderId="0" xfId="0" applyFont="1"/>
    <xf numFmtId="0" fontId="7" fillId="0" borderId="1" xfId="0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2" fontId="6" fillId="0" borderId="0" xfId="0" applyNumberFormat="1" applyFont="1"/>
    <xf numFmtId="2" fontId="6" fillId="0" borderId="1" xfId="0" applyNumberFormat="1" applyFont="1" applyBorder="1"/>
    <xf numFmtId="2" fontId="6" fillId="0" borderId="5" xfId="0" applyNumberFormat="1" applyFont="1" applyBorder="1"/>
    <xf numFmtId="2" fontId="6" fillId="0" borderId="2" xfId="0" applyNumberFormat="1" applyFont="1" applyBorder="1"/>
    <xf numFmtId="2" fontId="6" fillId="0" borderId="0" xfId="0" applyNumberFormat="1" applyFont="1" applyBorder="1"/>
    <xf numFmtId="2" fontId="7" fillId="0" borderId="3" xfId="0" applyNumberFormat="1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4" xfId="0" applyFont="1" applyBorder="1"/>
    <xf numFmtId="0" fontId="7" fillId="0" borderId="0" xfId="0" applyFont="1" applyAlignment="1">
      <alignment horizontal="center"/>
    </xf>
    <xf numFmtId="0" fontId="6" fillId="0" borderId="0" xfId="0" applyFont="1" applyFill="1"/>
    <xf numFmtId="2" fontId="6" fillId="2" borderId="0" xfId="0" applyNumberFormat="1" applyFont="1" applyFill="1"/>
    <xf numFmtId="0" fontId="7" fillId="0" borderId="0" xfId="0" applyFont="1" applyFill="1"/>
    <xf numFmtId="2" fontId="6" fillId="0" borderId="0" xfId="0" applyNumberFormat="1" applyFont="1" applyFill="1"/>
    <xf numFmtId="2" fontId="3" fillId="0" borderId="0" xfId="0" applyNumberFormat="1" applyFont="1"/>
    <xf numFmtId="2" fontId="6" fillId="0" borderId="0" xfId="0" applyNumberFormat="1" applyFont="1" applyFill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0" fillId="0" borderId="0" xfId="0" applyFont="1" applyFill="1"/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3" fillId="0" borderId="4" xfId="0" applyFont="1" applyFill="1" applyBorder="1"/>
    <xf numFmtId="2" fontId="8" fillId="0" borderId="4" xfId="0" applyNumberFormat="1" applyFont="1" applyFill="1" applyBorder="1"/>
    <xf numFmtId="164" fontId="13" fillId="0" borderId="4" xfId="1" applyNumberFormat="1" applyFont="1" applyFill="1" applyBorder="1" applyAlignment="1" applyProtection="1"/>
    <xf numFmtId="0" fontId="14" fillId="0" borderId="4" xfId="0" applyFont="1" applyFill="1" applyBorder="1"/>
    <xf numFmtId="165" fontId="11" fillId="0" borderId="4" xfId="0" applyNumberFormat="1" applyFont="1" applyBorder="1"/>
    <xf numFmtId="0" fontId="8" fillId="0" borderId="4" xfId="0" applyFont="1" applyFill="1" applyBorder="1"/>
    <xf numFmtId="2" fontId="8" fillId="0" borderId="4" xfId="0" applyNumberFormat="1" applyFont="1" applyFill="1" applyBorder="1" applyAlignment="1">
      <alignment horizontal="right"/>
    </xf>
    <xf numFmtId="166" fontId="8" fillId="0" borderId="4" xfId="0" applyNumberFormat="1" applyFont="1" applyFill="1" applyBorder="1"/>
    <xf numFmtId="0" fontId="0" fillId="0" borderId="4" xfId="0" applyBorder="1"/>
    <xf numFmtId="2" fontId="11" fillId="0" borderId="4" xfId="0" applyNumberFormat="1" applyFont="1" applyBorder="1"/>
    <xf numFmtId="0" fontId="11" fillId="0" borderId="4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6" fontId="11" fillId="0" borderId="4" xfId="0" applyNumberFormat="1" applyFont="1" applyBorder="1"/>
    <xf numFmtId="0" fontId="7" fillId="0" borderId="0" xfId="0" applyFont="1" applyBorder="1" applyAlignment="1">
      <alignment horizontal="center" wrapText="1"/>
    </xf>
    <xf numFmtId="0" fontId="9" fillId="0" borderId="0" xfId="0" applyFont="1" applyBorder="1"/>
    <xf numFmtId="2" fontId="7" fillId="0" borderId="0" xfId="0" applyNumberFormat="1" applyFont="1" applyBorder="1"/>
    <xf numFmtId="0" fontId="7" fillId="0" borderId="0" xfId="0" applyFont="1" applyBorder="1" applyAlignment="1">
      <alignment horizontal="right"/>
    </xf>
    <xf numFmtId="0" fontId="5" fillId="0" borderId="0" xfId="0" applyFont="1" applyBorder="1"/>
    <xf numFmtId="2" fontId="6" fillId="0" borderId="0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8" fillId="0" borderId="0" xfId="0" applyFont="1" applyBorder="1"/>
    <xf numFmtId="0" fontId="0" fillId="0" borderId="0" xfId="0" applyBorder="1"/>
    <xf numFmtId="0" fontId="9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0" fontId="6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3" Type="http://schemas.openxmlformats.org/officeDocument/2006/relationships/vmlDrawing" Target="../drawings/vmlDrawing1.vml"/><Relationship Id="rId2" Type="http://schemas.openxmlformats.org/officeDocument/2006/relationships/oleObject" Target="../embeddings/oleObject1.bin"/></Relationships>
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C18" sqref="C18"/>
    </sheetView>
  </sheetViews>
  <sheetFormatPr defaultRowHeight="13.55"/>
  <cols>
    <col min="1" max="1" width="9.125" style="9"/>
    <col min="2" max="2" width="31.375" style="9" customWidth="1"/>
    <col min="3" max="3" width="46.25" style="9" bestFit="1" customWidth="1"/>
    <col min="4" max="4" width="11.125" style="9" customWidth="1"/>
    <col min="5" max="5" width="32" style="9" customWidth="1"/>
    <col min="7" max="7" width="16" customWidth="1"/>
    <col min="8" max="8" width="9.25" bestFit="1" customWidth="1"/>
    <col min="9" max="9" width="9.25" customWidth="1"/>
    <col min="10" max="10" width="9.25" bestFit="1" customWidth="1"/>
    <col min="11" max="11" width="13.625" customWidth="1"/>
  </cols>
  <sheetData>
    <row r="1" spans="1:12" ht="15.7">
      <c r="A1" s="63" t="s">
        <v>31</v>
      </c>
      <c r="B1" s="63"/>
      <c r="C1" s="63"/>
      <c r="D1" s="63"/>
      <c r="E1" s="63"/>
      <c r="F1" s="3"/>
    </row>
    <row r="2" spans="1:12" ht="15.7">
      <c r="A2" s="63" t="s">
        <v>32</v>
      </c>
      <c r="B2" s="63"/>
      <c r="C2" s="63"/>
      <c r="D2" s="63"/>
      <c r="E2" s="63"/>
      <c r="F2" s="3"/>
    </row>
    <row r="3" spans="1:12" ht="15.7">
      <c r="A3" s="63" t="s">
        <v>33</v>
      </c>
      <c r="B3" s="63"/>
      <c r="C3" s="63"/>
      <c r="D3" s="63"/>
      <c r="E3" s="63"/>
      <c r="F3" s="2"/>
    </row>
    <row r="4" spans="1:12" ht="15.7">
      <c r="A4" s="27"/>
      <c r="B4" s="25"/>
      <c r="C4" s="25"/>
      <c r="D4" s="25"/>
      <c r="E4" s="25"/>
      <c r="F4" s="2"/>
    </row>
    <row r="5" spans="1:12" ht="15.7">
      <c r="A5" s="62" t="s">
        <v>99</v>
      </c>
      <c r="B5" s="62"/>
      <c r="C5" s="62"/>
      <c r="D5" s="62"/>
      <c r="E5" s="62"/>
      <c r="F5" s="3"/>
    </row>
    <row r="6" spans="1:12" ht="15.7">
      <c r="A6" s="33"/>
      <c r="B6" s="33"/>
      <c r="C6" s="24"/>
      <c r="D6" s="24"/>
      <c r="E6" s="24"/>
      <c r="F6" s="3"/>
    </row>
    <row r="7" spans="1:12" ht="15.7">
      <c r="A7" s="23">
        <v>1</v>
      </c>
      <c r="B7" s="23" t="s">
        <v>100</v>
      </c>
      <c r="C7" s="23" t="s">
        <v>106</v>
      </c>
      <c r="D7" s="5"/>
      <c r="E7" s="5"/>
      <c r="F7" s="2"/>
    </row>
    <row r="8" spans="1:12" ht="15.7">
      <c r="A8" s="23">
        <v>2</v>
      </c>
      <c r="B8" s="23" t="s">
        <v>101</v>
      </c>
      <c r="C8" s="23" t="s">
        <v>107</v>
      </c>
      <c r="D8" s="22"/>
      <c r="E8" s="56"/>
      <c r="F8" s="57"/>
    </row>
    <row r="9" spans="1:12" ht="15.7">
      <c r="A9" s="23">
        <v>3</v>
      </c>
      <c r="B9" s="23" t="s">
        <v>108</v>
      </c>
      <c r="C9" s="23" t="s">
        <v>109</v>
      </c>
      <c r="D9" s="22"/>
      <c r="E9" s="56"/>
      <c r="F9" s="57"/>
    </row>
    <row r="10" spans="1:12" ht="15.7">
      <c r="A10" s="23">
        <v>4</v>
      </c>
      <c r="B10" s="23" t="s">
        <v>102</v>
      </c>
      <c r="C10" s="23" t="s">
        <v>110</v>
      </c>
      <c r="D10" s="22"/>
      <c r="E10" s="58"/>
      <c r="F10" s="57"/>
      <c r="L10" s="5"/>
    </row>
    <row r="11" spans="1:12" ht="15.7">
      <c r="A11" s="23">
        <v>5</v>
      </c>
      <c r="B11" s="23" t="s">
        <v>113</v>
      </c>
      <c r="C11" s="23"/>
      <c r="D11" s="22"/>
      <c r="E11" s="58"/>
      <c r="F11" s="57"/>
      <c r="L11" s="5"/>
    </row>
    <row r="12" spans="1:12" ht="15.7">
      <c r="A12" s="23">
        <v>6</v>
      </c>
      <c r="B12" s="23" t="s">
        <v>103</v>
      </c>
      <c r="C12" s="23" t="s">
        <v>111</v>
      </c>
      <c r="D12" s="22"/>
      <c r="E12" s="58"/>
      <c r="F12" s="57"/>
      <c r="L12" s="5"/>
    </row>
    <row r="13" spans="1:12" ht="15.7">
      <c r="A13" s="23"/>
      <c r="B13" s="23"/>
      <c r="C13" s="23" t="s">
        <v>112</v>
      </c>
      <c r="D13" s="22"/>
      <c r="E13" s="58"/>
      <c r="F13" s="57"/>
      <c r="L13" s="5"/>
    </row>
    <row r="14" spans="1:12" ht="15.7">
      <c r="A14" s="23">
        <v>8</v>
      </c>
      <c r="B14" s="23" t="s">
        <v>104</v>
      </c>
      <c r="C14" s="23"/>
      <c r="D14" s="22"/>
      <c r="E14" s="58"/>
      <c r="F14" s="57"/>
      <c r="L14" s="5"/>
    </row>
    <row r="15" spans="1:12" ht="15.7">
      <c r="A15" s="23">
        <v>9</v>
      </c>
      <c r="B15" s="23" t="s">
        <v>105</v>
      </c>
      <c r="C15" s="8"/>
      <c r="D15" s="22"/>
      <c r="E15" s="59"/>
      <c r="F15" s="57"/>
    </row>
    <row r="16" spans="1:12" ht="15.7">
      <c r="A16" s="23">
        <v>10</v>
      </c>
      <c r="B16" s="23" t="s">
        <v>114</v>
      </c>
      <c r="C16" s="23"/>
      <c r="D16" s="22"/>
      <c r="E16" s="18"/>
      <c r="F16" s="57"/>
    </row>
    <row r="17" spans="1:6" ht="15.7">
      <c r="A17" s="22"/>
      <c r="B17" s="22"/>
      <c r="C17" s="22"/>
      <c r="D17" s="22"/>
      <c r="E17" s="18"/>
      <c r="F17" s="57"/>
    </row>
    <row r="18" spans="1:6" ht="15.7">
      <c r="A18" s="54"/>
      <c r="B18" s="22"/>
      <c r="C18" s="22"/>
      <c r="D18" s="22"/>
      <c r="E18" s="18"/>
      <c r="F18" s="57"/>
    </row>
    <row r="19" spans="1:6" ht="15.7">
      <c r="A19" s="22"/>
      <c r="B19" s="22"/>
      <c r="C19" s="22"/>
      <c r="D19" s="22"/>
      <c r="E19" s="30"/>
      <c r="F19" s="57"/>
    </row>
    <row r="20" spans="1:6" ht="15.7">
      <c r="A20" s="22"/>
      <c r="B20" s="22"/>
      <c r="C20" s="22"/>
      <c r="D20" s="22"/>
      <c r="E20" s="18"/>
      <c r="F20" s="57"/>
    </row>
    <row r="21" spans="1:6" ht="15.7">
      <c r="A21" s="22"/>
      <c r="B21" s="22"/>
      <c r="C21" s="21"/>
      <c r="D21" s="22"/>
      <c r="E21" s="55"/>
      <c r="F21" s="57"/>
    </row>
    <row r="22" spans="1:6" ht="15.7">
      <c r="A22" s="22"/>
      <c r="B22" s="22"/>
      <c r="C22" s="22"/>
      <c r="D22" s="22"/>
      <c r="E22" s="22"/>
      <c r="F22" s="57"/>
    </row>
    <row r="23" spans="1:6" ht="15.7">
      <c r="A23" s="22"/>
      <c r="B23" s="22"/>
      <c r="C23" s="22"/>
      <c r="D23" s="22"/>
      <c r="E23" s="22"/>
      <c r="F23" s="57"/>
    </row>
    <row r="24" spans="1:6">
      <c r="A24" s="60"/>
      <c r="B24" s="60"/>
      <c r="C24" s="60"/>
      <c r="D24" s="60"/>
      <c r="E24" s="60"/>
      <c r="F24" s="61"/>
    </row>
    <row r="25" spans="1:6">
      <c r="A25" s="60"/>
      <c r="B25" s="60"/>
      <c r="C25" s="60"/>
      <c r="D25" s="60"/>
      <c r="E25" s="60"/>
      <c r="F25" s="61"/>
    </row>
    <row r="26" spans="1:6">
      <c r="A26" s="60"/>
      <c r="B26" s="60"/>
      <c r="C26" s="60"/>
      <c r="D26" s="60"/>
      <c r="E26" s="60"/>
      <c r="F26" s="61"/>
    </row>
    <row r="27" spans="1:6">
      <c r="A27" s="60"/>
      <c r="B27" s="60"/>
      <c r="C27" s="60"/>
      <c r="D27" s="60"/>
      <c r="E27" s="60"/>
      <c r="F27" s="61"/>
    </row>
  </sheetData>
  <mergeCells count="4">
    <mergeCell ref="A5:E5"/>
    <mergeCell ref="A1:E1"/>
    <mergeCell ref="A2:E2"/>
    <mergeCell ref="A3:E3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3"/>
  <oleObjects>
    <oleObject progId="c8nOOjXmbB6Y4hCiZOjWEVIEysnJGYGgDs" shapeId="1633" r:id="rId2" autoLoad="true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L10" sqref="L10"/>
    </sheetView>
  </sheetViews>
  <sheetFormatPr defaultColWidth="9.125" defaultRowHeight="15.7"/>
  <cols>
    <col min="1" max="1" width="9.125" style="9"/>
    <col min="2" max="2" width="26.875" style="9" customWidth="1"/>
    <col min="3" max="3" width="10.25" style="9" customWidth="1"/>
    <col min="4" max="4" width="11.25" style="9" customWidth="1"/>
    <col min="5" max="5" width="11.5" style="9" customWidth="1"/>
    <col min="6" max="6" width="11" style="9" customWidth="1"/>
    <col min="7" max="7" width="10" style="9" customWidth="1"/>
    <col min="8" max="8" width="9.75" style="9" bestFit="1" customWidth="1"/>
    <col min="9" max="9" width="11.875" style="9" customWidth="1"/>
    <col min="10" max="11" width="9.125" style="1"/>
    <col min="12" max="12" width="11.625" style="1" bestFit="1" customWidth="1"/>
    <col min="13" max="16384" width="9.125" style="1"/>
  </cols>
  <sheetData>
    <row r="1" spans="1:9" s="4" customFormat="1">
      <c r="A1" s="63" t="str">
        <f>+HIGHLIGHTS!A1</f>
        <v>M/S GAYATRI STEEL</v>
      </c>
      <c r="B1" s="63"/>
      <c r="C1" s="63"/>
      <c r="D1" s="63"/>
      <c r="E1" s="63"/>
      <c r="F1" s="63"/>
      <c r="G1" s="63"/>
      <c r="H1" s="63"/>
      <c r="I1" s="63"/>
    </row>
    <row r="2" spans="1:9" s="4" customFormat="1">
      <c r="A2" s="63" t="str">
        <f>+HIGHLIGHTS!A2</f>
        <v>E-515, MIA, IIND PHASE</v>
      </c>
      <c r="B2" s="63"/>
      <c r="C2" s="63"/>
      <c r="D2" s="63"/>
      <c r="E2" s="63"/>
      <c r="F2" s="63"/>
      <c r="G2" s="63"/>
      <c r="H2" s="63"/>
      <c r="I2" s="63"/>
    </row>
    <row r="3" spans="1:9" s="4" customFormat="1">
      <c r="A3" s="63" t="s">
        <v>33</v>
      </c>
      <c r="B3" s="63"/>
      <c r="C3" s="63"/>
      <c r="D3" s="63"/>
      <c r="E3" s="63"/>
      <c r="F3" s="63"/>
      <c r="G3" s="63"/>
      <c r="H3" s="63"/>
      <c r="I3" s="63"/>
    </row>
    <row r="4" spans="1:9">
      <c r="A4" s="5"/>
      <c r="B4" s="5"/>
      <c r="C4" s="5"/>
      <c r="D4" s="5"/>
      <c r="E4" s="5"/>
      <c r="F4" s="5"/>
      <c r="G4" s="5"/>
      <c r="H4" s="5"/>
      <c r="I4" s="5"/>
    </row>
    <row r="5" spans="1:9">
      <c r="A5" s="10" t="s">
        <v>1</v>
      </c>
      <c r="B5" s="6"/>
      <c r="C5" s="6"/>
      <c r="D5" s="6"/>
      <c r="E5" s="5"/>
      <c r="F5" s="6"/>
      <c r="G5" s="6" t="s">
        <v>2</v>
      </c>
      <c r="H5" s="5"/>
    </row>
    <row r="6" spans="1:9">
      <c r="A6" s="5"/>
      <c r="B6" s="5"/>
      <c r="C6" s="5"/>
      <c r="D6" s="5"/>
      <c r="E6" s="6" t="s">
        <v>10</v>
      </c>
      <c r="F6" s="5"/>
      <c r="G6" s="5"/>
      <c r="H6" s="5"/>
    </row>
    <row r="7" spans="1:9" ht="28.55">
      <c r="A7" s="11" t="s">
        <v>0</v>
      </c>
      <c r="B7" s="12"/>
      <c r="C7" s="34" t="s">
        <v>36</v>
      </c>
      <c r="D7" s="13">
        <v>2019</v>
      </c>
      <c r="E7" s="13">
        <v>2020</v>
      </c>
      <c r="F7" s="13">
        <v>2021</v>
      </c>
      <c r="G7" s="13">
        <v>2022</v>
      </c>
      <c r="H7" s="13">
        <v>2023</v>
      </c>
      <c r="I7" s="13">
        <v>2024</v>
      </c>
    </row>
    <row r="8" spans="1:9">
      <c r="A8" s="54" t="s">
        <v>96</v>
      </c>
      <c r="B8" s="22"/>
      <c r="C8" s="53"/>
      <c r="D8" s="20"/>
      <c r="E8" s="20"/>
      <c r="F8" s="20"/>
      <c r="G8" s="20"/>
      <c r="H8" s="20"/>
      <c r="I8" s="20"/>
    </row>
    <row r="9" spans="1:9">
      <c r="A9" s="5" t="s">
        <v>35</v>
      </c>
      <c r="B9" s="5"/>
      <c r="C9" s="14">
        <f>2324.1-43.73</f>
        <v>2280.37</v>
      </c>
      <c r="D9" s="14">
        <f>+C9*110%</f>
        <v>2508.4070000000002</v>
      </c>
      <c r="E9" s="14">
        <f t="shared" ref="E9:I9" si="0">+D9*110%</f>
        <v>2759.2477000000003</v>
      </c>
      <c r="F9" s="14">
        <f t="shared" si="0"/>
        <v>3035.1724700000004</v>
      </c>
      <c r="G9" s="14">
        <f t="shared" si="0"/>
        <v>3338.6897170000007</v>
      </c>
      <c r="H9" s="14">
        <f t="shared" si="0"/>
        <v>3672.5586887000009</v>
      </c>
      <c r="I9" s="14">
        <f t="shared" si="0"/>
        <v>4039.8145575700014</v>
      </c>
    </row>
    <row r="10" spans="1:9">
      <c r="A10" s="5" t="s">
        <v>37</v>
      </c>
      <c r="B10" s="5"/>
      <c r="C10" s="14">
        <v>43.73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</row>
    <row r="11" spans="1:9">
      <c r="A11" s="5" t="s">
        <v>38</v>
      </c>
      <c r="B11" s="5"/>
      <c r="C11" s="14">
        <v>0.96</v>
      </c>
      <c r="D11" s="14">
        <f>+C11*105%</f>
        <v>1.008</v>
      </c>
      <c r="E11" s="14">
        <f t="shared" ref="E11:I11" si="1">+D11*105%</f>
        <v>1.0584</v>
      </c>
      <c r="F11" s="14">
        <f t="shared" si="1"/>
        <v>1.1113200000000001</v>
      </c>
      <c r="G11" s="14">
        <f t="shared" si="1"/>
        <v>1.1668860000000001</v>
      </c>
      <c r="H11" s="14">
        <f t="shared" si="1"/>
        <v>1.2252303000000002</v>
      </c>
      <c r="I11" s="14">
        <f t="shared" si="1"/>
        <v>1.2864918150000002</v>
      </c>
    </row>
    <row r="12" spans="1:9">
      <c r="A12" s="5"/>
      <c r="B12" s="6" t="s">
        <v>18</v>
      </c>
      <c r="C12" s="15">
        <f>SUM(C9:C11)</f>
        <v>2325.06</v>
      </c>
      <c r="D12" s="15">
        <f t="shared" ref="D12:I12" si="2">SUM(D9:D11)</f>
        <v>2509.415</v>
      </c>
      <c r="E12" s="15">
        <f t="shared" si="2"/>
        <v>2760.3061000000002</v>
      </c>
      <c r="F12" s="15">
        <f t="shared" si="2"/>
        <v>3036.2837900000004</v>
      </c>
      <c r="G12" s="15">
        <f t="shared" si="2"/>
        <v>3339.8566030000006</v>
      </c>
      <c r="H12" s="15">
        <f t="shared" si="2"/>
        <v>3673.7839190000009</v>
      </c>
      <c r="I12" s="15">
        <f t="shared" si="2"/>
        <v>4041.1010493850013</v>
      </c>
    </row>
    <row r="13" spans="1:9">
      <c r="A13" s="5"/>
      <c r="B13" s="5"/>
      <c r="C13" s="14"/>
      <c r="D13" s="14"/>
      <c r="E13" s="14"/>
      <c r="F13" s="14"/>
      <c r="G13" s="14"/>
      <c r="H13" s="14"/>
      <c r="I13" s="14"/>
    </row>
    <row r="14" spans="1:9">
      <c r="A14" s="10" t="s">
        <v>39</v>
      </c>
      <c r="B14" s="5"/>
      <c r="C14" s="14"/>
      <c r="D14" s="14"/>
      <c r="E14" s="14"/>
      <c r="F14" s="14"/>
      <c r="G14" s="5"/>
      <c r="H14" s="5"/>
      <c r="I14" s="5"/>
    </row>
    <row r="15" spans="1:9">
      <c r="A15" s="5" t="s">
        <v>41</v>
      </c>
      <c r="B15" s="5"/>
      <c r="C15" s="14">
        <f>+Annexures!B22</f>
        <v>2293.0167031000001</v>
      </c>
      <c r="D15" s="14">
        <f>+Annexures!C22</f>
        <v>2350.6865239799999</v>
      </c>
      <c r="E15" s="14">
        <f>+Annexures!D22</f>
        <v>2585.7551763780002</v>
      </c>
      <c r="F15" s="14">
        <f>+Annexures!E22</f>
        <v>2844.3306940158004</v>
      </c>
      <c r="G15" s="14">
        <f>+Annexures!F22</f>
        <v>3128.7637634173811</v>
      </c>
      <c r="H15" s="14">
        <f>+Annexures!G22</f>
        <v>3441.6401397591189</v>
      </c>
      <c r="I15" s="14">
        <f>+Annexures!H22</f>
        <v>3785.8041537350323</v>
      </c>
    </row>
    <row r="16" spans="1:9">
      <c r="A16" s="5" t="s">
        <v>87</v>
      </c>
      <c r="B16" s="5"/>
      <c r="C16" s="14">
        <f>+Annexures!B43</f>
        <v>110.59959240000001</v>
      </c>
      <c r="D16" s="14">
        <f>+Annexures!C43</f>
        <v>87.755299519999994</v>
      </c>
      <c r="E16" s="14">
        <f>+Annexures!D43</f>
        <v>94.775723481600011</v>
      </c>
      <c r="F16" s="14">
        <f>+Annexures!E43</f>
        <v>102.35778136012802</v>
      </c>
      <c r="G16" s="14">
        <f>+Annexures!F43</f>
        <v>110.54640386893827</v>
      </c>
      <c r="H16" s="14">
        <f>+Annexures!G43</f>
        <v>119.39011617845335</v>
      </c>
      <c r="I16" s="14">
        <f>+Annexures!H43</f>
        <v>128.9413254727296</v>
      </c>
    </row>
    <row r="17" spans="1:9">
      <c r="A17" s="5"/>
      <c r="B17" s="6" t="s">
        <v>17</v>
      </c>
      <c r="C17" s="15">
        <f t="shared" ref="C17:I17" si="3">SUM(C15:C16)</f>
        <v>2403.6162955</v>
      </c>
      <c r="D17" s="15">
        <f t="shared" si="3"/>
        <v>2438.4418234999998</v>
      </c>
      <c r="E17" s="15">
        <f t="shared" si="3"/>
        <v>2680.5308998596001</v>
      </c>
      <c r="F17" s="15">
        <f t="shared" si="3"/>
        <v>2946.6884753759286</v>
      </c>
      <c r="G17" s="15">
        <f t="shared" si="3"/>
        <v>3239.3101672863195</v>
      </c>
      <c r="H17" s="15">
        <f t="shared" si="3"/>
        <v>3561.0302559375723</v>
      </c>
      <c r="I17" s="15">
        <f t="shared" si="3"/>
        <v>3914.7454792077619</v>
      </c>
    </row>
    <row r="18" spans="1:9">
      <c r="A18" s="5"/>
      <c r="B18" s="5"/>
      <c r="C18" s="14"/>
      <c r="D18" s="14"/>
      <c r="E18" s="14"/>
      <c r="F18" s="14"/>
      <c r="G18" s="14"/>
      <c r="H18" s="14"/>
      <c r="I18" s="14"/>
    </row>
    <row r="19" spans="1:9">
      <c r="A19" s="5" t="s">
        <v>11</v>
      </c>
      <c r="B19" s="5"/>
      <c r="C19" s="14">
        <v>53.24</v>
      </c>
      <c r="D19" s="14">
        <f>+C20</f>
        <v>185.63</v>
      </c>
      <c r="E19" s="14">
        <f t="shared" ref="E19:I19" si="4">+D20</f>
        <v>190</v>
      </c>
      <c r="F19" s="14">
        <f t="shared" si="4"/>
        <v>200</v>
      </c>
      <c r="G19" s="14">
        <f t="shared" si="4"/>
        <v>210</v>
      </c>
      <c r="H19" s="14">
        <f t="shared" si="4"/>
        <v>220</v>
      </c>
      <c r="I19" s="14">
        <f t="shared" si="4"/>
        <v>230</v>
      </c>
    </row>
    <row r="20" spans="1:9">
      <c r="A20" s="5" t="s">
        <v>12</v>
      </c>
      <c r="B20" s="5"/>
      <c r="C20" s="17">
        <v>185.63</v>
      </c>
      <c r="D20" s="17">
        <v>190</v>
      </c>
      <c r="E20" s="17">
        <v>200</v>
      </c>
      <c r="F20" s="17">
        <v>210</v>
      </c>
      <c r="G20" s="17">
        <v>220</v>
      </c>
      <c r="H20" s="17">
        <v>230</v>
      </c>
      <c r="I20" s="17">
        <v>240</v>
      </c>
    </row>
    <row r="21" spans="1:9">
      <c r="A21" s="5"/>
      <c r="B21" s="6" t="s">
        <v>98</v>
      </c>
      <c r="C21" s="15">
        <f>+C17+C19-C20</f>
        <v>2271.2262954999997</v>
      </c>
      <c r="D21" s="15">
        <f t="shared" ref="D21:I21" si="5">+D17+D19-D20</f>
        <v>2434.0718234999999</v>
      </c>
      <c r="E21" s="15">
        <f t="shared" si="5"/>
        <v>2670.5308998596001</v>
      </c>
      <c r="F21" s="15">
        <f t="shared" si="5"/>
        <v>2936.6884753759286</v>
      </c>
      <c r="G21" s="15">
        <f t="shared" si="5"/>
        <v>3229.3101672863195</v>
      </c>
      <c r="H21" s="15">
        <f t="shared" si="5"/>
        <v>3551.0302559375723</v>
      </c>
      <c r="I21" s="15">
        <f t="shared" si="5"/>
        <v>3904.7454792077624</v>
      </c>
    </row>
    <row r="22" spans="1:9">
      <c r="A22" s="5"/>
      <c r="B22" s="6"/>
      <c r="C22" s="18"/>
      <c r="D22" s="18"/>
      <c r="E22" s="18"/>
      <c r="F22" s="18"/>
      <c r="G22" s="18"/>
      <c r="H22" s="18"/>
      <c r="I22" s="18"/>
    </row>
    <row r="23" spans="1:9" ht="16.399999999999999" thickBot="1">
      <c r="A23" s="5"/>
      <c r="B23" s="6" t="s">
        <v>16</v>
      </c>
      <c r="C23" s="19">
        <f t="shared" ref="C23:I23" si="6">+C12-C21</f>
        <v>53.833704500000295</v>
      </c>
      <c r="D23" s="19">
        <f t="shared" si="6"/>
        <v>75.343176500000027</v>
      </c>
      <c r="E23" s="19">
        <f t="shared" si="6"/>
        <v>89.775200140400102</v>
      </c>
      <c r="F23" s="19">
        <f t="shared" si="6"/>
        <v>99.595314624071762</v>
      </c>
      <c r="G23" s="19">
        <f t="shared" si="6"/>
        <v>110.54643571368115</v>
      </c>
      <c r="H23" s="19">
        <f t="shared" si="6"/>
        <v>122.75366306242859</v>
      </c>
      <c r="I23" s="19">
        <f t="shared" si="6"/>
        <v>136.35557017723886</v>
      </c>
    </row>
    <row r="24" spans="1:9" ht="16.399999999999999" thickTop="1">
      <c r="A24" s="6" t="s">
        <v>9</v>
      </c>
      <c r="B24" s="5"/>
      <c r="C24" s="67"/>
      <c r="D24" s="67"/>
      <c r="E24" s="67"/>
      <c r="F24" s="67"/>
      <c r="G24" s="67"/>
      <c r="H24" s="67"/>
      <c r="I24" s="67"/>
    </row>
    <row r="25" spans="1:9">
      <c r="A25" s="5" t="s">
        <v>97</v>
      </c>
      <c r="B25" s="5"/>
      <c r="C25" s="18">
        <f>+Annexures!B63</f>
        <v>9.1288139999999984</v>
      </c>
      <c r="D25" s="18">
        <f>+Annexures!C63</f>
        <v>10.041695400000002</v>
      </c>
      <c r="E25" s="18">
        <f>+Annexures!D63</f>
        <v>11.045864940000001</v>
      </c>
      <c r="F25" s="18">
        <f>+Annexures!E63</f>
        <v>12.150451434000004</v>
      </c>
      <c r="G25" s="18">
        <f>+Annexures!F63</f>
        <v>13.365496577400004</v>
      </c>
      <c r="H25" s="18">
        <f>+Annexures!G63</f>
        <v>14.702046235140003</v>
      </c>
      <c r="I25" s="18">
        <f>+Annexures!H63</f>
        <v>16.172250858654014</v>
      </c>
    </row>
    <row r="26" spans="1:9">
      <c r="A26" s="5"/>
      <c r="B26" s="6" t="s">
        <v>19</v>
      </c>
      <c r="C26" s="16">
        <f t="shared" ref="C26:I26" si="7">+C23-C25</f>
        <v>44.704890500000296</v>
      </c>
      <c r="D26" s="16">
        <f t="shared" si="7"/>
        <v>65.301481100000018</v>
      </c>
      <c r="E26" s="16">
        <f t="shared" si="7"/>
        <v>78.729335200400101</v>
      </c>
      <c r="F26" s="16">
        <f t="shared" si="7"/>
        <v>87.444863190071757</v>
      </c>
      <c r="G26" s="16">
        <f t="shared" si="7"/>
        <v>97.18093913628114</v>
      </c>
      <c r="H26" s="16">
        <f t="shared" si="7"/>
        <v>108.05161682728858</v>
      </c>
      <c r="I26" s="16">
        <f t="shared" si="7"/>
        <v>120.18331931858485</v>
      </c>
    </row>
    <row r="27" spans="1:9">
      <c r="A27" s="5" t="s">
        <v>88</v>
      </c>
      <c r="B27" s="5"/>
      <c r="C27" s="14">
        <v>9.66</v>
      </c>
      <c r="D27" s="14">
        <f>+C27*85%</f>
        <v>8.2110000000000003</v>
      </c>
      <c r="E27" s="14">
        <f t="shared" ref="E27:I27" si="8">+D27*85%</f>
        <v>6.9793500000000002</v>
      </c>
      <c r="F27" s="14">
        <f t="shared" si="8"/>
        <v>5.9324475000000003</v>
      </c>
      <c r="G27" s="14">
        <f t="shared" si="8"/>
        <v>5.042580375</v>
      </c>
      <c r="H27" s="14">
        <f t="shared" si="8"/>
        <v>4.2861933187499996</v>
      </c>
      <c r="I27" s="14">
        <f t="shared" si="8"/>
        <v>3.6432643209374995</v>
      </c>
    </row>
    <row r="28" spans="1:9">
      <c r="A28" s="5" t="s">
        <v>40</v>
      </c>
      <c r="B28" s="5"/>
      <c r="C28" s="14">
        <v>9.4499999999999993</v>
      </c>
      <c r="D28" s="14">
        <v>18</v>
      </c>
      <c r="E28" s="14">
        <v>16.5</v>
      </c>
      <c r="F28" s="14">
        <v>14</v>
      </c>
      <c r="G28" s="14">
        <v>14</v>
      </c>
      <c r="H28" s="14">
        <v>14</v>
      </c>
      <c r="I28" s="14">
        <v>14</v>
      </c>
    </row>
    <row r="29" spans="1:9">
      <c r="A29" s="6" t="s">
        <v>15</v>
      </c>
      <c r="B29" s="5"/>
      <c r="C29" s="16">
        <f>+C26-C27-C28</f>
        <v>25.594890500000293</v>
      </c>
      <c r="D29" s="16">
        <f t="shared" ref="D29:I29" si="9">+D26-D27-D28</f>
        <v>39.090481100000019</v>
      </c>
      <c r="E29" s="16">
        <f t="shared" si="9"/>
        <v>55.249985200400104</v>
      </c>
      <c r="F29" s="16">
        <f t="shared" si="9"/>
        <v>67.512415690071762</v>
      </c>
      <c r="G29" s="16">
        <f t="shared" si="9"/>
        <v>78.13835876128114</v>
      </c>
      <c r="H29" s="16">
        <f t="shared" si="9"/>
        <v>89.765423508538589</v>
      </c>
      <c r="I29" s="16">
        <f t="shared" si="9"/>
        <v>102.54005499764735</v>
      </c>
    </row>
    <row r="30" spans="1:9">
      <c r="A30" s="6" t="s">
        <v>13</v>
      </c>
      <c r="B30" s="5"/>
      <c r="C30" s="18"/>
      <c r="D30" s="18"/>
      <c r="E30" s="18"/>
      <c r="F30" s="18"/>
      <c r="G30" s="18"/>
      <c r="H30" s="18"/>
      <c r="I30" s="18"/>
    </row>
    <row r="31" spans="1:9" s="4" customFormat="1">
      <c r="A31" s="25" t="s">
        <v>29</v>
      </c>
      <c r="B31" s="25"/>
      <c r="C31" s="30">
        <v>9.52</v>
      </c>
      <c r="D31" s="30">
        <f>+C31*115%</f>
        <v>10.947999999999999</v>
      </c>
      <c r="E31" s="30">
        <f t="shared" ref="E31:I31" si="10">+D31*115%</f>
        <v>12.590199999999998</v>
      </c>
      <c r="F31" s="30">
        <f t="shared" si="10"/>
        <v>14.478729999999997</v>
      </c>
      <c r="G31" s="30">
        <f t="shared" si="10"/>
        <v>16.650539499999994</v>
      </c>
      <c r="H31" s="30">
        <f t="shared" si="10"/>
        <v>19.148120424999991</v>
      </c>
      <c r="I31" s="30">
        <f t="shared" si="10"/>
        <v>22.020338488749989</v>
      </c>
    </row>
    <row r="32" spans="1:9">
      <c r="A32" s="5" t="s">
        <v>14</v>
      </c>
      <c r="B32" s="5"/>
      <c r="C32" s="18">
        <v>3</v>
      </c>
      <c r="D32" s="18">
        <v>3</v>
      </c>
      <c r="E32" s="18">
        <v>3</v>
      </c>
      <c r="F32" s="18">
        <v>3</v>
      </c>
      <c r="G32" s="18">
        <v>3</v>
      </c>
      <c r="H32" s="18">
        <v>3</v>
      </c>
      <c r="I32" s="18">
        <v>3</v>
      </c>
    </row>
    <row r="33" spans="1:9" ht="16.399999999999999" thickBot="1">
      <c r="A33" s="6" t="s">
        <v>95</v>
      </c>
      <c r="B33" s="5"/>
      <c r="C33" s="19">
        <f>+C29-C31-C32</f>
        <v>13.074890500000294</v>
      </c>
      <c r="D33" s="19">
        <f t="shared" ref="D33:I33" si="11">+D29-D31-D32</f>
        <v>25.142481100000019</v>
      </c>
      <c r="E33" s="19">
        <f t="shared" si="11"/>
        <v>39.659785200400108</v>
      </c>
      <c r="F33" s="19">
        <f t="shared" si="11"/>
        <v>50.033685690071763</v>
      </c>
      <c r="G33" s="19">
        <f t="shared" si="11"/>
        <v>58.487819261281146</v>
      </c>
      <c r="H33" s="19">
        <f t="shared" si="11"/>
        <v>67.617303083538602</v>
      </c>
      <c r="I33" s="19">
        <f t="shared" si="11"/>
        <v>77.519716508897361</v>
      </c>
    </row>
    <row r="34" spans="1:9" ht="16.399999999999999" thickTop="1">
      <c r="A34" s="5"/>
      <c r="B34" s="5"/>
      <c r="C34" s="67"/>
      <c r="D34" s="67"/>
      <c r="E34" s="67"/>
      <c r="F34" s="67"/>
      <c r="G34" s="67"/>
      <c r="H34" s="67"/>
      <c r="I34" s="67"/>
    </row>
    <row r="35" spans="1:9">
      <c r="A35" s="5"/>
      <c r="C35" s="32"/>
      <c r="D35" s="32"/>
      <c r="E35" s="32"/>
      <c r="F35" s="32"/>
      <c r="G35" s="32"/>
      <c r="H35" s="32"/>
      <c r="I35" s="32"/>
    </row>
    <row r="36" spans="1:9">
      <c r="A36" s="5"/>
    </row>
  </sheetData>
  <mergeCells count="3">
    <mergeCell ref="A1:I1"/>
    <mergeCell ref="A2:I2"/>
    <mergeCell ref="A3:I3"/>
  </mergeCells>
  <phoneticPr fontId="2" type="noConversion"/>
  <pageMargins left="0.91" right="0.75" top="0.53" bottom="0.5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4"/>
  <sheetViews>
    <sheetView topLeftCell="A16" workbookViewId="0">
      <selection activeCell="E12" sqref="E12"/>
    </sheetView>
  </sheetViews>
  <sheetFormatPr defaultColWidth="9.125" defaultRowHeight="15.7"/>
  <cols>
    <col min="1" max="2" width="9.125" style="9"/>
    <col min="3" max="3" width="14.125" style="9" customWidth="1"/>
    <col min="4" max="4" width="12.125" style="9" customWidth="1"/>
    <col min="5" max="5" width="10.875" style="9" customWidth="1"/>
    <col min="6" max="6" width="11" style="9" customWidth="1"/>
    <col min="7" max="7" width="10.75" style="9" customWidth="1"/>
    <col min="8" max="8" width="10.875" style="9" customWidth="1"/>
    <col min="9" max="9" width="10.25" style="9" customWidth="1"/>
    <col min="10" max="10" width="12" style="9" customWidth="1"/>
    <col min="11" max="16384" width="9.125" style="1"/>
  </cols>
  <sheetData>
    <row r="1" spans="1:10" s="4" customFormat="1">
      <c r="A1" s="63" t="str">
        <f>+HIGHLIGHTS!A1</f>
        <v>M/S GAYATRI STEEL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s="4" customFormat="1" ht="16.600000000000001" customHeight="1">
      <c r="A2" s="63" t="str">
        <f>+HIGHLIGHTS!A2</f>
        <v>E-515, MIA, IIND PHASE</v>
      </c>
      <c r="B2" s="63"/>
      <c r="C2" s="63"/>
      <c r="D2" s="63"/>
      <c r="E2" s="63"/>
      <c r="F2" s="63"/>
      <c r="G2" s="63"/>
      <c r="H2" s="63"/>
      <c r="I2" s="63"/>
      <c r="J2" s="63"/>
    </row>
    <row r="3" spans="1:10" s="4" customFormat="1" ht="16.600000000000001" customHeight="1">
      <c r="A3" s="63" t="s">
        <v>34</v>
      </c>
      <c r="B3" s="63"/>
      <c r="C3" s="63"/>
      <c r="D3" s="63"/>
      <c r="E3" s="63"/>
      <c r="F3" s="63"/>
      <c r="G3" s="63"/>
      <c r="H3" s="63"/>
      <c r="I3" s="63"/>
      <c r="J3" s="63"/>
    </row>
    <row r="4" spans="1:10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>
      <c r="A5" s="62" t="s">
        <v>3</v>
      </c>
      <c r="B5" s="62"/>
      <c r="C5" s="62"/>
      <c r="D5" s="62"/>
      <c r="E5" s="62"/>
      <c r="F5" s="62"/>
      <c r="G5" s="62"/>
      <c r="H5" s="62"/>
      <c r="I5" s="62"/>
      <c r="J5" s="62"/>
    </row>
    <row r="6" spans="1:10">
      <c r="A6" s="7"/>
      <c r="B6" s="7"/>
      <c r="C6" s="7"/>
      <c r="D6" s="31"/>
      <c r="E6" s="31"/>
      <c r="F6" s="31"/>
      <c r="G6" s="31"/>
      <c r="H6" s="31"/>
      <c r="I6" s="31"/>
      <c r="J6" s="31"/>
    </row>
    <row r="7" spans="1:10">
      <c r="A7" s="5"/>
      <c r="B7" s="5"/>
      <c r="C7" s="5"/>
      <c r="D7" s="5"/>
      <c r="E7" s="5"/>
      <c r="F7" s="6" t="s">
        <v>7</v>
      </c>
      <c r="G7" s="5"/>
      <c r="I7" s="6" t="s">
        <v>2</v>
      </c>
      <c r="J7" s="5"/>
    </row>
    <row r="8" spans="1:10" ht="28.55">
      <c r="A8" s="11" t="s">
        <v>4</v>
      </c>
      <c r="B8" s="12"/>
      <c r="C8" s="12"/>
      <c r="D8" s="34" t="s">
        <v>36</v>
      </c>
      <c r="E8" s="13">
        <v>2019</v>
      </c>
      <c r="F8" s="13">
        <v>2020</v>
      </c>
      <c r="G8" s="13">
        <v>2021</v>
      </c>
      <c r="H8" s="13">
        <v>2022</v>
      </c>
      <c r="I8" s="13">
        <v>2023</v>
      </c>
      <c r="J8" s="13">
        <v>2024</v>
      </c>
    </row>
    <row r="9" spans="1:10">
      <c r="A9" s="6" t="s">
        <v>5</v>
      </c>
      <c r="B9" s="5"/>
      <c r="C9" s="5"/>
      <c r="D9" s="5"/>
      <c r="E9" s="5"/>
      <c r="F9" s="5"/>
      <c r="G9" s="5"/>
      <c r="H9" s="5"/>
      <c r="I9" s="5"/>
      <c r="J9" s="5"/>
    </row>
    <row r="10" spans="1:10">
      <c r="A10" s="5" t="s">
        <v>89</v>
      </c>
      <c r="B10" s="5"/>
      <c r="C10" s="5"/>
      <c r="D10" s="14">
        <v>196.82</v>
      </c>
      <c r="E10" s="14">
        <f>+D10-Profitability!D27</f>
        <v>188.60899999999998</v>
      </c>
      <c r="F10" s="14">
        <f>+E10-Profitability!E27</f>
        <v>181.62964999999997</v>
      </c>
      <c r="G10" s="14">
        <f>+F10-Profitability!F27</f>
        <v>175.69720249999997</v>
      </c>
      <c r="H10" s="14">
        <f>+G10-Profitability!G27</f>
        <v>170.65462212499997</v>
      </c>
      <c r="I10" s="14">
        <f>+H10-Profitability!H27</f>
        <v>166.36842880624997</v>
      </c>
      <c r="J10" s="14">
        <f>+I10-Profitability!I27</f>
        <v>162.72516448531246</v>
      </c>
    </row>
    <row r="11" spans="1:10">
      <c r="A11" s="5" t="s">
        <v>20</v>
      </c>
      <c r="B11" s="5"/>
      <c r="C11" s="5"/>
      <c r="D11" s="14">
        <v>428.5</v>
      </c>
      <c r="E11" s="14">
        <f>+D11*110%</f>
        <v>471.35</v>
      </c>
      <c r="F11" s="14">
        <f t="shared" ref="F11:J11" si="0">+E11*110%</f>
        <v>518.48500000000001</v>
      </c>
      <c r="G11" s="14">
        <f t="shared" si="0"/>
        <v>570.33350000000007</v>
      </c>
      <c r="H11" s="14">
        <f t="shared" si="0"/>
        <v>627.36685000000011</v>
      </c>
      <c r="I11" s="14">
        <f t="shared" si="0"/>
        <v>690.10353500000019</v>
      </c>
      <c r="J11" s="14">
        <f t="shared" si="0"/>
        <v>759.11388850000026</v>
      </c>
    </row>
    <row r="12" spans="1:10">
      <c r="A12" s="5" t="s">
        <v>90</v>
      </c>
      <c r="B12" s="5"/>
      <c r="C12" s="5"/>
      <c r="D12" s="14">
        <v>194.51</v>
      </c>
      <c r="E12" s="14">
        <f>+Profitability!D20</f>
        <v>190</v>
      </c>
      <c r="F12" s="14">
        <f>+Profitability!E20</f>
        <v>200</v>
      </c>
      <c r="G12" s="14">
        <f>+Profitability!F20</f>
        <v>210</v>
      </c>
      <c r="H12" s="14">
        <f>+Profitability!G20</f>
        <v>220</v>
      </c>
      <c r="I12" s="14">
        <f>+Profitability!H20</f>
        <v>230</v>
      </c>
      <c r="J12" s="14">
        <f>+Profitability!I20</f>
        <v>240</v>
      </c>
    </row>
    <row r="13" spans="1:10">
      <c r="A13" s="5" t="s">
        <v>93</v>
      </c>
      <c r="B13" s="5"/>
      <c r="C13" s="5"/>
      <c r="D13" s="14">
        <v>118.85</v>
      </c>
      <c r="E13" s="14">
        <v>120</v>
      </c>
      <c r="F13" s="14">
        <v>120</v>
      </c>
      <c r="G13" s="14">
        <v>120</v>
      </c>
      <c r="H13" s="14">
        <v>150</v>
      </c>
      <c r="I13" s="14">
        <v>200</v>
      </c>
      <c r="J13" s="14">
        <v>225</v>
      </c>
    </row>
    <row r="14" spans="1:10">
      <c r="A14" s="5" t="s">
        <v>21</v>
      </c>
      <c r="B14" s="5"/>
      <c r="C14" s="5"/>
      <c r="D14" s="14">
        <v>4.6900000000000004</v>
      </c>
      <c r="E14" s="14">
        <v>13.87</v>
      </c>
      <c r="F14" s="14">
        <v>11.08</v>
      </c>
      <c r="G14" s="14">
        <v>31.44</v>
      </c>
      <c r="H14" s="14">
        <v>31.98</v>
      </c>
      <c r="I14" s="14">
        <v>33.619999999999997</v>
      </c>
      <c r="J14" s="14">
        <v>37.65</v>
      </c>
    </row>
    <row r="15" spans="1:10" ht="16.399999999999999" thickBot="1">
      <c r="A15" s="5"/>
      <c r="B15" s="5"/>
      <c r="C15" s="6" t="s">
        <v>8</v>
      </c>
      <c r="D15" s="19">
        <f t="shared" ref="D15:J15" si="1">SUM(D10:D14)</f>
        <v>943.37</v>
      </c>
      <c r="E15" s="19">
        <f t="shared" si="1"/>
        <v>983.82900000000006</v>
      </c>
      <c r="F15" s="19">
        <f t="shared" si="1"/>
        <v>1031.1946499999999</v>
      </c>
      <c r="G15" s="19">
        <f t="shared" si="1"/>
        <v>1107.4707025000002</v>
      </c>
      <c r="H15" s="19">
        <f t="shared" si="1"/>
        <v>1200.001472125</v>
      </c>
      <c r="I15" s="19">
        <f t="shared" si="1"/>
        <v>1320.0919638062501</v>
      </c>
      <c r="J15" s="19">
        <f t="shared" si="1"/>
        <v>1424.4890529853128</v>
      </c>
    </row>
    <row r="16" spans="1:10" ht="16.399999999999999" thickTop="1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2">
      <c r="A17" s="6" t="s">
        <v>6</v>
      </c>
      <c r="B17" s="5"/>
      <c r="C17" s="5"/>
      <c r="D17" s="25"/>
      <c r="E17" s="5"/>
      <c r="F17" s="5"/>
      <c r="G17" s="5"/>
      <c r="H17" s="5"/>
      <c r="I17" s="5"/>
      <c r="J17" s="5"/>
    </row>
    <row r="18" spans="1:12">
      <c r="A18" s="5" t="s">
        <v>22</v>
      </c>
      <c r="B18" s="5"/>
      <c r="C18" s="5"/>
      <c r="D18" s="28">
        <v>146.78</v>
      </c>
      <c r="E18" s="28">
        <f t="shared" ref="E18:J18" si="2">+E34</f>
        <v>165.86048110000004</v>
      </c>
      <c r="F18" s="28">
        <f t="shared" si="2"/>
        <v>201.11046630040016</v>
      </c>
      <c r="G18" s="28">
        <f t="shared" si="2"/>
        <v>243.62288199047191</v>
      </c>
      <c r="H18" s="28">
        <f t="shared" si="2"/>
        <v>296.76124075175306</v>
      </c>
      <c r="I18" s="28">
        <f t="shared" si="2"/>
        <v>361.52666426029168</v>
      </c>
      <c r="J18" s="28">
        <f t="shared" si="2"/>
        <v>434.06671925793904</v>
      </c>
    </row>
    <row r="19" spans="1:12">
      <c r="A19" s="5" t="s">
        <v>91</v>
      </c>
      <c r="B19" s="5"/>
      <c r="C19" s="5"/>
      <c r="D19" s="28">
        <v>60.21</v>
      </c>
      <c r="E19" s="14">
        <v>42.18</v>
      </c>
      <c r="F19" s="14">
        <v>20.22</v>
      </c>
      <c r="G19" s="14">
        <v>0</v>
      </c>
      <c r="H19" s="14">
        <v>0</v>
      </c>
      <c r="I19" s="14">
        <v>0</v>
      </c>
      <c r="J19" s="14">
        <v>0</v>
      </c>
      <c r="K19" s="29"/>
      <c r="L19" s="29"/>
    </row>
    <row r="20" spans="1:12">
      <c r="A20" s="5" t="s">
        <v>92</v>
      </c>
      <c r="B20" s="5"/>
      <c r="C20" s="5"/>
      <c r="D20" s="28">
        <v>147.27000000000001</v>
      </c>
      <c r="E20" s="14">
        <v>150</v>
      </c>
      <c r="F20" s="14">
        <v>150</v>
      </c>
      <c r="G20" s="14">
        <v>150</v>
      </c>
      <c r="H20" s="14">
        <v>150</v>
      </c>
      <c r="I20" s="14">
        <v>150</v>
      </c>
      <c r="J20" s="14">
        <v>150</v>
      </c>
      <c r="K20" s="29"/>
      <c r="L20" s="29"/>
    </row>
    <row r="21" spans="1:12">
      <c r="A21" s="5" t="s">
        <v>94</v>
      </c>
      <c r="B21" s="5"/>
      <c r="C21" s="5"/>
      <c r="D21" s="28">
        <v>142.94</v>
      </c>
      <c r="E21" s="14">
        <v>135</v>
      </c>
      <c r="F21" s="14">
        <v>120</v>
      </c>
      <c r="G21" s="14">
        <v>120</v>
      </c>
      <c r="H21" s="14">
        <v>100</v>
      </c>
      <c r="I21" s="14">
        <v>90</v>
      </c>
      <c r="J21" s="14">
        <v>50</v>
      </c>
      <c r="K21" s="29"/>
      <c r="L21" s="29"/>
    </row>
    <row r="22" spans="1:12">
      <c r="A22" s="5" t="s">
        <v>30</v>
      </c>
      <c r="B22" s="5"/>
      <c r="C22" s="5"/>
      <c r="D22" s="28">
        <v>446.17</v>
      </c>
      <c r="E22" s="14">
        <f>+D22*110%</f>
        <v>490.78700000000003</v>
      </c>
      <c r="F22" s="14">
        <f t="shared" ref="F22:J22" si="3">+E22*110%</f>
        <v>539.86570000000006</v>
      </c>
      <c r="G22" s="14">
        <f t="shared" si="3"/>
        <v>593.85227000000009</v>
      </c>
      <c r="H22" s="14">
        <f t="shared" si="3"/>
        <v>653.23749700000019</v>
      </c>
      <c r="I22" s="14">
        <f t="shared" si="3"/>
        <v>718.56124670000031</v>
      </c>
      <c r="J22" s="14">
        <f t="shared" si="3"/>
        <v>790.41737137000041</v>
      </c>
    </row>
    <row r="23" spans="1:12" ht="16.399999999999999" thickBot="1">
      <c r="A23" s="5"/>
      <c r="B23" s="5"/>
      <c r="C23" s="6" t="s">
        <v>8</v>
      </c>
      <c r="D23" s="19">
        <f t="shared" ref="D23:J23" si="4">SUM(D18:D22)</f>
        <v>943.37</v>
      </c>
      <c r="E23" s="19">
        <f t="shared" si="4"/>
        <v>983.82748110000011</v>
      </c>
      <c r="F23" s="19">
        <f t="shared" si="4"/>
        <v>1031.1961663004004</v>
      </c>
      <c r="G23" s="19">
        <f t="shared" si="4"/>
        <v>1107.4751519904721</v>
      </c>
      <c r="H23" s="19">
        <f t="shared" si="4"/>
        <v>1199.9987377517532</v>
      </c>
      <c r="I23" s="19">
        <f t="shared" si="4"/>
        <v>1320.087910960292</v>
      </c>
      <c r="J23" s="19">
        <f t="shared" si="4"/>
        <v>1424.4840906279394</v>
      </c>
    </row>
    <row r="24" spans="1:12" ht="16.399999999999999" thickTop="1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2">
      <c r="A25" s="5"/>
      <c r="B25" s="5"/>
      <c r="C25" s="5"/>
      <c r="D25" s="26">
        <f t="shared" ref="D25:J25" si="5">+D15-D23</f>
        <v>0</v>
      </c>
      <c r="E25" s="26">
        <f t="shared" si="5"/>
        <v>1.5188999999509178E-3</v>
      </c>
      <c r="F25" s="26">
        <f t="shared" si="5"/>
        <v>-1.5163004004534741E-3</v>
      </c>
      <c r="G25" s="26">
        <f t="shared" si="5"/>
        <v>-4.4494904718703765E-3</v>
      </c>
      <c r="H25" s="26">
        <f t="shared" si="5"/>
        <v>2.7343732467670634E-3</v>
      </c>
      <c r="I25" s="26">
        <f t="shared" si="5"/>
        <v>4.0528459580855269E-3</v>
      </c>
      <c r="J25" s="26">
        <f t="shared" si="5"/>
        <v>4.962357373415216E-3</v>
      </c>
    </row>
    <row r="26" spans="1:12">
      <c r="D26" s="32"/>
      <c r="E26" s="32"/>
      <c r="F26" s="32"/>
      <c r="G26" s="32"/>
      <c r="H26" s="32"/>
      <c r="I26" s="32"/>
      <c r="J26" s="32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spans="1:12">
      <c r="A28" s="6" t="s">
        <v>22</v>
      </c>
      <c r="B28" s="5"/>
      <c r="C28" s="5"/>
      <c r="D28" s="5"/>
      <c r="E28" s="5"/>
      <c r="F28" s="5"/>
      <c r="G28" s="5"/>
      <c r="H28" s="5"/>
      <c r="I28" s="5"/>
      <c r="J28" s="5"/>
    </row>
    <row r="29" spans="1:12">
      <c r="A29" s="5" t="s">
        <v>23</v>
      </c>
      <c r="B29" s="5"/>
      <c r="C29" s="5"/>
      <c r="D29" s="14">
        <f>37.7-1.44</f>
        <v>36.260000000000005</v>
      </c>
      <c r="E29" s="14">
        <f>+D34</f>
        <v>146.77000000000001</v>
      </c>
      <c r="F29" s="14">
        <f t="shared" ref="F29:J29" si="6">+E34</f>
        <v>165.86048110000004</v>
      </c>
      <c r="G29" s="14">
        <f t="shared" si="6"/>
        <v>201.11046630040016</v>
      </c>
      <c r="H29" s="14">
        <f t="shared" si="6"/>
        <v>243.62288199047191</v>
      </c>
      <c r="I29" s="14">
        <f t="shared" si="6"/>
        <v>296.76124075175306</v>
      </c>
      <c r="J29" s="14">
        <f t="shared" si="6"/>
        <v>361.52666426029168</v>
      </c>
    </row>
    <row r="30" spans="1:12">
      <c r="A30" s="5" t="s">
        <v>25</v>
      </c>
      <c r="B30" s="5"/>
      <c r="C30" s="5"/>
      <c r="D30" s="14">
        <f>7.84+5.22</f>
        <v>13.059999999999999</v>
      </c>
      <c r="E30" s="14">
        <f>+Profitability!D33</f>
        <v>25.142481100000019</v>
      </c>
      <c r="F30" s="14">
        <f>+Profitability!E33</f>
        <v>39.659785200400108</v>
      </c>
      <c r="G30" s="14">
        <f>+Profitability!F33</f>
        <v>50.033685690071763</v>
      </c>
      <c r="H30" s="14">
        <f>+Profitability!G33</f>
        <v>58.487819261281146</v>
      </c>
      <c r="I30" s="14">
        <f>+Profitability!H33</f>
        <v>67.617303083538602</v>
      </c>
      <c r="J30" s="14">
        <f>+Profitability!I33</f>
        <v>77.519716508897361</v>
      </c>
    </row>
    <row r="31" spans="1:12">
      <c r="A31" s="5" t="s">
        <v>27</v>
      </c>
      <c r="B31" s="5"/>
      <c r="C31" s="5"/>
      <c r="D31" s="14">
        <f>+Profitability!C32</f>
        <v>3</v>
      </c>
      <c r="E31" s="14">
        <f>+Profitability!D32</f>
        <v>3</v>
      </c>
      <c r="F31" s="14">
        <f>+Profitability!E32</f>
        <v>3</v>
      </c>
      <c r="G31" s="14">
        <f>+Profitability!F32</f>
        <v>3</v>
      </c>
      <c r="H31" s="14">
        <f>+Profitability!G32</f>
        <v>3</v>
      </c>
      <c r="I31" s="14">
        <f>+Profitability!H32</f>
        <v>3</v>
      </c>
      <c r="J31" s="14">
        <f>+Profitability!I32</f>
        <v>3</v>
      </c>
    </row>
    <row r="32" spans="1:12">
      <c r="A32" s="5" t="s">
        <v>28</v>
      </c>
      <c r="B32" s="5"/>
      <c r="C32" s="5"/>
      <c r="D32" s="14">
        <f>+Profitability!C31</f>
        <v>9.52</v>
      </c>
      <c r="E32" s="14">
        <f>+Profitability!D31</f>
        <v>10.947999999999999</v>
      </c>
      <c r="F32" s="14">
        <f>+Profitability!E31</f>
        <v>12.590199999999998</v>
      </c>
      <c r="G32" s="14">
        <f>+Profitability!F31</f>
        <v>14.478729999999997</v>
      </c>
      <c r="H32" s="14">
        <f>+Profitability!G31</f>
        <v>16.650539499999994</v>
      </c>
      <c r="I32" s="14">
        <f>+Profitability!H31</f>
        <v>19.148120424999991</v>
      </c>
      <c r="J32" s="14">
        <f>+Profitability!I31</f>
        <v>22.020338488749989</v>
      </c>
    </row>
    <row r="33" spans="1:10">
      <c r="A33" s="5" t="s">
        <v>26</v>
      </c>
      <c r="B33" s="5"/>
      <c r="C33" s="5"/>
      <c r="D33" s="14">
        <f>-12+12.46+0.02+84.45</f>
        <v>84.93</v>
      </c>
      <c r="E33" s="14">
        <v>-20</v>
      </c>
      <c r="F33" s="14">
        <v>-20</v>
      </c>
      <c r="G33" s="14">
        <v>-25</v>
      </c>
      <c r="H33" s="14">
        <v>-25</v>
      </c>
      <c r="I33" s="14">
        <v>-25</v>
      </c>
      <c r="J33" s="14">
        <v>-30</v>
      </c>
    </row>
    <row r="34" spans="1:10">
      <c r="A34" s="5" t="s">
        <v>24</v>
      </c>
      <c r="B34" s="5"/>
      <c r="C34" s="5"/>
      <c r="D34" s="15">
        <f>SUM(D29:D33)</f>
        <v>146.77000000000001</v>
      </c>
      <c r="E34" s="15">
        <f t="shared" ref="E34:J34" si="7">SUM(E29:E33)</f>
        <v>165.86048110000004</v>
      </c>
      <c r="F34" s="15">
        <f t="shared" si="7"/>
        <v>201.11046630040016</v>
      </c>
      <c r="G34" s="15">
        <f t="shared" si="7"/>
        <v>243.62288199047191</v>
      </c>
      <c r="H34" s="15">
        <f t="shared" si="7"/>
        <v>296.76124075175306</v>
      </c>
      <c r="I34" s="15">
        <f t="shared" si="7"/>
        <v>361.52666426029168</v>
      </c>
      <c r="J34" s="15">
        <f t="shared" si="7"/>
        <v>434.06671925793904</v>
      </c>
    </row>
  </sheetData>
  <mergeCells count="4">
    <mergeCell ref="A5:J5"/>
    <mergeCell ref="A1:J1"/>
    <mergeCell ref="A2:J2"/>
    <mergeCell ref="A3:J3"/>
  </mergeCells>
  <phoneticPr fontId="2" type="noConversion"/>
  <pageMargins left="1.1599999999999999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3"/>
  <sheetViews>
    <sheetView tabSelected="1" workbookViewId="0">
      <selection activeCell="A43" sqref="A43"/>
    </sheetView>
  </sheetViews>
  <sheetFormatPr defaultRowHeight="12.85"/>
  <cols>
    <col min="1" max="1" width="23.375" bestFit="1" customWidth="1"/>
    <col min="2" max="2" width="16.375" customWidth="1"/>
    <col min="3" max="3" width="14.5" customWidth="1"/>
    <col min="4" max="4" width="14.75" customWidth="1"/>
    <col min="5" max="5" width="15" customWidth="1"/>
    <col min="6" max="6" width="16.5" customWidth="1"/>
    <col min="7" max="7" width="15.75" customWidth="1"/>
    <col min="8" max="8" width="15.5" customWidth="1"/>
  </cols>
  <sheetData>
    <row r="1" spans="1:8">
      <c r="A1" s="66" t="str">
        <f>+HIGHLIGHTS!A1</f>
        <v>M/S GAYATRI STEEL</v>
      </c>
      <c r="B1" s="66"/>
      <c r="C1" s="66"/>
      <c r="D1" s="66"/>
      <c r="E1" s="66"/>
      <c r="F1" s="66"/>
      <c r="G1" s="66"/>
      <c r="H1" s="66"/>
    </row>
    <row r="2" spans="1:8">
      <c r="A2" s="66" t="str">
        <f>+HIGHLIGHTS!A2</f>
        <v>E-515, MIA, IIND PHASE</v>
      </c>
      <c r="B2" s="66"/>
      <c r="C2" s="66"/>
      <c r="D2" s="66"/>
      <c r="E2" s="66"/>
      <c r="F2" s="66"/>
      <c r="G2" s="66"/>
      <c r="H2" s="66"/>
    </row>
    <row r="3" spans="1:8">
      <c r="A3" s="66" t="s">
        <v>34</v>
      </c>
      <c r="B3" s="66"/>
      <c r="C3" s="66"/>
      <c r="D3" s="66"/>
      <c r="E3" s="66"/>
      <c r="F3" s="66"/>
      <c r="G3" s="66"/>
      <c r="H3" s="66"/>
    </row>
    <row r="5" spans="1:8" ht="14.3" customHeight="1">
      <c r="A5" s="64" t="s">
        <v>56</v>
      </c>
      <c r="B5" s="64"/>
      <c r="C5" s="64"/>
      <c r="D5" s="64"/>
      <c r="E5" s="64"/>
      <c r="F5" s="64"/>
      <c r="G5" s="64"/>
      <c r="H5" s="64"/>
    </row>
    <row r="6" spans="1:8">
      <c r="A6" s="35"/>
      <c r="B6" s="35"/>
      <c r="C6" s="35"/>
      <c r="D6" s="35"/>
      <c r="E6" s="35"/>
      <c r="F6" s="35"/>
    </row>
    <row r="7" spans="1:8">
      <c r="A7" s="36" t="s">
        <v>42</v>
      </c>
      <c r="B7" s="37">
        <v>2018</v>
      </c>
      <c r="C7" s="37">
        <v>2019</v>
      </c>
      <c r="D7" s="37">
        <v>2020</v>
      </c>
      <c r="E7" s="38">
        <v>2021</v>
      </c>
      <c r="F7" s="37">
        <v>2022</v>
      </c>
      <c r="G7" s="37">
        <v>2023</v>
      </c>
      <c r="H7" s="37">
        <v>2024</v>
      </c>
    </row>
    <row r="8" spans="1:8" ht="15.7">
      <c r="A8" s="39" t="s">
        <v>43</v>
      </c>
      <c r="B8" s="40">
        <v>937688.61</v>
      </c>
      <c r="C8" s="40">
        <f>+B8*110%</f>
        <v>1031457.471</v>
      </c>
      <c r="D8" s="40">
        <f t="shared" ref="D8:H8" si="0">+C8*110%</f>
        <v>1134603.2181000002</v>
      </c>
      <c r="E8" s="40">
        <f t="shared" si="0"/>
        <v>1248063.5399100003</v>
      </c>
      <c r="F8" s="40">
        <f t="shared" si="0"/>
        <v>1372869.8939010005</v>
      </c>
      <c r="G8" s="40">
        <f t="shared" si="0"/>
        <v>1510156.8832911006</v>
      </c>
      <c r="H8" s="40">
        <f t="shared" si="0"/>
        <v>1661172.5716202108</v>
      </c>
    </row>
    <row r="9" spans="1:8" ht="15.7">
      <c r="A9" s="39" t="s">
        <v>44</v>
      </c>
      <c r="B9" s="40">
        <v>4565747.8199999994</v>
      </c>
      <c r="C9" s="40">
        <f>+B9*110%</f>
        <v>5022322.602</v>
      </c>
      <c r="D9" s="40">
        <f t="shared" ref="D9:H9" si="1">+C9*110%</f>
        <v>5524554.8622000003</v>
      </c>
      <c r="E9" s="40">
        <f t="shared" si="1"/>
        <v>6077010.3484200006</v>
      </c>
      <c r="F9" s="40">
        <f t="shared" si="1"/>
        <v>6684711.383262001</v>
      </c>
      <c r="G9" s="40">
        <f t="shared" si="1"/>
        <v>7353182.5215882016</v>
      </c>
      <c r="H9" s="40">
        <f t="shared" si="1"/>
        <v>8088500.7737470223</v>
      </c>
    </row>
    <row r="10" spans="1:8" ht="15.7">
      <c r="A10" s="39" t="s">
        <v>45</v>
      </c>
      <c r="B10" s="40">
        <v>5515244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</row>
    <row r="11" spans="1:8" ht="15.7">
      <c r="A11" s="39" t="s">
        <v>46</v>
      </c>
      <c r="B11" s="40">
        <v>87425.42</v>
      </c>
      <c r="C11" s="40">
        <f t="shared" ref="C11:H12" si="2">+B11*110%</f>
        <v>96167.962</v>
      </c>
      <c r="D11" s="40">
        <f t="shared" si="2"/>
        <v>105784.75820000001</v>
      </c>
      <c r="E11" s="40">
        <f t="shared" si="2"/>
        <v>116363.23402000002</v>
      </c>
      <c r="F11" s="40">
        <f t="shared" si="2"/>
        <v>127999.55742200003</v>
      </c>
      <c r="G11" s="40">
        <f t="shared" si="2"/>
        <v>140799.51316420003</v>
      </c>
      <c r="H11" s="40">
        <f t="shared" si="2"/>
        <v>154879.46448062005</v>
      </c>
    </row>
    <row r="12" spans="1:8" ht="15.7">
      <c r="A12" s="39" t="s">
        <v>47</v>
      </c>
      <c r="B12" s="40">
        <v>67522.63</v>
      </c>
      <c r="C12" s="40">
        <f t="shared" si="2"/>
        <v>74274.893000000011</v>
      </c>
      <c r="D12" s="40">
        <f t="shared" si="2"/>
        <v>81702.382300000012</v>
      </c>
      <c r="E12" s="40">
        <f t="shared" si="2"/>
        <v>89872.620530000015</v>
      </c>
      <c r="F12" s="40">
        <f t="shared" si="2"/>
        <v>98859.882583000028</v>
      </c>
      <c r="G12" s="40">
        <f t="shared" si="2"/>
        <v>108745.87084130004</v>
      </c>
      <c r="H12" s="40">
        <f t="shared" si="2"/>
        <v>119620.45792543006</v>
      </c>
    </row>
    <row r="13" spans="1:8" ht="15.7">
      <c r="A13" s="39" t="s">
        <v>48</v>
      </c>
      <c r="B13" s="40">
        <v>996742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</row>
    <row r="14" spans="1:8" ht="15.7">
      <c r="A14" s="39" t="s">
        <v>49</v>
      </c>
      <c r="B14" s="40">
        <v>13978330</v>
      </c>
      <c r="C14" s="40">
        <f t="shared" ref="C14:H20" si="3">+B14*110%</f>
        <v>15376163.000000002</v>
      </c>
      <c r="D14" s="40">
        <f t="shared" si="3"/>
        <v>16913779.300000004</v>
      </c>
      <c r="E14" s="40">
        <f t="shared" si="3"/>
        <v>18605157.230000008</v>
      </c>
      <c r="F14" s="40">
        <f t="shared" si="3"/>
        <v>20465672.953000009</v>
      </c>
      <c r="G14" s="40">
        <f t="shared" si="3"/>
        <v>22512240.248300012</v>
      </c>
      <c r="H14" s="40">
        <f t="shared" si="3"/>
        <v>24763464.273130015</v>
      </c>
    </row>
    <row r="15" spans="1:8" ht="15.7">
      <c r="A15" s="39" t="s">
        <v>50</v>
      </c>
      <c r="B15" s="40">
        <v>3240019.25</v>
      </c>
      <c r="C15" s="40">
        <f t="shared" si="3"/>
        <v>3564021.1750000003</v>
      </c>
      <c r="D15" s="40">
        <f t="shared" si="3"/>
        <v>3920423.2925000004</v>
      </c>
      <c r="E15" s="40">
        <f t="shared" si="3"/>
        <v>4312465.6217500009</v>
      </c>
      <c r="F15" s="40">
        <f t="shared" si="3"/>
        <v>4743712.183925001</v>
      </c>
      <c r="G15" s="40">
        <f t="shared" si="3"/>
        <v>5218083.4023175016</v>
      </c>
      <c r="H15" s="40">
        <f t="shared" si="3"/>
        <v>5739891.7425492518</v>
      </c>
    </row>
    <row r="16" spans="1:8" ht="15.7">
      <c r="A16" s="39" t="s">
        <v>51</v>
      </c>
      <c r="B16" s="40">
        <v>616362.94999999995</v>
      </c>
      <c r="C16" s="40">
        <f t="shared" si="3"/>
        <v>677999.245</v>
      </c>
      <c r="D16" s="40">
        <f t="shared" si="3"/>
        <v>745799.16950000008</v>
      </c>
      <c r="E16" s="40">
        <f t="shared" si="3"/>
        <v>820379.08645000018</v>
      </c>
      <c r="F16" s="40">
        <f t="shared" si="3"/>
        <v>902416.99509500025</v>
      </c>
      <c r="G16" s="40">
        <f t="shared" si="3"/>
        <v>992658.69460450031</v>
      </c>
      <c r="H16" s="40">
        <f t="shared" si="3"/>
        <v>1091924.5640649504</v>
      </c>
    </row>
    <row r="17" spans="1:8" ht="15.7">
      <c r="A17" s="39" t="s">
        <v>52</v>
      </c>
      <c r="B17" s="40">
        <v>163929</v>
      </c>
      <c r="C17" s="40">
        <f t="shared" si="3"/>
        <v>180321.90000000002</v>
      </c>
      <c r="D17" s="40">
        <f t="shared" si="3"/>
        <v>198354.09000000005</v>
      </c>
      <c r="E17" s="40">
        <f t="shared" si="3"/>
        <v>218189.49900000007</v>
      </c>
      <c r="F17" s="40">
        <f t="shared" si="3"/>
        <v>240008.4489000001</v>
      </c>
      <c r="G17" s="40">
        <f t="shared" si="3"/>
        <v>264009.29379000014</v>
      </c>
      <c r="H17" s="40">
        <f t="shared" si="3"/>
        <v>290410.22316900018</v>
      </c>
    </row>
    <row r="18" spans="1:8" ht="15.7">
      <c r="A18" s="39" t="s">
        <v>53</v>
      </c>
      <c r="B18" s="40">
        <v>267273.5</v>
      </c>
      <c r="C18" s="40">
        <f t="shared" si="3"/>
        <v>294000.85000000003</v>
      </c>
      <c r="D18" s="40">
        <f t="shared" si="3"/>
        <v>323400.93500000006</v>
      </c>
      <c r="E18" s="40">
        <f t="shared" si="3"/>
        <v>355741.02850000007</v>
      </c>
      <c r="F18" s="40">
        <f t="shared" si="3"/>
        <v>391315.1313500001</v>
      </c>
      <c r="G18" s="40">
        <f t="shared" si="3"/>
        <v>430446.64448500011</v>
      </c>
      <c r="H18" s="40">
        <f t="shared" si="3"/>
        <v>473491.30893350014</v>
      </c>
    </row>
    <row r="19" spans="1:8" ht="15.7">
      <c r="A19" s="39" t="s">
        <v>54</v>
      </c>
      <c r="B19" s="40">
        <v>198809862.13</v>
      </c>
      <c r="C19" s="40">
        <v>208690848</v>
      </c>
      <c r="D19" s="40">
        <f t="shared" si="3"/>
        <v>229559932.80000001</v>
      </c>
      <c r="E19" s="40">
        <f t="shared" si="3"/>
        <v>252515926.08000004</v>
      </c>
      <c r="F19" s="40">
        <f t="shared" si="3"/>
        <v>277767518.68800008</v>
      </c>
      <c r="G19" s="40">
        <f t="shared" si="3"/>
        <v>305544270.55680013</v>
      </c>
      <c r="H19" s="40">
        <f t="shared" si="3"/>
        <v>336098697.61248016</v>
      </c>
    </row>
    <row r="20" spans="1:8" ht="15.7">
      <c r="A20" s="39" t="s">
        <v>55</v>
      </c>
      <c r="B20" s="40">
        <v>55523</v>
      </c>
      <c r="C20" s="40">
        <f t="shared" si="3"/>
        <v>61075.3</v>
      </c>
      <c r="D20" s="40">
        <f t="shared" si="3"/>
        <v>67182.83</v>
      </c>
      <c r="E20" s="40">
        <f t="shared" si="3"/>
        <v>73901.113000000012</v>
      </c>
      <c r="F20" s="40">
        <f t="shared" si="3"/>
        <v>81291.224300000016</v>
      </c>
      <c r="G20" s="40">
        <f t="shared" si="3"/>
        <v>89420.346730000019</v>
      </c>
      <c r="H20" s="40">
        <f t="shared" si="3"/>
        <v>98362.381403000036</v>
      </c>
    </row>
    <row r="21" spans="1:8" ht="15.7">
      <c r="A21" s="39"/>
      <c r="B21" s="41">
        <f>SUM(B8:B20)</f>
        <v>229301670.31</v>
      </c>
      <c r="C21" s="41">
        <f t="shared" ref="C21:H21" si="4">SUM(C8:C20)</f>
        <v>235068652.398</v>
      </c>
      <c r="D21" s="41">
        <f t="shared" si="4"/>
        <v>258575517.63780004</v>
      </c>
      <c r="E21" s="41">
        <f t="shared" si="4"/>
        <v>284433069.40158004</v>
      </c>
      <c r="F21" s="41">
        <f t="shared" si="4"/>
        <v>312876376.3417381</v>
      </c>
      <c r="G21" s="41">
        <f t="shared" si="4"/>
        <v>344164013.97591192</v>
      </c>
      <c r="H21" s="41">
        <f t="shared" si="4"/>
        <v>378580415.37350321</v>
      </c>
    </row>
    <row r="22" spans="1:8" ht="15.7">
      <c r="A22" s="42" t="s">
        <v>57</v>
      </c>
      <c r="B22" s="43">
        <f>+B21/100000</f>
        <v>2293.0167031000001</v>
      </c>
      <c r="C22" s="43">
        <f t="shared" ref="C22:H22" si="5">+C21/100000</f>
        <v>2350.6865239799999</v>
      </c>
      <c r="D22" s="43">
        <f t="shared" si="5"/>
        <v>2585.7551763780002</v>
      </c>
      <c r="E22" s="43">
        <f t="shared" si="5"/>
        <v>2844.3306940158004</v>
      </c>
      <c r="F22" s="43">
        <f t="shared" si="5"/>
        <v>3128.7637634173811</v>
      </c>
      <c r="G22" s="43">
        <f t="shared" si="5"/>
        <v>3441.6401397591189</v>
      </c>
      <c r="H22" s="43">
        <f t="shared" si="5"/>
        <v>3785.8041537350323</v>
      </c>
    </row>
    <row r="26" spans="1:8" ht="14.3">
      <c r="A26" s="65" t="s">
        <v>85</v>
      </c>
      <c r="B26" s="65"/>
      <c r="C26" s="65"/>
      <c r="D26" s="65"/>
      <c r="E26" s="65"/>
      <c r="F26" s="65"/>
      <c r="G26" s="65"/>
      <c r="H26" s="65"/>
    </row>
    <row r="27" spans="1:8">
      <c r="A27" s="36" t="s">
        <v>42</v>
      </c>
      <c r="B27" s="37">
        <v>2018</v>
      </c>
      <c r="C27" s="37">
        <v>2019</v>
      </c>
      <c r="D27" s="37">
        <v>2020</v>
      </c>
      <c r="E27" s="38">
        <v>2021</v>
      </c>
      <c r="F27" s="37">
        <v>2022</v>
      </c>
      <c r="G27" s="37">
        <v>2023</v>
      </c>
      <c r="H27" s="37">
        <v>2024</v>
      </c>
    </row>
    <row r="28" spans="1:8" ht="13.55">
      <c r="A28" s="44" t="s">
        <v>58</v>
      </c>
      <c r="B28" s="40">
        <v>155356</v>
      </c>
      <c r="C28" s="44">
        <f>+B28*105%</f>
        <v>163123.80000000002</v>
      </c>
      <c r="D28" s="44">
        <f>+C28*108%</f>
        <v>176173.70400000003</v>
      </c>
      <c r="E28" s="44">
        <f t="shared" ref="E28:H28" si="6">+D28*108%</f>
        <v>190267.60032000006</v>
      </c>
      <c r="F28" s="44">
        <f t="shared" si="6"/>
        <v>205489.00834560007</v>
      </c>
      <c r="G28" s="44">
        <f t="shared" si="6"/>
        <v>221928.12901324808</v>
      </c>
      <c r="H28" s="44">
        <f t="shared" si="6"/>
        <v>239682.37933430795</v>
      </c>
    </row>
    <row r="29" spans="1:8" ht="13.55">
      <c r="A29" s="44" t="s">
        <v>59</v>
      </c>
      <c r="B29" s="40">
        <f>72054+183019.74+425</f>
        <v>255498.74</v>
      </c>
      <c r="C29" s="44">
        <f t="shared" ref="C29:C41" si="7">+B29*105%</f>
        <v>268273.67700000003</v>
      </c>
      <c r="D29" s="44">
        <f t="shared" ref="D29:H41" si="8">+C29*108%</f>
        <v>289735.57116000005</v>
      </c>
      <c r="E29" s="44">
        <f t="shared" si="8"/>
        <v>312914.41685280006</v>
      </c>
      <c r="F29" s="44">
        <f t="shared" si="8"/>
        <v>337947.57020102406</v>
      </c>
      <c r="G29" s="44">
        <f t="shared" si="8"/>
        <v>364983.37581710599</v>
      </c>
      <c r="H29" s="44">
        <f t="shared" si="8"/>
        <v>394182.04588247451</v>
      </c>
    </row>
    <row r="30" spans="1:8" ht="13.55">
      <c r="A30" s="44" t="s">
        <v>60</v>
      </c>
      <c r="B30" s="45">
        <v>6035645</v>
      </c>
      <c r="C30" s="44">
        <v>3500000</v>
      </c>
      <c r="D30" s="44">
        <f t="shared" si="8"/>
        <v>3780000.0000000005</v>
      </c>
      <c r="E30" s="44">
        <f t="shared" si="8"/>
        <v>4082400.0000000009</v>
      </c>
      <c r="F30" s="44">
        <f t="shared" si="8"/>
        <v>4408992.0000000009</v>
      </c>
      <c r="G30" s="44">
        <f t="shared" si="8"/>
        <v>4761711.3600000013</v>
      </c>
      <c r="H30" s="44">
        <f t="shared" si="8"/>
        <v>5142648.2688000016</v>
      </c>
    </row>
    <row r="31" spans="1:8" ht="13.55">
      <c r="A31" s="44" t="s">
        <v>61</v>
      </c>
      <c r="B31" s="45">
        <v>109741</v>
      </c>
      <c r="C31" s="44">
        <f t="shared" si="7"/>
        <v>115228.05</v>
      </c>
      <c r="D31" s="44">
        <f t="shared" si="8"/>
        <v>124446.29400000001</v>
      </c>
      <c r="E31" s="44">
        <f t="shared" si="8"/>
        <v>134401.99752</v>
      </c>
      <c r="F31" s="44">
        <f t="shared" si="8"/>
        <v>145154.15732160001</v>
      </c>
      <c r="G31" s="44">
        <f t="shared" si="8"/>
        <v>156766.48990732801</v>
      </c>
      <c r="H31" s="44">
        <f t="shared" si="8"/>
        <v>169307.80909991427</v>
      </c>
    </row>
    <row r="32" spans="1:8" ht="13.55">
      <c r="A32" s="44" t="s">
        <v>62</v>
      </c>
      <c r="B32" s="45">
        <v>48768</v>
      </c>
      <c r="C32" s="44">
        <f t="shared" si="7"/>
        <v>51206.400000000001</v>
      </c>
      <c r="D32" s="44">
        <f t="shared" si="8"/>
        <v>55302.912000000004</v>
      </c>
      <c r="E32" s="44">
        <f t="shared" si="8"/>
        <v>59727.144960000005</v>
      </c>
      <c r="F32" s="44">
        <f t="shared" si="8"/>
        <v>64505.316556800011</v>
      </c>
      <c r="G32" s="44">
        <f t="shared" si="8"/>
        <v>69665.741881344016</v>
      </c>
      <c r="H32" s="44">
        <f t="shared" si="8"/>
        <v>75239.001231851536</v>
      </c>
    </row>
    <row r="33" spans="1:8" ht="13.55">
      <c r="A33" s="44" t="s">
        <v>63</v>
      </c>
      <c r="B33" s="46">
        <v>55003</v>
      </c>
      <c r="C33" s="44">
        <f t="shared" si="7"/>
        <v>57753.15</v>
      </c>
      <c r="D33" s="44">
        <f t="shared" si="8"/>
        <v>62373.402000000009</v>
      </c>
      <c r="E33" s="44">
        <f t="shared" si="8"/>
        <v>67363.274160000015</v>
      </c>
      <c r="F33" s="44">
        <f t="shared" si="8"/>
        <v>72752.336092800018</v>
      </c>
      <c r="G33" s="44">
        <f t="shared" si="8"/>
        <v>78572.522980224021</v>
      </c>
      <c r="H33" s="44">
        <f t="shared" si="8"/>
        <v>84858.324818641951</v>
      </c>
    </row>
    <row r="34" spans="1:8" ht="13.55">
      <c r="A34" s="44" t="s">
        <v>64</v>
      </c>
      <c r="B34" s="46">
        <v>1500</v>
      </c>
      <c r="C34" s="44">
        <f t="shared" si="7"/>
        <v>1575</v>
      </c>
      <c r="D34" s="44">
        <f t="shared" si="8"/>
        <v>1701</v>
      </c>
      <c r="E34" s="44">
        <f t="shared" si="8"/>
        <v>1837.0800000000002</v>
      </c>
      <c r="F34" s="44">
        <f t="shared" si="8"/>
        <v>1984.0464000000004</v>
      </c>
      <c r="G34" s="44">
        <f t="shared" si="8"/>
        <v>2142.7701120000006</v>
      </c>
      <c r="H34" s="44">
        <f t="shared" si="8"/>
        <v>2314.191720960001</v>
      </c>
    </row>
    <row r="35" spans="1:8" ht="13.55">
      <c r="A35" s="44" t="s">
        <v>65</v>
      </c>
      <c r="B35" s="46">
        <f>95935+108070.5+22939</f>
        <v>226944.5</v>
      </c>
      <c r="C35" s="44">
        <f t="shared" si="7"/>
        <v>238291.72500000001</v>
      </c>
      <c r="D35" s="44">
        <f t="shared" si="8"/>
        <v>257355.06300000002</v>
      </c>
      <c r="E35" s="44">
        <f t="shared" si="8"/>
        <v>277943.46804000007</v>
      </c>
      <c r="F35" s="44">
        <f t="shared" si="8"/>
        <v>300178.94548320008</v>
      </c>
      <c r="G35" s="44">
        <f t="shared" si="8"/>
        <v>324193.26112185611</v>
      </c>
      <c r="H35" s="44">
        <f t="shared" si="8"/>
        <v>350128.72201160464</v>
      </c>
    </row>
    <row r="36" spans="1:8" ht="13.55">
      <c r="A36" s="44" t="s">
        <v>66</v>
      </c>
      <c r="B36" s="46">
        <f>973270+1288440</f>
        <v>2261710</v>
      </c>
      <c r="C36" s="44">
        <f t="shared" si="7"/>
        <v>2374795.5</v>
      </c>
      <c r="D36" s="44">
        <f t="shared" si="8"/>
        <v>2564779.14</v>
      </c>
      <c r="E36" s="44">
        <f t="shared" si="8"/>
        <v>2769961.4712000005</v>
      </c>
      <c r="F36" s="44">
        <f t="shared" si="8"/>
        <v>2991558.3888960006</v>
      </c>
      <c r="G36" s="44">
        <f t="shared" si="8"/>
        <v>3230883.0600076807</v>
      </c>
      <c r="H36" s="44">
        <f t="shared" si="8"/>
        <v>3489353.7048082952</v>
      </c>
    </row>
    <row r="37" spans="1:8" ht="13.55">
      <c r="A37" s="44" t="s">
        <v>67</v>
      </c>
      <c r="B37" s="40">
        <v>11907</v>
      </c>
      <c r="C37" s="44">
        <f t="shared" si="7"/>
        <v>12502.35</v>
      </c>
      <c r="D37" s="44">
        <f t="shared" si="8"/>
        <v>13502.538</v>
      </c>
      <c r="E37" s="44">
        <f t="shared" si="8"/>
        <v>14582.741040000001</v>
      </c>
      <c r="F37" s="44">
        <f t="shared" si="8"/>
        <v>15749.360323200002</v>
      </c>
      <c r="G37" s="44">
        <f t="shared" si="8"/>
        <v>17009.309149056004</v>
      </c>
      <c r="H37" s="44">
        <f t="shared" si="8"/>
        <v>18370.053880980486</v>
      </c>
    </row>
    <row r="38" spans="1:8" ht="13.55">
      <c r="A38" s="44" t="s">
        <v>68</v>
      </c>
      <c r="B38" s="46">
        <f>11500+1000</f>
        <v>12500</v>
      </c>
      <c r="C38" s="44">
        <f t="shared" si="7"/>
        <v>13125</v>
      </c>
      <c r="D38" s="44">
        <f t="shared" si="8"/>
        <v>14175.000000000002</v>
      </c>
      <c r="E38" s="44">
        <f t="shared" si="8"/>
        <v>15309.000000000004</v>
      </c>
      <c r="F38" s="44">
        <f t="shared" si="8"/>
        <v>16533.720000000005</v>
      </c>
      <c r="G38" s="44">
        <f t="shared" si="8"/>
        <v>17856.417600000008</v>
      </c>
      <c r="H38" s="44">
        <f t="shared" si="8"/>
        <v>19284.93100800001</v>
      </c>
    </row>
    <row r="39" spans="1:8" ht="13.55">
      <c r="A39" s="44" t="s">
        <v>69</v>
      </c>
      <c r="B39" s="46">
        <v>59279</v>
      </c>
      <c r="C39" s="44">
        <f t="shared" si="7"/>
        <v>62242.950000000004</v>
      </c>
      <c r="D39" s="44">
        <f t="shared" si="8"/>
        <v>67222.386000000013</v>
      </c>
      <c r="E39" s="44">
        <f t="shared" si="8"/>
        <v>72600.176880000014</v>
      </c>
      <c r="F39" s="44">
        <f t="shared" si="8"/>
        <v>78408.191030400019</v>
      </c>
      <c r="G39" s="44">
        <f t="shared" si="8"/>
        <v>84680.846312832029</v>
      </c>
      <c r="H39" s="44">
        <f t="shared" si="8"/>
        <v>91455.314017858604</v>
      </c>
    </row>
    <row r="40" spans="1:8" ht="13.55">
      <c r="A40" s="44" t="s">
        <v>70</v>
      </c>
      <c r="B40" s="46">
        <f>8951+115243+81577+78786</f>
        <v>284557</v>
      </c>
      <c r="C40" s="44">
        <f t="shared" si="7"/>
        <v>298784.85000000003</v>
      </c>
      <c r="D40" s="44">
        <f t="shared" si="8"/>
        <v>322687.63800000004</v>
      </c>
      <c r="E40" s="44">
        <f t="shared" si="8"/>
        <v>348502.64904000005</v>
      </c>
      <c r="F40" s="44">
        <f t="shared" si="8"/>
        <v>376382.8609632001</v>
      </c>
      <c r="G40" s="44">
        <f t="shared" si="8"/>
        <v>406493.48984025611</v>
      </c>
      <c r="H40" s="44">
        <f t="shared" si="8"/>
        <v>439012.96902747662</v>
      </c>
    </row>
    <row r="41" spans="1:8" ht="13.55">
      <c r="A41" s="44" t="s">
        <v>71</v>
      </c>
      <c r="B41" s="40">
        <v>1541550</v>
      </c>
      <c r="C41" s="44">
        <f t="shared" si="7"/>
        <v>1618627.5</v>
      </c>
      <c r="D41" s="44">
        <f t="shared" si="8"/>
        <v>1748117.7000000002</v>
      </c>
      <c r="E41" s="44">
        <f t="shared" si="8"/>
        <v>1887967.1160000004</v>
      </c>
      <c r="F41" s="44">
        <f t="shared" si="8"/>
        <v>2039004.4852800006</v>
      </c>
      <c r="G41" s="44">
        <f t="shared" si="8"/>
        <v>2202124.8441024008</v>
      </c>
      <c r="H41" s="44">
        <f t="shared" si="8"/>
        <v>2378294.8316305932</v>
      </c>
    </row>
    <row r="42" spans="1:8">
      <c r="A42" s="47"/>
      <c r="B42" s="48">
        <f>SUM(B28:B41)</f>
        <v>11059959.24</v>
      </c>
      <c r="C42" s="48">
        <f t="shared" ref="C42:H42" si="9">SUM(C28:C41)</f>
        <v>8775529.9519999996</v>
      </c>
      <c r="D42" s="48">
        <f t="shared" si="9"/>
        <v>9477572.3481600005</v>
      </c>
      <c r="E42" s="48">
        <f t="shared" si="9"/>
        <v>10235778.136012802</v>
      </c>
      <c r="F42" s="48">
        <f t="shared" si="9"/>
        <v>11054640.386893827</v>
      </c>
      <c r="G42" s="48">
        <f t="shared" si="9"/>
        <v>11939011.617845336</v>
      </c>
      <c r="H42" s="48">
        <f t="shared" si="9"/>
        <v>12894132.54727296</v>
      </c>
    </row>
    <row r="43" spans="1:8" ht="15.7">
      <c r="A43" s="42" t="s">
        <v>57</v>
      </c>
      <c r="B43" s="43">
        <f>+B42/100000</f>
        <v>110.59959240000001</v>
      </c>
      <c r="C43" s="43">
        <f t="shared" ref="C43" si="10">+C42/100000</f>
        <v>87.755299519999994</v>
      </c>
      <c r="D43" s="43">
        <f t="shared" ref="D43" si="11">+D42/100000</f>
        <v>94.775723481600011</v>
      </c>
      <c r="E43" s="43">
        <f t="shared" ref="E43" si="12">+E42/100000</f>
        <v>102.35778136012802</v>
      </c>
      <c r="F43" s="43">
        <f t="shared" ref="F43" si="13">+F42/100000</f>
        <v>110.54640386893827</v>
      </c>
      <c r="G43" s="43">
        <f t="shared" ref="G43" si="14">+G42/100000</f>
        <v>119.39011617845335</v>
      </c>
      <c r="H43" s="43">
        <f t="shared" ref="H43" si="15">+H42/100000</f>
        <v>128.9413254727296</v>
      </c>
    </row>
    <row r="47" spans="1:8" ht="14.3">
      <c r="A47" s="65" t="s">
        <v>86</v>
      </c>
      <c r="B47" s="65"/>
      <c r="C47" s="65"/>
      <c r="D47" s="65"/>
      <c r="E47" s="65"/>
      <c r="F47" s="65"/>
      <c r="G47" s="65"/>
      <c r="H47" s="65"/>
    </row>
    <row r="48" spans="1:8">
      <c r="A48" s="49" t="s">
        <v>42</v>
      </c>
      <c r="B48" s="50">
        <v>2018</v>
      </c>
      <c r="C48" s="50">
        <v>2019</v>
      </c>
      <c r="D48" s="50">
        <v>2020</v>
      </c>
      <c r="E48" s="51">
        <v>2021</v>
      </c>
      <c r="F48" s="50">
        <v>2022</v>
      </c>
      <c r="G48" s="50">
        <v>2023</v>
      </c>
      <c r="H48" s="50">
        <v>2024</v>
      </c>
    </row>
    <row r="49" spans="1:8" ht="13.55">
      <c r="A49" s="44" t="s">
        <v>72</v>
      </c>
      <c r="B49" s="46">
        <v>8800</v>
      </c>
      <c r="C49" s="44">
        <f>+B49*110%</f>
        <v>9680</v>
      </c>
      <c r="D49" s="44">
        <f t="shared" ref="D49:H49" si="16">+C49*110%</f>
        <v>10648</v>
      </c>
      <c r="E49" s="44">
        <f t="shared" si="16"/>
        <v>11712.800000000001</v>
      </c>
      <c r="F49" s="44">
        <f t="shared" si="16"/>
        <v>12884.080000000002</v>
      </c>
      <c r="G49" s="44">
        <f t="shared" si="16"/>
        <v>14172.488000000003</v>
      </c>
      <c r="H49" s="44">
        <f t="shared" si="16"/>
        <v>15589.736800000004</v>
      </c>
    </row>
    <row r="50" spans="1:8" ht="13.55">
      <c r="A50" s="44" t="s">
        <v>73</v>
      </c>
      <c r="B50" s="46">
        <f>31274.2+250</f>
        <v>31524.2</v>
      </c>
      <c r="C50" s="44">
        <f t="shared" ref="C50:H61" si="17">+B50*110%</f>
        <v>34676.620000000003</v>
      </c>
      <c r="D50" s="44">
        <f t="shared" si="17"/>
        <v>38144.282000000007</v>
      </c>
      <c r="E50" s="44">
        <f t="shared" si="17"/>
        <v>41958.710200000009</v>
      </c>
      <c r="F50" s="44">
        <f t="shared" si="17"/>
        <v>46154.581220000015</v>
      </c>
      <c r="G50" s="44">
        <f t="shared" si="17"/>
        <v>50770.039342000018</v>
      </c>
      <c r="H50" s="44">
        <f t="shared" si="17"/>
        <v>55847.043276200027</v>
      </c>
    </row>
    <row r="51" spans="1:8" ht="13.55">
      <c r="A51" s="44" t="s">
        <v>74</v>
      </c>
      <c r="B51" s="46">
        <f>35552+17283</f>
        <v>52835</v>
      </c>
      <c r="C51" s="44">
        <f t="shared" si="17"/>
        <v>58118.500000000007</v>
      </c>
      <c r="D51" s="44">
        <f t="shared" si="17"/>
        <v>63930.350000000013</v>
      </c>
      <c r="E51" s="44">
        <f t="shared" si="17"/>
        <v>70323.385000000024</v>
      </c>
      <c r="F51" s="44">
        <f t="shared" si="17"/>
        <v>77355.723500000036</v>
      </c>
      <c r="G51" s="44">
        <f t="shared" si="17"/>
        <v>85091.295850000053</v>
      </c>
      <c r="H51" s="44">
        <f t="shared" si="17"/>
        <v>93600.42543500007</v>
      </c>
    </row>
    <row r="52" spans="1:8" ht="13.55">
      <c r="A52" s="44" t="s">
        <v>75</v>
      </c>
      <c r="B52" s="46">
        <v>8000</v>
      </c>
      <c r="C52" s="44">
        <f t="shared" si="17"/>
        <v>8800</v>
      </c>
      <c r="D52" s="44">
        <f t="shared" si="17"/>
        <v>9680</v>
      </c>
      <c r="E52" s="44">
        <f t="shared" si="17"/>
        <v>10648</v>
      </c>
      <c r="F52" s="44">
        <f t="shared" si="17"/>
        <v>11712.800000000001</v>
      </c>
      <c r="G52" s="44">
        <f t="shared" si="17"/>
        <v>12884.080000000002</v>
      </c>
      <c r="H52" s="44">
        <f t="shared" si="17"/>
        <v>14172.488000000003</v>
      </c>
    </row>
    <row r="53" spans="1:8" ht="13.55">
      <c r="A53" s="44" t="s">
        <v>76</v>
      </c>
      <c r="B53" s="46">
        <f>3088+7170</f>
        <v>10258</v>
      </c>
      <c r="C53" s="44">
        <f t="shared" si="17"/>
        <v>11283.800000000001</v>
      </c>
      <c r="D53" s="44">
        <f t="shared" si="17"/>
        <v>12412.180000000002</v>
      </c>
      <c r="E53" s="44">
        <f t="shared" si="17"/>
        <v>13653.398000000003</v>
      </c>
      <c r="F53" s="44">
        <f t="shared" si="17"/>
        <v>15018.737800000004</v>
      </c>
      <c r="G53" s="44">
        <f t="shared" si="17"/>
        <v>16520.611580000008</v>
      </c>
      <c r="H53" s="44">
        <f t="shared" si="17"/>
        <v>18172.672738000012</v>
      </c>
    </row>
    <row r="54" spans="1:8" ht="13.55">
      <c r="A54" s="44" t="s">
        <v>77</v>
      </c>
      <c r="B54" s="46">
        <v>1999</v>
      </c>
      <c r="C54" s="44">
        <f t="shared" si="17"/>
        <v>2198.9</v>
      </c>
      <c r="D54" s="44">
        <f t="shared" si="17"/>
        <v>2418.7900000000004</v>
      </c>
      <c r="E54" s="44">
        <f t="shared" si="17"/>
        <v>2660.6690000000008</v>
      </c>
      <c r="F54" s="44">
        <f t="shared" si="17"/>
        <v>2926.735900000001</v>
      </c>
      <c r="G54" s="44">
        <f t="shared" si="17"/>
        <v>3219.4094900000014</v>
      </c>
      <c r="H54" s="44">
        <f t="shared" si="17"/>
        <v>3541.3504390000016</v>
      </c>
    </row>
    <row r="55" spans="1:8" ht="13.55">
      <c r="A55" s="44" t="s">
        <v>78</v>
      </c>
      <c r="B55" s="46">
        <f>30+45000+1312.5+6740+7495</f>
        <v>60577.5</v>
      </c>
      <c r="C55" s="44">
        <f t="shared" si="17"/>
        <v>66635.25</v>
      </c>
      <c r="D55" s="44">
        <f t="shared" si="17"/>
        <v>73298.775000000009</v>
      </c>
      <c r="E55" s="44">
        <f t="shared" si="17"/>
        <v>80628.652500000011</v>
      </c>
      <c r="F55" s="44">
        <f t="shared" si="17"/>
        <v>88691.517750000014</v>
      </c>
      <c r="G55" s="44">
        <f t="shared" si="17"/>
        <v>97560.669525000019</v>
      </c>
      <c r="H55" s="44">
        <f t="shared" si="17"/>
        <v>107316.73647750003</v>
      </c>
    </row>
    <row r="56" spans="1:8" ht="13.55">
      <c r="A56" s="44" t="s">
        <v>79</v>
      </c>
      <c r="B56" s="46">
        <v>597000</v>
      </c>
      <c r="C56" s="44">
        <f t="shared" si="17"/>
        <v>656700</v>
      </c>
      <c r="D56" s="44">
        <f t="shared" si="17"/>
        <v>722370.00000000012</v>
      </c>
      <c r="E56" s="44">
        <f t="shared" si="17"/>
        <v>794607.00000000023</v>
      </c>
      <c r="F56" s="44">
        <f t="shared" si="17"/>
        <v>874067.7000000003</v>
      </c>
      <c r="G56" s="44">
        <f t="shared" si="17"/>
        <v>961474.47000000044</v>
      </c>
      <c r="H56" s="44">
        <f t="shared" si="17"/>
        <v>1057621.9170000006</v>
      </c>
    </row>
    <row r="57" spans="1:8" ht="13.55">
      <c r="A57" s="44" t="s">
        <v>80</v>
      </c>
      <c r="B57" s="46">
        <v>2050</v>
      </c>
      <c r="C57" s="44">
        <f t="shared" si="17"/>
        <v>2255</v>
      </c>
      <c r="D57" s="44">
        <f t="shared" si="17"/>
        <v>2480.5</v>
      </c>
      <c r="E57" s="44">
        <f t="shared" si="17"/>
        <v>2728.55</v>
      </c>
      <c r="F57" s="44">
        <f t="shared" si="17"/>
        <v>3001.4050000000007</v>
      </c>
      <c r="G57" s="44">
        <f t="shared" si="17"/>
        <v>3301.5455000000011</v>
      </c>
      <c r="H57" s="44">
        <f t="shared" si="17"/>
        <v>3631.7000500000013</v>
      </c>
    </row>
    <row r="58" spans="1:8" ht="13.55">
      <c r="A58" s="44" t="s">
        <v>81</v>
      </c>
      <c r="B58" s="46">
        <f>2740+1610+2800</f>
        <v>7150</v>
      </c>
      <c r="C58" s="44">
        <f t="shared" si="17"/>
        <v>7865.0000000000009</v>
      </c>
      <c r="D58" s="44">
        <f t="shared" si="17"/>
        <v>8651.5000000000018</v>
      </c>
      <c r="E58" s="44">
        <f t="shared" si="17"/>
        <v>9516.6500000000033</v>
      </c>
      <c r="F58" s="44">
        <f t="shared" si="17"/>
        <v>10468.315000000004</v>
      </c>
      <c r="G58" s="44">
        <f t="shared" si="17"/>
        <v>11515.146500000006</v>
      </c>
      <c r="H58" s="44">
        <f t="shared" si="17"/>
        <v>12666.661150000007</v>
      </c>
    </row>
    <row r="59" spans="1:8" ht="13.55">
      <c r="A59" s="44" t="s">
        <v>82</v>
      </c>
      <c r="B59" s="46">
        <v>10900</v>
      </c>
      <c r="C59" s="44">
        <f t="shared" si="17"/>
        <v>11990.000000000002</v>
      </c>
      <c r="D59" s="44">
        <f t="shared" si="17"/>
        <v>13189.000000000004</v>
      </c>
      <c r="E59" s="44">
        <f t="shared" si="17"/>
        <v>14507.900000000005</v>
      </c>
      <c r="F59" s="44">
        <f t="shared" si="17"/>
        <v>15958.690000000008</v>
      </c>
      <c r="G59" s="44">
        <f t="shared" si="17"/>
        <v>17554.559000000008</v>
      </c>
      <c r="H59" s="44">
        <f t="shared" si="17"/>
        <v>19310.014900000009</v>
      </c>
    </row>
    <row r="60" spans="1:8" ht="13.55">
      <c r="A60" s="44" t="s">
        <v>83</v>
      </c>
      <c r="B60" s="46">
        <f>7342.95+9672.9</f>
        <v>17015.849999999999</v>
      </c>
      <c r="C60" s="44">
        <f t="shared" si="17"/>
        <v>18717.435000000001</v>
      </c>
      <c r="D60" s="44">
        <f t="shared" si="17"/>
        <v>20589.178500000002</v>
      </c>
      <c r="E60" s="44">
        <f t="shared" si="17"/>
        <v>22648.096350000003</v>
      </c>
      <c r="F60" s="44">
        <f t="shared" si="17"/>
        <v>24912.905985000005</v>
      </c>
      <c r="G60" s="44">
        <f t="shared" si="17"/>
        <v>27404.196583500008</v>
      </c>
      <c r="H60" s="44">
        <f t="shared" si="17"/>
        <v>30144.61624185001</v>
      </c>
    </row>
    <row r="61" spans="1:8" ht="13.55">
      <c r="A61" s="44" t="s">
        <v>84</v>
      </c>
      <c r="B61" s="46">
        <f>14757.25+2935+2700+68799.3+15580.3</f>
        <v>104771.85</v>
      </c>
      <c r="C61" s="44">
        <f t="shared" si="17"/>
        <v>115249.03500000002</v>
      </c>
      <c r="D61" s="44">
        <f t="shared" si="17"/>
        <v>126773.93850000003</v>
      </c>
      <c r="E61" s="44">
        <f t="shared" si="17"/>
        <v>139451.33235000004</v>
      </c>
      <c r="F61" s="44">
        <f t="shared" si="17"/>
        <v>153396.46558500006</v>
      </c>
      <c r="G61" s="44">
        <f t="shared" si="17"/>
        <v>168736.11214350007</v>
      </c>
      <c r="H61" s="44">
        <f t="shared" si="17"/>
        <v>185609.7233578501</v>
      </c>
    </row>
    <row r="62" spans="1:8">
      <c r="A62" s="47"/>
      <c r="B62" s="52">
        <f>SUM(B49:B61)</f>
        <v>912881.39999999991</v>
      </c>
      <c r="C62" s="52">
        <f t="shared" ref="C62:H62" si="18">SUM(C49:C61)</f>
        <v>1004169.5400000002</v>
      </c>
      <c r="D62" s="52">
        <f t="shared" si="18"/>
        <v>1104586.4940000002</v>
      </c>
      <c r="E62" s="52">
        <f t="shared" si="18"/>
        <v>1215045.1434000004</v>
      </c>
      <c r="F62" s="52">
        <f t="shared" si="18"/>
        <v>1336549.6577400004</v>
      </c>
      <c r="G62" s="52">
        <f t="shared" si="18"/>
        <v>1470204.6235140003</v>
      </c>
      <c r="H62" s="52">
        <f t="shared" si="18"/>
        <v>1617225.0858654012</v>
      </c>
    </row>
    <row r="63" spans="1:8" ht="15.7">
      <c r="A63" s="42" t="s">
        <v>57</v>
      </c>
      <c r="B63" s="43">
        <f>+B62/100000</f>
        <v>9.1288139999999984</v>
      </c>
      <c r="C63" s="43">
        <f t="shared" ref="C63" si="19">+C62/100000</f>
        <v>10.041695400000002</v>
      </c>
      <c r="D63" s="43">
        <f t="shared" ref="D63" si="20">+D62/100000</f>
        <v>11.045864940000001</v>
      </c>
      <c r="E63" s="43">
        <f t="shared" ref="E63" si="21">+E62/100000</f>
        <v>12.150451434000004</v>
      </c>
      <c r="F63" s="43">
        <f t="shared" ref="F63" si="22">+F62/100000</f>
        <v>13.365496577400004</v>
      </c>
      <c r="G63" s="43">
        <f t="shared" ref="G63" si="23">+G62/100000</f>
        <v>14.702046235140003</v>
      </c>
      <c r="H63" s="43">
        <f t="shared" ref="H63" si="24">+H62/100000</f>
        <v>16.172250858654014</v>
      </c>
    </row>
  </sheetData>
  <mergeCells count="6">
    <mergeCell ref="A5:H5"/>
    <mergeCell ref="A26:H26"/>
    <mergeCell ref="A47:H47"/>
    <mergeCell ref="A1:H1"/>
    <mergeCell ref="A2:H2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HIGHLIGHTS</vt:lpstr>
      <vt:lpstr>Profitability</vt:lpstr>
      <vt:lpstr>balance sheet</vt:lpstr>
      <vt:lpstr>Annexures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COMPAQ</cp:lastModifiedBy>
  <cp:lastPrinted>2017-04-29T14:02:28Z</cp:lastPrinted>
  <dcterms:created xsi:type="dcterms:W3CDTF">2010-02-14T08:32:05Z</dcterms:created>
  <dcterms:modified xsi:type="dcterms:W3CDTF">2018-09-22T03:48:48Z</dcterms:modified>
</cp:coreProperties>
</file>