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rin.T\Dropbox\"/>
    </mc:Choice>
  </mc:AlternateContent>
  <bookViews>
    <workbookView xWindow="-375" yWindow="495" windowWidth="24600" windowHeight="16515"/>
  </bookViews>
  <sheets>
    <sheet name="Info" sheetId="2" r:id="rId1"/>
    <sheet name="Criteria" sheetId="5" r:id="rId2"/>
    <sheet name="Sheet1" sheetId="6" r:id="rId3"/>
  </sheets>
  <definedNames>
    <definedName name="_xlnm._FilterDatabase" localSheetId="0" hidden="1">Info!$X$1:$X$456</definedName>
    <definedName name="is">Info!$J$139</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J20" i="5" l="1"/>
  <c r="J173" i="5"/>
  <c r="J171" i="5"/>
  <c r="J172" i="5"/>
  <c r="J127"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233" i="5"/>
  <c r="J234" i="5"/>
  <c r="J36" i="5"/>
  <c r="J3" i="5"/>
  <c r="J174" i="5"/>
  <c r="J175" i="5"/>
  <c r="J176" i="5"/>
  <c r="J177" i="5"/>
  <c r="J31" i="5"/>
  <c r="J33" i="5"/>
  <c r="J178" i="5"/>
  <c r="J179" i="5"/>
  <c r="J180" i="5"/>
  <c r="J181" i="5"/>
  <c r="J182" i="5"/>
  <c r="J183" i="5"/>
  <c r="J184" i="5"/>
  <c r="J10" i="5"/>
  <c r="J185" i="5"/>
  <c r="J186" i="5"/>
  <c r="J187" i="5"/>
  <c r="J188" i="5"/>
  <c r="J189" i="5"/>
  <c r="J190" i="5"/>
  <c r="J12" i="5"/>
  <c r="J11" i="5"/>
  <c r="J27" i="5"/>
  <c r="J208" i="5"/>
  <c r="J191" i="5"/>
  <c r="J192" i="5"/>
  <c r="J193" i="5"/>
  <c r="J194" i="5"/>
  <c r="J195" i="5"/>
  <c r="J196" i="5"/>
  <c r="J197" i="5"/>
  <c r="J198" i="5"/>
  <c r="J199" i="5"/>
  <c r="J200" i="5"/>
  <c r="J201" i="5"/>
  <c r="J202" i="5"/>
  <c r="J242" i="5"/>
  <c r="J203" i="5"/>
  <c r="J204" i="5"/>
  <c r="J205" i="5"/>
  <c r="J206" i="5"/>
  <c r="J207" i="5"/>
  <c r="J209" i="5"/>
  <c r="J210" i="5"/>
  <c r="J211" i="5"/>
  <c r="J212" i="5"/>
  <c r="J28" i="5"/>
  <c r="J213" i="5"/>
  <c r="J214" i="5"/>
  <c r="J215" i="5"/>
  <c r="J216" i="5"/>
  <c r="J9" i="5"/>
  <c r="J4" i="5"/>
  <c r="J5" i="5"/>
  <c r="J217" i="5"/>
  <c r="J218" i="5"/>
  <c r="J14" i="5"/>
  <c r="J219" i="5"/>
  <c r="J13" i="5"/>
  <c r="J220" i="5"/>
  <c r="J221" i="5"/>
  <c r="J222" i="5"/>
  <c r="J223" i="5"/>
  <c r="J6" i="5"/>
  <c r="J224" i="5"/>
  <c r="J225" i="5"/>
  <c r="J226" i="5"/>
  <c r="J227" i="5"/>
  <c r="J228" i="5"/>
  <c r="J229" i="5"/>
  <c r="J230" i="5"/>
  <c r="J231" i="5"/>
  <c r="J8" i="5"/>
  <c r="J232" i="5"/>
  <c r="J235" i="5"/>
  <c r="J236" i="5"/>
  <c r="J237" i="5"/>
  <c r="J238" i="5"/>
  <c r="J239" i="5"/>
  <c r="J240" i="5"/>
  <c r="J241" i="5"/>
  <c r="J35" i="5"/>
  <c r="J37" i="5"/>
  <c r="J38" i="5"/>
  <c r="J39" i="5"/>
  <c r="J21" i="5"/>
  <c r="J40" i="5"/>
  <c r="J41" i="5"/>
  <c r="J42" i="5"/>
  <c r="J43" i="5"/>
  <c r="J17" i="5"/>
  <c r="J44" i="5"/>
  <c r="J45" i="5"/>
  <c r="J46" i="5"/>
  <c r="J47" i="5"/>
  <c r="J48" i="5"/>
  <c r="J49" i="5"/>
  <c r="J50" i="5"/>
  <c r="J51" i="5"/>
  <c r="J52" i="5"/>
  <c r="J53" i="5"/>
  <c r="J54" i="5"/>
  <c r="J55" i="5"/>
  <c r="J56" i="5"/>
  <c r="J57" i="5"/>
  <c r="J58" i="5"/>
  <c r="J59" i="5"/>
  <c r="J60" i="5"/>
  <c r="J61" i="5"/>
  <c r="J62" i="5"/>
  <c r="J7" i="5"/>
  <c r="J63" i="5"/>
  <c r="J22" i="5"/>
  <c r="J64" i="5"/>
  <c r="J65" i="5"/>
  <c r="J15" i="5"/>
  <c r="J66" i="5"/>
  <c r="J67" i="5"/>
  <c r="J68" i="5"/>
  <c r="J69" i="5"/>
  <c r="J70" i="5"/>
  <c r="J71" i="5"/>
  <c r="J72" i="5"/>
  <c r="J73" i="5"/>
  <c r="J74" i="5"/>
  <c r="J75" i="5"/>
  <c r="J76" i="5"/>
  <c r="J77" i="5"/>
  <c r="J78" i="5"/>
  <c r="J79" i="5"/>
  <c r="J80" i="5"/>
  <c r="J81" i="5"/>
  <c r="J82" i="5"/>
  <c r="J83" i="5"/>
  <c r="J84" i="5"/>
  <c r="J25" i="5"/>
  <c r="J26" i="5"/>
  <c r="J29" i="5"/>
  <c r="J85" i="5"/>
  <c r="J86" i="5"/>
  <c r="J18" i="5"/>
  <c r="J87" i="5"/>
  <c r="J88" i="5"/>
  <c r="J89" i="5"/>
  <c r="J90" i="5"/>
  <c r="J91" i="5"/>
  <c r="J92" i="5"/>
  <c r="J93" i="5"/>
  <c r="J94" i="5"/>
  <c r="J95" i="5"/>
  <c r="J96" i="5"/>
  <c r="J30" i="5"/>
  <c r="J97" i="5"/>
  <c r="J98" i="5"/>
  <c r="J99" i="5"/>
  <c r="J100" i="5"/>
  <c r="J101" i="5"/>
  <c r="J102" i="5"/>
  <c r="J103" i="5"/>
  <c r="J104" i="5"/>
  <c r="J105" i="5"/>
  <c r="J106" i="5"/>
  <c r="J107" i="5"/>
  <c r="J108" i="5"/>
  <c r="J109" i="5"/>
  <c r="J110" i="5"/>
  <c r="J111" i="5"/>
  <c r="J112" i="5"/>
  <c r="J113" i="5"/>
  <c r="J114" i="5"/>
  <c r="J115" i="5"/>
  <c r="J16" i="5"/>
  <c r="J116" i="5"/>
  <c r="J117" i="5"/>
  <c r="J118" i="5"/>
  <c r="J24" i="5"/>
  <c r="J119" i="5"/>
  <c r="J120" i="5"/>
  <c r="J121" i="5"/>
  <c r="J32" i="5"/>
  <c r="J122" i="5"/>
  <c r="J123" i="5"/>
  <c r="J34" i="5"/>
  <c r="J23" i="5"/>
  <c r="J124" i="5"/>
  <c r="J125" i="5"/>
  <c r="J126" i="5"/>
  <c r="J128" i="5"/>
  <c r="J129" i="5"/>
  <c r="J130" i="5"/>
  <c r="J131" i="5"/>
  <c r="J132" i="5"/>
  <c r="J133" i="5"/>
  <c r="J134" i="5"/>
  <c r="J19" i="5"/>
  <c r="J136" i="5"/>
  <c r="J137" i="5"/>
  <c r="J138" i="5"/>
  <c r="J139" i="5"/>
  <c r="J140" i="5"/>
  <c r="J141" i="5"/>
  <c r="J142" i="5"/>
  <c r="Q199" i="2"/>
  <c r="Q198" i="2"/>
  <c r="Q139" i="2"/>
  <c r="Q178" i="2"/>
  <c r="Q96" i="2"/>
  <c r="Q29" i="2"/>
  <c r="Q94" i="2"/>
  <c r="Q92" i="2"/>
  <c r="Q91" i="2"/>
  <c r="Q90" i="2"/>
  <c r="Q89" i="2"/>
  <c r="Q88" i="2"/>
  <c r="Q87" i="2"/>
  <c r="Q86" i="2"/>
  <c r="Q17" i="2"/>
  <c r="Q84" i="2"/>
  <c r="Q28" i="2"/>
  <c r="Q25" i="2"/>
  <c r="Q24" i="2"/>
  <c r="Q82" i="2"/>
  <c r="Q81" i="2"/>
  <c r="Q80" i="2"/>
  <c r="Q79" i="2"/>
  <c r="Q78" i="2"/>
  <c r="Q77" i="2"/>
  <c r="Q76" i="2"/>
  <c r="Q75" i="2"/>
  <c r="Q74" i="2"/>
  <c r="Q73" i="2"/>
  <c r="Q72" i="2"/>
  <c r="Q71" i="2"/>
  <c r="Q70" i="2"/>
  <c r="Q68" i="2"/>
  <c r="Q67" i="2"/>
  <c r="Q66" i="2"/>
  <c r="Q65" i="2"/>
  <c r="Q14" i="2"/>
  <c r="Q64" i="2"/>
  <c r="Q63" i="2"/>
  <c r="Q21" i="2"/>
  <c r="Q62" i="2"/>
  <c r="Q6" i="2"/>
  <c r="Q61" i="2"/>
  <c r="Q60" i="2"/>
  <c r="Q59" i="2"/>
  <c r="Q58" i="2"/>
  <c r="Q57" i="2"/>
  <c r="Q56" i="2"/>
  <c r="Q55" i="2"/>
  <c r="Q107" i="2"/>
  <c r="Q54" i="2"/>
  <c r="Q53" i="2"/>
  <c r="Q52" i="2"/>
  <c r="Q51" i="2"/>
  <c r="Q50" i="2"/>
  <c r="Q49" i="2"/>
  <c r="Q48" i="2"/>
  <c r="Q47" i="2"/>
  <c r="Q46" i="2"/>
  <c r="Q45" i="2"/>
  <c r="Q44" i="2"/>
  <c r="Q43" i="2"/>
  <c r="Q16" i="2"/>
  <c r="Q42" i="2"/>
  <c r="Q41" i="2"/>
  <c r="Q38" i="2"/>
  <c r="Q36" i="2"/>
  <c r="Q35" i="2"/>
  <c r="Q34" i="2"/>
  <c r="Q240" i="2"/>
  <c r="Q238" i="2"/>
  <c r="Q237" i="2"/>
  <c r="Q236" i="2"/>
  <c r="Q235" i="2"/>
  <c r="Q234" i="2"/>
  <c r="Q233" i="2"/>
  <c r="Q232" i="2"/>
  <c r="Q231" i="2"/>
  <c r="Q230" i="2"/>
  <c r="Q228" i="2"/>
  <c r="Q227" i="2"/>
  <c r="Q225" i="2"/>
  <c r="Q223" i="2"/>
  <c r="Q40" i="2"/>
  <c r="Q39" i="2"/>
  <c r="Q20" i="2"/>
  <c r="Q224" i="2"/>
  <c r="Q5" i="2"/>
  <c r="Q222" i="2"/>
  <c r="Q221" i="2"/>
  <c r="Q220" i="2"/>
  <c r="Q12" i="2"/>
  <c r="Q218" i="2"/>
  <c r="Q217" i="2"/>
  <c r="Q216" i="2"/>
  <c r="Q3" i="2"/>
  <c r="Q2" i="2"/>
  <c r="Q213" i="2"/>
  <c r="Q8" i="2"/>
  <c r="Q215" i="2"/>
  <c r="Q214" i="2"/>
  <c r="Q212" i="2"/>
  <c r="Q27" i="2"/>
  <c r="Q210" i="2"/>
  <c r="Q209" i="2"/>
  <c r="Q208" i="2"/>
  <c r="Q206" i="2"/>
  <c r="Q205" i="2"/>
  <c r="Q204" i="2"/>
  <c r="Q203" i="2"/>
  <c r="Q202" i="2"/>
  <c r="Q241" i="2"/>
  <c r="Q201" i="2"/>
  <c r="Q196" i="2"/>
  <c r="Q195" i="2"/>
  <c r="Q193" i="2"/>
  <c r="Q184" i="2"/>
  <c r="Q9" i="2"/>
  <c r="Q177" i="2"/>
  <c r="Q30" i="2"/>
  <c r="Q106" i="2"/>
  <c r="Q105" i="2"/>
  <c r="Q104" i="2"/>
  <c r="Q103" i="2"/>
  <c r="Q102" i="2"/>
  <c r="Q101" i="2"/>
  <c r="Q100" i="2"/>
  <c r="Q99" i="2"/>
  <c r="Q98" i="2"/>
  <c r="Q108" i="2"/>
  <c r="Q109" i="2"/>
  <c r="Q110" i="2"/>
  <c r="Q111" i="2"/>
  <c r="Q112" i="2"/>
  <c r="Q113" i="2"/>
  <c r="Q114" i="2"/>
  <c r="Q15" i="2"/>
  <c r="Q115" i="2"/>
  <c r="Q116" i="2"/>
  <c r="Q117" i="2"/>
  <c r="Q23" i="2"/>
  <c r="Q187" i="2"/>
  <c r="Q185" i="2"/>
  <c r="Q182" i="2"/>
  <c r="Q181" i="2"/>
  <c r="Q180" i="2"/>
  <c r="Q32" i="2"/>
  <c r="Q176" i="2"/>
  <c r="Q175" i="2"/>
  <c r="Q174" i="2"/>
  <c r="Q173" i="2"/>
  <c r="Q4" i="2"/>
  <c r="Q13" i="2"/>
</calcChain>
</file>

<file path=xl/comments1.xml><?xml version="1.0" encoding="utf-8"?>
<comments xmlns="http://schemas.openxmlformats.org/spreadsheetml/2006/main">
  <authors>
    <author>Microsoft Office User</author>
    <author>ST</author>
  </authors>
  <commentList>
    <comment ref="S52" authorId="0" shapeId="0">
      <text>
        <r>
          <rPr>
            <sz val="10"/>
            <color rgb="FF000000"/>
            <rFont val="Calibri"/>
            <family val="2"/>
          </rPr>
          <t xml:space="preserve">They moved from 52∘N TO 55∘30'N
</t>
        </r>
      </text>
    </comment>
    <comment ref="R58" authorId="0" shapeId="0">
      <text>
        <r>
          <rPr>
            <b/>
            <sz val="10"/>
            <color indexed="81"/>
            <rFont val="Calibri"/>
            <family val="2"/>
          </rPr>
          <t xml:space="preserve">Weak latitudional response. </t>
        </r>
      </text>
    </comment>
    <comment ref="S58" authorId="0" shapeId="0">
      <text>
        <r>
          <rPr>
            <b/>
            <sz val="10"/>
            <color indexed="81"/>
            <rFont val="Calibri"/>
            <family val="2"/>
          </rPr>
          <t>Bottomward average for all species is 3.6
latitudional shift is heterogenues !</t>
        </r>
      </text>
    </comment>
    <comment ref="S63" authorId="0" shapeId="0">
      <text>
        <r>
          <rPr>
            <b/>
            <sz val="10"/>
            <color indexed="81"/>
            <rFont val="Calibri"/>
            <family val="2"/>
          </rPr>
          <t xml:space="preserve">NCP= Northern Central point
NOP= Northern Outhern point
OP=Optimum Point
In average 3.3Km/Per year </t>
        </r>
      </text>
    </comment>
    <comment ref="S64" authorId="0" shapeId="0">
      <text>
        <r>
          <rPr>
            <b/>
            <sz val="10"/>
            <color indexed="81"/>
            <rFont val="Calibri"/>
            <family val="2"/>
          </rPr>
          <t xml:space="preserve">Mt. Karkar Island(113m) and 
Karkar Island (152) for upper limte
Mt. Karkar Island(95m) and 
Karkar Island (123m) for Lower limite
</t>
        </r>
      </text>
    </comment>
    <comment ref="S67" authorId="0" shapeId="0">
      <text>
        <r>
          <rPr>
            <b/>
            <sz val="10"/>
            <color indexed="81"/>
            <rFont val="Calibri"/>
            <family val="2"/>
          </rPr>
          <t>Southern Groups</t>
        </r>
      </text>
    </comment>
    <comment ref="K73" authorId="0" shapeId="0">
      <text>
        <r>
          <rPr>
            <b/>
            <sz val="10"/>
            <color indexed="81"/>
            <rFont val="Calibri"/>
            <family val="2"/>
          </rPr>
          <t>13 Taxonomic group</t>
        </r>
      </text>
    </comment>
    <comment ref="P73" authorId="0" shapeId="0">
      <text>
        <r>
          <rPr>
            <b/>
            <sz val="10"/>
            <color indexed="81"/>
            <rFont val="Calibri"/>
            <family val="2"/>
          </rPr>
          <t>Birds time period was slightly different (1966-75 &amp;1986-95 &amp; 2001-10)</t>
        </r>
      </text>
    </comment>
    <comment ref="S230" authorId="0" shapeId="0">
      <text>
        <r>
          <rPr>
            <b/>
            <sz val="10"/>
            <color rgb="FF000000"/>
            <rFont val="Calibri"/>
            <family val="2"/>
          </rPr>
          <t xml:space="preserve">The average is for  fire-adopted species
</t>
        </r>
        <r>
          <rPr>
            <b/>
            <sz val="10"/>
            <color rgb="FF000000"/>
            <rFont val="Calibri"/>
            <family val="2"/>
          </rPr>
          <t>Shift for non-fire adopted : -273m</t>
        </r>
      </text>
    </comment>
    <comment ref="S231" authorId="1" shapeId="0">
      <text>
        <r>
          <rPr>
            <b/>
            <sz val="10"/>
            <color rgb="FF000000"/>
            <rFont val="Calibri"/>
            <family val="2"/>
          </rPr>
          <t>212Km(birds) and 135(Km)butterflies , lag behind climate change.</t>
        </r>
      </text>
    </comment>
    <comment ref="S234" authorId="0" shapeId="0">
      <text>
        <r>
          <rPr>
            <b/>
            <sz val="10"/>
            <color rgb="FF000000"/>
            <rFont val="Calibri"/>
            <family val="2"/>
          </rPr>
          <t>The result is average elevations of geometrid moth distribution  for 208 species-Species with &gt;3 individuals in each year mean shift = 58.9</t>
        </r>
      </text>
    </comment>
    <comment ref="S235" authorId="0" shapeId="0">
      <text>
        <r>
          <rPr>
            <b/>
            <sz val="10"/>
            <color rgb="FF000000"/>
            <rFont val="Calibri"/>
            <family val="2"/>
          </rPr>
          <t>Moved from Atlantic ocean to North Sea</t>
        </r>
      </text>
    </comment>
  </commentList>
</comments>
</file>

<file path=xl/comments2.xml><?xml version="1.0" encoding="utf-8"?>
<comments xmlns="http://schemas.openxmlformats.org/spreadsheetml/2006/main">
  <authors>
    <author>Microsoft Office User</author>
    <author>ST</author>
  </authors>
  <commentList>
    <comment ref="U7" authorId="0" shapeId="0">
      <text>
        <r>
          <rPr>
            <b/>
            <sz val="10"/>
            <color indexed="81"/>
            <rFont val="Calibri"/>
            <family val="2"/>
          </rPr>
          <t>They considered diet( trophic guilds) for all species and divide species  for their food diet( Fruits, Insects,Nectar, Omnivorous)</t>
        </r>
      </text>
    </comment>
    <comment ref="X21" authorId="0" shapeId="0">
      <text>
        <r>
          <rPr>
            <b/>
            <sz val="10"/>
            <color indexed="81"/>
            <rFont val="Calibri"/>
            <family val="2"/>
          </rPr>
          <t>Only in discussion not tested in method</t>
        </r>
      </text>
    </comment>
    <comment ref="Q68" authorId="0" shapeId="0">
      <text>
        <r>
          <rPr>
            <b/>
            <sz val="10"/>
            <color indexed="81"/>
            <rFont val="Calibri"/>
            <family val="2"/>
          </rPr>
          <t>Lentic/Lotic and Generalist</t>
        </r>
      </text>
    </comment>
    <comment ref="Q73" authorId="0" shapeId="0">
      <text>
        <r>
          <rPr>
            <b/>
            <sz val="10"/>
            <color indexed="81"/>
            <rFont val="Calibri"/>
            <family val="2"/>
          </rPr>
          <t>Species are divided based on their habitat : Northern,Southern, Running water, Lakes and bogs , Fenland</t>
        </r>
      </text>
    </comment>
    <comment ref="L100" authorId="1" shapeId="0">
      <text>
        <r>
          <rPr>
            <b/>
            <sz val="10"/>
            <color indexed="81"/>
            <rFont val="Calibri"/>
            <family val="2"/>
          </rPr>
          <t>Direction and magnitude of shifts in the wighted centroid of the population assessed</t>
        </r>
      </text>
    </comment>
    <comment ref="Q182" authorId="1" shapeId="0">
      <text>
        <r>
          <rPr>
            <b/>
            <sz val="10"/>
            <color rgb="FF000000"/>
            <rFont val="Calibri"/>
            <family val="2"/>
          </rPr>
          <t>Shits assessed in each habitat (forest/ mixed tundra etc.)</t>
        </r>
      </text>
    </comment>
    <comment ref="X207" authorId="0" shapeId="0">
      <text>
        <r>
          <rPr>
            <b/>
            <sz val="10"/>
            <color indexed="81"/>
            <rFont val="Calibri"/>
            <family val="2"/>
          </rPr>
          <t>Is mentioned that the main is warming</t>
        </r>
      </text>
    </comment>
    <comment ref="T219" authorId="1" shapeId="0">
      <text>
        <r>
          <rPr>
            <b/>
            <sz val="10"/>
            <color rgb="FF000000"/>
            <rFont val="Calibri"/>
            <family val="2"/>
          </rPr>
          <t>Checked for host plant</t>
        </r>
      </text>
    </comment>
  </commentList>
</comments>
</file>

<file path=xl/sharedStrings.xml><?xml version="1.0" encoding="utf-8"?>
<sst xmlns="http://schemas.openxmlformats.org/spreadsheetml/2006/main" count="8233" uniqueCount="2211">
  <si>
    <t>P.Code</t>
  </si>
  <si>
    <t xml:space="preserve">Authors </t>
  </si>
  <si>
    <t>Pattern Detection</t>
  </si>
  <si>
    <t>Attribution</t>
  </si>
  <si>
    <t>Representation</t>
  </si>
  <si>
    <t xml:space="preserve"> </t>
  </si>
  <si>
    <t xml:space="preserve">Type of shift </t>
  </si>
  <si>
    <t>_</t>
  </si>
  <si>
    <t>Mist frequency pattern</t>
  </si>
  <si>
    <t>Temperature</t>
  </si>
  <si>
    <t>Climate change observed in the region</t>
  </si>
  <si>
    <t>Global warming</t>
  </si>
  <si>
    <t xml:space="preserve">Global warming </t>
  </si>
  <si>
    <t>Climate Change &amp; Habitat loss(Host plant)</t>
  </si>
  <si>
    <t>A century of climate change</t>
  </si>
  <si>
    <t>Climate change</t>
  </si>
  <si>
    <t>Climate Change</t>
  </si>
  <si>
    <t>Climate velocity</t>
  </si>
  <si>
    <t>Grazing for one scpecies and climate for the other species</t>
  </si>
  <si>
    <t>Map</t>
  </si>
  <si>
    <t>L.Sp</t>
  </si>
  <si>
    <t>Code</t>
  </si>
  <si>
    <t>Title</t>
  </si>
  <si>
    <t>Journal</t>
  </si>
  <si>
    <t xml:space="preserve">Authors  </t>
  </si>
  <si>
    <t>Year</t>
  </si>
  <si>
    <t>Taxon</t>
  </si>
  <si>
    <t>N</t>
  </si>
  <si>
    <t>Spatial scale</t>
  </si>
  <si>
    <t>Study Area</t>
  </si>
  <si>
    <t xml:space="preserve">Time period  </t>
  </si>
  <si>
    <t xml:space="preserve">Type of Shift  </t>
  </si>
  <si>
    <t>Ecosystem</t>
  </si>
  <si>
    <t>Biological response to climate change on a tropical mountain</t>
  </si>
  <si>
    <t>Nature</t>
  </si>
  <si>
    <t>Local</t>
  </si>
  <si>
    <t>Upslope</t>
  </si>
  <si>
    <t>Extinction vulnerability of tropical montane endemism from warming and upslope displacement: a preliminary appraisal for the highest massif in Madagascar</t>
  </si>
  <si>
    <t>Global Change Biology</t>
  </si>
  <si>
    <t>Madagascar -Tsaratanana Massif</t>
  </si>
  <si>
    <t>Terrestrial</t>
  </si>
  <si>
    <t>Elevation increases in moth assemblages over 42 years on a tropical mountain</t>
  </si>
  <si>
    <t>Proceedings of the National Academy of Sciences</t>
  </si>
  <si>
    <t>Regional</t>
  </si>
  <si>
    <t>The Condor</t>
  </si>
  <si>
    <t>Birds</t>
  </si>
  <si>
    <t>Southeastern Asia</t>
  </si>
  <si>
    <t>Upward range extension of Andean anurans and chytridiomycosis to extreme elevations in response to tropical deglaciation</t>
  </si>
  <si>
    <t>Amphibians</t>
  </si>
  <si>
    <t>Changes to the elevational limits and extent of species ranges associated with climate change</t>
  </si>
  <si>
    <t>Butterflies</t>
  </si>
  <si>
    <t>Insects</t>
  </si>
  <si>
    <t>Climate effects on mountain plants</t>
  </si>
  <si>
    <t>Plants(Vascular plants)</t>
  </si>
  <si>
    <t>4m/Decade</t>
  </si>
  <si>
    <t>Uphill shifts in distribution of butterflies in the Czech Republic:effects of changing climatet detected on a regional scale</t>
  </si>
  <si>
    <t>Global Ecology and Biogeography</t>
  </si>
  <si>
    <t>Czech Republic</t>
  </si>
  <si>
    <t>Rapid recent range-margin rise of tree and shrub species in the Swedish Scandes</t>
  </si>
  <si>
    <t>Journal of Ecology</t>
  </si>
  <si>
    <t xml:space="preserve">Arctic alpine vegetation change over 20 years </t>
  </si>
  <si>
    <t>Plants</t>
  </si>
  <si>
    <t>Ecography</t>
  </si>
  <si>
    <t>Upslope/Downslope</t>
  </si>
  <si>
    <t>Diversity and Distribution</t>
  </si>
  <si>
    <t>Breeding upward when climate is becoming warmer : no bird response in the French Alps</t>
  </si>
  <si>
    <t>Ibis</t>
  </si>
  <si>
    <t>France(French Alps)</t>
  </si>
  <si>
    <t>Britain</t>
  </si>
  <si>
    <t>70-100 Km/130-150 m</t>
  </si>
  <si>
    <t>Impact of a Century Climate Change on Small-Mammal communities in Yosemite National Park, USA</t>
  </si>
  <si>
    <t>Science</t>
  </si>
  <si>
    <t>Mammels</t>
  </si>
  <si>
    <t>A significant upward shift in plant species optimum elevation during the 20th century</t>
  </si>
  <si>
    <t xml:space="preserve">Science </t>
  </si>
  <si>
    <t>Upward migration of vascular plants following climate warming trend in Alps</t>
  </si>
  <si>
    <t>Basic and Applied Ecology</t>
  </si>
  <si>
    <t>Italy(Rhaetian Alps)</t>
  </si>
  <si>
    <t>Journal of Vegetation Science</t>
  </si>
  <si>
    <t>Changes in Climatic Water Balance Drive Downhill shifts in plant species optimum elevation</t>
  </si>
  <si>
    <t>USA(California)</t>
  </si>
  <si>
    <t>The push and pull of climate change causes heterogeneous shifts in avian elevational ranges</t>
  </si>
  <si>
    <t>Marrine taxa track local climate velocities</t>
  </si>
  <si>
    <t>Continental</t>
  </si>
  <si>
    <t>USA(Costal survey)</t>
  </si>
  <si>
    <t>Multidirectional</t>
  </si>
  <si>
    <t>Marine</t>
  </si>
  <si>
    <t xml:space="preserve">Elevational advance of alpine plant communities is buffered by herbivory </t>
  </si>
  <si>
    <t>Two high-mountain burnet moth species (Lepidoptera, Zygaenidae) react differently to the global change drives climate and land-use</t>
  </si>
  <si>
    <t>Biological Conservation</t>
  </si>
  <si>
    <t>France</t>
  </si>
  <si>
    <t>Upward shift in elevational plant species ranges in Sikkilsdalen, Central Norway</t>
  </si>
  <si>
    <t>Norway(Sikkilsdalen)</t>
  </si>
  <si>
    <t>The role of species' ecological traits in climatically driven altitudinal range shift of central European birds</t>
  </si>
  <si>
    <t>OIKOS</t>
  </si>
  <si>
    <t>A weak upward elevational shift in the distribution of breeding birds in the Italian Alps</t>
  </si>
  <si>
    <t>Brids</t>
  </si>
  <si>
    <t>Italy(Alps)</t>
  </si>
  <si>
    <t>Ecologinal Modelling</t>
  </si>
  <si>
    <t>Swiss</t>
  </si>
  <si>
    <t>Biology Letters</t>
  </si>
  <si>
    <t>Northeast Atlantic Ocean</t>
  </si>
  <si>
    <t xml:space="preserve">An elevational shift in butterfly species richness and composition  accompaniying recent climate change </t>
  </si>
  <si>
    <t>Evidence for rising upper limits of four native New Zealand forest trees</t>
  </si>
  <si>
    <t>New Zealand Journal of Botany</t>
  </si>
  <si>
    <t>New Zealnad</t>
  </si>
  <si>
    <t>100 m</t>
  </si>
  <si>
    <t>Decline of arctic-alpine plants at the southern margin of their range following a decade of climatic warming</t>
  </si>
  <si>
    <t>Trend in upward shift of alpine plants</t>
  </si>
  <si>
    <t>Swiss(Alps)</t>
  </si>
  <si>
    <t>Low impact of climate change on subalpine grassland in the Swiss Northern Alps</t>
  </si>
  <si>
    <t>Climate impact on plankton Ecosystem in the Northeast Atlantic</t>
  </si>
  <si>
    <t>Long-term increases in prevalence of North Sea fishes having southern biogeographic affinities</t>
  </si>
  <si>
    <t>Marine Ecology Progress Series</t>
  </si>
  <si>
    <t>Fish</t>
  </si>
  <si>
    <t>An increase in the abundance of anchovies and sardins in the north-western North Sea since 1995</t>
  </si>
  <si>
    <t>North Sea (North western)</t>
  </si>
  <si>
    <t>A global change-induce biome shift in the montseny mountain (NE Spain)</t>
  </si>
  <si>
    <t>Poleward shifts in breeding bird distribution in New York state</t>
  </si>
  <si>
    <t>USA(New York State)</t>
  </si>
  <si>
    <t>Rapid poleward range expansion of tropical reef corals in response to rising sea surface temperatures</t>
  </si>
  <si>
    <t>Geophysical Research Letters</t>
  </si>
  <si>
    <t>Coral reefs</t>
  </si>
  <si>
    <t>Range contraction in large pelagic predator</t>
  </si>
  <si>
    <t>Austria(Mount Schronkagel, a Gloria master site in the central Tyrolean Alps</t>
  </si>
  <si>
    <t xml:space="preserve"> -24.5m/Study time,Mean of both site</t>
  </si>
  <si>
    <t>USA(California,Sierra Nevada mountain)</t>
  </si>
  <si>
    <t xml:space="preserve">Multi directional </t>
  </si>
  <si>
    <t>Do stream fish track climate change? Assessing distribution shifts in recent decades</t>
  </si>
  <si>
    <t xml:space="preserve"> Changes in Temperature</t>
  </si>
  <si>
    <t>Not mentioned</t>
  </si>
  <si>
    <t>Northward</t>
  </si>
  <si>
    <t>Spain(Sierra de Guadarrama)</t>
  </si>
  <si>
    <t>Northward/Abundance</t>
  </si>
  <si>
    <t>USA(Montana,Glacial Natural Park)</t>
  </si>
  <si>
    <t>27.8m/Decade</t>
  </si>
  <si>
    <t>SST</t>
  </si>
  <si>
    <t>Rising SST</t>
  </si>
  <si>
    <t>Spain(Catalonia)</t>
  </si>
  <si>
    <t>Warming / Antropic pressure</t>
  </si>
  <si>
    <t>Japan(Pacific ocean)</t>
  </si>
  <si>
    <t>Global</t>
  </si>
  <si>
    <t>Beetles</t>
  </si>
  <si>
    <t xml:space="preserve">Climate change and elevational range shifts:evidence from dung beetles in two European mountain ranges </t>
  </si>
  <si>
    <t>104m(ALP)/172m(SN)</t>
  </si>
  <si>
    <t>Proceeding of Royal society of London</t>
  </si>
  <si>
    <t>plants</t>
  </si>
  <si>
    <t>The Range  margins of northern birds shift poleward</t>
  </si>
  <si>
    <t>JSTOR</t>
  </si>
  <si>
    <t>Finland</t>
  </si>
  <si>
    <t>18.8km/12 years</t>
  </si>
  <si>
    <t>Compounded effects of climate change and habitat alteration shift patterns of butterfly diversity</t>
  </si>
  <si>
    <t>93.35m/35 years</t>
  </si>
  <si>
    <t>Plant species's range shift in mountainous areas- all uphill from here?</t>
  </si>
  <si>
    <t>Botanica Helvetica</t>
  </si>
  <si>
    <t>European Alps</t>
  </si>
  <si>
    <t>Contrasting effect of climatic and habitat changes on birds with northern range limits in central europe as revealed by an analysis of breeding bird distribution in the Czech Republic</t>
  </si>
  <si>
    <t>Acta Ornithologica</t>
  </si>
  <si>
    <t>Climate and habitat change</t>
  </si>
  <si>
    <t>Focus on poleward shifts in species' distribution understimates the fingerprint of climate change</t>
  </si>
  <si>
    <t>Nature Climate Change</t>
  </si>
  <si>
    <t>Australia</t>
  </si>
  <si>
    <t>1.27km/year</t>
  </si>
  <si>
    <t>Climate velocity-Regional climate change</t>
  </si>
  <si>
    <t xml:space="preserve">Bird extended therir ranges northward </t>
  </si>
  <si>
    <t>18.87Km/Study time</t>
  </si>
  <si>
    <t>Poleward shift in geographical ranges of butterfly species associated with regional warming</t>
  </si>
  <si>
    <t>Europe(UK, Sweeden,Finland,Estonia,France, Spain, Algeria, Tunesia,Morocco)</t>
  </si>
  <si>
    <t>A northward shift of range margins in British Odonata</t>
  </si>
  <si>
    <t>Global change Biology</t>
  </si>
  <si>
    <t>Rocky intertidal Community of invertebrates</t>
  </si>
  <si>
    <t>Interspecific competition and the geographic distribution of red and arctic foxes</t>
  </si>
  <si>
    <t>Erurasia and North America(Canada)</t>
  </si>
  <si>
    <t>Climate  and species' range</t>
  </si>
  <si>
    <t>Northward/Upslop</t>
  </si>
  <si>
    <t>Rapid responses of British butterflies to opposing forces of climate and habitat change</t>
  </si>
  <si>
    <t>Breeding distribution of North American bird species moving north as a result of climate change</t>
  </si>
  <si>
    <t>Conservation  Biology</t>
  </si>
  <si>
    <t>USA</t>
  </si>
  <si>
    <t>2.3km/year</t>
  </si>
  <si>
    <t xml:space="preserve">Diversity of birds in eastern North America shifts north with global warming </t>
  </si>
  <si>
    <t>Ecology and Evolution</t>
  </si>
  <si>
    <t>USA(Eastern United State)</t>
  </si>
  <si>
    <t>Richness increased~2.4 species over the period</t>
  </si>
  <si>
    <t>Climate change and distributions in marine fishes</t>
  </si>
  <si>
    <t>Northward/Upper in depth</t>
  </si>
  <si>
    <t>172.3Km/Study time</t>
  </si>
  <si>
    <t>Rapid shift in plant distribution with recent climate change</t>
  </si>
  <si>
    <t>Upward</t>
  </si>
  <si>
    <t>Recent changes in local climate</t>
  </si>
  <si>
    <t>Birds tracking climate warming but not fast enough</t>
  </si>
  <si>
    <t>91Km/Study period</t>
  </si>
  <si>
    <t xml:space="preserve">The distribution of a wide range of taxonomic groups are expanding polward </t>
  </si>
  <si>
    <t xml:space="preserve">Terrestrial </t>
  </si>
  <si>
    <t xml:space="preserve">Species traits explain recent change shift of Finnish butterflies </t>
  </si>
  <si>
    <t>59.9 Km/Study period</t>
  </si>
  <si>
    <t>The Southwestern Naturalist</t>
  </si>
  <si>
    <t>North America</t>
  </si>
  <si>
    <t>5 Km/per year</t>
  </si>
  <si>
    <t>Do distributional shift of northern and southern species of algae match the waming pattern</t>
  </si>
  <si>
    <t>Portugal (Coast)</t>
  </si>
  <si>
    <t>235 Km/Study period</t>
  </si>
  <si>
    <t>Shifts in southern endpoints of distribution in rocky intertidal species along the south eastern pacific coast</t>
  </si>
  <si>
    <t>Journal of Biogeography</t>
  </si>
  <si>
    <t>Chilean Coast</t>
  </si>
  <si>
    <t>Northward shifts of the Distribution of Spanish Reptiles in Association with climate change</t>
  </si>
  <si>
    <t>Spain</t>
  </si>
  <si>
    <t>Reptiles</t>
  </si>
  <si>
    <t>15.2 Km/Study period</t>
  </si>
  <si>
    <t>Upward expansion of fire-adopted grasses along a warming tropical elevation gradient</t>
  </si>
  <si>
    <t>USA(Hawaii)</t>
  </si>
  <si>
    <t>454 m/Study Period</t>
  </si>
  <si>
    <t>plants(19C4 &amp;14 C3,9Native)</t>
  </si>
  <si>
    <t>Climate change &amp; Increase fire frequency</t>
  </si>
  <si>
    <t>Systematic range shift lags among a pollinator species assemblage following climate change</t>
  </si>
  <si>
    <t>Botany</t>
  </si>
  <si>
    <t>Canada</t>
  </si>
  <si>
    <t>37Km(Birds)/ 114 Km(Butterflies)</t>
  </si>
  <si>
    <t>Europe(France,Czech Republic,Netherlands, Sweeden,UK,Catalonia</t>
  </si>
  <si>
    <t>Differences in the climatic debts of birds and butterflies at a continental scale</t>
  </si>
  <si>
    <t>Shifts of forest species along an elevational gradient in southeast France: Climate change or stand maturation</t>
  </si>
  <si>
    <t>France(Southeast)</t>
  </si>
  <si>
    <t>12.6 m / Study Period</t>
  </si>
  <si>
    <t>A rapid upward shift of a forest ecoton during 40 years of warming in the Green Mountains of Vermont</t>
  </si>
  <si>
    <t>USA(Green Mountains Vermont)</t>
  </si>
  <si>
    <t>Upslope/Abundance</t>
  </si>
  <si>
    <t>Malaysia(Mount Kinabalu, Sabah)</t>
  </si>
  <si>
    <t>Asymmetric boundary shifts of tropical mountain Lepidoptera over four decades of climate warming</t>
  </si>
  <si>
    <t>52.3 m/Study Period(Average of all species)</t>
  </si>
  <si>
    <t>Climate variability drives anchovies and sardines in to the North and Baltic Sea</t>
  </si>
  <si>
    <t>Fishes</t>
  </si>
  <si>
    <t>Progress in Ocenography</t>
  </si>
  <si>
    <t>North Sea</t>
  </si>
  <si>
    <t>Ontario freshwater fishes demonstrate differing range-boundary shift in a warming climate</t>
  </si>
  <si>
    <t>12.9 (relative)- 17.5 (absolute)Km/Decade</t>
  </si>
  <si>
    <t>Climate driven changes in northeastern US butterfly communities</t>
  </si>
  <si>
    <t>Canada (Ontario)</t>
  </si>
  <si>
    <t>US(Massachusetts)</t>
  </si>
  <si>
    <t>The Breeding ranges of central European and Arctic Brid Species move poleward</t>
  </si>
  <si>
    <t>PLOSONE</t>
  </si>
  <si>
    <t>Ecology Letters</t>
  </si>
  <si>
    <t>164 m/95 Years</t>
  </si>
  <si>
    <t>Switzerland</t>
  </si>
  <si>
    <t>With that diet, you will go far: trait-based analysis reveals a link between rapid range expansion and a nitrogen-favoured diet.</t>
  </si>
  <si>
    <t>The Royal Society: Biological Sicences</t>
  </si>
  <si>
    <t>Sweeden</t>
  </si>
  <si>
    <t>Impact of climate change on eel populations of the Northern hemispher</t>
  </si>
  <si>
    <t>Europe(Germany, Netherlands,France,Spain)&amp;US(North Carolina, New Jersey) &amp; Canada (Ontario)&amp;Japan</t>
  </si>
  <si>
    <t>South Africa(Kruger National Park)</t>
  </si>
  <si>
    <t>Changing distributions of larger ungulates in the Kruger National Park from ecological aerial survey data</t>
  </si>
  <si>
    <t>Koedoe</t>
  </si>
  <si>
    <t>Range dynamics of small mammals along an elevational gradient over an 80-year interval</t>
  </si>
  <si>
    <t>USA(Ruby mountains Span in North Eastern Nevada)</t>
  </si>
  <si>
    <t>200 m/Study period(Average in both direction)</t>
  </si>
  <si>
    <t>Climate Change &amp; Landuse histories</t>
  </si>
  <si>
    <t>Latitudinal range shifts of tree species in the United states across multi-decadal scales</t>
  </si>
  <si>
    <r>
      <rPr>
        <i/>
        <sz val="9"/>
        <color theme="1"/>
        <rFont val="Calibri (Body)"/>
      </rPr>
      <t>~</t>
    </r>
    <r>
      <rPr>
        <i/>
        <sz val="9"/>
        <color theme="1"/>
        <rFont val="Calibri"/>
        <family val="2"/>
        <scheme val="minor"/>
      </rPr>
      <t xml:space="preserve"> 65m/Study period</t>
    </r>
  </si>
  <si>
    <t>Climate Change , Land-use, Naturalization &amp; Disturbance</t>
  </si>
  <si>
    <t>Rapid altitudinal migration of mountain plants in Taiwan and its implications for high altitude biodiversity</t>
  </si>
  <si>
    <t>Taiwan</t>
  </si>
  <si>
    <t>3.6 m/ year</t>
  </si>
  <si>
    <t xml:space="preserve">Regional </t>
  </si>
  <si>
    <t>Reduced variability in range-edge butterfly population over three decades of climate warming</t>
  </si>
  <si>
    <t>Observed range dynamics of South African amphibians under conditions of global change</t>
  </si>
  <si>
    <t>Austral Ecology</t>
  </si>
  <si>
    <t>South Africa</t>
  </si>
  <si>
    <t>Upslope/Westward</t>
  </si>
  <si>
    <t xml:space="preserve">47.6m /17Km/Study period </t>
  </si>
  <si>
    <t>Land cover</t>
  </si>
  <si>
    <t>BX</t>
  </si>
  <si>
    <t>KT;ID;MY;RP;SN</t>
  </si>
  <si>
    <t>P-CV</t>
  </si>
  <si>
    <t>p-SG</t>
  </si>
  <si>
    <t>P-SG</t>
  </si>
  <si>
    <t>Al-AU;Al-SW</t>
  </si>
  <si>
    <t>EZ</t>
  </si>
  <si>
    <t>P-SWS</t>
  </si>
  <si>
    <t>Sweeden(Cievrratjakka, mountainside in northern Sweden)</t>
  </si>
  <si>
    <t>P-SWC</t>
  </si>
  <si>
    <t>AL-FR</t>
  </si>
  <si>
    <t>UK</t>
  </si>
  <si>
    <t>P-CAY</t>
  </si>
  <si>
    <t>P-P;P-J;P-V;PC</t>
  </si>
  <si>
    <t>P-TA</t>
  </si>
  <si>
    <t>Al-IT</t>
  </si>
  <si>
    <t>Al-SW</t>
  </si>
  <si>
    <t>US-CA</t>
  </si>
  <si>
    <t>P-CAS</t>
  </si>
  <si>
    <t>P-NO1;P-NO2</t>
  </si>
  <si>
    <t>P-PSF</t>
  </si>
  <si>
    <t>FR</t>
  </si>
  <si>
    <t>P-NOS</t>
  </si>
  <si>
    <t>P-EZK</t>
  </si>
  <si>
    <t>SZ</t>
  </si>
  <si>
    <t>NZ</t>
  </si>
  <si>
    <t>P-MGN</t>
  </si>
  <si>
    <t>S-ATNE</t>
  </si>
  <si>
    <t>S-NS</t>
  </si>
  <si>
    <t>SP-CA</t>
  </si>
  <si>
    <t>US-NE</t>
  </si>
  <si>
    <t>S-PO</t>
  </si>
  <si>
    <t>P-SPS</t>
  </si>
  <si>
    <t>FI</t>
  </si>
  <si>
    <t>Al-AU;Al-FR;Al-GM;Al-IT;Al-Slo;Al-SW</t>
  </si>
  <si>
    <t>AG;EN;FI;FR;MO;SP-CA;SW;SP;TS;UK</t>
  </si>
  <si>
    <t>P-CAI</t>
  </si>
  <si>
    <t>CA-AL;CA-BC;CA-MA;CA-NB;CA-NL;CA-NWT-CA-NS;CA-N;CA-O;CA-PEI;CA-Q;CA-SAS;CA-Y</t>
  </si>
  <si>
    <t>S-CAM</t>
  </si>
  <si>
    <t>US-AL;US-ALS;US-AS;US-R;US-ARK;US-CA;US-COL;US-NMI;US-CON;US-DEL;US-COL;US-FL;US-GEO;IS-G;US-HA;US-IDA;US-III;US-IND;US-LO;US-KAN;US-KEN;US-LO;US-MA;US-MAR;US-MAS;US-MIC;US-MIN;US-MISS;US-MIS;US-MON;US-NEB;US-NEV;US-NH;US-NEW;US-NM;US-NEW;US-NC;US-ND;US-OH;US-OKL-US-O;US-PEN;US-PR;US-RI;US-SC;US-SD;US-TEN;US-T;US-VI;US-UT;US-VER;US-VI;US-WA;US-WV;US-WI;US-WY</t>
  </si>
  <si>
    <t>US-NEW;US-AL;US-CON;US-DEL;US-COL;US-FL;US-GEO;US-III;US-IND;US-KEN;US-MA;US-MAR;US-MAS;US-MIC;US-NH;US-NEW;US-NC;US-OH;US-PEN;US-SC;US-TEN;US-VER;US-VI;US-WV-US-WI</t>
  </si>
  <si>
    <t>S-PC</t>
  </si>
  <si>
    <t>S-CC</t>
  </si>
  <si>
    <t>SP-CA;SP</t>
  </si>
  <si>
    <t>US-HA</t>
  </si>
  <si>
    <t>EZ;FR;NL;SP;CA;SW;UK</t>
  </si>
  <si>
    <t>P-USV</t>
  </si>
  <si>
    <t>P-MAK</t>
  </si>
  <si>
    <t>CA-O</t>
  </si>
  <si>
    <t>US-MAS</t>
  </si>
  <si>
    <t>SW</t>
  </si>
  <si>
    <t>P-SFN</t>
  </si>
  <si>
    <t>P-USR</t>
  </si>
  <si>
    <t>TW</t>
  </si>
  <si>
    <t>SF</t>
  </si>
  <si>
    <t>Interrogating recent range change in South African birds: Confounding signals from landuse and climate change present a challenge for attribution</t>
  </si>
  <si>
    <t>Soutward/Westward</t>
  </si>
  <si>
    <t>Long-term decline in krill stock and increase in salps whithin the Southern Ocean</t>
  </si>
  <si>
    <t>krill;slpap</t>
  </si>
  <si>
    <t>Antratic</t>
  </si>
  <si>
    <t>Rocky intertidal Species(Gastropods ;Chitons)</t>
  </si>
  <si>
    <t>Odonata;Orthoptera; Neuroptera; Butterflies; Spiders;Herptiles;Fish;mammles;woodlice; ground beetles; harvestmen; millipedes;longhorn bettles; soldier beetles; allies; aquatic bugs; birds</t>
  </si>
  <si>
    <t>Odonata(Dragonflies ; damselflies)</t>
  </si>
  <si>
    <t>Fishes(Tuna ; Billfish)</t>
  </si>
  <si>
    <t>Bioms(Beech;heathlands; Holm oak forest)</t>
  </si>
  <si>
    <t>Reptiels;Amphibians</t>
  </si>
  <si>
    <t>Abundance</t>
  </si>
  <si>
    <t>AY</t>
  </si>
  <si>
    <t>11 ; 19</t>
  </si>
  <si>
    <t>Taxa</t>
  </si>
  <si>
    <t>9490; 2130</t>
  </si>
  <si>
    <t>Mammals</t>
  </si>
  <si>
    <t>Mammals(Ungulate Species)</t>
  </si>
  <si>
    <t>Birds ; Butterflies</t>
  </si>
  <si>
    <t>Climate change impacts on bumblebees converge across continents</t>
  </si>
  <si>
    <t>Bumblebees</t>
  </si>
  <si>
    <t>1901 - 2010</t>
  </si>
  <si>
    <t>Upslope/Northward/Southward</t>
  </si>
  <si>
    <t>No significant shift Upward</t>
  </si>
  <si>
    <t>Lat</t>
  </si>
  <si>
    <t>Long</t>
  </si>
  <si>
    <t>Abund</t>
  </si>
  <si>
    <t>Landuse</t>
  </si>
  <si>
    <t>Competition</t>
  </si>
  <si>
    <t>Interaction</t>
  </si>
  <si>
    <t>Trait</t>
  </si>
  <si>
    <t>Main driving force</t>
  </si>
  <si>
    <t>Rapid range expansion and community reorganization in response to warming</t>
  </si>
  <si>
    <t>Vascular plants</t>
  </si>
  <si>
    <t>Marion Island(Southern Indian Ocean)</t>
  </si>
  <si>
    <t>Upslope migration of Andean trees</t>
  </si>
  <si>
    <t>P-MAR</t>
  </si>
  <si>
    <t>1.2º C</t>
  </si>
  <si>
    <t>H</t>
  </si>
  <si>
    <t>Andean trees</t>
  </si>
  <si>
    <t>South-Eastern Peru (Manu National Park)</t>
  </si>
  <si>
    <t>2.5 m/ Year</t>
  </si>
  <si>
    <t>Long-term warming</t>
  </si>
  <si>
    <t>P-NM</t>
  </si>
  <si>
    <t>Ecology</t>
  </si>
  <si>
    <t>Hawaii (Mauna Loa)</t>
  </si>
  <si>
    <t>61 m/study period</t>
  </si>
  <si>
    <t>P-HML</t>
  </si>
  <si>
    <t>Climate Change/ But is difficult to assign a single distinc driver for the recent dramatic increase in plant diversity</t>
  </si>
  <si>
    <t>Responses of butterflies to twentieth century climate warming:implications for future range</t>
  </si>
  <si>
    <t>Southward/Upslope</t>
  </si>
  <si>
    <t xml:space="preserve">Climate Change, Dispersal limitation </t>
  </si>
  <si>
    <t>Moth</t>
  </si>
  <si>
    <t>Ecological applications</t>
  </si>
  <si>
    <t>Climate-Induced elevational range shifts and increase in plant species richness in a Himalayan biodiversity Epicenter</t>
  </si>
  <si>
    <t>Himalya(India)</t>
  </si>
  <si>
    <t>27.53 m/Decade</t>
  </si>
  <si>
    <t>P-H</t>
  </si>
  <si>
    <t>Immigration of southern fish species to south-west England linked to warming of the North Atlantic (1960-2001)</t>
  </si>
  <si>
    <t>Journal of the marine Biological Association of the UK</t>
  </si>
  <si>
    <t>Britain(Cornwall coast)</t>
  </si>
  <si>
    <t>UK-C</t>
  </si>
  <si>
    <t>Changes in Euro-Atlantic fish species compositon resulting from fishing and ocean warming</t>
  </si>
  <si>
    <t>Italina Journal of Zoology</t>
  </si>
  <si>
    <t>North Eastern Atlantic</t>
  </si>
  <si>
    <t>Ocean warming/Fishery</t>
  </si>
  <si>
    <t>3.5 º/ Study period</t>
  </si>
  <si>
    <t>Changes in fish distribution in the eastern North Atlantic : are we seeing a coherent response to changing temperature</t>
  </si>
  <si>
    <t>ICES Marine Science Symposia</t>
  </si>
  <si>
    <t>S-AO</t>
  </si>
  <si>
    <t xml:space="preserve">North Sea </t>
  </si>
  <si>
    <t>S-NS1</t>
  </si>
  <si>
    <t xml:space="preserve"> SST</t>
  </si>
  <si>
    <t>S-NES</t>
  </si>
  <si>
    <t>Poleward shifts in winter ranges of North American birds</t>
  </si>
  <si>
    <t>1.48 Km/year(Northern boundary),0.45Km/year Centre of occurrence, 1.03Km/year Centre of abundance.</t>
  </si>
  <si>
    <t xml:space="preserve">Interaction between climate change and regional  anthropogenic activities </t>
  </si>
  <si>
    <t>US-AL;US-AS;US-R;US-ARK;US-CA;US-COL;US-NMI;US-CON;US-DEL;US-COL;US-FL;US-GEO;IS-G;US-HA;US-IDA;US-III;US-IND;US-LO;US-KAN;US-KEN;US-LO;US-MA;US-MAR;US-MAS;US-MIC;US-MIN;US-MISS;US-MIS;US-MON;US-NEB;US-NEV;US-NH;US-NEW;US-NM;US-NEW;US-NC;US-ND;US-OH;US-OKL-US-O;US-PEN;US-PR;US-RI;US-SC;US-SD;US-TEN;US-T;US-VI;US-UT;US-VER;US-VI;US-WA;US-WV;US-WI;US-WY</t>
  </si>
  <si>
    <t>Failure to migrant : lack of tree range expansion in response to climate change</t>
  </si>
  <si>
    <t>Eastern United States</t>
  </si>
  <si>
    <t>No evidence for climate-driven migration</t>
  </si>
  <si>
    <t>US-AL; US.ARK; US.CON; US-DEL; US-COL; US-FL; US-GEO; US-Ill; US-IND; US-LO; US-KEN; US-LO; US-MA; US-MAS; US-MIC; US-MIN; US-MISS; US-MIS; US-NH; US-NEW; US-NEW; US-NC; US-OH;US-PEN; US-RI; US-SC; US-TEN; US-VER; US-WV; US-WI;US-MAR;US-VI</t>
  </si>
  <si>
    <t>British Butterfly distributions and the 2010 target</t>
  </si>
  <si>
    <t>Journal Of Insect Conservation</t>
  </si>
  <si>
    <t>79Km/Study period</t>
  </si>
  <si>
    <t>Climate Warming</t>
  </si>
  <si>
    <t>Dramatic response to climate change in the Southwest: Robert Whittaker's 1963 Arizona mountain plants transect revised.</t>
  </si>
  <si>
    <t>US(Arizona)</t>
  </si>
  <si>
    <t>240m/Study period</t>
  </si>
  <si>
    <t>P-USC</t>
  </si>
  <si>
    <t>Climate change and deepening of the North Sea fish assemblage: a biotic indicator or warming seas</t>
  </si>
  <si>
    <t>Journal of Applied Ecology</t>
  </si>
  <si>
    <t>3.6m/Decade</t>
  </si>
  <si>
    <t>Elev/Depth</t>
  </si>
  <si>
    <t xml:space="preserve">Nine decades of north Sea sole and plaice distribution </t>
  </si>
  <si>
    <t>ICES Journal of Marine Science</t>
  </si>
  <si>
    <t>Climate Change &amp; long-term changes in fishing pressure</t>
  </si>
  <si>
    <t>Northward/Sothward/Westward</t>
  </si>
  <si>
    <t>Climate-related, decadal scale assemblage changes of seagrass-associated fishes in the northern Gulf of Mexico</t>
  </si>
  <si>
    <t>Gulf of Mexico</t>
  </si>
  <si>
    <t>3 º/ Study period</t>
  </si>
  <si>
    <t>S-GOM</t>
  </si>
  <si>
    <t>Penguin</t>
  </si>
  <si>
    <t>Contrasting population changes in sympatric penguein species in association with climate warming</t>
  </si>
  <si>
    <t>Ice events/ warming Events and Interaction between 2 events</t>
  </si>
  <si>
    <t>P-ASI</t>
  </si>
  <si>
    <t>S-EBS</t>
  </si>
  <si>
    <t>S-GLV</t>
  </si>
  <si>
    <t>30%-90% Decline in abundance</t>
  </si>
  <si>
    <t>Elevational ranges of birds on a tropical montane gradient lag behind warming temperature</t>
  </si>
  <si>
    <t>Climate Zone</t>
  </si>
  <si>
    <t>Tropical</t>
  </si>
  <si>
    <t>Upward/Abundance</t>
  </si>
  <si>
    <t>49m/Study period 12m/Decade</t>
  </si>
  <si>
    <t>P-CDS</t>
  </si>
  <si>
    <t>Moth count: recording moths for conservation in the UK</t>
  </si>
  <si>
    <t>Journal of Insect Conservation</t>
  </si>
  <si>
    <t>Moths</t>
  </si>
  <si>
    <t>194.8Km/Study period</t>
  </si>
  <si>
    <t>Some polward movement of British native vascular plants is occurring, but the fingerprint of climate change is not evident</t>
  </si>
  <si>
    <t>Peer J</t>
  </si>
  <si>
    <t>The geographic range of British birds expands during 15 years of warming</t>
  </si>
  <si>
    <t>Bird Study</t>
  </si>
  <si>
    <t>Temperate</t>
  </si>
  <si>
    <t xml:space="preserve">Temperate </t>
  </si>
  <si>
    <t>48.8Km(NOP)/42.3Km(NCP)21Km/OP</t>
  </si>
  <si>
    <t>Rapid upslope shifts in New Guinean birds illustrate strong distributional responses of tropical montane species to global warming</t>
  </si>
  <si>
    <t xml:space="preserve">Upslope </t>
  </si>
  <si>
    <t>113m &amp; 152m Upper limite &amp; 95m/123m lower limite</t>
  </si>
  <si>
    <t>P-PPK;P-PPMK</t>
  </si>
  <si>
    <t>Directionality of recent bird distribution shifts and climate change in Great Britain.</t>
  </si>
  <si>
    <t>Northeast/Northwest</t>
  </si>
  <si>
    <t>Uk</t>
  </si>
  <si>
    <t>Differences in shift of wintering and breeding ranges lead to changing migration distances in European birds</t>
  </si>
  <si>
    <t>Journal of Avian Biology</t>
  </si>
  <si>
    <t>Cold</t>
  </si>
  <si>
    <t>Breeding(2.24 &amp; -1.6Km/year)Wintering(5.83 &amp; -6.92 Km/year)</t>
  </si>
  <si>
    <t>Patterns of climate-indueced density shifts of species:poleward shifts faster in northern boreal birds than in southern birds</t>
  </si>
  <si>
    <t>1.26 Km/Year</t>
  </si>
  <si>
    <t>Northward/Density</t>
  </si>
  <si>
    <t>Temperature  Change</t>
  </si>
  <si>
    <t>Polar</t>
  </si>
  <si>
    <t>The upper limits of vegetation on Mauna Loa, Hawaii":a 50th -anniversary reassessment</t>
  </si>
  <si>
    <t>Recent range shift of European dragonflies provide support  for an inverse relationship between habitat predictability and dispersal</t>
  </si>
  <si>
    <t>Dragonflies</t>
  </si>
  <si>
    <t xml:space="preserve">insects </t>
  </si>
  <si>
    <t>Europe</t>
  </si>
  <si>
    <t>EZ;BE;FO;GR;EI;MK;IM;MW;UK;FR;FI;SP-CA;SP;SW;EN;NL;AL;AU;BK;BU;BO;HR;DA;GM;HU;IT;LG;LH;NO;PL;PO;RO;SR;LO;UP</t>
  </si>
  <si>
    <t>115 Km/Decade</t>
  </si>
  <si>
    <t>Little change in the distribution of rocky shore faunal communities on the Australian east coast after 50 years of rapid warming</t>
  </si>
  <si>
    <t>Journal of Experimental Marine Biology and Ecology</t>
  </si>
  <si>
    <t>Australian East Coast</t>
  </si>
  <si>
    <t>Rocky shore faunal communities</t>
  </si>
  <si>
    <t>Northward&lt; 30%</t>
  </si>
  <si>
    <t>AS-EC</t>
  </si>
  <si>
    <t>The average is not mentioned</t>
  </si>
  <si>
    <t>Climate driven range changes in Tasmanian intertidal fauna</t>
  </si>
  <si>
    <t>Marine and Freshwater Research</t>
  </si>
  <si>
    <t>Intertidal fauna</t>
  </si>
  <si>
    <t>South Eastern Coas of Australia</t>
  </si>
  <si>
    <t>Possible climate-induced shift of stoneflies in a southern Appalachian catchement</t>
  </si>
  <si>
    <t>Freshwater Science</t>
  </si>
  <si>
    <t>Stonflies</t>
  </si>
  <si>
    <t>Terrestrial (Fresh water)</t>
  </si>
  <si>
    <t>P-GSM</t>
  </si>
  <si>
    <t>150m/Study period</t>
  </si>
  <si>
    <t>~ 29 Km/Decade</t>
  </si>
  <si>
    <t>ECT</t>
  </si>
  <si>
    <t>Climate-driven changes in abundance and distribution of larvae of oceanic fishes in the southern California region</t>
  </si>
  <si>
    <t>Fishes(Larval fish data)</t>
  </si>
  <si>
    <t>NorthWestward/Abundance</t>
  </si>
  <si>
    <t>SCR</t>
  </si>
  <si>
    <t xml:space="preserve">~0.72℃ </t>
  </si>
  <si>
    <t>0.22 ℃  /Decade</t>
  </si>
  <si>
    <t>1.5 ℃  /Decade</t>
  </si>
  <si>
    <t>1.7 ℃  North/1.4 ℃  South</t>
  </si>
  <si>
    <t>Changes in the range of dragonflies in the Netherlands and the possible role of temperature change</t>
  </si>
  <si>
    <t>BioRisk</t>
  </si>
  <si>
    <t>The Netherlands</t>
  </si>
  <si>
    <t>Water temperature/water quality improvement /Restoration of natural morphology</t>
  </si>
  <si>
    <t>Trend and abundance</t>
  </si>
  <si>
    <t xml:space="preserve">~0.7℃ </t>
  </si>
  <si>
    <t>NL</t>
  </si>
  <si>
    <t>Biological Journal of the Linnean Society</t>
  </si>
  <si>
    <t>Geographic range margines of many taxonomic groups continue to shift poleward</t>
  </si>
  <si>
    <t xml:space="preserve">0.21 / 0.28 ℃ </t>
  </si>
  <si>
    <t>23Km/Decade-1st Interval &amp; 18.0Km/Decade-2st Interval</t>
  </si>
  <si>
    <t>Birds;Butterflies;Dragonflies and Damselflies;Macromoths;Grasshoppers and allies;Hoverflies;Ladybirds;Woodlice;Centipedes;Harvestmen;Herptiles;Millipedes;Spiders;Ants;Aquatic bugs;Bees;Caddisflies;Ground beetles;Shieldbugs;Soldierflies and allies;Wasps;Auchenorrhyncha;Click beetles;Craneflies;Fleas;Gelechiid moth;Jewelled beetles;Lacewings;Longhorned bettles;Lacewings;Long horned beetles; Mayflies; Non-marine molluscs;Plantbugs and allies;Plum moths;Predaceous diving bettles;Soldierbettles and allies;Ticks;Water scavenger beetles</t>
  </si>
  <si>
    <t>Birds;Insecta;Crustacea;Myriapoda;Arachnida;Reptiles</t>
  </si>
  <si>
    <t>Temperature tracking by North Sea benthic invertebrates in response to climate change</t>
  </si>
  <si>
    <t>Northwest</t>
  </si>
  <si>
    <t>0.42 SST/0.31 SBT</t>
  </si>
  <si>
    <t>3.8 - 7.3 Km/year</t>
  </si>
  <si>
    <t>Annelida;Crustacea;Echinodermata;Mollusca;</t>
  </si>
  <si>
    <t>Intertidal Invertebrates</t>
  </si>
  <si>
    <t>Tracking of climatic niche boundaries under recent climate change</t>
  </si>
  <si>
    <t>Jounal of Animal Ecology</t>
  </si>
  <si>
    <t>1975 - 2009</t>
  </si>
  <si>
    <t>Cold;Dry;Temperate</t>
  </si>
  <si>
    <t>Minimum Winter Temperature</t>
  </si>
  <si>
    <t>Diverse in response</t>
  </si>
  <si>
    <t>Disappearnce of boreal plants in southern Britain: habitat loos or climate change?</t>
  </si>
  <si>
    <t>Northward(weak) &amp; other direction</t>
  </si>
  <si>
    <t>July Mean Temperature</t>
  </si>
  <si>
    <t>Decline Species</t>
  </si>
  <si>
    <t>Only vascular plants Decline was observed</t>
  </si>
  <si>
    <t>Upward ant distribution shift corresponds with minimum, not maximu, temperate tolerance</t>
  </si>
  <si>
    <t>Ants</t>
  </si>
  <si>
    <t>insects</t>
  </si>
  <si>
    <t>Minimum Temperature(Regional long term climate effect)</t>
  </si>
  <si>
    <t>P-NG</t>
  </si>
  <si>
    <t>Ecological hindcasting of biogeographic responses to climate change in the European intertidal zone</t>
  </si>
  <si>
    <t>Hydrobiologia</t>
  </si>
  <si>
    <t>~ 300 Km from 1923</t>
  </si>
  <si>
    <t>Crustacea;Annelida</t>
  </si>
  <si>
    <t>West Europe intertidal</t>
  </si>
  <si>
    <t xml:space="preserve">~ 1.2℃ </t>
  </si>
  <si>
    <t>S-WEC</t>
  </si>
  <si>
    <t>Individualistic species limitations of climate-induced range expansions generated by meso-scale dispersal barriers</t>
  </si>
  <si>
    <t>DIVERSITY and Distribution</t>
  </si>
  <si>
    <t>Britain(South coast)</t>
  </si>
  <si>
    <t>S-SCB</t>
  </si>
  <si>
    <t>Mollusca;Crustacea</t>
  </si>
  <si>
    <t>3;1</t>
  </si>
  <si>
    <t>Climate flickers and range shift of reef corals</t>
  </si>
  <si>
    <t>Frontieries in Ecology and the Environment</t>
  </si>
  <si>
    <t>Cnidaria</t>
  </si>
  <si>
    <t>~50 Km</t>
  </si>
  <si>
    <t>S-FGM</t>
  </si>
  <si>
    <t>Climate-Related change in an intertidal community over short and long time scale</t>
  </si>
  <si>
    <t>Ecological Monographs</t>
  </si>
  <si>
    <t xml:space="preserve">~0.79℃ </t>
  </si>
  <si>
    <t>T.N</t>
  </si>
  <si>
    <t>Annelida;Chordata;Cnidaria;Crustacea;Echinodermata;Sipuncula</t>
  </si>
  <si>
    <t>2;2;4;10;6;37;1</t>
  </si>
  <si>
    <t>S-CMB</t>
  </si>
  <si>
    <t>Changes in an assemblage of temperate reef fishes associated with a climate shift</t>
  </si>
  <si>
    <t>15 - 25 %</t>
  </si>
  <si>
    <t>Temperature and food suply</t>
  </si>
  <si>
    <t>P-CA</t>
  </si>
  <si>
    <t>Dry</t>
  </si>
  <si>
    <t>P-CNP;P-CAY;P-SKC</t>
  </si>
  <si>
    <t xml:space="preserve">Heterogenous </t>
  </si>
  <si>
    <t>Synchronicity in elevation range shifts among small mammals and vegetation over the last century in stronger for omnivores</t>
  </si>
  <si>
    <t>1930 -2008</t>
  </si>
  <si>
    <t>Detecting and attributing the effect of climate change on the changes in the distribution of Quinghai-Tibet plateau large mammal species over the past 50 years</t>
  </si>
  <si>
    <t>Mammal Research</t>
  </si>
  <si>
    <t>Eastward/Westward</t>
  </si>
  <si>
    <t>P-CHQT</t>
  </si>
  <si>
    <t>Climate-induced changes in the small mammal communities of the Northern Great Lakes Region</t>
  </si>
  <si>
    <t>~ 225 Km</t>
  </si>
  <si>
    <t>P-MGL</t>
  </si>
  <si>
    <t>Northward range shifts in Korean butterflies</t>
  </si>
  <si>
    <t>Climatic Change</t>
  </si>
  <si>
    <t>South Korea</t>
  </si>
  <si>
    <t>KS</t>
  </si>
  <si>
    <t xml:space="preserve">Insects </t>
  </si>
  <si>
    <t>~13 m (Over all)</t>
  </si>
  <si>
    <t xml:space="preserve">Northward density shift of bird species in boreal protected areas due to climate change </t>
  </si>
  <si>
    <t>Boreal Environment Research</t>
  </si>
  <si>
    <t>Finland (Protected areas)</t>
  </si>
  <si>
    <t xml:space="preserve">Density Shift </t>
  </si>
  <si>
    <t>Climate change affects populations of northern birds in boreal protected areas</t>
  </si>
  <si>
    <t>Biology Letters(The Royal Society)</t>
  </si>
  <si>
    <t xml:space="preserve">~0.7_ 0.8℃ </t>
  </si>
  <si>
    <t>Perseving species population in the boreal zone in a changing climate: contrasting trends of bird species groups in a protected area network</t>
  </si>
  <si>
    <t>Nature Conservation</t>
  </si>
  <si>
    <t>Some like it hot! Rapid climate change promotes changes in distribution ranges of Nezara viridula and Nezara antennanta in Japan</t>
  </si>
  <si>
    <t>Entomologia Experimentalis et Applicata</t>
  </si>
  <si>
    <t>Japan</t>
  </si>
  <si>
    <t>~ 19 Km/Decade</t>
  </si>
  <si>
    <t>(Climate change) Mean January temperature and number of cold days</t>
  </si>
  <si>
    <t>JA</t>
  </si>
  <si>
    <t>Global warming and the change of butterfly distributions: a new opportunity for species diversity or a sever threat(Lepidoptera)</t>
  </si>
  <si>
    <t>Continental(Europe)</t>
  </si>
  <si>
    <t>13th International Colloquium of the European Invertebrate Survey</t>
  </si>
  <si>
    <t>BE;FI;SW;EN;NL;DA;GM;NO</t>
  </si>
  <si>
    <t>North by north-west: climate change and directions of density shifts in birds</t>
  </si>
  <si>
    <t>Northward/North-east</t>
  </si>
  <si>
    <t xml:space="preserve">37 Km-Density shift </t>
  </si>
  <si>
    <t>Global change biology</t>
  </si>
  <si>
    <t>Climate change- Isotherm</t>
  </si>
  <si>
    <t>Latitutional shifts in the distribution of exploited fishes in Korean waters during the last 30 years: a consequence of climate change</t>
  </si>
  <si>
    <t xml:space="preserve">~ 1℃ </t>
  </si>
  <si>
    <t>Reviews in Fish Biology and Fisheries</t>
  </si>
  <si>
    <t>Korean waters</t>
  </si>
  <si>
    <t>S-KOS</t>
  </si>
  <si>
    <t>Changes in geographic ranges in the avifauna of northern and central Europe in relation to recent changes in climate</t>
  </si>
  <si>
    <t>A Journal Of Ornithological Investigation</t>
  </si>
  <si>
    <t xml:space="preserve">Climatic factors </t>
  </si>
  <si>
    <t>FI;GM;SW</t>
  </si>
  <si>
    <t>Long-term decline of southern boreal forest birds: consequence of habitat alteration and climate change?</t>
  </si>
  <si>
    <t>Biodiversity and conservation</t>
  </si>
  <si>
    <t xml:space="preserve">Density Shift /Decline </t>
  </si>
  <si>
    <t>Climate change, habitat alteration or combined effect of both.</t>
  </si>
  <si>
    <t>Ecological correlates of distribution change and range shift in butterflies</t>
  </si>
  <si>
    <t>Insect conservation and diversity</t>
  </si>
  <si>
    <t>~22.6 Km</t>
  </si>
  <si>
    <t>Climate change(Isotherm direction)</t>
  </si>
  <si>
    <t>Attribution index for changes in migratory birds distribution: the role of climate change over the past 50 years in China</t>
  </si>
  <si>
    <t>Ecological Informatics</t>
  </si>
  <si>
    <t>China</t>
  </si>
  <si>
    <t>Precei</t>
  </si>
  <si>
    <t>CH</t>
  </si>
  <si>
    <t>Swedish birds are tracking temperature but not rainfall: Evidence from a decade of abundance changes</t>
  </si>
  <si>
    <t>Tracking lags in historical plant species'shifts in relation to regional climate change</t>
  </si>
  <si>
    <t>~ 49 ±29 Km</t>
  </si>
  <si>
    <t>Northward/Northwest</t>
  </si>
  <si>
    <t>US_WI</t>
  </si>
  <si>
    <t>Shifts in winter distribution in Birds : Effects of Global warming and local habitat change</t>
  </si>
  <si>
    <t>Royal Swedish Academy of Science</t>
  </si>
  <si>
    <t xml:space="preserve">Minimum Winter Temperature(Local Increased) </t>
  </si>
  <si>
    <t>MCC</t>
  </si>
  <si>
    <t>Climate change causes rapid changes in the distribution and site abundance of birds in winter</t>
  </si>
  <si>
    <t>~ 115 Km</t>
  </si>
  <si>
    <t>January Temperature</t>
  </si>
  <si>
    <t>BE;DA;FR;GM;EI;NL;UK</t>
  </si>
  <si>
    <t>Rapid changes in bird community composition at multiple temporal and spatial scales in response to recent climate change</t>
  </si>
  <si>
    <t>Summer Temperature</t>
  </si>
  <si>
    <t>~ 105 Km-~ 191 Km lag behind climate change</t>
  </si>
  <si>
    <t>Birds population trends are linearly affected by climate change along species thermal range</t>
  </si>
  <si>
    <t>roceedings. Biological sciences / The Royal Society</t>
  </si>
  <si>
    <t>France;The Netherlands;Sweeden</t>
  </si>
  <si>
    <t>NL;FR;SW</t>
  </si>
  <si>
    <t>Temperate;Cold</t>
  </si>
  <si>
    <t xml:space="preserve">Changes in abundances of forest undersotyrey birds on Africa's highest mountain suggest subtle effects of climate change </t>
  </si>
  <si>
    <t>Mount Kilimanjaro(Tanzania)</t>
  </si>
  <si>
    <t>13 % Abundance increased with elevation</t>
  </si>
  <si>
    <t>P-TKIL</t>
  </si>
  <si>
    <t xml:space="preserve">Climate change in our backyards: the reshuffling of North America's winter bird communities </t>
  </si>
  <si>
    <t>7.1 Km/Per year(150 Km/Study period)</t>
  </si>
  <si>
    <t>Winter Minimum Temperature</t>
  </si>
  <si>
    <t>US-CON;US-GEO;US-MA;US-MAR;US-NH;US-NEW;US-NC;US-PEN;US-SC;US-VER;US-VI;US-WV</t>
  </si>
  <si>
    <t>North Eastern USA</t>
  </si>
  <si>
    <t>Large-scale changes in community composition: determining land use and climate change signals</t>
  </si>
  <si>
    <t>Climate change &amp; Landuse change</t>
  </si>
  <si>
    <t>Impact of climate and land-use change on wintering bird populations in Finland</t>
  </si>
  <si>
    <t>Journal Of Avian Biology</t>
  </si>
  <si>
    <t>Wintering population</t>
  </si>
  <si>
    <t>~2.50 ℃ -Early winter temperature</t>
  </si>
  <si>
    <t>Plants, birds and butterflies: short-term responses of species communities to climate warming vary by taxon and with altitude</t>
  </si>
  <si>
    <t>Plants;Butterflies;Birds</t>
  </si>
  <si>
    <t>CIT/CTV</t>
  </si>
  <si>
    <t>~0.35℃/Decade</t>
  </si>
  <si>
    <t>(P)-8 m; (B)-38m; (Bi)-42m/Study period</t>
  </si>
  <si>
    <t>AS-A;AS-CT;AS-CSI;AS-NS;AS-NT;AS-QL,AS-SA;AS-V;AS-VA</t>
  </si>
  <si>
    <t>Animalia</t>
  </si>
  <si>
    <t>Kingdom</t>
  </si>
  <si>
    <t>Changes in plant community composition lag behind climate warming in lowland forests</t>
  </si>
  <si>
    <t>Forest Plant communities</t>
  </si>
  <si>
    <t xml:space="preserve">Climate change </t>
  </si>
  <si>
    <t>Plantae</t>
  </si>
  <si>
    <t>~1.05℃ /During 1987-2008</t>
  </si>
  <si>
    <t>The difference between floristically and climate separetely in leading edge and trailing edge.</t>
  </si>
  <si>
    <t>Species lag behind warming (Mor lag in lowland species)</t>
  </si>
  <si>
    <t>Long-term shifts in abundance and distribution of a temperate fish fauna: a response to climate change and fishing practices</t>
  </si>
  <si>
    <t>Tasmanian Sea</t>
  </si>
  <si>
    <t>~2.3 ℃/100 years</t>
  </si>
  <si>
    <t>S-SEAT</t>
  </si>
  <si>
    <t>Sea Ice retreat alters the biogeography of the Bering sea continental shelf</t>
  </si>
  <si>
    <t>Ecological Applications</t>
  </si>
  <si>
    <t>Annual center of distribution and relationship with depth water temperature</t>
  </si>
  <si>
    <t>Bering Sea</t>
  </si>
  <si>
    <t>Cold;Arctic</t>
  </si>
  <si>
    <t>Warming of the bottom temperature</t>
  </si>
  <si>
    <t>Algae</t>
  </si>
  <si>
    <t>Rapid biogeographical plankton shifts in the North Atlantic Ocean</t>
  </si>
  <si>
    <t>Zooplankton</t>
  </si>
  <si>
    <t>Crustacea</t>
  </si>
  <si>
    <t>North Atlantic Ocean(North eastern part)</t>
  </si>
  <si>
    <t>23.16 Km/Year</t>
  </si>
  <si>
    <t>Seaweed Communities in Retreat from Ocean warming</t>
  </si>
  <si>
    <t>Current Biology</t>
  </si>
  <si>
    <t>Seaweed</t>
  </si>
  <si>
    <t>Macroalgae</t>
  </si>
  <si>
    <t>Indian Ocean/Pacific Ocean(Australian Continent)</t>
  </si>
  <si>
    <t xml:space="preserve">~192 Km(East coast)/~64 Km West coast </t>
  </si>
  <si>
    <t>Boundary shift assessed</t>
  </si>
  <si>
    <t>Seventy years' observations of changes in distribution and abundance of zooplankton and intertidal organisms in the western English Channel in relation to rising sea temperature</t>
  </si>
  <si>
    <t>Thermal Biology</t>
  </si>
  <si>
    <t>Planktons</t>
  </si>
  <si>
    <t>Zooplankton;Fishes;Intertidal</t>
  </si>
  <si>
    <t>Crustacea;Fishes;Mullusca;Echinodermata</t>
  </si>
  <si>
    <t>8;2;6;2</t>
  </si>
  <si>
    <t>Survey and boundary shift</t>
  </si>
  <si>
    <t>~193 Km/Study period</t>
  </si>
  <si>
    <t>Southwest Britain and the Western English channel</t>
  </si>
  <si>
    <t>S-NAO</t>
  </si>
  <si>
    <t>S-PIA</t>
  </si>
  <si>
    <t>Demographic compensation and tipping points in climate-induced range shifts</t>
  </si>
  <si>
    <t>Western North Amercia</t>
  </si>
  <si>
    <t>Alternative Causal</t>
  </si>
  <si>
    <t>3;4</t>
  </si>
  <si>
    <t>Costa Rica (Monte verde)</t>
  </si>
  <si>
    <t>P-CR</t>
  </si>
  <si>
    <t xml:space="preserve">The overall size of Shift  </t>
  </si>
  <si>
    <t>P-MA</t>
  </si>
  <si>
    <t>~ 0.10 / 0.37 º C</t>
  </si>
  <si>
    <t xml:space="preserve">Temperature </t>
  </si>
  <si>
    <t>PNAS</t>
  </si>
  <si>
    <t>67 m/ Study Period</t>
  </si>
  <si>
    <t>Borneo(Mount Kinabalu)</t>
  </si>
  <si>
    <t>~0.7 º C</t>
  </si>
  <si>
    <t>399 ± 263 SD m/25 years</t>
  </si>
  <si>
    <t>Climate warming</t>
  </si>
  <si>
    <t>Survey</t>
  </si>
  <si>
    <t>2002 - 2005</t>
  </si>
  <si>
    <t>1975 - 2000</t>
  </si>
  <si>
    <t>1965 - 2007</t>
  </si>
  <si>
    <t>1993 - 2003</t>
  </si>
  <si>
    <t>Pathogenic-Bd /Deglaciasion</t>
  </si>
  <si>
    <t>1.3 º C</t>
  </si>
  <si>
    <t>~1.3 º C</t>
  </si>
  <si>
    <t>1967/73 - 2004</t>
  </si>
  <si>
    <t>Regional warming</t>
  </si>
  <si>
    <t>Bionary Logistic Regressio(P/A) against Elevation</t>
  </si>
  <si>
    <t>120 - 200 m/ Study Period</t>
  </si>
  <si>
    <t>Alps(Western Austria / Eastern Switzerland)</t>
  </si>
  <si>
    <t>1950/80 - 1981/94 - 1995/2001</t>
  </si>
  <si>
    <t>Mean elevational shifts compared between 2 periods</t>
  </si>
  <si>
    <t>1950 -  2000</t>
  </si>
  <si>
    <t>~0.8 º C</t>
  </si>
  <si>
    <t>Range boundary shift</t>
  </si>
  <si>
    <t>~ 2.0 º C</t>
  </si>
  <si>
    <t>1987 - 2007</t>
  </si>
  <si>
    <t>Relation between vegetation/years and altitude</t>
  </si>
  <si>
    <t>1973/74 - 2000/1</t>
  </si>
  <si>
    <t>2.3º C</t>
  </si>
  <si>
    <t>Impacts of climate warming and habitat loss on extinctions at species' low-latitude range boundaries</t>
  </si>
  <si>
    <t>Northward/Upslope</t>
  </si>
  <si>
    <t>1917 - 2004</t>
  </si>
  <si>
    <t>3º C</t>
  </si>
  <si>
    <t>~500m/ Study Period</t>
  </si>
  <si>
    <t>Occupancy Modeling</t>
  </si>
  <si>
    <t>1905/85 - 1986/2005</t>
  </si>
  <si>
    <t>Westrn Europe</t>
  </si>
  <si>
    <t>29.4± 10.9 m/Decade</t>
  </si>
  <si>
    <t>0.38º C</t>
  </si>
  <si>
    <t>1 º C</t>
  </si>
  <si>
    <t>Comparison with model prediction</t>
  </si>
  <si>
    <t>11.4% to 12.7%_Richness</t>
  </si>
  <si>
    <t>1994 - 2004</t>
  </si>
  <si>
    <t>1954/58 - 2003/5</t>
  </si>
  <si>
    <t>1.6º C Summer/1.1 º CWinter</t>
  </si>
  <si>
    <t>Vascular Plants</t>
  </si>
  <si>
    <t>Survey/ Regression line , using ordinary linear regression was used to divide taxa in to 2 groups :species with positive or negative deviance frtom the expected values</t>
  </si>
  <si>
    <t>1906/27 - 1995/2003/4</t>
  </si>
  <si>
    <t>One century of vegetation change on Isla Persa, a nunatak in the Bernina massif in the Swiss Alps</t>
  </si>
  <si>
    <t>Swiss(Isla Persa/Alps)</t>
  </si>
  <si>
    <t>1930/1935 - 2000/5</t>
  </si>
  <si>
    <t>Temperature/Precipitation</t>
  </si>
  <si>
    <t>Shift in optimum elevation</t>
  </si>
  <si>
    <t>Water Balance/ Precipitation</t>
  </si>
  <si>
    <t>~0.6º C</t>
  </si>
  <si>
    <t>Survey/ Regression</t>
  </si>
  <si>
    <t xml:space="preserve"> - 88.2m/Study Period</t>
  </si>
  <si>
    <t xml:space="preserve">Water availability OR Climate water deficit </t>
  </si>
  <si>
    <t>Precipitation</t>
  </si>
  <si>
    <t>~ 1 / 2 º C</t>
  </si>
  <si>
    <t>1917 - 2006</t>
  </si>
  <si>
    <t>Temperature and  Precipitation</t>
  </si>
  <si>
    <t>1968 - 2011</t>
  </si>
  <si>
    <t xml:space="preserve">Complex musaic of local climate velocities </t>
  </si>
  <si>
    <t>S-USC;S-EBS</t>
  </si>
  <si>
    <t>Fishes;Invertebrates</t>
  </si>
  <si>
    <t>2001 - 2009</t>
  </si>
  <si>
    <t>Norway(Southern Scandes)</t>
  </si>
  <si>
    <t>Grazing/Climate change</t>
  </si>
  <si>
    <t>3m / -4m/Study Period</t>
  </si>
  <si>
    <t>Geographic distance between plots</t>
  </si>
  <si>
    <t>1972 - 2008</t>
  </si>
  <si>
    <t>Pyrenees(France / Spain)</t>
  </si>
  <si>
    <t>148 m - 60m /Decade</t>
  </si>
  <si>
    <t>Land use/Grazing intensity</t>
  </si>
  <si>
    <t>Mean difference between the altitudes of recent and historical record</t>
  </si>
  <si>
    <t>~ 0.62  º C</t>
  </si>
  <si>
    <t>~ -0.7 º C/ Mean annual temperature</t>
  </si>
  <si>
    <t>1980/1992 - 2003/9</t>
  </si>
  <si>
    <t>Stream fishes</t>
  </si>
  <si>
    <t>0.24º C/ Decade</t>
  </si>
  <si>
    <t>1966 - 2006</t>
  </si>
  <si>
    <t>3.4 ±0.8 m / Year</t>
  </si>
  <si>
    <t>1922/32 - 2008</t>
  </si>
  <si>
    <t>plantae</t>
  </si>
  <si>
    <t>Upper and lower boundary and center of distribution was tested</t>
  </si>
  <si>
    <t>1986/88 - 1996/98 - 2006/8</t>
  </si>
  <si>
    <t xml:space="preserve">Czech Republic(Giant mountain/Krkonose) </t>
  </si>
  <si>
    <t>Marginal shift and species trait</t>
  </si>
  <si>
    <t>0.6º C</t>
  </si>
  <si>
    <t xml:space="preserve">Are Swiss birds tracking climate change ? Detecting elevational shifts using response curve shapes </t>
  </si>
  <si>
    <t>1992/94 - 2003/5</t>
  </si>
  <si>
    <t>29m/Study Period</t>
  </si>
  <si>
    <t>Sample based approach/ Gradient modelling</t>
  </si>
  <si>
    <t>Increase in Temperature OR Change in vegetation conver</t>
  </si>
  <si>
    <t>115m/Study period</t>
  </si>
  <si>
    <t>1999/2002 - 2004/7</t>
  </si>
  <si>
    <t xml:space="preserve">293 m/Study Period </t>
  </si>
  <si>
    <t>1967/73 -  2004/5</t>
  </si>
  <si>
    <t>survey and relationship with elevation</t>
  </si>
  <si>
    <t>Habitat lose/Fragmentation</t>
  </si>
  <si>
    <t>0.5º C</t>
  </si>
  <si>
    <t>1989 - 2002</t>
  </si>
  <si>
    <t>1912 - 2003</t>
  </si>
  <si>
    <t>1958 - 2002</t>
  </si>
  <si>
    <t>1925 - 2004</t>
  </si>
  <si>
    <t>1990 - 2003</t>
  </si>
  <si>
    <t>1945 - 2003</t>
  </si>
  <si>
    <t>1980/85 - 2000/5</t>
  </si>
  <si>
    <t>1930 - 2004</t>
  </si>
  <si>
    <t>1960 - 2000</t>
  </si>
  <si>
    <t>1992/93 - 2007SW Alps &amp;1981/82-2006/7 Sierra de Nevada</t>
  </si>
  <si>
    <t>NorthWard</t>
  </si>
  <si>
    <t>1974/79 - 1986/89</t>
  </si>
  <si>
    <t>1977/86 - 1988/2007</t>
  </si>
  <si>
    <t>1912 - 2006</t>
  </si>
  <si>
    <t>1985/89 - 2001/3</t>
  </si>
  <si>
    <t>1950  -  2010</t>
  </si>
  <si>
    <t>1968/72 - 1988/91</t>
  </si>
  <si>
    <t>1925 - 1999</t>
  </si>
  <si>
    <t>Euclidian distance to assess species composition between 2 time period</t>
  </si>
  <si>
    <t>cold</t>
  </si>
  <si>
    <t>Resurvey of floristic composition</t>
  </si>
  <si>
    <t>1.37º C</t>
  </si>
  <si>
    <t>Competition/Grazing/Rising temperature</t>
  </si>
  <si>
    <t>1954 - 1990 - 2002</t>
  </si>
  <si>
    <t xml:space="preserve">Species were compared for some important biological traits and growth. </t>
  </si>
  <si>
    <t>Cold;Dry</t>
  </si>
  <si>
    <t>Survey and the relationship between abundance and SST</t>
  </si>
  <si>
    <t>0.5º C Warmer regions/ 0.1 in Cooling region</t>
  </si>
  <si>
    <t>Wind speed/Salinity</t>
  </si>
  <si>
    <t>70m/Study Period</t>
  </si>
  <si>
    <t>1.4/ 1.2 º C</t>
  </si>
  <si>
    <t>Regression analyais conducted between the meteorological data and the years</t>
  </si>
  <si>
    <t>Northward/Downslop</t>
  </si>
  <si>
    <t>0.3º C</t>
  </si>
  <si>
    <t>Calculate the speed of coral range expansions along latitude based on occurrence record</t>
  </si>
  <si>
    <t>Tropical;Temperate</t>
  </si>
  <si>
    <t>The probability of presence</t>
  </si>
  <si>
    <t>France(South western Alp) / Spain(Sierra Nevada )</t>
  </si>
  <si>
    <t>0.8/0.9º C (Alps)1.2/1.3º C(SN)</t>
  </si>
  <si>
    <t>Land use alteration</t>
  </si>
  <si>
    <t>Shift in mean elevation/Frequency of occurrence versus years</t>
  </si>
  <si>
    <t xml:space="preserve">Climate change / Land use change </t>
  </si>
  <si>
    <t>Cold;Arctic;Temperate</t>
  </si>
  <si>
    <t>Shift in boundary</t>
  </si>
  <si>
    <t>Habitat change</t>
  </si>
  <si>
    <t>Changes in occupancy</t>
  </si>
  <si>
    <t>All directions</t>
  </si>
  <si>
    <t>Direction and magnitud of climate velocity</t>
  </si>
  <si>
    <t>Temperate;Dry;Tropical</t>
  </si>
  <si>
    <t>35-240 Km/ Study period</t>
  </si>
  <si>
    <t>88 Km/ Study period</t>
  </si>
  <si>
    <t>1960/70 - 1985/95</t>
  </si>
  <si>
    <t>0.8  º C</t>
  </si>
  <si>
    <t>0.75 º C</t>
  </si>
  <si>
    <t>1.26  º C/ year- Climate velocity</t>
  </si>
  <si>
    <t xml:space="preserve">Temperate;Dry </t>
  </si>
  <si>
    <t>1931/33 - 1993/94</t>
  </si>
  <si>
    <t>Climate-Related, Long term Faunal changes in a California Rocky Intertidal Community</t>
  </si>
  <si>
    <t>Abundance shift</t>
  </si>
  <si>
    <t>Mollusca;Crustacea;Arthropoda;Cnidaria;Echinodermata;algae;Annelida</t>
  </si>
  <si>
    <t>17;3;4;6;3;8;1</t>
  </si>
  <si>
    <t>1931/2 - 1980/1</t>
  </si>
  <si>
    <t>1992 - 1996</t>
  </si>
  <si>
    <t>North America;Canada;Mexico</t>
  </si>
  <si>
    <t>Cold;DRY;Temperate;Polar</t>
  </si>
  <si>
    <t>All sites that habitat was degraded excluded</t>
  </si>
  <si>
    <t>Climate change/ secondary productivity/direct competition</t>
  </si>
  <si>
    <t xml:space="preserve">92Km/124m </t>
  </si>
  <si>
    <t>Latitudinal and altitutional bands</t>
  </si>
  <si>
    <t>Land use</t>
  </si>
  <si>
    <t>1970/82 - 1995/99</t>
  </si>
  <si>
    <t>Thomas and Lennon/Diffference in occupied cells</t>
  </si>
  <si>
    <t>Landuse/ Climate Change</t>
  </si>
  <si>
    <t>Dry;Temperate;Cold;Polar</t>
  </si>
  <si>
    <t>1967/71 -1998/2002</t>
  </si>
  <si>
    <t>Thomas and Lennon</t>
  </si>
  <si>
    <t>1.1º C</t>
  </si>
  <si>
    <t>1966 - 2010</t>
  </si>
  <si>
    <t>Dry;Cold</t>
  </si>
  <si>
    <t>Relationship between diversity and latitude</t>
  </si>
  <si>
    <t>Demersal Fishes</t>
  </si>
  <si>
    <t>1977 -  2001</t>
  </si>
  <si>
    <t>Cold;Temperate</t>
  </si>
  <si>
    <t>1.5º C</t>
  </si>
  <si>
    <t>Mean latitude shifts</t>
  </si>
  <si>
    <t>1977 / 2006-7</t>
  </si>
  <si>
    <t>Temperate;Dry</t>
  </si>
  <si>
    <t>Compare survey plants</t>
  </si>
  <si>
    <t>CTI</t>
  </si>
  <si>
    <t>1986 -  2006</t>
  </si>
  <si>
    <t>0.2/0.28º C</t>
  </si>
  <si>
    <t>1966/75-1966/95 - 1986-95/2001-10/~25 years for each data set</t>
  </si>
  <si>
    <t>1992/96 - 2000/4</t>
  </si>
  <si>
    <t xml:space="preserve">Boundary shift </t>
  </si>
  <si>
    <t xml:space="preserve">Subtle recent distributional shifts in Great Plains brid species </t>
  </si>
  <si>
    <t>13.7-24.8Km/2.8-10.1 m/Decade)</t>
  </si>
  <si>
    <t>Cold;Temperate;Dry</t>
  </si>
  <si>
    <t>1971/75 - 76/80 - 81/85 - 86/90 -91/95</t>
  </si>
  <si>
    <t>1950/60 - 2001/6</t>
  </si>
  <si>
    <t>Dry;Temperate</t>
  </si>
  <si>
    <t>Mollusca</t>
  </si>
  <si>
    <t>1949/58 - 2000</t>
  </si>
  <si>
    <t>Changes in southern endpoint</t>
  </si>
  <si>
    <t>1940/75 - 1991/2005</t>
  </si>
  <si>
    <t>Tempearture</t>
  </si>
  <si>
    <t>Fire regimes</t>
  </si>
  <si>
    <t>1966/67 -  2008</t>
  </si>
  <si>
    <t>Resurvey</t>
  </si>
  <si>
    <t>0.75/0.9 º C</t>
  </si>
  <si>
    <t>1960/75 - 1990/2005</t>
  </si>
  <si>
    <t>Cold;Polar</t>
  </si>
  <si>
    <t>Increasing minimum winter temperature</t>
  </si>
  <si>
    <t xml:space="preserve">precipitation </t>
  </si>
  <si>
    <t>1990 - 2008</t>
  </si>
  <si>
    <t>Birds ; Insects</t>
  </si>
  <si>
    <t>1980 - 1990</t>
  </si>
  <si>
    <t>Role of forest closure and maturation</t>
  </si>
  <si>
    <t xml:space="preserve">119 m/ Study period </t>
  </si>
  <si>
    <t>1964 - 2004</t>
  </si>
  <si>
    <t>Remote sensing and historial data</t>
  </si>
  <si>
    <t>Assess changes in species lower and upper limit</t>
  </si>
  <si>
    <t>0.017º C/ Per Year</t>
  </si>
  <si>
    <t>1992/94 - 1995/99 - 2005/9</t>
  </si>
  <si>
    <t>NAO/AMO</t>
  </si>
  <si>
    <t>Different occurrence percentage</t>
  </si>
  <si>
    <t>1957/86 - 1983/2011</t>
  </si>
  <si>
    <t>Fresh water Species</t>
  </si>
  <si>
    <t>Relationship between species occurrence and climate change</t>
  </si>
  <si>
    <t>0.64 º C</t>
  </si>
  <si>
    <t>1992 - 2010</t>
  </si>
  <si>
    <t>1.1/1.3Km/ Year(Southern species)</t>
  </si>
  <si>
    <t>Correlation between range size and weighted mean latitude</t>
  </si>
  <si>
    <t xml:space="preserve">Animalia </t>
  </si>
  <si>
    <t>1974/79 - 1986/89 &amp;2006-10</t>
  </si>
  <si>
    <t xml:space="preserve">1.6º C </t>
  </si>
  <si>
    <t>An elevational shift of cryophilous bryophytes in the last century-an effect of climate warming?</t>
  </si>
  <si>
    <t>1880/1920 - 1980/2005</t>
  </si>
  <si>
    <t xml:space="preserve">24 m/Decade </t>
  </si>
  <si>
    <t>Compare the records</t>
  </si>
  <si>
    <t xml:space="preserve">0.57º C </t>
  </si>
  <si>
    <t>0.57º C /Decade</t>
  </si>
  <si>
    <t>Soil acidity/Soil oisture/Light</t>
  </si>
  <si>
    <t>1973 - 2010</t>
  </si>
  <si>
    <t>Butterflies ; Moths</t>
  </si>
  <si>
    <t>2.7 Km/ Per year</t>
  </si>
  <si>
    <t>Temprature</t>
  </si>
  <si>
    <t>249;17</t>
  </si>
  <si>
    <t>Diet</t>
  </si>
  <si>
    <t>Ell</t>
  </si>
  <si>
    <t>Food availability/Primary productirivityas an indicator of eel larval food</t>
  </si>
  <si>
    <t>1960 - 2005</t>
  </si>
  <si>
    <t xml:space="preserve">Adaptive loal convec hull method and log linear model </t>
  </si>
  <si>
    <t>1980 - 1993</t>
  </si>
  <si>
    <t>Surface water source availability</t>
  </si>
  <si>
    <t>Surface water sources / Climate change</t>
  </si>
  <si>
    <t>1927/29 - 2006/8</t>
  </si>
  <si>
    <t>Cold; Temperate</t>
  </si>
  <si>
    <t xml:space="preserve">Upslop/Not systematic shift observed </t>
  </si>
  <si>
    <t>Comparison between historical and current distribution</t>
  </si>
  <si>
    <t>Land use histories</t>
  </si>
  <si>
    <t>~ 1970 - 2010</t>
  </si>
  <si>
    <t>Cold;Dry;Polar</t>
  </si>
  <si>
    <t>Northward/Southward</t>
  </si>
  <si>
    <t xml:space="preserve">Multidirectional </t>
  </si>
  <si>
    <t>Tested for significant difference in percent composition</t>
  </si>
  <si>
    <t>Trees(Plants)</t>
  </si>
  <si>
    <t xml:space="preserve">1906 -  2006  </t>
  </si>
  <si>
    <t>Temperate;Tropical</t>
  </si>
  <si>
    <t xml:space="preserve">1.5 ℃ </t>
  </si>
  <si>
    <t>Changes in upper limite</t>
  </si>
  <si>
    <t>1976/92 -1993-/2009</t>
  </si>
  <si>
    <t>Comparative analysis</t>
  </si>
  <si>
    <t>1905/95 - 1996/2003</t>
  </si>
  <si>
    <t>Range size changed</t>
  </si>
  <si>
    <t>1970 - 1990</t>
  </si>
  <si>
    <t>Land use change</t>
  </si>
  <si>
    <t>Generalized linear mixed model</t>
  </si>
  <si>
    <t>Crustacea;Chordata</t>
  </si>
  <si>
    <t>1;1</t>
  </si>
  <si>
    <t>(Climate change)Ice Cover Duration</t>
  </si>
  <si>
    <t>USA / EUROPE</t>
  </si>
  <si>
    <t>Cols;Temperate;Dry</t>
  </si>
  <si>
    <t>2.5º C</t>
  </si>
  <si>
    <t>Leading/Trailing edge and thermal edge was assessed</t>
  </si>
  <si>
    <t>1926 - 2003</t>
  </si>
  <si>
    <t>Rain fall/Wind blown/Salt spray</t>
  </si>
  <si>
    <t>Relationship between richness and altitude</t>
  </si>
  <si>
    <t>Polar(Sub-Antractic)</t>
  </si>
  <si>
    <t>2003/4 - 2007/8</t>
  </si>
  <si>
    <t>Changes in elevational distribution</t>
  </si>
  <si>
    <t>0.03/0.04 year</t>
  </si>
  <si>
    <t>1958 - 2006</t>
  </si>
  <si>
    <t>Range margin shift</t>
  </si>
  <si>
    <t>Insecs</t>
  </si>
  <si>
    <t>3,1</t>
  </si>
  <si>
    <t>Changes in land cover</t>
  </si>
  <si>
    <t>1930 - 2000</t>
  </si>
  <si>
    <t>1950 - 2000</t>
  </si>
  <si>
    <t>1978 - 2007</t>
  </si>
  <si>
    <t>0.04±0.001℃ /Year</t>
  </si>
  <si>
    <t>NA</t>
  </si>
  <si>
    <t>1989 - 2008</t>
  </si>
  <si>
    <t>Univariate mixed effect model</t>
  </si>
  <si>
    <t>1991 - 2011</t>
  </si>
  <si>
    <t>1989/90 - 2010/11</t>
  </si>
  <si>
    <t>Plantae;Animalia</t>
  </si>
  <si>
    <t>Forest disturbance</t>
  </si>
  <si>
    <t>1984 - 2009</t>
  </si>
  <si>
    <t>Time lag analysis</t>
  </si>
  <si>
    <t>~400</t>
  </si>
  <si>
    <t>Climate change /Landuse change</t>
  </si>
  <si>
    <t>1959 - 2012</t>
  </si>
  <si>
    <t>2003 - 2010</t>
  </si>
  <si>
    <t>1965 - 2008</t>
  </si>
  <si>
    <t>1880/1925 - 1970/85 -1995/2010</t>
  </si>
  <si>
    <t>Urbanity</t>
  </si>
  <si>
    <t>Downslope</t>
  </si>
  <si>
    <t>Habitat alteration/Fishing presure</t>
  </si>
  <si>
    <t>They have a discussion about some other reasons for range shift such as , competition, human assiste dispersal currents.And not all shifts are related to temperate or climate</t>
  </si>
  <si>
    <t>Did British breeding birds move north in the lath 20th century?</t>
  </si>
  <si>
    <t>Climate change responses</t>
  </si>
  <si>
    <t>1968/72 -1988/91</t>
  </si>
  <si>
    <t>Multidirectional shift in range margin</t>
  </si>
  <si>
    <t>1960 - 2001</t>
  </si>
  <si>
    <t>1960 - 1995</t>
  </si>
  <si>
    <t>1920/30 - 1990</t>
  </si>
  <si>
    <t>1975 - 2004</t>
  </si>
  <si>
    <t>1995/9 - 2005/9</t>
  </si>
  <si>
    <t>1963 - 2011</t>
  </si>
  <si>
    <t>1980 - 2004</t>
  </si>
  <si>
    <t>1917 - 2007</t>
  </si>
  <si>
    <t>1978 - 2004</t>
  </si>
  <si>
    <t>1969 - 2010</t>
  </si>
  <si>
    <t>1982 - 2009</t>
  </si>
  <si>
    <t>1978-94 - 1995-2011</t>
  </si>
  <si>
    <t>1994 - 2009</t>
  </si>
  <si>
    <t>1965 - 2012</t>
  </si>
  <si>
    <t>1988-91 - 2008-11</t>
  </si>
  <si>
    <t>1960 - 2014</t>
  </si>
  <si>
    <t>1970 - 2010</t>
  </si>
  <si>
    <t>1988 - 2006</t>
  </si>
  <si>
    <t>1950 - 2008</t>
  </si>
  <si>
    <t>1977  - 2006</t>
  </si>
  <si>
    <t>1986 - 2000</t>
  </si>
  <si>
    <t>1960 - 2013</t>
  </si>
  <si>
    <t>1974 - 2012</t>
  </si>
  <si>
    <t>1970/80 - 2002</t>
  </si>
  <si>
    <t>1931/33 - 1993/96</t>
  </si>
  <si>
    <t>1974/76 - 1991/93/1975-76 &amp;1984-87</t>
  </si>
  <si>
    <t>1911/34 - 2003/10</t>
  </si>
  <si>
    <t>1960/70/80/90/2000</t>
  </si>
  <si>
    <t>1939/42 - 2004/5</t>
  </si>
  <si>
    <t>1938/50 - 1998/2011</t>
  </si>
  <si>
    <t>1985/70 - 1971/2009</t>
  </si>
  <si>
    <t>1981/99 - 2000/9</t>
  </si>
  <si>
    <t>1960/69 - 1998/2007</t>
  </si>
  <si>
    <t>1900 - 1997</t>
  </si>
  <si>
    <t>1970/89 - 2000/12</t>
  </si>
  <si>
    <t>1984 - 2010</t>
  </si>
  <si>
    <t>1870/90 - 1940/48</t>
  </si>
  <si>
    <t>1993 - 2015</t>
  </si>
  <si>
    <t>Before1998 - 1998/97</t>
  </si>
  <si>
    <t>1951 -1960 - 1970 - 1980 - 1990 - 2000</t>
  </si>
  <si>
    <t>2000/2 - 2010/12</t>
  </si>
  <si>
    <t>1969/76 - 2006</t>
  </si>
  <si>
    <t>1990 - 2008/10</t>
  </si>
  <si>
    <t>1982 - 2006</t>
  </si>
  <si>
    <t>1958 - 2005</t>
  </si>
  <si>
    <t>1940/60 - 1990/2009</t>
  </si>
  <si>
    <t>1939 / 1987</t>
  </si>
  <si>
    <t>1949/50 - 2007/2010</t>
  </si>
  <si>
    <t>Polar;Temperate</t>
  </si>
  <si>
    <t>0.76±0.25/3.65±2º C-Mean temp in warmest and Coldest month</t>
  </si>
  <si>
    <t>Ongoing warming</t>
  </si>
  <si>
    <t>Observation</t>
  </si>
  <si>
    <t>Fishery</t>
  </si>
  <si>
    <t>Temperate;Cold;Polar</t>
  </si>
  <si>
    <t>Commercial catches</t>
  </si>
  <si>
    <t>Northern Boundary;Center of abundance</t>
  </si>
  <si>
    <t>1999 - 2008</t>
  </si>
  <si>
    <t xml:space="preserve">Latitudional change in northern and southern 5th percentile </t>
  </si>
  <si>
    <t>Warming and other possible reasons</t>
  </si>
  <si>
    <t>Percentage change of species occupancy</t>
  </si>
  <si>
    <t>Land scape chage/Fragmentation</t>
  </si>
  <si>
    <t xml:space="preserve">0.25º C </t>
  </si>
  <si>
    <t>Fishing presure</t>
  </si>
  <si>
    <t>Northward(Heterogenous)/Bottomward</t>
  </si>
  <si>
    <t>~1-2 Degree/Both species</t>
  </si>
  <si>
    <t>1970 - 2006/7</t>
  </si>
  <si>
    <t>Temperate;Polar;Cold</t>
  </si>
  <si>
    <t>Temperate;Dry;Polar</t>
  </si>
  <si>
    <t xml:space="preserve">Annual precipitation </t>
  </si>
  <si>
    <t>Vegetation dynamic</t>
  </si>
  <si>
    <t>Precipitation/Land use</t>
  </si>
  <si>
    <t>Land use change observed but not tested</t>
  </si>
  <si>
    <t>Temperature or other reason</t>
  </si>
  <si>
    <t>Multidirectional (13.5Km/Northward)</t>
  </si>
  <si>
    <t>1951/76 - 1977/1998</t>
  </si>
  <si>
    <t>1966/75 - 1986/95 &amp;2001-10</t>
  </si>
  <si>
    <t>1980/93 - 1994/98 - 1999/2003</t>
  </si>
  <si>
    <t>Only discussed</t>
  </si>
  <si>
    <t>Regional distribution shifts help explain local changes in wintering raptor abundance:implications for interpreting population trends</t>
  </si>
  <si>
    <t>Raptor</t>
  </si>
  <si>
    <t>1975 - 2011</t>
  </si>
  <si>
    <t>8.41 - 7.74 Km/ Year</t>
  </si>
  <si>
    <t>Latitudional center of Abundance</t>
  </si>
  <si>
    <t>US-CA;US-AR;US-COL;US-IDA;US-KAN;US-MON;US-NEB;US-NEV;US-NM;US-ND;US-OKL;US-O;US-SD;US-T;US-UT;US-WA;US-WY</t>
  </si>
  <si>
    <t>Eruropean Mountains(From Svalbard to the Southern Alps)</t>
  </si>
  <si>
    <t>For each species on a mountain they assessed if the uppoermost observation of the species was higher, lower or at the same elevationin the re-survey compared with initial survey.</t>
  </si>
  <si>
    <t>Recent Deposition of atmospheric nitrogen/Precipitation/Temperature</t>
  </si>
  <si>
    <t>No;Al-AU;Al-FR;Al-GM;Al-IT;Al-Slo;Al-SW</t>
  </si>
  <si>
    <t>Polar;Cold</t>
  </si>
  <si>
    <t>Temporal variation in responses of species to four decades of climate warming</t>
  </si>
  <si>
    <t>1970/82 -1995/99 - 2005/9</t>
  </si>
  <si>
    <t>Species responses to climate change were temporally variable</t>
  </si>
  <si>
    <t>Changes in location of leading edge/ Change of Distribution area/ Change in abundance</t>
  </si>
  <si>
    <t>Idiosyncratic in Time</t>
  </si>
  <si>
    <t>0.7 ℃ /Study Period</t>
  </si>
  <si>
    <t>Interdecadal changes in at-sea distribution and abundance of subantarctic sea birds along a latitudinal gradient in the Southern Indean Ocean</t>
  </si>
  <si>
    <t>Southern Indian Ocean</t>
  </si>
  <si>
    <t>1980 - 2000</t>
  </si>
  <si>
    <t>S-SIO</t>
  </si>
  <si>
    <t>Tropical;Polar</t>
  </si>
  <si>
    <t>Resurvey and Modeling</t>
  </si>
  <si>
    <t>European bird species have expanded northward during 1950-1993 in response to recent climate warming</t>
  </si>
  <si>
    <t>Trends in Ornithology Research</t>
  </si>
  <si>
    <t>1950 - 1993</t>
  </si>
  <si>
    <t>Broundary shift</t>
  </si>
  <si>
    <t>AU;BE;HR;EZ;DA;FI;FR;GM;HU;IT;NL;PL;PO;LO;SI;SP;SP-CA;SW;SZ;UK</t>
  </si>
  <si>
    <t>Bumblebee community homogenization after uphill shifts in montane areas of northern Spain</t>
  </si>
  <si>
    <t>Oecologia</t>
  </si>
  <si>
    <t>0.9 º C</t>
  </si>
  <si>
    <t>1987/88 - 2007/9</t>
  </si>
  <si>
    <t>AS</t>
  </si>
  <si>
    <t>Can changes in the distribution of lizard species over the past 50 years be attributed to climate change?</t>
  </si>
  <si>
    <t>Theorical and applied Climatology</t>
  </si>
  <si>
    <t>1951 / 2010</t>
  </si>
  <si>
    <t>Precipitation / Evapotranspiration</t>
  </si>
  <si>
    <t>Northward/Eastward/With some Irregularities</t>
  </si>
  <si>
    <t>Diverse in response but mostely Northward</t>
  </si>
  <si>
    <t>Consistency between observed change in distribution and predicted change using climate factors</t>
  </si>
  <si>
    <t>Strong upslope shifts in Chimborazo's vegetation over two centuries since Humboldt</t>
  </si>
  <si>
    <t>1802 / 2012</t>
  </si>
  <si>
    <t>675 m/ Study Period</t>
  </si>
  <si>
    <t>EC-CH</t>
  </si>
  <si>
    <t>Ecuador(Chimborazo volcano)</t>
  </si>
  <si>
    <t>Waders in winter :long-term changes of migratory bird assemblages facing climate change</t>
  </si>
  <si>
    <t>1977 - 2002</t>
  </si>
  <si>
    <t>20.15 Km</t>
  </si>
  <si>
    <t>No</t>
  </si>
  <si>
    <t>Yes</t>
  </si>
  <si>
    <t xml:space="preserve">Yes </t>
  </si>
  <si>
    <t>Fr</t>
  </si>
  <si>
    <t>Rapid climate driven shifts in wintering distributions of three common waterbird species</t>
  </si>
  <si>
    <t>Europe(Finland;Sweeden;Denmark;Germany;Netherlands;Switzerland;Britain;Irland;France)</t>
  </si>
  <si>
    <t>1980 - 2010</t>
  </si>
  <si>
    <t>North-Eastward</t>
  </si>
  <si>
    <t>Northward/North-eastward</t>
  </si>
  <si>
    <t>3.8 ℃ /Winter temperature</t>
  </si>
  <si>
    <t>DA;FI;FR;GM;EI;NL;SW;SZ;UK</t>
  </si>
  <si>
    <t>Temperature change</t>
  </si>
  <si>
    <t>2001 - 2006</t>
  </si>
  <si>
    <t>US-AL;US-AR;CA-BC;US-CA;US-IDA;US-NE;US-NM;US-O;US-UT;US-WA</t>
  </si>
  <si>
    <t>Not changes for this time period due to demographic compensation</t>
  </si>
  <si>
    <t>S-ECH</t>
  </si>
  <si>
    <t>OK</t>
  </si>
  <si>
    <t>Climate change is not a major driver of shifts in the geographical distributions of North American birds</t>
  </si>
  <si>
    <t>1979 - 2010</t>
  </si>
  <si>
    <t>Distribution shifts of freshwater fish under a variable climate:comparing climatic and biotic velocities</t>
  </si>
  <si>
    <t>1992 - 2011</t>
  </si>
  <si>
    <t>4.64 m/Lag behind climate</t>
  </si>
  <si>
    <t>Temperature, precipitation,Stream flow</t>
  </si>
  <si>
    <t>Regional climate change</t>
  </si>
  <si>
    <t>Birds;Amphibians;Reptiles</t>
  </si>
  <si>
    <t>1979-98/1983 - 1998</t>
  </si>
  <si>
    <t>19-51 m/Decade-Midpoint</t>
  </si>
  <si>
    <t xml:space="preserve">Most adiabatic laps rate/ Elevational Displacement </t>
  </si>
  <si>
    <t xml:space="preserve">Temperature, In discussion the authers mentioned a simple displacement analysis represent an inevitable oversimplication and mentioned about other possible factors. </t>
  </si>
  <si>
    <t>Divergence of species respoinses to climate change</t>
  </si>
  <si>
    <t xml:space="preserve">Plants </t>
  </si>
  <si>
    <t xml:space="preserve">plants </t>
  </si>
  <si>
    <t>~0.16 ℃/</t>
  </si>
  <si>
    <t xml:space="preserve">Moinster availability and successional process </t>
  </si>
  <si>
    <t>1980 - 2015</t>
  </si>
  <si>
    <t xml:space="preserve">Science Advances </t>
  </si>
  <si>
    <t xml:space="preserve">Satelite images used to define glacial margins &amp; Survey for species </t>
  </si>
  <si>
    <t xml:space="preserve">Rapid degelationan over recent decades associated with rapid regional warmings </t>
  </si>
  <si>
    <t>Habitat  change in lower elevation</t>
  </si>
  <si>
    <t>1.46 ±0.31 º C (SD)</t>
  </si>
  <si>
    <t>Land use/precipitatation/Nitogen deposition discussed</t>
  </si>
  <si>
    <t>Icrease temperature and glacier retreat</t>
  </si>
  <si>
    <t>1895-1918 / 1947-53</t>
  </si>
  <si>
    <t>Fited regression line with richness historicard records vs. elevation</t>
  </si>
  <si>
    <t xml:space="preserve">Variable used </t>
  </si>
  <si>
    <t>Elevational Center of Gravity</t>
  </si>
  <si>
    <t>Duration(Years)</t>
  </si>
  <si>
    <t>Are North American bird species' geographic ranges mainlhy determined by climate?</t>
  </si>
  <si>
    <t>1990 - 2000</t>
  </si>
  <si>
    <t xml:space="preserve">They related distribution of American breeding birds to temperature, precipitation, geographic corrdinates and the degree of occupation of neighboring sites by conspecifics </t>
  </si>
  <si>
    <t>yes</t>
  </si>
  <si>
    <t>North America; Southern Canada</t>
  </si>
  <si>
    <t>Temperature, precipitation, neighbourhood occupancy, Geographic coordinates</t>
  </si>
  <si>
    <t xml:space="preserve">Temperature, precipitation </t>
  </si>
  <si>
    <t>Functional traits help to explain half-century long shift in pollinator distributions.</t>
  </si>
  <si>
    <t xml:space="preserve">Scientific Reports </t>
  </si>
  <si>
    <t>Bees, Butterflies &amp; Hoverflies</t>
  </si>
  <si>
    <t>Netherlands</t>
  </si>
  <si>
    <t>1951/70 -1998/2014</t>
  </si>
  <si>
    <t>207;61;202</t>
  </si>
  <si>
    <t>~50</t>
  </si>
  <si>
    <t xml:space="preserve">Landuse, Climate,Functional traits </t>
  </si>
  <si>
    <t xml:space="preserve">Temperatuer, landuse, trait </t>
  </si>
  <si>
    <t xml:space="preserve">SDM used for climate and landuse between two time period. Then multivariate linier models used with poliniator range changes between two time period as response. Areal range changes as well as latitude and longtitude change also used. </t>
  </si>
  <si>
    <t xml:space="preserve">Trait </t>
  </si>
  <si>
    <t>Decadal changes in tree range stability across forests of the eastern US</t>
  </si>
  <si>
    <t>Forest Ecology and Management</t>
  </si>
  <si>
    <t>2000 - 2010</t>
  </si>
  <si>
    <t xml:space="preserve"> The distributions were examined by comparing differences (Holm-Sidak adjusted p-value = 0.2) in the 95th percentile locations of seedlings to adults</t>
  </si>
  <si>
    <t xml:space="preserve">Stable/ No Change for 85% of species </t>
  </si>
  <si>
    <t>US-WI;US-GEO;US-NEW;US-NC;US-PEN;US-SC;US-VI;US-AL;US-Ill;US-IND;US-KEN;US-MIC;US-OH;US-TEN;US.ARK;US-LO;US-MIN;US-MISS;US-MIS</t>
  </si>
  <si>
    <t>~0.33℃/ Per Decade</t>
  </si>
  <si>
    <t>An empirical test of the relative and combined effects of land-cover and climate change on local colonization and extinction</t>
  </si>
  <si>
    <t>1981/85 - 2001/5</t>
  </si>
  <si>
    <t>Ontario-Canada</t>
  </si>
  <si>
    <t>Northern range shift may be due to increased competition induced by protection of species rather than to climate change alone</t>
  </si>
  <si>
    <t>Winners and losers: How the elevational range of breeding birds on Alps has varied over the past four decades due to climate and habitat changes</t>
  </si>
  <si>
    <t>Srub;forest cover;temperature</t>
  </si>
  <si>
    <t>Hierarchical partitioning approach</t>
  </si>
  <si>
    <t>1982 - 2017</t>
  </si>
  <si>
    <t>1983 - 2015</t>
  </si>
  <si>
    <t>0.46 ℃/ per decade</t>
  </si>
  <si>
    <t>IT-LOM</t>
  </si>
  <si>
    <t>AL;AU;BK;BU;BO;HR;DA;GM;HU;IT;LG;LH;NO;PL;PO;RO;SR;LO;UP;EZ;UK;FR;SZ;FI;EN;SP;US-AL;US-ALS;US-AS;US-R;US-ARK;US-CA;US-COL;US-NMI;US-CON;US-DEL;US-COL;US-FL;US-GEO;IS-G;US-HA;US-IDA;US-III;US-IND;US-LO;US-KAN;US-KEN;US-LO;US-MA;US-MAR;US-MAS;US-MIC;US-MIN;US-MISS;US-MIS;US-MON;US-NEB;US-NEV;US-NH;US-NEW;US-NM;US-NEW;US-NC;US-ND;US-OH;US-OKL-US-O;US-PEN;US-PR;US-RI;US-SC;US-SD;US-TEN;US-T;US-VI;US-UT;US-VER;US-VI;US-WA;US-WV;US-WI;US-WY;</t>
  </si>
  <si>
    <t>Central Italian Alps(Lombardy)</t>
  </si>
  <si>
    <t>Upward Expansion/ Downward contraction</t>
  </si>
  <si>
    <t xml:space="preserve">Habitat was the main driver. However the role of temperature is not negligible </t>
  </si>
  <si>
    <t xml:space="preserve">Land-use legacies rather than climate change are driving the recent upward shifts of the mountain tree line in the Pyrenees. </t>
  </si>
  <si>
    <t>Tree line</t>
  </si>
  <si>
    <t>Catalan Pyrenees(Spain)</t>
  </si>
  <si>
    <t>1956 - 2006</t>
  </si>
  <si>
    <t>Upward expansion/ Some with no change</t>
  </si>
  <si>
    <t xml:space="preserve">Supervised classification of areal photographs to a binary map with "tree" and "not tree" values. Then compared the position during the time. </t>
  </si>
  <si>
    <t>Land use; Physiographic</t>
  </si>
  <si>
    <t>Land use;main physiographic;Climate</t>
  </si>
  <si>
    <t>Time series of Areal photography</t>
  </si>
  <si>
    <t xml:space="preserve">Range dynamics of mountain plants decreases with elevation </t>
  </si>
  <si>
    <t>1970 - 2014/15</t>
  </si>
  <si>
    <t>Upward expansion</t>
  </si>
  <si>
    <t xml:space="preserve">Climate and nutrient requirement </t>
  </si>
  <si>
    <t>0.8 ℃/Between historical record and second survey</t>
  </si>
  <si>
    <t xml:space="preserve">Nutrient requirement </t>
  </si>
  <si>
    <t>Al-AU;Al-GM;Al-IT;Al-Slo;Al-SW</t>
  </si>
  <si>
    <t>40 m/ on average</t>
  </si>
  <si>
    <t>Trailing=30m;Leading=20m;Optimum=34/On average</t>
  </si>
  <si>
    <t>Density function of the plots in lowe and higher limtes. Shifts in optima were computed by subracting the historical from recent</t>
  </si>
  <si>
    <t>Climate warming interact with airbone nitrogen</t>
  </si>
  <si>
    <t>Competition and facilitation may lead to asymmetric range shift dynamics with climate change</t>
  </si>
  <si>
    <t>Glocal Change Biology</t>
  </si>
  <si>
    <t>?</t>
  </si>
  <si>
    <t>P-Rainier</t>
  </si>
  <si>
    <t>Interspecific interaction( Competition and facilitation)</t>
  </si>
  <si>
    <t>Soil surface temperature, snow duration, light and microclimate, canopy cover</t>
  </si>
  <si>
    <t xml:space="preserve">Overall climate constrains performance at higher elevation for some life history stages and some species,and the results offer partial support for the competition- environmental gradients hypothesis </t>
  </si>
  <si>
    <t>Wintering population (2.6km/year)/Breeding population(4.66 km/year)</t>
  </si>
  <si>
    <t>Temperature and Competition</t>
  </si>
  <si>
    <t>Survey and centroid shifts and GLM to find the variance explaind by Temperature/year/competition</t>
  </si>
  <si>
    <t xml:space="preserve">Competition due to the saturation of usual wintering or breeding areas. </t>
  </si>
  <si>
    <t xml:space="preserve">Logistic regression models to test the impact of physical land-cover change, changes in net primary productivity, winter precipitation, mean summer temperature and mean winter temperature on the probability of birds local colonization and extinction. </t>
  </si>
  <si>
    <t xml:space="preserve">Occupancy dynamics </t>
  </si>
  <si>
    <t xml:space="preserve">Not mentioned </t>
  </si>
  <si>
    <t>Temperature, precipitation,NPP</t>
  </si>
  <si>
    <t xml:space="preserve">They found that models with climate change, the combination of climate and land cover change, and land-cover were the top ranked modelsof local colonization.The authors also found a high variability in response suggests other drivers such as stochasticity or interspecific interactions such as competition may play a role for local colonization and extinction.  </t>
  </si>
  <si>
    <t>The focus of the paper is to find the attribution and causal factors for local expansion and colonization/Combined effect of land cover and climate</t>
  </si>
  <si>
    <t xml:space="preserve">The results suggest that range margins are stable for 85% of study species at both time one and time two. Very few species that had significant difference in seedlings and adults at their range margins, there was a newarly 0.4 degree difference in latitutional. </t>
  </si>
  <si>
    <t xml:space="preserve">Distribution trends of European dragonflies under climate change </t>
  </si>
  <si>
    <t xml:space="preserve">Continental </t>
  </si>
  <si>
    <t xml:space="preserve">Europe </t>
  </si>
  <si>
    <t>STI;MSI;CTI(Species temperature index;Multi species indices;Community temperature index)</t>
  </si>
  <si>
    <t>SP-CP</t>
  </si>
  <si>
    <t>1990 - 2015</t>
  </si>
  <si>
    <t>Dragonflies(Odonata)</t>
  </si>
  <si>
    <t>FR;GM;NL;SP;SW;UK</t>
  </si>
  <si>
    <t xml:space="preserve">Not clear </t>
  </si>
  <si>
    <t>Survey and assmble data from other source. They classified the distributional changes in 8 different categories : 1- Previously rare or unlisted species 2- Missing species 3-Expanded range 4-Abundance increased 5-Expanding in the south, 6-Recovering species ,7-Now threatened species,8- Extra-limited vagrants</t>
  </si>
  <si>
    <t>Temperature warming, Fishing presure(Maybe not tested)</t>
  </si>
  <si>
    <t xml:space="preserve">Not a specific variable used! The statistical analysis seems based on survey /observed data and classification of specie. They just discuss the tentative attribution of causal factors and </t>
  </si>
  <si>
    <t>Fishes(Demersal species)</t>
  </si>
  <si>
    <t>Summer bottom temperature;winter sea level pressure;wind stress; wind mixing;Sea Ice cover</t>
  </si>
  <si>
    <t>~0.23℃ /Per decade since 1954</t>
  </si>
  <si>
    <r>
      <t>~34</t>
    </r>
    <r>
      <rPr>
        <sz val="9"/>
        <color theme="1"/>
        <rFont val="Calibri"/>
        <family val="2"/>
      </rPr>
      <t>±56 Km (Mean±SD)</t>
    </r>
  </si>
  <si>
    <t>Predation(Not tested)/Ice cover</t>
  </si>
  <si>
    <t>Sea survace temperature rise (SST)</t>
  </si>
  <si>
    <t xml:space="preserve">To determine the rate of shift, the latiidtional position of the isotherm or species assemblages were first interpolatedat a given longitude corresponding to the region of interest.Then the difference in the latitutional position of the isotherm or the assemblages between the begining and the end of the period were calculated and geographical distance were assessed. For the second part of the analysis they calculated long term spatial changes in the mean number of species per assemblage. </t>
  </si>
  <si>
    <t>~1.21/Comparing with the initial year</t>
  </si>
  <si>
    <t>SST;NAO;NHT</t>
  </si>
  <si>
    <t xml:space="preserve">Noth really discussed </t>
  </si>
  <si>
    <t>(Wernberg et al., 2011)</t>
  </si>
  <si>
    <t>Poleward(Southward)</t>
  </si>
  <si>
    <t xml:space="preserve">They calculated range shifts as the difference in latitude between northern-most records in each time period. </t>
  </si>
  <si>
    <r>
      <rPr>
        <sz val="9"/>
        <color theme="1"/>
        <rFont val="Calibri"/>
        <family val="2"/>
      </rPr>
      <t>±</t>
    </r>
    <r>
      <rPr>
        <i/>
        <sz val="9"/>
        <color theme="1"/>
        <rFont val="Calibri"/>
        <family val="2"/>
        <scheme val="minor"/>
      </rPr>
      <t>0.5 ℃ /Changes in annual mean temperature</t>
    </r>
  </si>
  <si>
    <t>Temmperature/Snow free period</t>
  </si>
  <si>
    <t>Snow free period and Demographic compensation(grows,suervival,reproduction)</t>
  </si>
  <si>
    <t xml:space="preserve">Warming but Demographic rates improved growth rate in southern margins </t>
  </si>
  <si>
    <t>Survey and focusing on demographic changes near the southern range limits.</t>
  </si>
  <si>
    <t>(Lehikoinen et al., 2013)</t>
  </si>
  <si>
    <t>Ealry winter temperature(From November to January)</t>
  </si>
  <si>
    <t>Water Birds</t>
  </si>
  <si>
    <t xml:space="preserve">Birds abundance in different directions and it's association with variation in the annual temperature at the edges and center of the distribution. An exponential increase in abundance at the northeastern edge of their flyways, as a direct response to increased temperatures. </t>
  </si>
  <si>
    <t xml:space="preserve">Not really discussed </t>
  </si>
  <si>
    <t xml:space="preserve">Westward </t>
  </si>
  <si>
    <t>Bioclimatic velocities(Velocities of climate induced shifts in the suitable habitat of species) and the Biotic velocities(velocities of observed species range shifts)</t>
  </si>
  <si>
    <t xml:space="preserve">Temperature and Precipitation </t>
  </si>
  <si>
    <t xml:space="preserve">Heterogenous/ Constantly laging behind climate change </t>
  </si>
  <si>
    <t>(Fei et al., 2017)</t>
  </si>
  <si>
    <t xml:space="preserve">Type of Trait used </t>
  </si>
  <si>
    <t>Drought tolerance; wood density;seed weight&amp; Evolutionary history</t>
  </si>
  <si>
    <t>Moisture availability (Changes in species abundance had a strong association with moisture (precipitation and drought index)</t>
  </si>
  <si>
    <t>Westward/ Poleward</t>
  </si>
  <si>
    <t>Median 15.4 Km Westward &amp;11km Northward/Decade</t>
  </si>
  <si>
    <t xml:space="preserve">Shift distance and direction of the geographic center weighted by species abundance - The authors mentioned a fact that the longitudinal shifts was 1.4 times faster than latitunal shifts suggests that vegetation dynamics are more sensitive to precipitation than to temperature at least in a near-term time frame, because moisture availability is considered a critical factor in forest dynamics at least in this study area.  </t>
  </si>
  <si>
    <t xml:space="preserve">US-MIC;US-MIN;
 US-MISS; 
 US-MIS; 
US-NH; 
US-NEW; 
US-NEY; 
US-NC; 
US-OH;
US-PEN; 
US-RI; 
US-SC; 
US-TEN; 
US-VER; 
US-WV;
 US-WI;
US-MAR;
US-VI
</t>
  </si>
  <si>
    <t xml:space="preserve">US-AL;
US-AS;
US-R;
US-ARK;
US-CA;
US-COL;
US-NMI;
US-CON;
US-DEL;
US-COL;
US-FL;
US-GEO;
US-G;
US-IDA;
US-III;
US-IND;
US-LO;
US-KAN;
US-KEN;
US-LO;
US-MA;
US-MAR;
US-MAS;
US-MIC;
US-MIN;
US-MISS;
US-MIS;
US-MON;
US-NEB;
US-NEV;
US-NH;
US-NEW;
US-NM;
US-NEY;
US-NC;
US-ND;
US-OH;
US-OKL;
US-O;
US-PEN;
US-PR;
US-RI;
US-SC;
US-SD;
US-TEN;
US-T;
US-VI;
US-UT;
US-VER;
US-VI;
US-WA;
US-WV;
US-WI;
US-WY
</t>
  </si>
  <si>
    <t>29Km</t>
  </si>
  <si>
    <t>1.6 Km /Yearly</t>
  </si>
  <si>
    <t>~0.6℃ /During the study</t>
  </si>
  <si>
    <t>Boundary shifts (Thomas and Lennon 1999)</t>
  </si>
  <si>
    <t>~60</t>
  </si>
  <si>
    <t>North/West/East</t>
  </si>
  <si>
    <t>(17-22Km) all taxa.5;19 Km/N--14km.W;11km.E;1.85km.E</t>
  </si>
  <si>
    <t xml:space="preserve">Functional traits(i.e. carnivorous vs. herbivorous/detritivorous and nitrogen values of host plants, flight period length, adult body and interaction between multiple trait. </t>
  </si>
  <si>
    <t>(Lima et al., 2007)</t>
  </si>
  <si>
    <t xml:space="preserve">Range bounday shifts </t>
  </si>
  <si>
    <t>Annually aggregated catch size,Annual crude oil price,Distribution of CA</t>
  </si>
  <si>
    <t>Precipitation/land use change mainly the cessation of traditional land management-s not tested but authors mentioned that land use change made it possible</t>
  </si>
  <si>
    <t>Observation frequency (individual observation trend),Correlation with climate variables,and Net colonization(The number moving up minus the number moving down)</t>
  </si>
  <si>
    <t>(Raxworthy et al., 2008)</t>
  </si>
  <si>
    <t>(Chen et al., 2009)</t>
  </si>
  <si>
    <t>Potential effects of climate change on elevational distribution of tropical birds in southeast Asia</t>
  </si>
  <si>
    <t>(Peh, 2007)</t>
  </si>
  <si>
    <t>Species with high habitat specificity excluded(Those species restricted to one habitat type)</t>
  </si>
  <si>
    <t>~0.3℃/2 Decades</t>
  </si>
  <si>
    <t xml:space="preserve">Complex elevational shifts in a tropical lowland moth community following a decade of climate change </t>
  </si>
  <si>
    <t>(Cheng et al., 2019)</t>
  </si>
  <si>
    <t>Geometrid</t>
  </si>
  <si>
    <t>Hong Kong</t>
  </si>
  <si>
    <t>2000/2004-2010/2014</t>
  </si>
  <si>
    <t xml:space="preserve">Forest Cover Change, as and indicator of land use change </t>
  </si>
  <si>
    <t>0.45℃/0.51℃Lowland /Highland</t>
  </si>
  <si>
    <t xml:space="preserve">Ocuupancy model used in different scenarios and for each species the best occupancy model with lowes (BIC) was selected. The resluts showes both upward and downward shifts but the authors mentioned that the upward shift was noticible. </t>
  </si>
  <si>
    <t>With minimal habitat change but significant warming over the past decate(0.5°C increased temperature), the authors detecta complex changes of geometrid mogh species.</t>
  </si>
  <si>
    <t xml:space="preserve">Minimum and Maximum temperature and forest cover </t>
  </si>
  <si>
    <t>CHK</t>
  </si>
  <si>
    <t>Some biological traits also used such as:
- Reproduction type
- Soil texture
- Soil humus content
-Soil nutrition etc…</t>
  </si>
  <si>
    <t>Migratory status;
Territoriality;
Clutch size;
Diet;</t>
  </si>
  <si>
    <t xml:space="preserve">Northward </t>
  </si>
  <si>
    <t>Not mentioned as an overall average</t>
  </si>
  <si>
    <t>Effects of climate change on phenologies and distributions of bumble bees and the plants they visit</t>
  </si>
  <si>
    <t>Ecosphere</t>
  </si>
  <si>
    <t xml:space="preserve">Plants;Bumple bees </t>
  </si>
  <si>
    <t>Plants;Bumble bees</t>
  </si>
  <si>
    <t>1974 - 2007</t>
  </si>
  <si>
    <t>12;8</t>
  </si>
  <si>
    <t>No significant upward shifts for palangs/ For bumble bees shifts was not  greater than 317 m/Study period</t>
  </si>
  <si>
    <t>Upward /No significant downward shifts observed</t>
  </si>
  <si>
    <t>Weighted averages of recorded elevations</t>
  </si>
  <si>
    <t>US-COL</t>
  </si>
  <si>
    <t>Rocky Mountain Biological Laboratory (RMBL),Colorado,USA</t>
  </si>
  <si>
    <t>The impact of climate change on long-term population trends of birds in a central European country</t>
  </si>
  <si>
    <t>Animal Conservation</t>
  </si>
  <si>
    <t>Latitutional mid point against population trend</t>
  </si>
  <si>
    <t>Migratory strategy;habitat association</t>
  </si>
  <si>
    <t xml:space="preserve">A summery of the Method </t>
  </si>
  <si>
    <t>Peru(Cordillera Vilcanota)</t>
  </si>
  <si>
    <t>Ecological contingency in species shifts: Downslope shifts of woody species under warming climate and land-use change</t>
  </si>
  <si>
    <t>Environmental research lette</t>
  </si>
  <si>
    <t>(Zhang et al., 2019)</t>
  </si>
  <si>
    <t>1989 - 2009</t>
  </si>
  <si>
    <t>Eastern China(Five mountain areas)</t>
  </si>
  <si>
    <t>Human disturbance history</t>
  </si>
  <si>
    <t>Temperature;Precipitation;Human disturbance</t>
  </si>
  <si>
    <t xml:space="preserve">Human disturbance </t>
  </si>
  <si>
    <t>150m downward/~50m upward</t>
  </si>
  <si>
    <t xml:space="preserve">Species mean elevation shift in relation to the human disturbance and temperature change </t>
  </si>
  <si>
    <t>ECH</t>
  </si>
  <si>
    <t>Climate change causes upslope shifts and mountaintop extirpations in a tropical bird community</t>
  </si>
  <si>
    <t>1985 - 2017</t>
  </si>
  <si>
    <t>40 ± 98 m/43 species shifted upslope vs. 15 downslope vs. 7 with no change</t>
  </si>
  <si>
    <t>Diet,body mass,foraging</t>
  </si>
  <si>
    <t>Peruvian mountain(Cerro de Pantiacolla)</t>
  </si>
  <si>
    <t>CP</t>
  </si>
  <si>
    <t>Changes in range size in elevation</t>
  </si>
  <si>
    <t>Evidence of tree species'range shifts in a complex landscape.</t>
  </si>
  <si>
    <t>Trees</t>
  </si>
  <si>
    <t>Tree</t>
  </si>
  <si>
    <t xml:space="preserve">Upward/Northward </t>
  </si>
  <si>
    <t>2001 - 2010</t>
  </si>
  <si>
    <t xml:space="preserve">For each species they computed an approximate design unbiased estimator of the mean elevatio, latitude and annual temperature of the range of the seedlings or mature trees, using a weighted domain sample mean. </t>
  </si>
  <si>
    <t>26.58 m.up / 11.22 Km.North</t>
  </si>
  <si>
    <t>United States(California,Oregan, Washangton )</t>
  </si>
  <si>
    <t>US-CA;US-O;US-WA</t>
  </si>
  <si>
    <t>Temperate,Dry,Cold</t>
  </si>
  <si>
    <t>Global warming and increase in temperature</t>
  </si>
  <si>
    <t>(Platts et al., 2019)</t>
  </si>
  <si>
    <t>Habitat availability explains variation in climate-driven range shifts across multiple taxonomic groups</t>
  </si>
  <si>
    <t>1976/1990 - 2001-2015</t>
  </si>
  <si>
    <t>0.8 °C/Study period</t>
  </si>
  <si>
    <t>∼0.42 °C/Study period</t>
  </si>
  <si>
    <t xml:space="preserve"> -0.120°C/Study period</t>
  </si>
  <si>
    <t>51 Km/Study period</t>
  </si>
  <si>
    <t>Temperature and habitat availability</t>
  </si>
  <si>
    <t xml:space="preserve">The interaction between habitat and temperature </t>
  </si>
  <si>
    <t>10;43;16;9;12;8;12;116;5;22;31;8</t>
  </si>
  <si>
    <t>Aquatic bugs;Bees;Butterflies;Dragonflies;Grasshooper;Graound bettle;Hoverflies;Macromoth;Non Marin Molluscos;Shieldbugs and allies; Spider;Wasp</t>
  </si>
  <si>
    <t>1988 - 1990</t>
  </si>
  <si>
    <t>Short-term climatic variation, high water temperature and scarcity of food</t>
  </si>
  <si>
    <t>Catch distribution and acoustic surveys</t>
  </si>
  <si>
    <t>Food availability</t>
  </si>
  <si>
    <t>Global Ecology &amp; Biogeography</t>
  </si>
  <si>
    <t>60m/(mean shift)Maximum shifts was 148m/Study Period</t>
  </si>
  <si>
    <t>Habitat affiliation</t>
  </si>
  <si>
    <t xml:space="preserve">Climate warming </t>
  </si>
  <si>
    <t>Ok</t>
  </si>
  <si>
    <t>Recent expansions of the bush-crickets Phaneroptera falcata and Phaneroptera nana in the Czech Republic</t>
  </si>
  <si>
    <t>FAUNISTIK</t>
  </si>
  <si>
    <t>1992 - 2001</t>
  </si>
  <si>
    <t>Are amphibians tracking their climatic niches in response to climate warming?Atest with iberianamphibians</t>
  </si>
  <si>
    <t xml:space="preserve">Amphibians </t>
  </si>
  <si>
    <t xml:space="preserve">Iberian Peninsula </t>
  </si>
  <si>
    <t>1901/1990 - 2000/2015</t>
  </si>
  <si>
    <t>Latitudinal changes in the ten-northernmost occupied 10 km × 10 km grid squares</t>
  </si>
  <si>
    <t>0.3°C/ Last 2 century</t>
  </si>
  <si>
    <t>Niche overlap from occurrence and spatial environment data</t>
  </si>
  <si>
    <t>PO;SP</t>
  </si>
  <si>
    <t>− 34.16 ± 50.37 m</t>
  </si>
  <si>
    <t>Upward shifts was significant/Northern margins did not shifts significantly;Southern range shifted southward</t>
  </si>
  <si>
    <t>Sweeden (Mt.Arekutan  the  southern Sweedis Scandes)</t>
  </si>
  <si>
    <t>120-375 m/ Study period</t>
  </si>
  <si>
    <t xml:space="preserve">Global warming. Reuced summer snow-retention has favoured seedling establishment and juvenil growth, and mild winters, with reduced risk for frost-desiccation, have enhanced survivorship and height increment. </t>
  </si>
  <si>
    <t>Continent</t>
  </si>
  <si>
    <t>S.America</t>
  </si>
  <si>
    <t>Africa</t>
  </si>
  <si>
    <t>Asia-SE</t>
  </si>
  <si>
    <t>N.America</t>
  </si>
  <si>
    <t>Oceania</t>
  </si>
  <si>
    <t>Asia</t>
  </si>
  <si>
    <t xml:space="preserve">Africa </t>
  </si>
  <si>
    <t>Relative contribution of climate and non- climate drivers in determining dynamic rates of boreal birds at the edge of their range</t>
  </si>
  <si>
    <t>2007 - 2016</t>
  </si>
  <si>
    <t>USA-Newyourk State. Adirondack park</t>
  </si>
  <si>
    <t>Precipitation;Wetland size;connectivity;latitude;elevation;human footpring</t>
  </si>
  <si>
    <t xml:space="preserve">Occupancy trends and model colonization and extinction in response to climate and non-climatic drivers </t>
  </si>
  <si>
    <t>Temperature;Precipitation;Wetland size;connectivity;latitude;elevation;human footpring</t>
  </si>
  <si>
    <t>Climate variables(Precipitation &amp; temperature)</t>
  </si>
  <si>
    <t>P-NAP</t>
  </si>
  <si>
    <t xml:space="preserve">Upward </t>
  </si>
  <si>
    <t>Mt. Rainier (Washington, United States)</t>
  </si>
  <si>
    <t>Antarctic</t>
  </si>
  <si>
    <t>Europe;N.America</t>
  </si>
  <si>
    <t>North  Eastern Atlantic</t>
  </si>
  <si>
    <t>USA (North Georgia)</t>
  </si>
  <si>
    <t>USA (Great Smokey mountains National Park</t>
  </si>
  <si>
    <t>USA (Southern California Region)</t>
  </si>
  <si>
    <t>New Guinean (Karkar Island &amp; Mt.Karimui)</t>
  </si>
  <si>
    <t>Peru (Cerros del sira)</t>
  </si>
  <si>
    <t>Antratic (Signy Island)</t>
  </si>
  <si>
    <t>USA (Gulf Of Mexico)</t>
  </si>
  <si>
    <t>USA (California,Monterey Bay)</t>
  </si>
  <si>
    <t>USA (California(Harbor and Palosverde,Santa Cruze))</t>
  </si>
  <si>
    <t>USA (Montane California)</t>
  </si>
  <si>
    <t>USA (California,Yosemit National Park)</t>
  </si>
  <si>
    <t>China (Qinghai-Tibet platea)</t>
  </si>
  <si>
    <t>USA (Great Lakes Region)</t>
  </si>
  <si>
    <t>USA (California)</t>
  </si>
  <si>
    <t>Europe (Central &amp; North)</t>
  </si>
  <si>
    <t>USA (Wisconsin)</t>
  </si>
  <si>
    <t>USA (Massachusetts)</t>
  </si>
  <si>
    <t>Western Europe (Belgium,Denmark,France,Germany,Ireland,The Netherlands, UK</t>
  </si>
  <si>
    <t>Increase in temperature</t>
  </si>
  <si>
    <t>60 m/ Study period-In spite of very large increase in annual temperature, their study system does not confirmreports of large upslope migration.</t>
  </si>
  <si>
    <t>Dispersal limitation</t>
  </si>
  <si>
    <t>40/100</t>
  </si>
  <si>
    <t>1889/1902/1913/1920/1930/1958/1973/</t>
  </si>
  <si>
    <t>70% shifts Upward</t>
  </si>
  <si>
    <r>
      <t xml:space="preserve">Temperature is </t>
    </r>
    <r>
      <rPr>
        <b/>
        <i/>
        <sz val="9"/>
        <color theme="1"/>
        <rFont val="Calibri"/>
        <family val="2"/>
      </rPr>
      <t xml:space="preserve">NOT </t>
    </r>
    <r>
      <rPr>
        <i/>
        <sz val="9"/>
        <color theme="1"/>
        <rFont val="Calibri"/>
        <family val="2"/>
      </rPr>
      <t>dominant factor causing the observed range shifts</t>
    </r>
  </si>
  <si>
    <t xml:space="preserve">Woodland Increased by 60%, however it is not statistically tested </t>
  </si>
  <si>
    <t>Could be habitat suitability or interspecific interaction.The lack of a general upward shift of alpine bird communities supports the idea that bird distribu- tions in elevation are more shaped by local factors such as habitat suitability or interspecific interactions than by climatic barriers</t>
  </si>
  <si>
    <t>Divergent responses to climate change and disturbance drive recruitment patterns underlying latitudinal shifts of tree species</t>
  </si>
  <si>
    <t>Canada-Quebec</t>
  </si>
  <si>
    <t>1970/77 - 2003/2014</t>
  </si>
  <si>
    <t>0.08°C  to +1.91°C/Study period</t>
  </si>
  <si>
    <t>Temperature;Disturbances (wind-throw, fire,insec outbreaks and anthropogenic disturbances such as; logging, harvest, clearcut)</t>
  </si>
  <si>
    <t>Northward/Divergent</t>
  </si>
  <si>
    <t>Changes in frequency of occurrence along a latitutional gradients</t>
  </si>
  <si>
    <t>CA-Q</t>
  </si>
  <si>
    <t>Upward elevation and northwest range shifts for alpine Meconopsis species in the Himalaya–Hengduan Mountains region</t>
  </si>
  <si>
    <t>Himalaya–Hengduan Mountains</t>
  </si>
  <si>
    <t>1922/1969 - 1970/2016</t>
  </si>
  <si>
    <t>P-HHI</t>
  </si>
  <si>
    <t>0.6°C/Per decade</t>
  </si>
  <si>
    <t>Upward/(Northwest based on future scenarios)</t>
  </si>
  <si>
    <t>Detecting climate change induced range shifts: Where and how should we be looking?</t>
  </si>
  <si>
    <t>2000 - 2004</t>
  </si>
  <si>
    <t>Australia(north-eastern Queensland)</t>
  </si>
  <si>
    <t xml:space="preserve">No systematic shifts observed </t>
  </si>
  <si>
    <t>Measured range shifts using the boundary analysis considering effect of uneven sampling effort on range shift estimates</t>
  </si>
  <si>
    <t>20 -39 m/ After sampling efforts considered</t>
  </si>
  <si>
    <t>AS-QL</t>
  </si>
  <si>
    <t>1970/1999 - 2004/5</t>
  </si>
  <si>
    <t xml:space="preserve">The difference in the mean elevation and latitude of the 10 most southern/lowest elevation sites between the two time periods. </t>
  </si>
  <si>
    <t xml:space="preserve">They use Humbolt's study &amp; resarvay in 210 years to assess the mean abundance across the elevation to visually assess the range shift </t>
  </si>
  <si>
    <t>Host plant occupancy and abundance/Vegetation height</t>
  </si>
  <si>
    <t>Upslope/Downslope/Idiosyncratic</t>
  </si>
  <si>
    <t>Upslope/Downslope/Asymmetrical</t>
  </si>
  <si>
    <t>Upslope/Upstream/Downstream</t>
  </si>
  <si>
    <t>Upslope/The Magnitud &amp; direction varied widely</t>
  </si>
  <si>
    <t>Historical changes in bumble bee body size and range shift of declining species</t>
  </si>
  <si>
    <t>Biodiversity and Conservation</t>
  </si>
  <si>
    <t>New Hampshire</t>
  </si>
  <si>
    <t>US-NH</t>
  </si>
  <si>
    <t>USA(New Hampshire)</t>
  </si>
  <si>
    <t>Comparing the latitud and elevation turing the time</t>
  </si>
  <si>
    <t>1891 - 2016</t>
  </si>
  <si>
    <t>Body size</t>
  </si>
  <si>
    <t xml:space="preserve">They compared the maximum probability of presence also called optimum elevation. </t>
  </si>
  <si>
    <t>Trends in temperature and precipitation is showen but not statistically tested</t>
  </si>
  <si>
    <t>Life history,maturation and size</t>
  </si>
  <si>
    <t xml:space="preserve">Historical distributions of bobocats and Canada lynx suggests no range shifts in British Colombia </t>
  </si>
  <si>
    <t>Canadian Journal of Zoology</t>
  </si>
  <si>
    <t>Mamals</t>
  </si>
  <si>
    <t xml:space="preserve">Mamals </t>
  </si>
  <si>
    <t>Canada (British Colombia)</t>
  </si>
  <si>
    <t>1935 - 1983 - 2013</t>
  </si>
  <si>
    <t xml:space="preserve">Spatially heterogeneous impact of climate change on small mammals of montane California </t>
  </si>
  <si>
    <t>30-78</t>
  </si>
  <si>
    <t>Spatially explicit trapping recordsand then they calculated coincidence summaries for the distribution of both species and the overlap between species.</t>
  </si>
  <si>
    <t>Range stability</t>
  </si>
  <si>
    <t>CA-BC</t>
  </si>
  <si>
    <t>Ecological and life-history traits explain recent boundary shifts in elevation and latitude of western North American Songbirds</t>
  </si>
  <si>
    <t>1977 - 81/2006 - 11</t>
  </si>
  <si>
    <t xml:space="preserve">Poleward/Upward </t>
  </si>
  <si>
    <t xml:space="preserve">For boundary shifts they used 10 northern most latitudional shifts. </t>
  </si>
  <si>
    <t>1.84 Km/ 3.6m Per year</t>
  </si>
  <si>
    <t xml:space="preserve">Found variation among species in the degree to which their northern-latitude and upper-elevation boundaries shifted over the 35 years period was correlated with a common set of ecological and life history traits- diet breath and clutch size. </t>
  </si>
  <si>
    <t>US-AR;US-CA;US-CO;US-IDA;US-MO;US-NEV;US-NM;US-O;US-UT;US-WA;US-WY</t>
  </si>
  <si>
    <t>Signals of range expansion and contraction of vascular plants in the high Alp</t>
  </si>
  <si>
    <t>Diaspore weights and morpholoty / wind dispersal ability.</t>
  </si>
  <si>
    <t>34.27±26.7 m/decade</t>
  </si>
  <si>
    <t>Upslope/Downslope/Heterogenous</t>
  </si>
  <si>
    <t xml:space="preserve">Upward shift 161-1320 m for lower limts and 218-2513 m for upper limit/Dwonward shifts 113-1557m for lowe limits and 127-1567m for upper limits </t>
  </si>
  <si>
    <t>Measured range shifts by tracking the location of range centroid</t>
  </si>
  <si>
    <t xml:space="preserve">Multidirectional folowing climate velocity </t>
  </si>
  <si>
    <t>Temperature, Grazing</t>
  </si>
  <si>
    <t>Temporal changes in range center,upper ad lower limitsand compare that with climate velocity/Isotherm shift</t>
  </si>
  <si>
    <t>4.9m  Lower limit /116.9m upper limit</t>
  </si>
  <si>
    <t>41m optimum/46m upper limte/123m lower /Study period</t>
  </si>
  <si>
    <t>Precipitation/Isotherm change</t>
  </si>
  <si>
    <t>10;23</t>
  </si>
  <si>
    <t>Snow index(See that as alternative)</t>
  </si>
  <si>
    <t>Temperature, Habitat change</t>
  </si>
  <si>
    <t xml:space="preserve">Some functional trait  have used! Dispersal mechanism </t>
  </si>
  <si>
    <t>Habitat change(Land use change was negligible, Temperature has not change substantially)</t>
  </si>
  <si>
    <t>Habitat positon/Habitat breadth/Diet/Habitat niche breadth</t>
  </si>
  <si>
    <t>Climate change and outbreaks of the geometrids Operophtera brumata and Epirrita autumnata in subarctic birch forest: evidence of a recent outbreak range expansion</t>
  </si>
  <si>
    <t>Journal of Animal Ecology</t>
  </si>
  <si>
    <t>1862/1968 - 1962/2001</t>
  </si>
  <si>
    <t>Mean value of latitude and longtitude</t>
  </si>
  <si>
    <t>First species(Northward/Eastward) Second species (Southeast/Northwest)</t>
  </si>
  <si>
    <t xml:space="preserve">Regional climate trend </t>
  </si>
  <si>
    <t>15/20</t>
  </si>
  <si>
    <t>S-FEN</t>
  </si>
  <si>
    <t>Changing spatial distribution of fish stocks in relation to climate and population size on the Northeast United States continental shelf</t>
  </si>
  <si>
    <t>USA(Northeast United States)</t>
  </si>
  <si>
    <t>1968-2007</t>
  </si>
  <si>
    <t>Temporal trends in mean center of biomass, mean depth, mean temperature of occurrence and area occupied for each species</t>
  </si>
  <si>
    <t>Poleward / increase in depth</t>
  </si>
  <si>
    <t>Mean bottom temperature(BT) and Sea Surface temperature(SST)</t>
  </si>
  <si>
    <t>Large scale warming &amp; AMO</t>
  </si>
  <si>
    <t>GOP</t>
  </si>
  <si>
    <t>Fennoscandia</t>
  </si>
  <si>
    <t>Butterfly distribution along altitudinal gradients: temporal changes over a short time period</t>
  </si>
  <si>
    <t>Italian Alps</t>
  </si>
  <si>
    <t>Identifying the driving factors behind observed elevational range shifts on European mountains</t>
  </si>
  <si>
    <t>Temperate;cold</t>
  </si>
  <si>
    <t>Cold;Polar;Temperate</t>
  </si>
  <si>
    <t>Some ecological traits such as feeding specialization and habitat preferances</t>
  </si>
  <si>
    <t>Landcover(Corin) and rainfall</t>
  </si>
  <si>
    <r>
      <t>Response curve approach-</t>
    </r>
    <r>
      <rPr>
        <b/>
        <i/>
        <sz val="9"/>
        <color theme="1"/>
        <rFont val="Calibri"/>
        <family val="2"/>
        <scheme val="minor"/>
      </rPr>
      <t>Methodological paper using response curves to assess range shift in diffferent times.</t>
    </r>
  </si>
  <si>
    <t>Biology letter</t>
  </si>
  <si>
    <t>Northern distribution of North Sea herring as a response to high water temperatures and/or low food abundance</t>
  </si>
  <si>
    <t>Landuse &amp; Climate Change</t>
  </si>
  <si>
    <t>1860/1989-1990</t>
  </si>
  <si>
    <t>Two Species with an Unusual Combination of Traits Dominate Responses of British Grasshoppers and Crickets to Environmental Change</t>
  </si>
  <si>
    <t>Grasshoppers;Crickets</t>
  </si>
  <si>
    <t>Resource use, life history, dispersal ability, geopgraphic location</t>
  </si>
  <si>
    <t>0.84 °C/ Study period</t>
  </si>
  <si>
    <t>Species traits(habitat breadth)</t>
  </si>
  <si>
    <t xml:space="preserve">The authors used combination of traits to measuer the range change </t>
  </si>
  <si>
    <t>Trait;Temperature</t>
  </si>
  <si>
    <t>Northward/Decline</t>
  </si>
  <si>
    <t>Can Topographic Variation in Climate Buffer against Climate Change-Induced Population Declines in Northern Forest Birds?</t>
  </si>
  <si>
    <t>Diversity</t>
  </si>
  <si>
    <t>1981/1999 - 2000/2017</t>
  </si>
  <si>
    <t>Finland(129 Protected Area)</t>
  </si>
  <si>
    <t xml:space="preserve">Local temperature variation </t>
  </si>
  <si>
    <t>Not mentioned(The density moved northward)</t>
  </si>
  <si>
    <t> 1.1 °C</t>
  </si>
  <si>
    <t>Habitat availability</t>
  </si>
  <si>
    <t>Climate warming mediates range shifts of two differentially adapted thernothermal Drosophilia species in the Western Himalayas</t>
  </si>
  <si>
    <t>Journal of Asia-Pacific Entomology</t>
  </si>
  <si>
    <t>Western Himalaya</t>
  </si>
  <si>
    <t>Fecundity;hatchability;viability</t>
  </si>
  <si>
    <t>Growth, reproduction competiotion</t>
  </si>
  <si>
    <t xml:space="preserve">Trait based analysis and range shifts </t>
  </si>
  <si>
    <t>P-IH</t>
  </si>
  <si>
    <t>Land Management(Soil humidity/Humus amount /Nutrient amount/ph)</t>
  </si>
  <si>
    <t xml:space="preserve">3.58 Km/20 years in Mid point </t>
  </si>
  <si>
    <t>Thomas and Lennon's method;Center of occurrence, range boundary change, states of occurrence</t>
  </si>
  <si>
    <t xml:space="preserve">1.1/1.6 º C/ winter </t>
  </si>
  <si>
    <t>14 Km/ per year- 5 spacies remained stable and 4 moves poleward</t>
  </si>
  <si>
    <t>Thomas and Lennon method. Compared historical data and tested for significant changes between survey periods</t>
  </si>
  <si>
    <t>Thomas and Lennon method.</t>
  </si>
  <si>
    <t>0.9 º C/1.1º C</t>
  </si>
  <si>
    <t xml:space="preserve">Secondary productivity/Direct competiotion and climate change  </t>
  </si>
  <si>
    <t>1/1.5º C/</t>
  </si>
  <si>
    <t xml:space="preserve">Regional winter temperature </t>
  </si>
  <si>
    <t>Body size,  life cycle,Maximum length,Age at maturity,Length at maturity.</t>
  </si>
  <si>
    <t>20;22;6;29;85;3;15;9;8;59;4;6;11;16;14;22</t>
  </si>
  <si>
    <t>Mammals;Birds;Insects</t>
  </si>
  <si>
    <t>1- Prevalence 2- butterfly mobility 3- body size 4- length of the flight period 5- Red list status 6- Overwintering stage 7- primary breeding habitat 8-Specificity of larval host palnt use 9- Larva host plant growth 10- Productivity of breeding habitat 11- Breadth in habitat use of adult butterflies</t>
  </si>
  <si>
    <t xml:space="preserve">Thomas and Lennon </t>
  </si>
  <si>
    <t>0.45/1.8º C</t>
  </si>
  <si>
    <t>0.0288º C/CTI Increased</t>
  </si>
  <si>
    <t>0.74º C/Study period</t>
  </si>
  <si>
    <t>Northward/Stable</t>
  </si>
  <si>
    <t xml:space="preserve">20 cells in the northern and southern cells of the distribution </t>
  </si>
  <si>
    <t>Body size and Breeding rate</t>
  </si>
  <si>
    <t>Lag behind changes in climate</t>
  </si>
  <si>
    <t xml:space="preserve">Forest closure and maturation,  Land use change (Successional changes )&amp;Climate change </t>
  </si>
  <si>
    <t>Pioneer species or not, Seed dispersal mode, biogeographic afinity of the species, species that can be found in immature stages of the vegetation succession or not.</t>
  </si>
  <si>
    <t xml:space="preserve">Relationship between ocenic condition and in eel spawning areas </t>
  </si>
  <si>
    <t>Primary Productivity / Increase in SST,Climate Change</t>
  </si>
  <si>
    <t>Dispersal potential, reproduction, niche breadth, diet breadth</t>
  </si>
  <si>
    <t>1-Trait related to resource use habitat 2- dispersal capacity 3-Reproductive capacity</t>
  </si>
  <si>
    <t xml:space="preserve">Subset species accordint to the habitat. Generalist and Specialist. </t>
  </si>
  <si>
    <t>Life history trait specially Overwintering stage</t>
  </si>
  <si>
    <t xml:space="preserve">Population trend </t>
  </si>
  <si>
    <t>Habitat (Specialist or Generalist) and Mobility</t>
  </si>
  <si>
    <t>Tongue length</t>
  </si>
  <si>
    <t>No Systematic shift Observed/Not significant latitudional shift observed (8.2km Southward)
Elev for Northerly species =40.7, Southerly species 22.3m</t>
  </si>
  <si>
    <t>Habitat lose</t>
  </si>
  <si>
    <t>Altitudinal shifts of the native and introduced flora of C alifornia in the context of 20th‐century warming</t>
  </si>
  <si>
    <t>1961-62/1983-04/2007-8</t>
  </si>
  <si>
    <t>Model spatial variation in population density using local and broad temperature change.</t>
  </si>
  <si>
    <t>2006/8 - 2012/13</t>
  </si>
  <si>
    <t>Altitudinal optimum(mean and median),higher limit(Absolut maximum 90th percentile) and lower limit(10th percentile), community level,species richness, and Changes in plot occupancy,community temperature index</t>
  </si>
  <si>
    <t xml:space="preserve">Life history traits such as (Ecological generalization;Dispersal capability;Clutch size) </t>
  </si>
  <si>
    <t>No shifts observed(Remained Stable)</t>
  </si>
  <si>
    <t xml:space="preserve">No driving force mentioned because both species remained stable. </t>
  </si>
  <si>
    <t>~1°C</t>
  </si>
  <si>
    <t>~100 km in average/Between 134m &amp;53 m</t>
  </si>
  <si>
    <t>Major landuse changes, coupled with loss of flower resources</t>
  </si>
  <si>
    <t xml:space="preserve">This study is based on topographic variation. The study is carried out in protected areas where aothors believed there is no any harmful land use change such as logging. </t>
  </si>
  <si>
    <t>~302.3 m</t>
  </si>
  <si>
    <t>Shifts in mean elevation compared compared between time period &amp; Species distribution modeling for the future scenarios- The multidirectionality of range shifts is assessed with the results of prediction</t>
  </si>
  <si>
    <t>Disturbances (wind-throw, fire,insect outbreaks and anthropogenic disturbances such as; logging, harvest, clearcut)</t>
  </si>
  <si>
    <t>Human disturbance and upward expansion of plants in a warming climate</t>
  </si>
  <si>
    <t xml:space="preserve">Shifts in abundance and distribution of shallow water fish fauna on the southeastern Brazilian coast: a response to climate change </t>
  </si>
  <si>
    <t xml:space="preserve">Fishes </t>
  </si>
  <si>
    <t xml:space="preserve">Southeastern Brazil </t>
  </si>
  <si>
    <t>Southward</t>
  </si>
  <si>
    <t xml:space="preserve">Marine </t>
  </si>
  <si>
    <t xml:space="preserve">Tropical/Subtropical </t>
  </si>
  <si>
    <t>0.06°C/ Per year</t>
  </si>
  <si>
    <t>By combining the available data, they reconstructed change profiles for candidate species at eachof the time intervals and assigned them to one of the four main qualitative categories/statuse of distributional change (e.g. appeared/disappeard or increasing/deacreasing)</t>
  </si>
  <si>
    <t>ASB</t>
  </si>
  <si>
    <t>1.7°C/ Study period</t>
  </si>
  <si>
    <t>Functional traits (e.g.,competetive ability and dispersal)</t>
  </si>
  <si>
    <t xml:space="preserve">Distance to road </t>
  </si>
  <si>
    <t>Habitat features(e.g., forest cover, forest loss, distance to road)</t>
  </si>
  <si>
    <t>1208;126</t>
  </si>
  <si>
    <t xml:space="preserve">Estimate the spatial vertical spread rate for all species (Median and Mean). </t>
  </si>
  <si>
    <t xml:space="preserve">30 m Per year </t>
  </si>
  <si>
    <t>P-ALPS</t>
  </si>
  <si>
    <t>Patterns and drivers of long-term changes in breeding bird communities in a global biodiversity hotspot in Mexico</t>
  </si>
  <si>
    <t xml:space="preserve">Local </t>
  </si>
  <si>
    <t>1887/1954 - 2009/2012</t>
  </si>
  <si>
    <t xml:space="preserve">Landuse, landscape change </t>
  </si>
  <si>
    <t xml:space="preserve">Climate and human mediated factors </t>
  </si>
  <si>
    <t>0.9°C during the time</t>
  </si>
  <si>
    <t>Temperature, precipoitation , land-use and landscape factors</t>
  </si>
  <si>
    <t xml:space="preserve">Upward shifts was more related to mean annual and min winter temperature also variation inland-use and landscape factors </t>
  </si>
  <si>
    <t xml:space="preserve">Tropical </t>
  </si>
  <si>
    <t>Madrean Sky Islands and adjacent Sierra Madre Occidental in Sonora and Chihuahua, Mexico</t>
  </si>
  <si>
    <t xml:space="preserve">By comparing observations with an extensive historical data set. They used modeling and multivariate techniques to assess spatiotemporal changes in species occurrence and assemblage  composition and association with climate, land-use and landscape. </t>
  </si>
  <si>
    <t>P-MOS</t>
  </si>
  <si>
    <t xml:space="preserve">Shifting fish distributions in warming sub-arctic oceans </t>
  </si>
  <si>
    <t>Arctic</t>
  </si>
  <si>
    <t>1996 - 2018</t>
  </si>
  <si>
    <t>~1.5-2 °C</t>
  </si>
  <si>
    <t>Iceland</t>
  </si>
  <si>
    <t xml:space="preserve">They used the multivartiate (glm) of location at capture(lat,long and depth). </t>
  </si>
  <si>
    <t>Temperatuer</t>
  </si>
  <si>
    <t>~ 100 km by eac 1°C warming</t>
  </si>
  <si>
    <t>Assessing changes in the distribution and range size of demersal fish population in the Bengela Current Large Marine Ecosystem</t>
  </si>
  <si>
    <t>Kluwer Academic Publishers</t>
  </si>
  <si>
    <t>1985 - 2010</t>
  </si>
  <si>
    <t>S.Africa</t>
  </si>
  <si>
    <t>The Benguela Current Large Marine</t>
  </si>
  <si>
    <t>Fish size</t>
  </si>
  <si>
    <t xml:space="preserve">Shift happens: trailing edge contraction associated with recent warming trends threatends a distinct genetic lineage in the marine macroalgaa Fucusvesiculosus </t>
  </si>
  <si>
    <t>BMC Biology</t>
  </si>
  <si>
    <t>Africa-Europe</t>
  </si>
  <si>
    <t>~1980 -2009/2011</t>
  </si>
  <si>
    <t>1(Canopy)</t>
  </si>
  <si>
    <t>~ 1250 km Study period</t>
  </si>
  <si>
    <t>0.214°C/decade</t>
  </si>
  <si>
    <t>Compare the historical data</t>
  </si>
  <si>
    <t>Seaweeds</t>
  </si>
  <si>
    <t xml:space="preserve">Warming off southwestern Japan linked to distributional shifts of subtidal canopy-forming seaweeds. </t>
  </si>
  <si>
    <t>0.3°C/decade</t>
  </si>
  <si>
    <t>Regioal</t>
  </si>
  <si>
    <t>Coast Kuroshio</t>
  </si>
  <si>
    <t>1970 - 2009</t>
  </si>
  <si>
    <t>ICE</t>
  </si>
  <si>
    <t>BCLME</t>
  </si>
  <si>
    <t>NAT</t>
  </si>
  <si>
    <t>TB</t>
  </si>
  <si>
    <t xml:space="preserve">Experimental migration upward in elevation is associated with strong selection on life history trait </t>
  </si>
  <si>
    <t>Sierra Nevada mountains</t>
  </si>
  <si>
    <t>upslope</t>
  </si>
  <si>
    <t>Garden experiment and commen transplant</t>
  </si>
  <si>
    <t>Some functional traite; survival;phenology;fecundity</t>
  </si>
  <si>
    <t xml:space="preserve">Temperature and precipitation in the field based not analysis </t>
  </si>
  <si>
    <t>Expanding northward: influence of climate change, forest connectivity, and population processes on a threatened species'range shift</t>
  </si>
  <si>
    <t>1981/1985 - 2001/2005</t>
  </si>
  <si>
    <t>2012 - 2015</t>
  </si>
  <si>
    <t>Canada/Ontario</t>
  </si>
  <si>
    <t>Model selection approach and multicriteria analysis</t>
  </si>
  <si>
    <t>Climate(temperature and precipitation); forest availability and connectivity</t>
  </si>
  <si>
    <t>Mean body Mass, Migratory strategy, and habitat preferance</t>
  </si>
  <si>
    <t>Breeding habitat and migration habits</t>
  </si>
  <si>
    <t xml:space="preserve">Persistence &amp; Dispersal </t>
  </si>
  <si>
    <t xml:space="preserve">Both biotic and abiotic factors </t>
  </si>
  <si>
    <t>Latitudional shifts in Spruce Budworm(Lepidoptera:Tortricidae) outbreaks and Spruce-fire forest distribution with climate change</t>
  </si>
  <si>
    <t>Acta Phytophathologica et Entomologica Hungarica</t>
  </si>
  <si>
    <t>1938 - 1980</t>
  </si>
  <si>
    <t>Climate related variables forest type and forest fire</t>
  </si>
  <si>
    <t>US-MIN;US-VER;US-NEY;US-MIC;US-WI;US-NH</t>
  </si>
  <si>
    <t>Mapping the historical data using GIS and stepwise analysis of fire forest distribution</t>
  </si>
  <si>
    <t>Tree-limit rise and recent warming: a geographic case study from the Swedish Scandes</t>
  </si>
  <si>
    <t>Norsk Geografisk Tidsskrift</t>
  </si>
  <si>
    <t>Swedish Scandes</t>
  </si>
  <si>
    <t>1915 - 1999</t>
  </si>
  <si>
    <t>100-130 m / Study period</t>
  </si>
  <si>
    <t>0.7°C/ Summer warming</t>
  </si>
  <si>
    <t xml:space="preserve">Direct field evidence </t>
  </si>
  <si>
    <t>Climate chang</t>
  </si>
  <si>
    <t>P-SSC</t>
  </si>
  <si>
    <t>Distribution shifts and overfishing the northern cod (Gadus morhua):a view from the ocean</t>
  </si>
  <si>
    <t>Canadian Journal of Fisheries and Aquatic Sciences</t>
  </si>
  <si>
    <t>1983 - 1994</t>
  </si>
  <si>
    <t>Southward (in the northern range)</t>
  </si>
  <si>
    <t xml:space="preserve">Some biotic and abiotic variables such as fishery discussed </t>
  </si>
  <si>
    <t>P-NA</t>
  </si>
  <si>
    <t>Bottom-trawl surveys</t>
  </si>
  <si>
    <t>Spatiotemporal variation in black spruce cone and seed crops along a boreal forest-tree line transect</t>
  </si>
  <si>
    <t>Canada- Atlantic ocean</t>
  </si>
  <si>
    <t>1989 - 1995</t>
  </si>
  <si>
    <t>Fishery- Only discussed and not tested</t>
  </si>
  <si>
    <t>Relationship between regenerative potential of plant and latitudional and thermal gradient</t>
  </si>
  <si>
    <t>Latitudional range shifts in Australian flying-foxes: a re-evalutian</t>
  </si>
  <si>
    <t>Australia (Mackay, Quinsland, Melborn, Victoria)</t>
  </si>
  <si>
    <t>100 km-Southward/Decade</t>
  </si>
  <si>
    <t>No change- Southward(Pteropus alecto )</t>
  </si>
  <si>
    <t xml:space="preserve">Neither climate change nor habitat change could provide simple explanations to explain the rapid southward shifts of species </t>
  </si>
  <si>
    <t>Temperature;Precipitation</t>
  </si>
  <si>
    <t>1843 /1920-1950 - 2000 -2001 - 2007</t>
  </si>
  <si>
    <t>~150</t>
  </si>
  <si>
    <t xml:space="preserve">0.7–4.3°C deacreas in mean annual maximum and minimum temperatures between 1921–1950  in the southernmost record   </t>
  </si>
  <si>
    <t>AS-NSW;AS-QL;AS-V</t>
  </si>
  <si>
    <t>Contemporary climate change alters te pace and drivers of extinction</t>
  </si>
  <si>
    <t>1898 - 2008</t>
  </si>
  <si>
    <t>145 m /Decade</t>
  </si>
  <si>
    <t>USA(Great Basin)</t>
  </si>
  <si>
    <t>Difference in vertical distnce between the lowest occupied elevations for each site</t>
  </si>
  <si>
    <t>The role climate, habitat and species co-occurrence as drivers of chang in small mammal distributions over the past century</t>
  </si>
  <si>
    <t>Correlative models (SDM)</t>
  </si>
  <si>
    <t>California(Yosemite National Park)</t>
  </si>
  <si>
    <t>Climate, Vegetation &amp; Species co-occurrence</t>
  </si>
  <si>
    <t>1900 -1940/1980 - 2007</t>
  </si>
  <si>
    <t>~100</t>
  </si>
  <si>
    <t>Climate (Precipitation and rainfall), vegetation, Species co-occurece</t>
  </si>
  <si>
    <t>Upward (The magnitude varied between species)</t>
  </si>
  <si>
    <t>On the generality of a climate-mediated shift in distribution of the American Pika (Ochotona Princepts)</t>
  </si>
  <si>
    <t>1908 -1979 vs. 1980 - 2007</t>
  </si>
  <si>
    <t>Temperature, Precipitation, rock type, talus depth, Soil moisture &amp; Elevation</t>
  </si>
  <si>
    <t>Correlation model with several predictors</t>
  </si>
  <si>
    <t>Precipitation-water sources/Species was extirpated from the dried habitat</t>
  </si>
  <si>
    <t> ~0.48°C but varied wildely among sites (−1.2°C to +2.5°C)</t>
  </si>
  <si>
    <t>Landscape, microhabitat &amp; climate(Temperature, Precipitation, rock type, talus depth, Soil moisture &amp; Elevation)</t>
  </si>
  <si>
    <t>Biological traits predict shift in geographical ranges of freshwater invertebrates during climatic warming and dying</t>
  </si>
  <si>
    <t>1994 - 2010</t>
  </si>
  <si>
    <t>Invertebrates</t>
  </si>
  <si>
    <t>Quantile regression to test for expansion and contraction on the climatically cooler, warmer drier and wetter edges</t>
  </si>
  <si>
    <t xml:space="preserve">Traits of thermophily and rheophily species </t>
  </si>
  <si>
    <t>Australia(New south Wales)</t>
  </si>
  <si>
    <t xml:space="preserve">Climate change- Trait analysis has potential for predicting which will expand </t>
  </si>
  <si>
    <t>Changes in the geographical distribution and abundance of the tick Ixodes ricinus during the past 30 years in Sweden</t>
  </si>
  <si>
    <t>Parasites &amp; vectors</t>
  </si>
  <si>
    <t>Sweden</t>
  </si>
  <si>
    <t>1980 - 1990 - 2009</t>
  </si>
  <si>
    <t>Citizen sciences (Questionare )</t>
  </si>
  <si>
    <t>Northward(coold edge expansion and warm edge contraction)</t>
  </si>
  <si>
    <t>Availability of host, warmer climate with milder winters</t>
  </si>
  <si>
    <t>Cold range edges of marine fishes track climate change better than warm edges</t>
  </si>
  <si>
    <t>95% Quantile distance from coastline &amp; Edge metric (95% quantile and 5% of latitude</t>
  </si>
  <si>
    <t xml:space="preserve">Northeast US Shelf region </t>
  </si>
  <si>
    <t>1968 - 2017</t>
  </si>
  <si>
    <t>0.030°C / Per year</t>
  </si>
  <si>
    <t>Sear surface temperature Isotherm</t>
  </si>
  <si>
    <t>(-7.4 )to (13.1)  km/Yearly&amp; 3 m/depeer yearly</t>
  </si>
  <si>
    <t>S-USC</t>
  </si>
  <si>
    <t>AS-NSW</t>
  </si>
  <si>
    <t>Testing climate tracking of montane rodent distributions over the past century within the Great Basin ecoregion</t>
  </si>
  <si>
    <t>Global Ecology and Conservation</t>
  </si>
  <si>
    <t>1913 - 1940 / 2005 - 2015</t>
  </si>
  <si>
    <t>SDM model using 800 m resolution montly PRISM climate data.</t>
  </si>
  <si>
    <t>Temperatur &amp; Temperature</t>
  </si>
  <si>
    <t>Temperature and Precipitation</t>
  </si>
  <si>
    <t xml:space="preserve">Idiosyncratic </t>
  </si>
  <si>
    <t>USA (Great Basin)</t>
  </si>
  <si>
    <t>~80</t>
  </si>
  <si>
    <t>~1 °C / Study period</t>
  </si>
  <si>
    <t xml:space="preserve">The autors found mismatch between climate models and observed because climate did not change uniformly across mountain ranges </t>
  </si>
  <si>
    <t>Responding to increased aridity: Evidence for range shifts in lizards across a 50-year time span in Joshua Tree National Park</t>
  </si>
  <si>
    <t>1958 - 1972/2014 - 2018</t>
  </si>
  <si>
    <t xml:space="preserve">Species specific frequencies of observations by elevation and evaluated whether those projections were consistent with plot-based assessments of species abundance. </t>
  </si>
  <si>
    <t>Temperature &amp; Precipitation</t>
  </si>
  <si>
    <t>~ 3°C/ Study period</t>
  </si>
  <si>
    <t>73 m/Study period</t>
  </si>
  <si>
    <t xml:space="preserve">Climate change and drought </t>
  </si>
  <si>
    <t>In transition: Avian biogeographic responses to a century of climate change across desert biomes</t>
  </si>
  <si>
    <t>1908 - 1969/2013 - 2016</t>
  </si>
  <si>
    <t>0.8°C/ Study Period</t>
  </si>
  <si>
    <t xml:space="preserve">Idiosyncratic across communities </t>
  </si>
  <si>
    <t>Measured range shifts and CTI</t>
  </si>
  <si>
    <t xml:space="preserve">Water availability is likely to be the most important </t>
  </si>
  <si>
    <t>Bumblebees moving up: shifts in elevation ranges in the Pyrenees over 115 years</t>
  </si>
  <si>
    <t>Proceedings of the Royal Society B</t>
  </si>
  <si>
    <t>1899 - 2005/6</t>
  </si>
  <si>
    <t>~115</t>
  </si>
  <si>
    <t>Bumblebees &amp; Plants</t>
  </si>
  <si>
    <t xml:space="preserve">Insects &amp; Plants </t>
  </si>
  <si>
    <t>USA (Mojava &amp; Great Basin Desert)</t>
  </si>
  <si>
    <t>USA (California-Joshua Tree National Park)</t>
  </si>
  <si>
    <t>France and Spain (Pyrenees)</t>
  </si>
  <si>
    <t>Temperature &amp; Land-use</t>
  </si>
  <si>
    <t> 0.02°C/ Per year</t>
  </si>
  <si>
    <t>They measured  range ranges shifts in elevational gradients (200m)</t>
  </si>
  <si>
    <t>129m (All Bumblebees); 229m (Plants)</t>
  </si>
  <si>
    <t xml:space="preserve">Temperature; Land-use change and host plants visited by species </t>
  </si>
  <si>
    <t xml:space="preserve">Climate change; Land-use change and shifts in host plants </t>
  </si>
  <si>
    <t>Geographic Variability in Elevation and Topographic Constraints on the Distribution of Native and Nonnative Trout in the Great Basin</t>
  </si>
  <si>
    <t>Transactions of the American Fisheries Society</t>
  </si>
  <si>
    <t>1953 - 2010</t>
  </si>
  <si>
    <t>~63</t>
  </si>
  <si>
    <t>Terrestrial(Fresh water)</t>
  </si>
  <si>
    <t>5th  and 95th quantile described a relationship between elevation (response variable) and latitude and longitude</t>
  </si>
  <si>
    <t>Northward/Upward</t>
  </si>
  <si>
    <t xml:space="preserve">OK </t>
  </si>
  <si>
    <t>Changes in the spatial distribution of spawning activity by north-east Atlantic mackerel in warming seas: 1977–2010</t>
  </si>
  <si>
    <t>Marine Biology</t>
  </si>
  <si>
    <t>1977 - 2010</t>
  </si>
  <si>
    <t>North-Easth Atlantic Ocean</t>
  </si>
  <si>
    <t>279 Km/ Study period</t>
  </si>
  <si>
    <t xml:space="preserve">Changes in SST </t>
  </si>
  <si>
    <t>To measure of the location of activity (egg production centre of gravity (CoG)) to test for polewards movement in the distribution of species</t>
  </si>
  <si>
    <t>The Wilson Journal of Ornithology</t>
  </si>
  <si>
    <t>Body Size</t>
  </si>
  <si>
    <t>USA (New york,Minnesota, North Dakota, New Ingland and Canada)</t>
  </si>
  <si>
    <t>Mearue birds distributional shifts and the edge of the range and examine temporal change to geographic paterns of body size</t>
  </si>
  <si>
    <t>Northward/Westward</t>
  </si>
  <si>
    <t>0.81 Degree North/1.06 Degree west</t>
  </si>
  <si>
    <t>1950 - 1970 - 2000</t>
  </si>
  <si>
    <t xml:space="preserve">Warming temperature </t>
  </si>
  <si>
    <t>The rapid northward shift of the range margin of a Mediterranean parasitoid insect (Hymenoptera) associated with regional climate warming</t>
  </si>
  <si>
    <t>France (The Rhône–Saône Valley)</t>
  </si>
  <si>
    <t xml:space="preserve">90 Km/ Decadal </t>
  </si>
  <si>
    <t>1.57 °C, on average from 1979 to 2011</t>
  </si>
  <si>
    <t>1993 - 2003 - 2011</t>
  </si>
  <si>
    <t xml:space="preserve">Linear regression between latitude, year and abundance </t>
  </si>
  <si>
    <t>Twenty years of observed and predicted changes in subtidal red seaweed assemblages along a biogeographical transition zone: inferring potential causes from environmental data</t>
  </si>
  <si>
    <t>Jurnal of Biogeography</t>
  </si>
  <si>
    <t>1992 - 1998 / 2010 - 2012</t>
  </si>
  <si>
    <t>SS, SPIM concentration &amp; Cholorophyll</t>
  </si>
  <si>
    <t>Modeling the species using the 3 Environmental variables</t>
  </si>
  <si>
    <t xml:space="preserve"> 0.7 °C/ Study Period</t>
  </si>
  <si>
    <t>Shifting with climate? Evidence for recent changes in tree species distribution at high latitudes</t>
  </si>
  <si>
    <t>1970 - 2002</t>
  </si>
  <si>
    <t>Canada(Quebec)</t>
  </si>
  <si>
    <t>Northward(5 Species) Southward (3 Species)</t>
  </si>
  <si>
    <t>Ranging from −0.2 to +1.19°C </t>
  </si>
  <si>
    <t>50th percentile and 90 Percentile of latitude was measured and compared between time periods</t>
  </si>
  <si>
    <t>Precipitation and Temperature Trend was provided but tested</t>
  </si>
  <si>
    <t xml:space="preserve">In todal each species &gt;1 Km/ Per year </t>
  </si>
  <si>
    <t xml:space="preserve">Expansion of geogrpahic range in pine processionary moth caused by increased winter temperature </t>
  </si>
  <si>
    <t>France (Paris)</t>
  </si>
  <si>
    <t>1972 - 2004</t>
  </si>
  <si>
    <t>110-230 m &amp; 87 Km/Study period</t>
  </si>
  <si>
    <t>Feeding activity and survival</t>
  </si>
  <si>
    <t>∼0.6°C over the past 100</t>
  </si>
  <si>
    <t>Experimental (feeding controled by temperature)</t>
  </si>
  <si>
    <t>Transaction experiment control the temperature</t>
  </si>
  <si>
    <t>US-NEV</t>
  </si>
  <si>
    <t>P-CAN</t>
  </si>
  <si>
    <t>PYRE</t>
  </si>
  <si>
    <t>US-AL;US.ARK;US-FL;US-GEO;US-Ill;US-IND;US-LO;US-KEN;US-LO;US-MIC;US-MIN;US-MISS;US-MIS;US-NC;US-OH;US-SC;US-TEN;US-VI;US-WI</t>
  </si>
  <si>
    <t>P-RSV</t>
  </si>
  <si>
    <t>France (Western Ferance)</t>
  </si>
  <si>
    <t>WF</t>
  </si>
  <si>
    <t>FP</t>
  </si>
  <si>
    <t>(Pounds, Fogden and Campbell, 1999)</t>
  </si>
  <si>
    <t>(Seimon et al., 2007)</t>
  </si>
  <si>
    <t>(Wilson et al., 2005)</t>
  </si>
  <si>
    <t>(Morueta Holme et al., 2015)</t>
  </si>
  <si>
    <t>(Grabherr, Gottfried and Paull, 1994)</t>
  </si>
  <si>
    <t>(Nye et al., 2009)</t>
  </si>
  <si>
    <t>(Konvicka et al., 2003)</t>
  </si>
  <si>
    <t>(Kullman, 2002)</t>
  </si>
  <si>
    <t>(Wilson &amp; Nilsson, 2009)</t>
  </si>
  <si>
    <t>(Paprocki, Heath and Novak, 2014)</t>
  </si>
  <si>
    <t>(Grytnes et al., 2014)</t>
  </si>
  <si>
    <t>(Archaux, 2003)</t>
  </si>
  <si>
    <t>(Franco et al., 2006)</t>
  </si>
  <si>
    <t>(Moritz et al., 2008)</t>
  </si>
  <si>
    <t>(Lenoir et al., 2008)</t>
  </si>
  <si>
    <t>(Pauli et al., 2007)</t>
  </si>
  <si>
    <t>(Parolo and Rossi, 2008)</t>
  </si>
  <si>
    <t>(Vittoz et al., 2008)</t>
  </si>
  <si>
    <t>(Crimmins et al., 2011)</t>
  </si>
  <si>
    <t>(Tingley et al., 2012)</t>
  </si>
  <si>
    <t>(Pinsky et al., 2013)</t>
  </si>
  <si>
    <t>(Speed et al., 2012)</t>
  </si>
  <si>
    <t>(Dieker, Drees and Assmann, 2011)</t>
  </si>
  <si>
    <t>(Comte and Grenouillet, 2013)</t>
  </si>
  <si>
    <t>(Felde, Kapfer and Grytnes, 2012)</t>
  </si>
  <si>
    <t>(Reif and Flousek, 2012)</t>
  </si>
  <si>
    <t>(Jepsen et al., 2008)</t>
  </si>
  <si>
    <t>(Popy, Bordignon and Prodon, 2009)</t>
  </si>
  <si>
    <t>(Maggini et al., 2011)</t>
  </si>
  <si>
    <t>(Corten, 2001)</t>
  </si>
  <si>
    <t>(Wilson et al., 2007)</t>
  </si>
  <si>
    <t>(Wardle and Coleman, 1992)</t>
  </si>
  <si>
    <t>(Beckmann et al., 2015)</t>
  </si>
  <si>
    <t>(Lesica, McCune and Ezcurra, 2004)</t>
  </si>
  <si>
    <t>(Vittoz et al., 2009)</t>
  </si>
  <si>
    <t>(Richardson and Schoeman, 2004)</t>
  </si>
  <si>
    <t>(D. J. Beare et al., 2004)</t>
  </si>
  <si>
    <t>(D. Beare et al., 2004)</t>
  </si>
  <si>
    <t>(Penuelas and Boada, 2003)</t>
  </si>
  <si>
    <t>(Zuckerberg, Woods and Porter, 2009)</t>
  </si>
  <si>
    <t>(Yamano, Sugihara and Nomura, 2011)</t>
  </si>
  <si>
    <t>(Worm and Tittensor, 2011)</t>
  </si>
  <si>
    <t>(Menéndez et al., 2014)</t>
  </si>
  <si>
    <t>(Wu, 2016)</t>
  </si>
  <si>
    <t>(Brommer, 2004)</t>
  </si>
  <si>
    <t>(Forister et al., 2010)</t>
  </si>
  <si>
    <t>(Frei, Bodin and Walther, 2010)</t>
  </si>
  <si>
    <t>(Reif, Št’astný and Bejček, 2010)</t>
  </si>
  <si>
    <t>(VanDerWal et al., 2013)</t>
  </si>
  <si>
    <t>(Thomas and Lennon, 1999)</t>
  </si>
  <si>
    <t>(Parmesan et al., 1999)</t>
  </si>
  <si>
    <t>(Hickling et al., 2005)</t>
  </si>
  <si>
    <t>(Barry et al., 1995)</t>
  </si>
  <si>
    <t>(Hersteinsson and MacDonald, 1992)</t>
  </si>
  <si>
    <t>(Parmesan, 1996)</t>
  </si>
  <si>
    <t>(Warren et al., 2001)</t>
  </si>
  <si>
    <t>(Hitch and Leberg, 2007)</t>
  </si>
  <si>
    <t>(McDonald et al., 2012)</t>
  </si>
  <si>
    <t>(Perry et al., 2005)</t>
  </si>
  <si>
    <t>(Kelly and Goulden, 2008)</t>
  </si>
  <si>
    <t>(Devictor et al., 2008)</t>
  </si>
  <si>
    <t>(Hickling et al., 2006)</t>
  </si>
  <si>
    <t>(PÖYry et al., 2009)</t>
  </si>
  <si>
    <t>(Godet, Jaffré and Devictor, 2011)</t>
  </si>
  <si>
    <t>(Peterson and Baltosser, 2003)</t>
  </si>
  <si>
    <t>(Rivadeneira and Fernández, 2005)</t>
  </si>
  <si>
    <t>(MORENO RUEDA et al., 2012)</t>
  </si>
  <si>
    <t>(Angelo and Daehler, 2013)</t>
  </si>
  <si>
    <t>(Bedford, Whittaker and Kerr, 2012)</t>
  </si>
  <si>
    <t>(Devictor et al., 2012)</t>
  </si>
  <si>
    <t>(Bodin et al., 2013)</t>
  </si>
  <si>
    <t>(Beckage et al., 2008)</t>
  </si>
  <si>
    <t>(Chen et al., 2011)</t>
  </si>
  <si>
    <t>(Alheit et al., 2012)</t>
  </si>
  <si>
    <t>(Alofs, Jackson and Lester, 2014)</t>
  </si>
  <si>
    <t>(Breed, Stichter and Crone, 2013)</t>
  </si>
  <si>
    <t>(Brommer, Lehikoinen and Valkama, 2012)</t>
  </si>
  <si>
    <t>(Kočárek et al., 2008)</t>
  </si>
  <si>
    <t>(Bergamini, Ungricht and Hofmann, 2009)</t>
  </si>
  <si>
    <t>(Betzholtz et al., 2013)</t>
  </si>
  <si>
    <t>(Bonhommeau et al., 2008)</t>
  </si>
  <si>
    <t>(Chirima, Owen Smith and Erasmus, 2012)</t>
  </si>
  <si>
    <t>(SHOO, WILLIAMS and Hero, 2006)</t>
  </si>
  <si>
    <t>(Rowe, Finarelli and Rickart, 2009)</t>
  </si>
  <si>
    <t>(Hanberry and Hansen, no date)</t>
  </si>
  <si>
    <t>(Jump, Huang and Chou, 2012)</t>
  </si>
  <si>
    <t>(Moreno Rueda, 2010)</t>
  </si>
  <si>
    <t xml:space="preserve"> (Oliver et al., 2012)</t>
  </si>
  <si>
    <t>(Botts, Erasmus and Alexander, 2015)</t>
  </si>
  <si>
    <t>(Hockey et al., 2011)</t>
  </si>
  <si>
    <t>(Atkinson et al., 2004)</t>
  </si>
  <si>
    <t>(Kerr et al., 2015)</t>
  </si>
  <si>
    <t>(Le Roux et al., 2008)</t>
  </si>
  <si>
    <t>(Feeley et al., no date)</t>
  </si>
  <si>
    <t>(Juvik et al., 2011)</t>
  </si>
  <si>
    <t>(Hill et al., 2002)</t>
  </si>
  <si>
    <t>(Ploquin, Herrera and Obeso, 2013)</t>
  </si>
  <si>
    <t>(Telwala et al., 2013)</t>
  </si>
  <si>
    <t>(Stebbing et al., 2002)</t>
  </si>
  <si>
    <t>(Quero, 1998)</t>
  </si>
  <si>
    <t>(Brander et al., 2003)</t>
  </si>
  <si>
    <t>(Sorte and Thompson, 2007)</t>
  </si>
  <si>
    <t>(Zhu, Woodall and Clark, 2012)</t>
  </si>
  <si>
    <t>(Asher, Fox and Warren, 2011)</t>
  </si>
  <si>
    <t>(Brusca et al., 2013)</t>
  </si>
  <si>
    <t>(Dulvy et al., 2008)</t>
  </si>
  <si>
    <t>(Engelhard et al., 2011)</t>
  </si>
  <si>
    <t>(Fodrie et al., 2010)</t>
  </si>
  <si>
    <t>(Forcada et al., 2006)</t>
  </si>
  <si>
    <t>(Forero Medina et al., 2011)</t>
  </si>
  <si>
    <t>(Fox et al., 2011)</t>
  </si>
  <si>
    <t>(Groom, 2013)</t>
  </si>
  <si>
    <t>(Massimino, Johnston and Pearce Higgins, 2015)</t>
  </si>
  <si>
    <t>(Freeman and Freeman, 2014)</t>
  </si>
  <si>
    <t>(Gillings, Balmer and Fuller, 2014)</t>
  </si>
  <si>
    <t>(Potvin, Välimäki and Lehikoinen, 2016)</t>
  </si>
  <si>
    <t>(Virkkala and Lehikoinen, 2014)</t>
  </si>
  <si>
    <t>(Grewe et al., 2013)</t>
  </si>
  <si>
    <t>(Poloczanska et al., 2011)</t>
  </si>
  <si>
    <t>(Pitt, Poloczanska and Hobday, 2010)</t>
  </si>
  <si>
    <t>(Sheldon, 2012)</t>
  </si>
  <si>
    <t>(HSIEH et al., 2009)</t>
  </si>
  <si>
    <t>(Termaat, Kalkman and Bouwman, 2010)</t>
  </si>
  <si>
    <t>(Mason et al., 2015)</t>
  </si>
  <si>
    <t>(Hiddink, Burrows and García Molinos, 2015)</t>
  </si>
  <si>
    <t>(La Sorte and Jetz, 2012)</t>
  </si>
  <si>
    <t>(Hill and Preston, 2015)</t>
  </si>
  <si>
    <t>(Warren and Chick, 2013)</t>
  </si>
  <si>
    <t>(Wethey and Woodin, 2008)</t>
  </si>
  <si>
    <t>(Keith et al., 2011)</t>
  </si>
  <si>
    <t>(PÉRON et al., 2010)</t>
  </si>
  <si>
    <t>(Precht and Aronson, 2004)</t>
  </si>
  <si>
    <t>(Sagarin et al., 1999)</t>
  </si>
  <si>
    <t>(Holbrook, Schmitt and Stephens, 1997)</t>
  </si>
  <si>
    <t>(Rowe et al. 2015)</t>
  </si>
  <si>
    <t>(Santos, Thorne and Moritz, 2015)</t>
  </si>
  <si>
    <t>(Wu, 2015)</t>
  </si>
  <si>
    <t>(MYERS et al., 2009)</t>
  </si>
  <si>
    <t>(Kwon, Lee and Kim, 2014)</t>
  </si>
  <si>
    <t>(Wolf et al., 2016)</t>
  </si>
  <si>
    <t>(Virkkala, Research and 2011, 2011)</t>
  </si>
  <si>
    <t>(Virkkala and Rajasärkkä, 2011)</t>
  </si>
  <si>
    <t>(Virkkala and Rajasärkkä, 2012)</t>
  </si>
  <si>
    <t>(Tougou, Musolin and Fujisaki, 2009)</t>
  </si>
  <si>
    <t>(Ryrholm, 2003)</t>
  </si>
  <si>
    <t>(Lehikoinen and Virkkala, 2016)</t>
  </si>
  <si>
    <t>(Jung et al., 2014)</t>
  </si>
  <si>
    <t>(Kalela, 1949)</t>
  </si>
  <si>
    <t>(Virkkala, 2016)</t>
  </si>
  <si>
    <t>(MATTILA et al., 2011)</t>
  </si>
  <si>
    <t>(Wu and Shi, 2016)</t>
  </si>
  <si>
    <t>(Tayleur et al., 2015)</t>
  </si>
  <si>
    <t>(Ash, Givnish and Waller, 2016)</t>
  </si>
  <si>
    <t>(Valiela and Bowen, 2009)</t>
  </si>
  <si>
    <t>(MACLEAN et al., 2008)</t>
  </si>
  <si>
    <t>(Lindström et al., 2013)</t>
  </si>
  <si>
    <t>(Jiguet et al., 2010)</t>
  </si>
  <si>
    <t>(Dulle et al., 2016)</t>
  </si>
  <si>
    <t>(Princé and Zuckerberg, 2015)</t>
  </si>
  <si>
    <t>(Kampichler et al., 2012)</t>
  </si>
  <si>
    <t>(Fraixedas, Lehikoinen and Lindén, 2015)</t>
  </si>
  <si>
    <t>(Roth, Plattner and Amrhein, 2014)</t>
  </si>
  <si>
    <t>(Mair et al., 2012)</t>
  </si>
  <si>
    <t>(Bertrand et al., 2011)</t>
  </si>
  <si>
    <t>(Last et al., 2011)</t>
  </si>
  <si>
    <t>(Mueter and Litzow, 2008)</t>
  </si>
  <si>
    <t>(Gregory, Christophe and Martin, 2009)</t>
  </si>
  <si>
    <t>(Southward, Hawkins and Burrows, 1995)</t>
  </si>
  <si>
    <t>(Doak and Morris, 2010)</t>
  </si>
  <si>
    <t>(Taheri, Naimi and Araújo, 2016)</t>
  </si>
  <si>
    <t>(Currie and Venne, 2017)</t>
  </si>
  <si>
    <t>(Comte and Grenouillet, 2015)</t>
  </si>
  <si>
    <t>(Rich and Currie, 2018)</t>
  </si>
  <si>
    <t>(Aguirre Gutiérrez et al., 2016)</t>
  </si>
  <si>
    <t>(Woodall et al., 2018)</t>
  </si>
  <si>
    <t>(Yalcin and Leroux, 2018)</t>
  </si>
  <si>
    <t>(Marion and Bergerot, 2018)</t>
  </si>
  <si>
    <t>(Bani et al., 2019)</t>
  </si>
  <si>
    <t>(Ameztegui et al., 2016)</t>
  </si>
  <si>
    <t>(Rumpf et al., 2018)</t>
  </si>
  <si>
    <t>(Ettinger and HilleRisLambers, 2017)</t>
  </si>
  <si>
    <t>(Termaat et al., 2019)</t>
  </si>
  <si>
    <t xml:space="preserve">(Boisvert Marsh, Périé and de Blois, 2014) </t>
  </si>
  <si>
    <t>(Pyke et al., 2016)</t>
  </si>
  <si>
    <t>(Reif et al., 2008)</t>
  </si>
  <si>
    <t>(Freeman et al., 2018)</t>
  </si>
  <si>
    <t>(Monleon and Lintz, 2015)</t>
  </si>
  <si>
    <t>(Enriquez Urzelai et al., 2019)</t>
  </si>
  <si>
    <t>(Glennon et al., 2019)</t>
  </si>
  <si>
    <t>(Boisvert‐Marsh, Périé and de Blois, 2019)</t>
  </si>
  <si>
    <t>(He et al., 2019)</t>
  </si>
  <si>
    <t>(Nooten and Rehan, 2019)</t>
  </si>
  <si>
    <t>(Gooliaff and Hodges, 2018)</t>
  </si>
  <si>
    <t>(Auer and King, 2014)</t>
  </si>
  <si>
    <t>(Cerrato et al., 2019)</t>
  </si>
  <si>
    <t>(Virkkala et al., 2020)</t>
  </si>
  <si>
    <t>(Parkash, Ramniwas and Kajla, 2013)</t>
  </si>
  <si>
    <t>(Dainese et al., 2017)</t>
  </si>
  <si>
    <t>(Araújo et al., 2018)</t>
  </si>
  <si>
    <t>(Flesch, 2019)</t>
  </si>
  <si>
    <t>(Campana et al., 2020)</t>
  </si>
  <si>
    <t>(Yemane et al., 2014)</t>
  </si>
  <si>
    <t>(Nicastro et al., 2013)</t>
  </si>
  <si>
    <t>(Tanaka et al., 2012)</t>
  </si>
  <si>
    <t>(Peterson, Angert and Kay, 2020)</t>
  </si>
  <si>
    <t>(Williams and Liebhold, 1997)</t>
  </si>
  <si>
    <t>(Kullman, 2000)</t>
  </si>
  <si>
    <t>(Rose et al., 2000)</t>
  </si>
  <si>
    <t>(Sirois, 2000)</t>
  </si>
  <si>
    <t>(Roberts et al., 2012)</t>
  </si>
  <si>
    <t>(BEEVER et al., 2011)</t>
  </si>
  <si>
    <t>(Rubidge et al., 2011)</t>
  </si>
  <si>
    <t>(Erb, Ray and Guralnick, 2011)</t>
  </si>
  <si>
    <t>(Chessman, 2012)</t>
  </si>
  <si>
    <t>(Jaenson et al., 2012)</t>
  </si>
  <si>
    <t>(Fredston‐Hermann et al., 2020)</t>
  </si>
  <si>
    <t>(Pardi et al., 2020)</t>
  </si>
  <si>
    <t>(Barrows et al., 2020)</t>
  </si>
  <si>
    <t>(Iknayan and Beissinger, 2020)</t>
  </si>
  <si>
    <t>(Marshall et al., 2020)</t>
  </si>
  <si>
    <t>(Warren, Dunham and Hockman Wert, 2014)</t>
  </si>
  <si>
    <t>(Hughes, Dransfeld and Johnson, 2014)</t>
  </si>
  <si>
    <t>(Kirchman and Schneider, 2014)</t>
  </si>
  <si>
    <t>(Delava et al., 2014)</t>
  </si>
  <si>
    <t>(Gallon et al., 2014)</t>
  </si>
  <si>
    <t>(Battisti et al., 2005)</t>
  </si>
  <si>
    <t>Sum-Score</t>
  </si>
  <si>
    <t>Shifts in the wintering distribution and abundance of Emperor Geese in Alaska</t>
  </si>
  <si>
    <t>(Uher-Koch et al., 2020)</t>
  </si>
  <si>
    <t>US-ALS</t>
  </si>
  <si>
    <t>USA (Alaska)</t>
  </si>
  <si>
    <t>1999-2004 / 2015-17</t>
  </si>
  <si>
    <t>~15</t>
  </si>
  <si>
    <t>Using geolocators and comparing historical with current distribution</t>
  </si>
  <si>
    <t>Rapid warming temperature and reduction in ice cover</t>
  </si>
  <si>
    <t xml:space="preserve"> ~-3.41°C/Mean winter temperature increased U243</t>
  </si>
  <si>
    <t>(Taheri et al., 2020)</t>
  </si>
  <si>
    <t>Discriminating climate, land‐cover and random effects on species range dynamics</t>
  </si>
  <si>
    <t>Great Britain</t>
  </si>
  <si>
    <t>1968 - 72 / 2007-11</t>
  </si>
  <si>
    <t>48 Km/ Study period</t>
  </si>
  <si>
    <t xml:space="preserve">Comparing the impact of land-use, climate and stochasiticity in species range boundaries </t>
  </si>
  <si>
    <t>Land- cover</t>
  </si>
  <si>
    <t xml:space="preserve">Temperature, Precipitation and land-cover </t>
  </si>
  <si>
    <t>The main driving force in the northern margins is land-cover and main drving force in the southern margins is climate</t>
  </si>
  <si>
    <r>
      <t>Range expansion and the breakdown of Bergmann's Rule in Red-Bellied Woodpeckers (</t>
    </r>
    <r>
      <rPr>
        <i/>
        <sz val="9"/>
        <color rgb="FF000000"/>
        <rFont val="Calibri"/>
        <family val="2"/>
        <scheme val="minor"/>
      </rPr>
      <t>Melanerpes carolinus</t>
    </r>
    <r>
      <rPr>
        <sz val="9"/>
        <color rgb="FF000000"/>
        <rFont val="Calibri"/>
        <family val="2"/>
        <scheme val="minor"/>
      </rPr>
      <t>)</t>
    </r>
  </si>
  <si>
    <t>(Péron et al., 2010)</t>
  </si>
  <si>
    <t>(Moreno-Rueda et al., 2012)</t>
  </si>
  <si>
    <t>(Melles et al., 2011)</t>
  </si>
  <si>
    <t xml:space="preserve">Diet </t>
  </si>
  <si>
    <t>Functional trait including : 
1-Seed size 
 2-Seed spread rate.</t>
  </si>
  <si>
    <t>Body size,  taxonomic order.</t>
  </si>
  <si>
    <t>Phylogeny, phenology, body size and wing size, flight period</t>
  </si>
  <si>
    <t>Dispersal potential  &amp; fertilisation</t>
  </si>
  <si>
    <t>Migratory strategy</t>
  </si>
  <si>
    <t>Habitat preferances</t>
  </si>
  <si>
    <t xml:space="preserve">Habitat type and Migration distance used as trait </t>
  </si>
  <si>
    <t>Migration distance</t>
  </si>
  <si>
    <t>1- Larval specificity and resource distrbituion 
2- Dispersal ability
3-Habitat type(i.e.Cultivation, industrial etc.)
4-Flight period and over wintering stage
5- Body sizeNo</t>
  </si>
  <si>
    <t>Migration distance
_Habitat specialization 
_Body mass</t>
  </si>
  <si>
    <t>Habitat &amp; Dietry Preference</t>
  </si>
  <si>
    <t>1- Body Mass
2- Migratory Strategy
3-Trends in occupancy 
4-Northern range boundary</t>
  </si>
  <si>
    <t>1- Migratory Strategy
2- Habitat preferences</t>
  </si>
  <si>
    <t>Habitat alteration</t>
  </si>
  <si>
    <t>(Walther et al.,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</si>
</sst>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font>
      <sz val="11"/>
      <color theme="1"/>
      <name val="Calibri"/>
      <family val="2"/>
      <scheme val="minor"/>
    </font>
    <font>
      <i/>
      <sz val="9"/>
      <color theme="1"/>
      <name val="Calibri"/>
      <family val="2"/>
      <scheme val="minor"/>
    </font>
    <font>
      <i/>
      <sz val="9"/>
      <color theme="1"/>
      <name val="Calibri"/>
      <family val="2"/>
    </font>
    <font>
      <sz val="9"/>
      <color theme="1"/>
      <name val="Calibri"/>
      <family val="2"/>
    </font>
    <font>
      <b/>
      <i/>
      <sz val="9"/>
      <color theme="4" tint="-0.499984740745262"/>
      <name val="Calibri"/>
      <family val="2"/>
      <scheme val="minor"/>
    </font>
    <font>
      <b/>
      <i/>
      <sz val="9"/>
      <color theme="0"/>
      <name val="Calibri"/>
      <family val="2"/>
      <scheme val="minor"/>
    </font>
    <font>
      <b/>
      <i/>
      <sz val="9"/>
      <color theme="5" tint="-0.499984740745262"/>
      <name val="Calibri"/>
      <family val="2"/>
      <scheme val="minor"/>
    </font>
    <font>
      <b/>
      <i/>
      <sz val="9"/>
      <color theme="1"/>
      <name val="Calibri"/>
      <family val="2"/>
      <scheme val="minor"/>
    </font>
    <font>
      <i/>
      <sz val="9"/>
      <name val="Calibri"/>
      <family val="2"/>
      <scheme val="minor"/>
    </font>
    <font>
      <b/>
      <sz val="10"/>
      <color indexed="81"/>
      <name val="Calibri"/>
      <family val="2"/>
    </font>
    <font>
      <u/>
      <sz val="11"/>
      <color theme="11"/>
      <name val="Calibri"/>
      <family val="2"/>
      <scheme val="minor"/>
    </font>
    <font>
      <i/>
      <sz val="11"/>
      <color theme="1"/>
      <name val="Calibri"/>
      <family val="2"/>
      <scheme val="minor"/>
    </font>
    <font>
      <i/>
      <sz val="9"/>
      <color theme="1"/>
      <name val="Calibri (Body)"/>
    </font>
    <font>
      <i/>
      <sz val="9"/>
      <color rgb="FF000000"/>
      <name val="Calibri"/>
      <family val="2"/>
      <scheme val="minor"/>
    </font>
    <font>
      <b/>
      <i/>
      <sz val="11"/>
      <color theme="0" tint="-4.9989318521683403E-2"/>
      <name val="Adobe Caslon Pro"/>
      <family val="1"/>
    </font>
    <font>
      <sz val="11"/>
      <color theme="0"/>
      <name val="Adobe Caslon Pro"/>
      <family val="1"/>
    </font>
    <font>
      <b/>
      <i/>
      <sz val="11"/>
      <color theme="0"/>
      <name val="Adobe Caslon Pro"/>
      <family val="1"/>
    </font>
    <font>
      <b/>
      <i/>
      <sz val="10"/>
      <color theme="0"/>
      <name val="Adobe Caslon Pro"/>
      <family val="1"/>
    </font>
    <font>
      <b/>
      <i/>
      <sz val="9"/>
      <color theme="1"/>
      <name val="Adobe Caslon Pro"/>
      <family val="1"/>
    </font>
    <font>
      <b/>
      <i/>
      <sz val="10"/>
      <color theme="1"/>
      <name val="Adobe Caslon Pro"/>
      <family val="1"/>
    </font>
    <font>
      <b/>
      <i/>
      <sz val="11"/>
      <color theme="1"/>
      <name val="Adobe Caslon Pro"/>
      <family val="1"/>
    </font>
    <font>
      <b/>
      <i/>
      <sz val="8"/>
      <color theme="1"/>
      <name val="Adobe Caslon Pro"/>
      <family val="1"/>
    </font>
    <font>
      <b/>
      <i/>
      <sz val="9"/>
      <color rgb="FFC00000"/>
      <name val="Calibri"/>
      <family val="2"/>
      <scheme val="minor"/>
    </font>
    <font>
      <u/>
      <sz val="11"/>
      <color theme="10"/>
      <name val="Calibri"/>
      <family val="2"/>
      <scheme val="minor"/>
    </font>
    <font>
      <i/>
      <sz val="9"/>
      <color rgb="FFFF0000"/>
      <name val="Calibri"/>
      <family val="2"/>
    </font>
    <font>
      <b/>
      <i/>
      <sz val="9"/>
      <color theme="5" tint="-0.499984740745262"/>
      <name val="Adobe Caslon Pro"/>
      <family val="1"/>
    </font>
    <font>
      <i/>
      <sz val="9"/>
      <color theme="1" tint="0.14999847407452621"/>
      <name val="Calibri"/>
      <family val="2"/>
      <scheme val="minor"/>
    </font>
    <font>
      <i/>
      <sz val="9"/>
      <color theme="1" tint="4.9989318521683403E-2"/>
      <name val="Calibri"/>
      <family val="2"/>
      <scheme val="minor"/>
    </font>
    <font>
      <i/>
      <sz val="9"/>
      <color theme="2" tint="-0.499984740745262"/>
      <name val="Calibri"/>
      <family val="2"/>
    </font>
    <font>
      <i/>
      <sz val="9"/>
      <color theme="2" tint="-0.499984740745262"/>
      <name val="Calibri"/>
      <family val="2"/>
      <scheme val="minor"/>
    </font>
    <font>
      <b/>
      <i/>
      <sz val="9"/>
      <color theme="4" tint="-0.249977111117893"/>
      <name val="Calibri"/>
      <family val="2"/>
      <scheme val="minor"/>
    </font>
    <font>
      <b/>
      <i/>
      <sz val="9"/>
      <color theme="4" tint="-0.249977111117893"/>
      <name val="Calibri"/>
      <family val="2"/>
    </font>
    <font>
      <sz val="10"/>
      <color theme="1"/>
      <name val="Calibri"/>
      <family val="2"/>
      <scheme val="minor"/>
    </font>
    <font>
      <b/>
      <sz val="8"/>
      <color theme="0"/>
      <name val="Calibri Light"/>
      <family val="2"/>
      <scheme val="major"/>
    </font>
    <font>
      <i/>
      <sz val="9"/>
      <color theme="2" tint="-0.89999084444715716"/>
      <name val="Calibri"/>
      <family val="2"/>
      <scheme val="minor"/>
    </font>
    <font>
      <sz val="11"/>
      <color theme="1" tint="4.9989318521683403E-2"/>
      <name val="Calibri"/>
      <family val="2"/>
      <scheme val="minor"/>
    </font>
    <font>
      <i/>
      <sz val="9"/>
      <color theme="4" tint="-0.499984740745262"/>
      <name val="Calibri"/>
      <family val="2"/>
      <scheme val="minor"/>
    </font>
    <font>
      <b/>
      <sz val="8"/>
      <color theme="1"/>
      <name val="Adobe Caslon Pro"/>
      <family val="1"/>
    </font>
    <font>
      <b/>
      <sz val="8"/>
      <color theme="1" tint="4.9989318521683403E-2"/>
      <name val="Adobe Caslon Pro"/>
      <family val="1"/>
    </font>
    <font>
      <b/>
      <i/>
      <sz val="9"/>
      <color theme="1" tint="4.9989318521683403E-2"/>
      <name val="Calibri"/>
      <family val="2"/>
      <scheme val="minor"/>
    </font>
    <font>
      <i/>
      <sz val="9"/>
      <name val="Calibri"/>
      <family val="2"/>
    </font>
    <font>
      <b/>
      <i/>
      <sz val="9"/>
      <color theme="1"/>
      <name val="Calibri"/>
      <family val="2"/>
    </font>
    <font>
      <i/>
      <sz val="9"/>
      <color rgb="FFC00000"/>
      <name val="Calibri"/>
      <family val="2"/>
    </font>
    <font>
      <b/>
      <sz val="10"/>
      <color rgb="FF000000"/>
      <name val="Calibri"/>
      <family val="2"/>
    </font>
    <font>
      <b/>
      <sz val="8"/>
      <color theme="1"/>
      <name val="Calibri Light"/>
      <family val="2"/>
      <scheme val="major"/>
    </font>
    <font>
      <sz val="10"/>
      <color rgb="FF000000"/>
      <name val="Calibri"/>
      <family val="2"/>
    </font>
    <font>
      <b/>
      <i/>
      <sz val="11"/>
      <name val="Calibri"/>
      <family val="2"/>
      <scheme val="minor"/>
    </font>
    <font>
      <b/>
      <i/>
      <sz val="9"/>
      <name val="Calibri"/>
      <family val="2"/>
    </font>
    <font>
      <sz val="9"/>
      <color rgb="FF000000"/>
      <name val="Calibri"/>
      <family val="2"/>
      <scheme val="minor"/>
    </font>
    <font>
      <i/>
      <sz val="8"/>
      <name val="Calibri Light"/>
      <family val="2"/>
      <scheme val="major"/>
    </font>
    <font>
      <i/>
      <sz val="8"/>
      <name val="Calibri"/>
      <family val="2"/>
      <scheme val="minor"/>
    </font>
    <font>
      <b/>
      <i/>
      <sz val="8"/>
      <color rgb="FFFF0000"/>
      <name val="Calibri"/>
      <family val="2"/>
      <scheme val="minor"/>
    </font>
    <font>
      <i/>
      <sz val="8"/>
      <color theme="1"/>
      <name val="Calibri"/>
      <family val="2"/>
      <scheme val="minor"/>
    </font>
    <font>
      <i/>
      <sz val="8"/>
      <name val="Calibri"/>
      <family val="2"/>
    </font>
    <font>
      <b/>
      <i/>
      <sz val="11"/>
      <color theme="1"/>
      <name val="Adobe Arabic"/>
      <family val="1"/>
    </font>
  </fonts>
  <fills count="25">
    <fill>
      <patternFill patternType="none"/>
    </fill>
    <fill>
      <patternFill patternType="gray125"/>
    </fill>
    <fill>
      <patternFill patternType="solid">
        <fgColor theme="7" tint="0.39997558519241921"/>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1"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rgb="FF92D050"/>
        <bgColor indexed="64"/>
      </patternFill>
    </fill>
  </fills>
  <borders count="1">
    <border>
      <left/>
      <right/>
      <top/>
      <bottom/>
      <diagonal/>
    </border>
  </borders>
  <cellStyleXfs count="180">
    <xf numFmtId="0" fontId="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xf numFmtId="0" fontId="23" fillId="0" borderId="0" applyNumberFormat="0" applyFill="0" applyBorder="0" applyAlignment="0" applyProtection="0"/>
    <xf numFmtId="0" fontId="10" fillId="0" borderId="0" applyNumberFormat="0" applyFill="0" applyBorder="0" applyAlignment="0" applyProtection="0"/>
  </cellStyleXfs>
  <cellXfs count="101">
    <xf numFmtId="0" fontId="0" fillId="0" borderId="0" xfId="0"/>
    <xf numFmtId="0" fontId="1" fillId="0" borderId="0" xfId="0" applyFont="1" applyAlignment="1">
      <alignment horizontal="left"/>
    </xf>
    <xf numFmtId="0" fontId="2" fillId="0" borderId="0" xfId="0" applyFont="1" applyAlignment="1">
      <alignment horizontal="left" vertical="center"/>
    </xf>
    <xf numFmtId="0" fontId="0" fillId="0" borderId="0" xfId="0" applyAlignment="1">
      <alignment horizontal="left"/>
    </xf>
    <xf numFmtId="0" fontId="1" fillId="0" borderId="0" xfId="0" applyFont="1" applyFill="1" applyAlignment="1">
      <alignment horizontal="left"/>
    </xf>
    <xf numFmtId="0" fontId="0" fillId="0" borderId="0" xfId="0" applyFill="1"/>
    <xf numFmtId="0" fontId="1" fillId="0" borderId="0" xfId="0" applyFont="1" applyFill="1" applyAlignment="1">
      <alignment horizontal="center"/>
    </xf>
    <xf numFmtId="0" fontId="2" fillId="0" borderId="0" xfId="0" applyFont="1" applyFill="1" applyAlignment="1">
      <alignment horizontal="left" vertical="center"/>
    </xf>
    <xf numFmtId="0" fontId="0" fillId="0" borderId="0" xfId="0" applyAlignment="1">
      <alignment horizontal="center"/>
    </xf>
    <xf numFmtId="0" fontId="1" fillId="0" borderId="0" xfId="0" applyFont="1"/>
    <xf numFmtId="0" fontId="6" fillId="11" borderId="0" xfId="0" applyFont="1" applyFill="1" applyAlignment="1">
      <alignment horizontal="left" vertical="center"/>
    </xf>
    <xf numFmtId="0" fontId="1" fillId="0" borderId="0" xfId="0" applyFont="1" applyFill="1"/>
    <xf numFmtId="0" fontId="1" fillId="0" borderId="0" xfId="0" applyFont="1" applyFill="1" applyAlignment="1">
      <alignment horizontal="left" wrapText="1"/>
    </xf>
    <xf numFmtId="0" fontId="8" fillId="0" borderId="0" xfId="0" applyFont="1" applyFill="1" applyAlignment="1">
      <alignment horizontal="left"/>
    </xf>
    <xf numFmtId="0" fontId="13" fillId="0" borderId="0" xfId="0" applyFont="1" applyAlignment="1">
      <alignment horizontal="center" vertical="center"/>
    </xf>
    <xf numFmtId="0" fontId="13" fillId="0" borderId="0" xfId="0" applyFont="1" applyAlignment="1">
      <alignment horizontal="left" vertical="center"/>
    </xf>
    <xf numFmtId="0" fontId="0" fillId="0" borderId="0" xfId="0" applyFont="1"/>
    <xf numFmtId="0" fontId="13" fillId="0" borderId="0" xfId="0" applyFont="1" applyFill="1" applyAlignment="1">
      <alignment horizontal="left"/>
    </xf>
    <xf numFmtId="0" fontId="14" fillId="7" borderId="0" xfId="0" applyFont="1" applyFill="1" applyAlignment="1">
      <alignment horizontal="center" vertical="top"/>
    </xf>
    <xf numFmtId="0" fontId="15" fillId="14" borderId="0" xfId="0" applyFont="1" applyFill="1" applyAlignment="1">
      <alignment horizontal="center" vertical="center"/>
    </xf>
    <xf numFmtId="0" fontId="16" fillId="11" borderId="0" xfId="0" applyFont="1" applyFill="1" applyAlignment="1">
      <alignment horizontal="center" vertical="top"/>
    </xf>
    <xf numFmtId="0" fontId="18" fillId="16" borderId="0" xfId="0" applyFont="1" applyFill="1" applyAlignment="1">
      <alignment horizontal="center" vertical="center"/>
    </xf>
    <xf numFmtId="0" fontId="18" fillId="15" borderId="0" xfId="0" applyFont="1" applyFill="1" applyAlignment="1">
      <alignment horizontal="center" vertical="center"/>
    </xf>
    <xf numFmtId="0" fontId="18" fillId="9" borderId="0" xfId="0" applyFont="1" applyFill="1" applyAlignment="1">
      <alignment horizontal="center" vertical="center"/>
    </xf>
    <xf numFmtId="0" fontId="18" fillId="17" borderId="0" xfId="0" applyFont="1" applyFill="1" applyAlignment="1">
      <alignment horizontal="center" vertical="center"/>
    </xf>
    <xf numFmtId="0" fontId="21" fillId="16" borderId="0" xfId="0" applyFont="1" applyFill="1" applyAlignment="1">
      <alignment horizontal="center" vertical="center"/>
    </xf>
    <xf numFmtId="0" fontId="26" fillId="0" borderId="0" xfId="0" applyFont="1" applyFill="1"/>
    <xf numFmtId="0" fontId="24" fillId="0" borderId="0" xfId="0" applyFont="1" applyFill="1" applyAlignment="1">
      <alignment horizontal="left" vertical="center"/>
    </xf>
    <xf numFmtId="0" fontId="1" fillId="0" borderId="0" xfId="0" applyFont="1" applyFill="1" applyAlignment="1">
      <alignment horizontal="center" vertical="top"/>
    </xf>
    <xf numFmtId="0" fontId="13" fillId="0" borderId="0" xfId="0" applyFont="1" applyFill="1" applyAlignment="1">
      <alignment horizontal="left" vertical="center"/>
    </xf>
    <xf numFmtId="0" fontId="28" fillId="0" borderId="0" xfId="0" applyFont="1" applyAlignment="1">
      <alignment horizontal="center" vertical="center"/>
    </xf>
    <xf numFmtId="0" fontId="30" fillId="0" borderId="0" xfId="0" applyFont="1" applyAlignment="1">
      <alignment horizontal="center" vertical="center"/>
    </xf>
    <xf numFmtId="0" fontId="31" fillId="0" borderId="0" xfId="0" applyFont="1" applyAlignment="1">
      <alignment horizontal="center" vertical="center"/>
    </xf>
    <xf numFmtId="0" fontId="32" fillId="0" borderId="0" xfId="0" applyFont="1"/>
    <xf numFmtId="0" fontId="5" fillId="3" borderId="0" xfId="0" applyFont="1" applyFill="1" applyAlignment="1">
      <alignment horizontal="left"/>
    </xf>
    <xf numFmtId="0" fontId="7" fillId="13" borderId="0" xfId="0" applyFont="1" applyFill="1" applyAlignment="1">
      <alignment horizontal="left"/>
    </xf>
    <xf numFmtId="0" fontId="7" fillId="18" borderId="0" xfId="0" applyFont="1" applyFill="1" applyAlignment="1">
      <alignment horizontal="left"/>
    </xf>
    <xf numFmtId="0" fontId="7" fillId="0" borderId="0" xfId="0" applyFont="1" applyAlignment="1">
      <alignment horizontal="left"/>
    </xf>
    <xf numFmtId="0" fontId="30" fillId="0" borderId="0" xfId="0" applyFont="1" applyFill="1" applyAlignment="1">
      <alignment horizontal="center" vertical="center"/>
    </xf>
    <xf numFmtId="0" fontId="28" fillId="0" borderId="0" xfId="0" applyFont="1" applyFill="1" applyAlignment="1">
      <alignment horizontal="center" vertical="center"/>
    </xf>
    <xf numFmtId="0" fontId="0" fillId="0" borderId="0" xfId="0" applyFont="1" applyFill="1"/>
    <xf numFmtId="0" fontId="29" fillId="0" borderId="0" xfId="0" applyFont="1" applyFill="1" applyAlignment="1">
      <alignment horizontal="center" vertical="center"/>
    </xf>
    <xf numFmtId="0" fontId="4" fillId="10" borderId="0" xfId="0" applyFont="1" applyFill="1" applyAlignment="1"/>
    <xf numFmtId="0" fontId="0" fillId="0" borderId="0" xfId="0" applyAlignment="1"/>
    <xf numFmtId="0" fontId="27" fillId="0" borderId="0" xfId="0" applyFont="1" applyFill="1" applyAlignment="1">
      <alignment horizontal="left"/>
    </xf>
    <xf numFmtId="0" fontId="27" fillId="0" borderId="0" xfId="0" applyFont="1" applyFill="1"/>
    <xf numFmtId="0" fontId="35" fillId="0" borderId="0" xfId="0" applyFont="1" applyFill="1"/>
    <xf numFmtId="0" fontId="36" fillId="0" borderId="0" xfId="0" applyFont="1" applyFill="1" applyAlignment="1">
      <alignment horizontal="left"/>
    </xf>
    <xf numFmtId="0" fontId="7" fillId="4" borderId="0" xfId="0" applyFont="1" applyFill="1" applyAlignment="1">
      <alignment horizontal="left"/>
    </xf>
    <xf numFmtId="0" fontId="7" fillId="15" borderId="0" xfId="0" applyFont="1" applyFill="1" applyAlignment="1">
      <alignment horizontal="left"/>
    </xf>
    <xf numFmtId="0" fontId="40" fillId="0" borderId="0" xfId="0" applyFont="1" applyFill="1" applyAlignment="1">
      <alignment horizontal="left" vertical="center"/>
    </xf>
    <xf numFmtId="0" fontId="22" fillId="0" borderId="0" xfId="0" applyFont="1" applyFill="1" applyAlignment="1">
      <alignment horizontal="center"/>
    </xf>
    <xf numFmtId="0" fontId="13" fillId="19" borderId="0" xfId="0" applyFont="1" applyFill="1" applyAlignment="1">
      <alignment horizontal="left" vertical="center"/>
    </xf>
    <xf numFmtId="0" fontId="34" fillId="0" borderId="0" xfId="0" applyFont="1" applyFill="1" applyAlignment="1">
      <alignment horizontal="left"/>
    </xf>
    <xf numFmtId="0" fontId="42" fillId="0" borderId="0" xfId="0" applyFont="1" applyFill="1" applyAlignment="1">
      <alignment horizontal="left" vertical="center"/>
    </xf>
    <xf numFmtId="0" fontId="11" fillId="0" borderId="0" xfId="0" applyFont="1" applyFill="1" applyAlignment="1">
      <alignment horizontal="left"/>
    </xf>
    <xf numFmtId="0" fontId="0" fillId="0" borderId="0" xfId="0" applyFill="1" applyAlignment="1"/>
    <xf numFmtId="0" fontId="0" fillId="0" borderId="0" xfId="0" applyFill="1" applyAlignment="1">
      <alignment horizontal="left"/>
    </xf>
    <xf numFmtId="0" fontId="46" fillId="0" borderId="0" xfId="0" applyFont="1" applyFill="1" applyBorder="1" applyAlignment="1">
      <alignment horizontal="center"/>
    </xf>
    <xf numFmtId="0" fontId="28" fillId="0" borderId="0" xfId="0" applyFont="1" applyAlignment="1">
      <alignment vertical="center"/>
    </xf>
    <xf numFmtId="0" fontId="28" fillId="0" borderId="0" xfId="0" applyFont="1" applyFill="1" applyAlignment="1">
      <alignment vertical="center"/>
    </xf>
    <xf numFmtId="0" fontId="31" fillId="0" borderId="0" xfId="0" applyFont="1" applyAlignment="1">
      <alignment vertical="center"/>
    </xf>
    <xf numFmtId="0" fontId="30" fillId="0" borderId="0" xfId="0" applyFont="1" applyFill="1" applyAlignment="1">
      <alignment vertical="center"/>
    </xf>
    <xf numFmtId="0" fontId="30" fillId="0" borderId="0" xfId="0" applyFont="1" applyAlignment="1">
      <alignment vertical="center"/>
    </xf>
    <xf numFmtId="0" fontId="2" fillId="12" borderId="0" xfId="0" applyFont="1" applyFill="1" applyAlignment="1">
      <alignment horizontal="left" vertical="center"/>
    </xf>
    <xf numFmtId="0" fontId="0" fillId="0" borderId="0" xfId="0" applyFill="1" applyAlignment="1">
      <alignment horizontal="center"/>
    </xf>
    <xf numFmtId="0" fontId="7" fillId="22" borderId="0" xfId="0" applyFont="1" applyFill="1" applyAlignment="1"/>
    <xf numFmtId="0" fontId="1" fillId="0" borderId="0" xfId="0" applyFont="1" applyFill="1" applyAlignment="1"/>
    <xf numFmtId="0" fontId="6" fillId="11" borderId="0" xfId="0" applyFont="1" applyFill="1" applyAlignment="1">
      <alignment vertical="center"/>
    </xf>
    <xf numFmtId="0" fontId="27" fillId="0" borderId="0" xfId="0" applyFont="1" applyFill="1" applyAlignment="1"/>
    <xf numFmtId="0" fontId="13" fillId="0" borderId="0" xfId="0" applyFont="1" applyFill="1" applyAlignment="1"/>
    <xf numFmtId="0" fontId="2" fillId="0" borderId="0" xfId="0" applyFont="1" applyFill="1" applyAlignment="1"/>
    <xf numFmtId="0" fontId="47" fillId="0" borderId="0" xfId="0" applyFont="1" applyFill="1" applyAlignment="1"/>
    <xf numFmtId="0" fontId="33" fillId="7" borderId="0" xfId="0" applyFont="1" applyFill="1" applyAlignment="1"/>
    <xf numFmtId="0" fontId="44" fillId="0" borderId="0" xfId="0" applyFont="1" applyFill="1" applyAlignment="1"/>
    <xf numFmtId="0" fontId="32" fillId="0" borderId="0" xfId="0" applyFont="1" applyAlignment="1">
      <alignment horizontal="center"/>
    </xf>
    <xf numFmtId="0" fontId="20" fillId="9" borderId="0" xfId="0" applyFont="1" applyFill="1" applyAlignment="1">
      <alignment horizontal="left" vertical="center"/>
    </xf>
    <xf numFmtId="0" fontId="19" fillId="2" borderId="0" xfId="0" applyFont="1" applyFill="1" applyAlignment="1">
      <alignment horizontal="center" vertical="center"/>
    </xf>
    <xf numFmtId="0" fontId="19" fillId="5" borderId="0" xfId="0" applyFont="1" applyFill="1" applyAlignment="1">
      <alignment horizontal="center"/>
    </xf>
    <xf numFmtId="0" fontId="37" fillId="4" borderId="0" xfId="0" applyFont="1" applyFill="1" applyAlignment="1">
      <alignment horizontal="center"/>
    </xf>
    <xf numFmtId="0" fontId="37" fillId="5" borderId="0" xfId="0" applyFont="1" applyFill="1" applyAlignment="1">
      <alignment horizontal="center" vertical="center"/>
    </xf>
    <xf numFmtId="0" fontId="38" fillId="6" borderId="0" xfId="0" applyFont="1" applyFill="1" applyAlignment="1">
      <alignment horizontal="center" vertical="top"/>
    </xf>
    <xf numFmtId="0" fontId="16" fillId="14" borderId="0" xfId="0" applyFont="1" applyFill="1" applyAlignment="1">
      <alignment horizontal="center" vertical="center"/>
    </xf>
    <xf numFmtId="0" fontId="17" fillId="14" borderId="0" xfId="0" applyFont="1" applyFill="1" applyAlignment="1">
      <alignment horizontal="center" vertical="center"/>
    </xf>
    <xf numFmtId="0" fontId="19" fillId="8" borderId="0" xfId="0" applyFont="1" applyFill="1" applyAlignment="1">
      <alignment horizontal="center"/>
    </xf>
    <xf numFmtId="0" fontId="20" fillId="5" borderId="0" xfId="0" applyFont="1" applyFill="1" applyAlignment="1">
      <alignment horizontal="center" vertical="center"/>
    </xf>
    <xf numFmtId="0" fontId="16" fillId="20" borderId="0" xfId="0" applyFont="1" applyFill="1" applyAlignment="1">
      <alignment horizontal="left" vertical="center"/>
    </xf>
    <xf numFmtId="0" fontId="25" fillId="17" borderId="0" xfId="0" applyFont="1" applyFill="1" applyAlignment="1">
      <alignment horizontal="left" vertical="center"/>
    </xf>
    <xf numFmtId="0" fontId="18" fillId="21" borderId="0" xfId="0" applyFont="1" applyFill="1" applyAlignment="1">
      <alignment vertical="center"/>
    </xf>
    <xf numFmtId="0" fontId="39" fillId="13" borderId="0" xfId="0" applyFont="1" applyFill="1" applyAlignment="1">
      <alignment vertical="center"/>
    </xf>
    <xf numFmtId="0" fontId="1" fillId="23" borderId="0" xfId="0" applyFont="1" applyFill="1"/>
    <xf numFmtId="0" fontId="49" fillId="0" borderId="0" xfId="0" applyFont="1" applyFill="1" applyAlignment="1"/>
    <xf numFmtId="0" fontId="50" fillId="0" borderId="0" xfId="0" applyFont="1" applyFill="1" applyAlignment="1"/>
    <xf numFmtId="0" fontId="51" fillId="0" borderId="0" xfId="0" applyFont="1" applyFill="1" applyAlignment="1">
      <alignment horizontal="left"/>
    </xf>
    <xf numFmtId="0" fontId="0" fillId="24" borderId="0" xfId="0" applyFill="1"/>
    <xf numFmtId="0" fontId="53" fillId="0" borderId="0" xfId="0" applyFont="1" applyFill="1" applyAlignment="1"/>
    <xf numFmtId="0" fontId="54" fillId="19" borderId="0" xfId="0" applyFont="1" applyFill="1" applyAlignment="1">
      <alignment horizontal="center" vertical="center"/>
    </xf>
    <xf numFmtId="0" fontId="54" fillId="19" borderId="0" xfId="0" applyFont="1" applyFill="1" applyAlignment="1">
      <alignment vertical="center"/>
    </xf>
    <xf numFmtId="0" fontId="52" fillId="0" borderId="0" xfId="0" applyFont="1" applyFill="1" applyAlignment="1">
      <alignment horizontal="center" vertical="center"/>
    </xf>
    <xf numFmtId="0" fontId="50" fillId="0" borderId="0" xfId="0" applyFont="1" applyFill="1" applyAlignment="1">
      <alignment horizontal="center"/>
    </xf>
    <xf numFmtId="0" fontId="52" fillId="0" borderId="0" xfId="0" applyFont="1" applyAlignment="1">
      <alignment horizontal="center"/>
    </xf>
  </cellXfs>
  <cellStyles count="18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Normal" xfId="0" builtinId="0"/>
  </cellStyles>
  <dxfs count="9">
    <dxf>
      <border>
        <left style="thin">
          <color rgb="FF9C0006"/>
        </left>
        <right style="thin">
          <color rgb="FF9C0006"/>
        </right>
        <top style="thin">
          <color rgb="FF9C0006"/>
        </top>
        <bottom style="thin">
          <color rgb="FF9C0006"/>
        </bottom>
        <vertical/>
        <horizontal/>
      </border>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s>
  <tableStyles count="0" defaultTableStyle="TableStyleMedium2" defaultPivotStyle="PivotStyleLight16"/>
  <colors>
    <mruColors>
      <color rgb="FFFFAEBD"/>
      <color rgb="FFCAB7F3"/>
      <color rgb="FFAB7FF3"/>
      <color rgb="FF00CC00"/>
      <color rgb="FFE57623"/>
      <color rgb="FF9BE4FD"/>
      <color rgb="FFFF7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499984740745262"/>
  </sheetPr>
  <dimension ref="A1:AF456"/>
  <sheetViews>
    <sheetView tabSelected="1" zoomScaleNormal="100" workbookViewId="0">
      <pane xSplit="4" ySplit="1" topLeftCell="E23" activePane="bottomRight" state="frozen"/>
      <selection pane="topRight" activeCell="E1" sqref="E1"/>
      <selection pane="bottomLeft" activeCell="A2" sqref="A2"/>
      <selection pane="bottomRight" activeCell="D13" sqref="D13"/>
    </sheetView>
  </sheetViews>
  <sheetFormatPr defaultColWidth="8.85546875" defaultRowHeight="15"/>
  <cols>
    <col min="1" max="2" width="5.140625" style="43" customWidth="1"/>
    <col min="3" max="3" width="5" style="74" customWidth="1"/>
    <col min="4" max="4" width="5" style="3" bestFit="1" customWidth="1"/>
    <col min="5" max="5" width="81.42578125" style="3" customWidth="1"/>
    <col min="6" max="6" width="11.140625" style="3" customWidth="1"/>
    <col min="7" max="7" width="21" style="3" customWidth="1"/>
    <col min="8" max="8" width="5.42578125" style="3" bestFit="1" customWidth="1"/>
    <col min="9" max="9" width="7.85546875" style="3" customWidth="1"/>
    <col min="10" max="10" width="13.7109375" style="3" customWidth="1"/>
    <col min="11" max="11" width="6.140625" style="3" bestFit="1" customWidth="1"/>
    <col min="12" max="12" width="5.7109375" style="3" customWidth="1"/>
    <col min="13" max="13" width="8.42578125" style="3" customWidth="1"/>
    <col min="14" max="14" width="8.42578125" style="43" customWidth="1"/>
    <col min="15" max="15" width="17.42578125" style="3" customWidth="1"/>
    <col min="16" max="16" width="21.42578125" style="3" customWidth="1"/>
    <col min="17" max="17" width="6" style="8" customWidth="1"/>
    <col min="18" max="18" width="19.28515625" style="3" customWidth="1"/>
    <col min="19" max="19" width="20.7109375" style="43" customWidth="1"/>
    <col min="20" max="20" width="8.85546875" style="9"/>
    <col min="21" max="21" width="12.85546875" customWidth="1"/>
    <col min="22" max="22" width="15" style="43" customWidth="1"/>
    <col min="23" max="23" width="22.5703125" customWidth="1"/>
    <col min="25" max="25" width="39.85546875" bestFit="1" customWidth="1"/>
  </cols>
  <sheetData>
    <row r="1" spans="1:25" s="37" customFormat="1" ht="12" customHeight="1">
      <c r="A1" s="42" t="s">
        <v>19</v>
      </c>
      <c r="B1" s="97" t="s">
        <v>1174</v>
      </c>
      <c r="C1" s="73" t="s">
        <v>20</v>
      </c>
      <c r="D1" s="34" t="s">
        <v>21</v>
      </c>
      <c r="E1" s="10" t="s">
        <v>22</v>
      </c>
      <c r="F1" s="10" t="s">
        <v>23</v>
      </c>
      <c r="G1" s="10" t="s">
        <v>24</v>
      </c>
      <c r="H1" s="10" t="s">
        <v>25</v>
      </c>
      <c r="I1" s="10" t="s">
        <v>26</v>
      </c>
      <c r="J1" s="10" t="s">
        <v>338</v>
      </c>
      <c r="K1" s="10" t="s">
        <v>27</v>
      </c>
      <c r="L1" s="10" t="s">
        <v>556</v>
      </c>
      <c r="M1" s="10" t="s">
        <v>28</v>
      </c>
      <c r="N1" s="89" t="s">
        <v>1463</v>
      </c>
      <c r="O1" s="10" t="s">
        <v>29</v>
      </c>
      <c r="P1" s="10" t="s">
        <v>30</v>
      </c>
      <c r="Q1" s="10" t="s">
        <v>1220</v>
      </c>
      <c r="R1" s="10" t="s">
        <v>31</v>
      </c>
      <c r="S1" s="68" t="s">
        <v>719</v>
      </c>
      <c r="T1" s="35" t="s">
        <v>32</v>
      </c>
      <c r="U1" s="36" t="s">
        <v>434</v>
      </c>
      <c r="V1" s="66" t="s">
        <v>464</v>
      </c>
      <c r="W1" s="49" t="s">
        <v>1396</v>
      </c>
      <c r="X1" s="48" t="s">
        <v>671</v>
      </c>
    </row>
    <row r="2" spans="1:25" s="9" customFormat="1" ht="12" customHeight="1">
      <c r="A2" s="72" t="s">
        <v>280</v>
      </c>
      <c r="B2" s="98">
        <v>1</v>
      </c>
      <c r="C2" s="91" t="s">
        <v>1025</v>
      </c>
      <c r="D2" s="93">
        <v>4</v>
      </c>
      <c r="E2" s="4" t="s">
        <v>164</v>
      </c>
      <c r="F2" s="4" t="s">
        <v>34</v>
      </c>
      <c r="G2" s="47" t="s">
        <v>1995</v>
      </c>
      <c r="H2" s="4">
        <v>1999</v>
      </c>
      <c r="I2" s="11" t="s">
        <v>45</v>
      </c>
      <c r="J2" s="4" t="s">
        <v>45</v>
      </c>
      <c r="K2" s="4">
        <v>101</v>
      </c>
      <c r="L2" s="4">
        <v>101</v>
      </c>
      <c r="M2" s="11" t="s">
        <v>43</v>
      </c>
      <c r="N2" s="67" t="s">
        <v>470</v>
      </c>
      <c r="O2" s="4" t="s">
        <v>68</v>
      </c>
      <c r="P2" s="11" t="s">
        <v>841</v>
      </c>
      <c r="Q2" s="51">
        <f>1988-1968</f>
        <v>20</v>
      </c>
      <c r="R2" s="11" t="s">
        <v>131</v>
      </c>
      <c r="S2" s="67" t="s">
        <v>165</v>
      </c>
      <c r="T2" s="11" t="s">
        <v>40</v>
      </c>
      <c r="U2" s="11" t="s">
        <v>448</v>
      </c>
      <c r="V2" s="67" t="s">
        <v>130</v>
      </c>
      <c r="W2" s="11" t="s">
        <v>1645</v>
      </c>
      <c r="X2" s="11" t="s">
        <v>670</v>
      </c>
      <c r="Y2"/>
    </row>
    <row r="3" spans="1:25" s="9" customFormat="1" ht="12" customHeight="1">
      <c r="A3" s="72" t="s">
        <v>304</v>
      </c>
      <c r="B3" s="99">
        <v>2</v>
      </c>
      <c r="C3" s="91" t="s">
        <v>1190</v>
      </c>
      <c r="D3" s="93">
        <v>5</v>
      </c>
      <c r="E3" s="4" t="s">
        <v>166</v>
      </c>
      <c r="F3" s="4" t="s">
        <v>34</v>
      </c>
      <c r="G3" s="47" t="s">
        <v>1996</v>
      </c>
      <c r="H3" s="4">
        <v>1999</v>
      </c>
      <c r="I3" s="11" t="s">
        <v>50</v>
      </c>
      <c r="J3" s="4" t="s">
        <v>51</v>
      </c>
      <c r="K3" s="4">
        <v>35</v>
      </c>
      <c r="L3" s="4">
        <v>35</v>
      </c>
      <c r="M3" s="11" t="s">
        <v>83</v>
      </c>
      <c r="N3" s="67" t="s">
        <v>470</v>
      </c>
      <c r="O3" s="4" t="s">
        <v>167</v>
      </c>
      <c r="P3" s="11" t="s">
        <v>842</v>
      </c>
      <c r="Q3" s="51">
        <f>1999-1925</f>
        <v>74</v>
      </c>
      <c r="R3" s="11" t="s">
        <v>131</v>
      </c>
      <c r="S3" s="67" t="s">
        <v>874</v>
      </c>
      <c r="T3" s="11" t="s">
        <v>40</v>
      </c>
      <c r="U3" s="11" t="s">
        <v>648</v>
      </c>
      <c r="V3" s="67" t="s">
        <v>877</v>
      </c>
      <c r="W3" s="11" t="s">
        <v>1645</v>
      </c>
      <c r="X3" s="11" t="s">
        <v>670</v>
      </c>
      <c r="Y3"/>
    </row>
    <row r="4" spans="1:25" s="9" customFormat="1" ht="12">
      <c r="A4" s="72" t="s">
        <v>718</v>
      </c>
      <c r="B4" s="98">
        <v>3</v>
      </c>
      <c r="C4" s="91" t="s">
        <v>1190</v>
      </c>
      <c r="D4" s="93">
        <v>6</v>
      </c>
      <c r="E4" s="4" t="s">
        <v>33</v>
      </c>
      <c r="F4" s="4" t="s">
        <v>34</v>
      </c>
      <c r="G4" s="47" t="s">
        <v>1946</v>
      </c>
      <c r="H4" s="4">
        <v>1999</v>
      </c>
      <c r="I4" s="4" t="s">
        <v>1198</v>
      </c>
      <c r="J4" s="4" t="s">
        <v>1198</v>
      </c>
      <c r="K4" s="4">
        <v>7</v>
      </c>
      <c r="L4" s="4" t="s">
        <v>716</v>
      </c>
      <c r="M4" s="4" t="s">
        <v>35</v>
      </c>
      <c r="N4" s="67" t="s">
        <v>1464</v>
      </c>
      <c r="O4" s="4" t="s">
        <v>717</v>
      </c>
      <c r="P4" s="4" t="s">
        <v>1199</v>
      </c>
      <c r="Q4" s="51">
        <f>1998-1979</f>
        <v>19</v>
      </c>
      <c r="R4" s="4" t="s">
        <v>36</v>
      </c>
      <c r="S4" s="67" t="s">
        <v>1025</v>
      </c>
      <c r="T4" s="11" t="s">
        <v>40</v>
      </c>
      <c r="U4" s="11" t="s">
        <v>435</v>
      </c>
      <c r="V4" s="67" t="s">
        <v>130</v>
      </c>
      <c r="W4" s="11" t="s">
        <v>1359</v>
      </c>
      <c r="X4" s="11" t="s">
        <v>670</v>
      </c>
    </row>
    <row r="5" spans="1:25" s="9" customFormat="1" ht="12" customHeight="1">
      <c r="A5" s="72" t="s">
        <v>290</v>
      </c>
      <c r="B5" s="99">
        <v>4</v>
      </c>
      <c r="C5" s="91" t="s">
        <v>1025</v>
      </c>
      <c r="D5" s="93">
        <v>7</v>
      </c>
      <c r="E5" s="4" t="s">
        <v>190</v>
      </c>
      <c r="F5" s="4" t="s">
        <v>145</v>
      </c>
      <c r="G5" s="47" t="s">
        <v>2006</v>
      </c>
      <c r="H5" s="4">
        <v>2008</v>
      </c>
      <c r="I5" s="11" t="s">
        <v>45</v>
      </c>
      <c r="J5" s="4" t="s">
        <v>45</v>
      </c>
      <c r="K5" s="4">
        <v>105</v>
      </c>
      <c r="L5" s="4">
        <v>105</v>
      </c>
      <c r="M5" s="11" t="s">
        <v>43</v>
      </c>
      <c r="N5" s="67" t="s">
        <v>470</v>
      </c>
      <c r="O5" s="4" t="s">
        <v>90</v>
      </c>
      <c r="P5" s="11" t="s">
        <v>914</v>
      </c>
      <c r="Q5" s="51">
        <f>2006-1986</f>
        <v>20</v>
      </c>
      <c r="R5" s="11" t="s">
        <v>131</v>
      </c>
      <c r="S5" s="67" t="s">
        <v>191</v>
      </c>
      <c r="T5" s="11" t="s">
        <v>193</v>
      </c>
      <c r="U5" s="11" t="s">
        <v>447</v>
      </c>
      <c r="V5" s="67" t="s">
        <v>130</v>
      </c>
      <c r="W5" s="11" t="s">
        <v>913</v>
      </c>
      <c r="X5" s="11" t="s">
        <v>670</v>
      </c>
      <c r="Y5"/>
    </row>
    <row r="6" spans="1:25" s="9" customFormat="1" ht="12" customHeight="1">
      <c r="A6" s="72" t="s">
        <v>438</v>
      </c>
      <c r="B6" s="98">
        <v>5</v>
      </c>
      <c r="C6" s="91" t="s">
        <v>1190</v>
      </c>
      <c r="D6" s="93">
        <v>8</v>
      </c>
      <c r="E6" s="4" t="s">
        <v>433</v>
      </c>
      <c r="F6" s="11" t="s">
        <v>239</v>
      </c>
      <c r="G6" s="47" t="s">
        <v>2055</v>
      </c>
      <c r="H6" s="4">
        <v>2011</v>
      </c>
      <c r="I6" s="4" t="s">
        <v>45</v>
      </c>
      <c r="J6" s="4" t="s">
        <v>45</v>
      </c>
      <c r="K6" s="4">
        <v>55</v>
      </c>
      <c r="L6" s="4">
        <v>55</v>
      </c>
      <c r="M6" s="11" t="s">
        <v>35</v>
      </c>
      <c r="N6" s="67" t="s">
        <v>1464</v>
      </c>
      <c r="O6" s="11" t="s">
        <v>1488</v>
      </c>
      <c r="P6" s="11" t="s">
        <v>1057</v>
      </c>
      <c r="Q6" s="51">
        <f>2010-1968</f>
        <v>42</v>
      </c>
      <c r="R6" s="11" t="s">
        <v>436</v>
      </c>
      <c r="S6" s="67" t="s">
        <v>437</v>
      </c>
      <c r="T6" s="11" t="s">
        <v>40</v>
      </c>
      <c r="U6" s="11" t="s">
        <v>435</v>
      </c>
      <c r="V6" s="67" t="s">
        <v>130</v>
      </c>
      <c r="W6" s="4" t="s">
        <v>1025</v>
      </c>
      <c r="X6" s="11" t="s">
        <v>670</v>
      </c>
      <c r="Y6"/>
    </row>
    <row r="7" spans="1:25" s="9" customFormat="1" ht="12" customHeight="1">
      <c r="A7" s="72" t="s">
        <v>306</v>
      </c>
      <c r="B7" s="99">
        <v>6</v>
      </c>
      <c r="C7" s="91" t="s">
        <v>1190</v>
      </c>
      <c r="D7" s="93">
        <v>9</v>
      </c>
      <c r="E7" s="4" t="s">
        <v>214</v>
      </c>
      <c r="F7" s="11" t="s">
        <v>215</v>
      </c>
      <c r="G7" s="47" t="s">
        <v>2014</v>
      </c>
      <c r="H7" s="4">
        <v>2012</v>
      </c>
      <c r="I7" s="4" t="s">
        <v>50</v>
      </c>
      <c r="J7" s="4" t="s">
        <v>51</v>
      </c>
      <c r="K7" s="4">
        <v>81</v>
      </c>
      <c r="L7" s="4">
        <v>81</v>
      </c>
      <c r="M7" s="11" t="s">
        <v>43</v>
      </c>
      <c r="N7" s="67" t="s">
        <v>1467</v>
      </c>
      <c r="O7" s="11" t="s">
        <v>216</v>
      </c>
      <c r="P7" s="11" t="s">
        <v>934</v>
      </c>
      <c r="Q7" s="51">
        <v>30</v>
      </c>
      <c r="R7" s="11" t="s">
        <v>131</v>
      </c>
      <c r="S7" s="70" t="s">
        <v>1661</v>
      </c>
      <c r="T7" s="11" t="s">
        <v>193</v>
      </c>
      <c r="U7" s="11" t="s">
        <v>935</v>
      </c>
      <c r="V7" s="67" t="s">
        <v>130</v>
      </c>
      <c r="W7" s="11" t="s">
        <v>746</v>
      </c>
      <c r="X7" s="11" t="s">
        <v>670</v>
      </c>
      <c r="Y7"/>
    </row>
    <row r="8" spans="1:25" s="11" customFormat="1" ht="12" customHeight="1">
      <c r="A8" s="72" t="s">
        <v>669</v>
      </c>
      <c r="B8" s="98">
        <v>7</v>
      </c>
      <c r="C8" s="91" t="s">
        <v>1190</v>
      </c>
      <c r="D8" s="93">
        <v>10</v>
      </c>
      <c r="E8" s="4" t="s">
        <v>159</v>
      </c>
      <c r="F8" s="11" t="s">
        <v>160</v>
      </c>
      <c r="G8" s="47" t="s">
        <v>1994</v>
      </c>
      <c r="H8" s="4">
        <v>2013</v>
      </c>
      <c r="I8" s="11" t="s">
        <v>45</v>
      </c>
      <c r="J8" s="4" t="s">
        <v>45</v>
      </c>
      <c r="K8" s="4">
        <v>464</v>
      </c>
      <c r="L8" s="4">
        <v>464</v>
      </c>
      <c r="M8" s="11" t="s">
        <v>43</v>
      </c>
      <c r="N8" s="67" t="s">
        <v>1468</v>
      </c>
      <c r="O8" s="4" t="s">
        <v>161</v>
      </c>
      <c r="P8" s="11" t="s">
        <v>840</v>
      </c>
      <c r="Q8" s="51">
        <f>2010-1950</f>
        <v>60</v>
      </c>
      <c r="R8" s="11" t="s">
        <v>85</v>
      </c>
      <c r="S8" s="67" t="s">
        <v>162</v>
      </c>
      <c r="T8" s="11" t="s">
        <v>40</v>
      </c>
      <c r="U8" s="11" t="s">
        <v>873</v>
      </c>
      <c r="V8" s="67" t="s">
        <v>879</v>
      </c>
      <c r="W8" s="11" t="s">
        <v>872</v>
      </c>
      <c r="X8" s="11" t="s">
        <v>670</v>
      </c>
      <c r="Y8"/>
    </row>
    <row r="9" spans="1:25" s="9" customFormat="1" ht="12">
      <c r="A9" s="72" t="s">
        <v>279</v>
      </c>
      <c r="B9" s="99">
        <v>8</v>
      </c>
      <c r="C9" s="91" t="s">
        <v>1190</v>
      </c>
      <c r="D9" s="93">
        <v>11</v>
      </c>
      <c r="E9" s="4" t="s">
        <v>65</v>
      </c>
      <c r="F9" s="4" t="s">
        <v>66</v>
      </c>
      <c r="G9" s="47" t="s">
        <v>1957</v>
      </c>
      <c r="H9" s="4">
        <v>2004</v>
      </c>
      <c r="I9" s="4" t="s">
        <v>45</v>
      </c>
      <c r="J9" s="4" t="s">
        <v>45</v>
      </c>
      <c r="K9" s="4">
        <v>29</v>
      </c>
      <c r="L9" s="4">
        <v>29</v>
      </c>
      <c r="M9" s="4" t="s">
        <v>35</v>
      </c>
      <c r="N9" s="67" t="s">
        <v>470</v>
      </c>
      <c r="O9" s="4" t="s">
        <v>67</v>
      </c>
      <c r="P9" s="4" t="s">
        <v>750</v>
      </c>
      <c r="Q9" s="51">
        <f>2000-1973</f>
        <v>27</v>
      </c>
      <c r="R9" s="4" t="s">
        <v>1537</v>
      </c>
      <c r="S9" s="67" t="s">
        <v>125</v>
      </c>
      <c r="T9" s="11" t="s">
        <v>40</v>
      </c>
      <c r="U9" s="11" t="s">
        <v>448</v>
      </c>
      <c r="V9" s="67" t="s">
        <v>751</v>
      </c>
      <c r="W9" s="11" t="s">
        <v>743</v>
      </c>
      <c r="X9" s="11" t="s">
        <v>670</v>
      </c>
      <c r="Y9" s="11"/>
    </row>
    <row r="10" spans="1:25" s="26" customFormat="1" ht="12">
      <c r="A10" s="72" t="s">
        <v>287</v>
      </c>
      <c r="B10" s="98">
        <v>9</v>
      </c>
      <c r="C10" s="91" t="s">
        <v>1190</v>
      </c>
      <c r="D10" s="93">
        <v>12</v>
      </c>
      <c r="E10" s="4" t="s">
        <v>81</v>
      </c>
      <c r="F10" s="4" t="s">
        <v>38</v>
      </c>
      <c r="G10" s="47" t="s">
        <v>1965</v>
      </c>
      <c r="H10" s="4">
        <v>2012</v>
      </c>
      <c r="I10" s="4" t="s">
        <v>45</v>
      </c>
      <c r="J10" s="4" t="s">
        <v>45</v>
      </c>
      <c r="K10" s="4">
        <v>99</v>
      </c>
      <c r="L10" s="4">
        <v>99</v>
      </c>
      <c r="M10" s="4" t="s">
        <v>35</v>
      </c>
      <c r="N10" s="67" t="s">
        <v>1467</v>
      </c>
      <c r="O10" s="4" t="s">
        <v>126</v>
      </c>
      <c r="P10" s="4" t="s">
        <v>783</v>
      </c>
      <c r="Q10" s="51">
        <v>89</v>
      </c>
      <c r="R10" s="4" t="s">
        <v>1572</v>
      </c>
      <c r="S10" s="67" t="s">
        <v>1573</v>
      </c>
      <c r="T10" s="11" t="s">
        <v>40</v>
      </c>
      <c r="U10" s="11" t="s">
        <v>447</v>
      </c>
      <c r="V10" s="67" t="s">
        <v>782</v>
      </c>
      <c r="W10" s="11" t="s">
        <v>757</v>
      </c>
      <c r="X10" s="11" t="s">
        <v>670</v>
      </c>
      <c r="Y10" s="11"/>
    </row>
    <row r="11" spans="1:25" s="11" customFormat="1" ht="12">
      <c r="A11" s="72" t="s">
        <v>286</v>
      </c>
      <c r="B11" s="99">
        <v>10</v>
      </c>
      <c r="C11" s="91" t="s">
        <v>1190</v>
      </c>
      <c r="D11" s="93">
        <v>13</v>
      </c>
      <c r="E11" s="4" t="s">
        <v>79</v>
      </c>
      <c r="F11" s="4" t="s">
        <v>71</v>
      </c>
      <c r="G11" s="47" t="s">
        <v>1964</v>
      </c>
      <c r="H11" s="4">
        <v>2011</v>
      </c>
      <c r="I11" s="4" t="s">
        <v>357</v>
      </c>
      <c r="J11" s="4" t="s">
        <v>61</v>
      </c>
      <c r="K11" s="4">
        <v>64</v>
      </c>
      <c r="L11" s="4">
        <v>64</v>
      </c>
      <c r="M11" s="4" t="s">
        <v>43</v>
      </c>
      <c r="N11" s="67" t="s">
        <v>1467</v>
      </c>
      <c r="O11" s="4" t="s">
        <v>80</v>
      </c>
      <c r="P11" s="4" t="s">
        <v>773</v>
      </c>
      <c r="Q11" s="51">
        <v>70</v>
      </c>
      <c r="R11" s="4" t="s">
        <v>1041</v>
      </c>
      <c r="S11" s="67" t="s">
        <v>779</v>
      </c>
      <c r="T11" s="11" t="s">
        <v>40</v>
      </c>
      <c r="U11" s="11" t="s">
        <v>448</v>
      </c>
      <c r="V11" s="67" t="s">
        <v>777</v>
      </c>
      <c r="W11" s="11" t="s">
        <v>775</v>
      </c>
      <c r="X11" s="11" t="s">
        <v>675</v>
      </c>
    </row>
    <row r="12" spans="1:25" s="11" customFormat="1" ht="12" customHeight="1">
      <c r="A12" s="72" t="s">
        <v>280</v>
      </c>
      <c r="B12" s="98">
        <v>11</v>
      </c>
      <c r="C12" s="91" t="s">
        <v>1025</v>
      </c>
      <c r="D12" s="93">
        <v>14</v>
      </c>
      <c r="E12" s="4" t="s">
        <v>175</v>
      </c>
      <c r="F12" s="4" t="s">
        <v>34</v>
      </c>
      <c r="G12" s="47" t="s">
        <v>2001</v>
      </c>
      <c r="H12" s="4">
        <v>2001</v>
      </c>
      <c r="I12" s="11" t="s">
        <v>50</v>
      </c>
      <c r="J12" s="4" t="s">
        <v>51</v>
      </c>
      <c r="K12" s="4">
        <v>46</v>
      </c>
      <c r="L12" s="4">
        <v>46</v>
      </c>
      <c r="M12" s="11" t="s">
        <v>43</v>
      </c>
      <c r="N12" s="67" t="s">
        <v>470</v>
      </c>
      <c r="O12" s="4" t="s">
        <v>68</v>
      </c>
      <c r="P12" s="11" t="s">
        <v>895</v>
      </c>
      <c r="Q12" s="51">
        <f>1997-1976</f>
        <v>21</v>
      </c>
      <c r="R12" s="11" t="s">
        <v>131</v>
      </c>
      <c r="S12" s="67" t="s">
        <v>130</v>
      </c>
      <c r="T12" s="11" t="s">
        <v>40</v>
      </c>
      <c r="U12" s="11" t="s">
        <v>448</v>
      </c>
      <c r="V12" s="67" t="s">
        <v>1648</v>
      </c>
      <c r="W12" s="11" t="s">
        <v>896</v>
      </c>
      <c r="X12" s="11" t="s">
        <v>670</v>
      </c>
      <c r="Y12"/>
    </row>
    <row r="13" spans="1:25" s="11" customFormat="1" ht="12" customHeight="1">
      <c r="A13" s="72" t="s">
        <v>306</v>
      </c>
      <c r="B13" s="99">
        <v>12</v>
      </c>
      <c r="C13" s="91" t="s">
        <v>1190</v>
      </c>
      <c r="D13" s="93">
        <v>16</v>
      </c>
      <c r="E13" s="4" t="s">
        <v>171</v>
      </c>
      <c r="F13" s="4" t="s">
        <v>94</v>
      </c>
      <c r="G13" s="47" t="s">
        <v>1999</v>
      </c>
      <c r="H13" s="4">
        <v>1992</v>
      </c>
      <c r="I13" s="11" t="s">
        <v>72</v>
      </c>
      <c r="J13" s="4" t="s">
        <v>72</v>
      </c>
      <c r="K13" s="4">
        <v>2</v>
      </c>
      <c r="L13" s="4">
        <v>2</v>
      </c>
      <c r="M13" s="11" t="s">
        <v>43</v>
      </c>
      <c r="N13" s="67" t="s">
        <v>1467</v>
      </c>
      <c r="O13" s="4" t="s">
        <v>172</v>
      </c>
      <c r="P13" s="11" t="s">
        <v>886</v>
      </c>
      <c r="Q13" s="51">
        <f>1980-1931</f>
        <v>49</v>
      </c>
      <c r="R13" s="11" t="s">
        <v>131</v>
      </c>
      <c r="S13" s="67" t="s">
        <v>130</v>
      </c>
      <c r="T13" s="11" t="s">
        <v>40</v>
      </c>
      <c r="U13" s="11" t="s">
        <v>687</v>
      </c>
      <c r="V13" s="67" t="s">
        <v>130</v>
      </c>
      <c r="W13" s="28" t="s">
        <v>1025</v>
      </c>
      <c r="X13" s="11" t="s">
        <v>670</v>
      </c>
      <c r="Y13"/>
    </row>
    <row r="14" spans="1:25" s="11" customFormat="1" ht="12" customHeight="1">
      <c r="A14" s="72" t="s">
        <v>456</v>
      </c>
      <c r="B14" s="98">
        <v>13</v>
      </c>
      <c r="C14" s="91" t="s">
        <v>1025</v>
      </c>
      <c r="D14" s="93">
        <v>21</v>
      </c>
      <c r="E14" s="4" t="s">
        <v>454</v>
      </c>
      <c r="F14" s="11" t="s">
        <v>38</v>
      </c>
      <c r="G14" s="47" t="s">
        <v>2060</v>
      </c>
      <c r="H14" s="4">
        <v>2015</v>
      </c>
      <c r="I14" s="11" t="s">
        <v>96</v>
      </c>
      <c r="J14" s="4" t="s">
        <v>96</v>
      </c>
      <c r="K14" s="4">
        <v>122</v>
      </c>
      <c r="L14" s="4">
        <v>122</v>
      </c>
      <c r="M14" s="11" t="s">
        <v>261</v>
      </c>
      <c r="N14" s="67" t="s">
        <v>470</v>
      </c>
      <c r="O14" s="4" t="s">
        <v>68</v>
      </c>
      <c r="P14" s="11" t="s">
        <v>1062</v>
      </c>
      <c r="Q14" s="51">
        <f>2008-1988</f>
        <v>20</v>
      </c>
      <c r="R14" s="11" t="s">
        <v>455</v>
      </c>
      <c r="S14" s="67" t="s">
        <v>1121</v>
      </c>
      <c r="T14" s="11" t="s">
        <v>40</v>
      </c>
      <c r="U14" s="11" t="s">
        <v>447</v>
      </c>
      <c r="V14" s="67" t="s">
        <v>130</v>
      </c>
      <c r="W14" s="4" t="s">
        <v>1025</v>
      </c>
      <c r="X14" s="11" t="s">
        <v>670</v>
      </c>
      <c r="Y14"/>
    </row>
    <row r="15" spans="1:25" s="11" customFormat="1" ht="12" customHeight="1">
      <c r="A15" s="72" t="s">
        <v>280</v>
      </c>
      <c r="B15" s="99">
        <v>14</v>
      </c>
      <c r="C15" s="91" t="s">
        <v>1190</v>
      </c>
      <c r="D15" s="93">
        <v>22</v>
      </c>
      <c r="E15" s="4" t="s">
        <v>1044</v>
      </c>
      <c r="F15" s="11" t="s">
        <v>1045</v>
      </c>
      <c r="G15" s="47" t="s">
        <v>2115</v>
      </c>
      <c r="H15" s="4">
        <v>2016</v>
      </c>
      <c r="I15" s="11" t="s">
        <v>45</v>
      </c>
      <c r="J15" s="11" t="s">
        <v>96</v>
      </c>
      <c r="K15" s="4">
        <v>131</v>
      </c>
      <c r="L15" s="4">
        <v>131</v>
      </c>
      <c r="M15" s="11" t="s">
        <v>261</v>
      </c>
      <c r="N15" s="67" t="s">
        <v>470</v>
      </c>
      <c r="O15" s="4" t="s">
        <v>68</v>
      </c>
      <c r="P15" s="11" t="s">
        <v>1046</v>
      </c>
      <c r="Q15" s="51">
        <f>1991-1972</f>
        <v>19</v>
      </c>
      <c r="R15" s="11" t="s">
        <v>85</v>
      </c>
      <c r="S15" s="67" t="s">
        <v>988</v>
      </c>
      <c r="T15" s="11" t="s">
        <v>40</v>
      </c>
      <c r="U15" s="11" t="s">
        <v>447</v>
      </c>
      <c r="V15" s="67"/>
      <c r="W15" s="11" t="s">
        <v>1047</v>
      </c>
      <c r="X15" s="11" t="s">
        <v>670</v>
      </c>
      <c r="Y15"/>
    </row>
    <row r="16" spans="1:25" s="11" customFormat="1" ht="12" customHeight="1">
      <c r="A16" s="72" t="s">
        <v>323</v>
      </c>
      <c r="B16" s="98">
        <v>15</v>
      </c>
      <c r="C16" s="91" t="s">
        <v>1190</v>
      </c>
      <c r="D16" s="93">
        <v>23</v>
      </c>
      <c r="E16" s="4" t="s">
        <v>324</v>
      </c>
      <c r="F16" s="11" t="s">
        <v>64</v>
      </c>
      <c r="G16" s="47" t="s">
        <v>2035</v>
      </c>
      <c r="H16" s="4">
        <v>2011</v>
      </c>
      <c r="I16" s="4" t="s">
        <v>45</v>
      </c>
      <c r="J16" s="4" t="s">
        <v>45</v>
      </c>
      <c r="K16" s="4">
        <v>408</v>
      </c>
      <c r="L16" s="4">
        <v>408</v>
      </c>
      <c r="M16" s="11" t="s">
        <v>261</v>
      </c>
      <c r="N16" s="67" t="s">
        <v>1470</v>
      </c>
      <c r="O16" s="11" t="s">
        <v>265</v>
      </c>
      <c r="P16" s="11" t="s">
        <v>999</v>
      </c>
      <c r="Q16" s="51">
        <f>1990-1970</f>
        <v>20</v>
      </c>
      <c r="R16" s="11" t="s">
        <v>325</v>
      </c>
      <c r="S16" s="70" t="s">
        <v>127</v>
      </c>
      <c r="T16" s="11" t="s">
        <v>40</v>
      </c>
      <c r="U16" s="11" t="s">
        <v>911</v>
      </c>
      <c r="V16" s="67" t="s">
        <v>130</v>
      </c>
      <c r="W16" s="11" t="s">
        <v>1001</v>
      </c>
      <c r="X16" s="11" t="s">
        <v>670</v>
      </c>
      <c r="Y16"/>
    </row>
    <row r="17" spans="1:25" s="11" customFormat="1" ht="12" customHeight="1">
      <c r="A17" s="72" t="s">
        <v>286</v>
      </c>
      <c r="B17" s="99">
        <v>16</v>
      </c>
      <c r="C17" s="91" t="s">
        <v>1190</v>
      </c>
      <c r="D17" s="93">
        <v>24</v>
      </c>
      <c r="E17" s="4" t="s">
        <v>1675</v>
      </c>
      <c r="F17" s="4" t="s">
        <v>56</v>
      </c>
      <c r="G17" s="47" t="s">
        <v>2085</v>
      </c>
      <c r="H17" s="4">
        <v>2016</v>
      </c>
      <c r="I17" s="4" t="s">
        <v>61</v>
      </c>
      <c r="J17" s="4" t="s">
        <v>61</v>
      </c>
      <c r="K17" s="4">
        <v>4426</v>
      </c>
      <c r="L17" s="4">
        <v>4426</v>
      </c>
      <c r="M17" s="4" t="s">
        <v>43</v>
      </c>
      <c r="N17" s="67" t="s">
        <v>1467</v>
      </c>
      <c r="O17" s="4" t="s">
        <v>1497</v>
      </c>
      <c r="P17" s="11" t="s">
        <v>1078</v>
      </c>
      <c r="Q17" s="51">
        <f>2009-1970</f>
        <v>39</v>
      </c>
      <c r="R17" s="11" t="s">
        <v>188</v>
      </c>
      <c r="S17" s="67" t="s">
        <v>581</v>
      </c>
      <c r="T17" s="11" t="s">
        <v>40</v>
      </c>
      <c r="U17" s="11" t="s">
        <v>911</v>
      </c>
      <c r="V17" s="67" t="s">
        <v>130</v>
      </c>
      <c r="W17" s="4" t="s">
        <v>1025</v>
      </c>
      <c r="X17" s="11" t="s">
        <v>675</v>
      </c>
      <c r="Y17"/>
    </row>
    <row r="18" spans="1:25" s="11" customFormat="1" ht="12" customHeight="1">
      <c r="A18" s="72" t="s">
        <v>1518</v>
      </c>
      <c r="B18" s="98">
        <v>17</v>
      </c>
      <c r="C18" s="91" t="s">
        <v>1190</v>
      </c>
      <c r="D18" s="93">
        <v>25</v>
      </c>
      <c r="E18" s="4" t="s">
        <v>1511</v>
      </c>
      <c r="F18" s="4" t="s">
        <v>59</v>
      </c>
      <c r="G18" s="47" t="s">
        <v>2135</v>
      </c>
      <c r="H18" s="4">
        <v>2019</v>
      </c>
      <c r="I18" s="4" t="s">
        <v>61</v>
      </c>
      <c r="J18" s="4" t="s">
        <v>61</v>
      </c>
      <c r="K18" s="4">
        <v>4</v>
      </c>
      <c r="L18" s="4">
        <v>4</v>
      </c>
      <c r="M18" s="4" t="s">
        <v>43</v>
      </c>
      <c r="N18" s="67" t="s">
        <v>1467</v>
      </c>
      <c r="O18" s="4" t="s">
        <v>1512</v>
      </c>
      <c r="P18" s="4" t="s">
        <v>1513</v>
      </c>
      <c r="Q18" s="51">
        <v>35</v>
      </c>
      <c r="R18" s="4" t="s">
        <v>1516</v>
      </c>
      <c r="S18" s="67" t="s">
        <v>130</v>
      </c>
      <c r="T18" s="11" t="s">
        <v>40</v>
      </c>
      <c r="U18" s="4" t="s">
        <v>459</v>
      </c>
      <c r="V18" s="67" t="s">
        <v>1514</v>
      </c>
      <c r="W18" s="4" t="s">
        <v>1517</v>
      </c>
      <c r="X18" s="11" t="s">
        <v>675</v>
      </c>
      <c r="Y18"/>
    </row>
    <row r="19" spans="1:25" s="11" customFormat="1" ht="12.75" customHeight="1">
      <c r="A19" s="72" t="s">
        <v>280</v>
      </c>
      <c r="B19" s="99">
        <v>18</v>
      </c>
      <c r="C19" s="91" t="s">
        <v>1190</v>
      </c>
      <c r="D19" s="93">
        <v>26</v>
      </c>
      <c r="E19" s="4" t="s">
        <v>2183</v>
      </c>
      <c r="F19" s="4" t="s">
        <v>38</v>
      </c>
      <c r="G19" s="47" t="s">
        <v>2182</v>
      </c>
      <c r="H19" s="4">
        <v>2020</v>
      </c>
      <c r="I19" s="4" t="s">
        <v>45</v>
      </c>
      <c r="J19" s="4" t="s">
        <v>45</v>
      </c>
      <c r="K19" s="4">
        <v>82</v>
      </c>
      <c r="L19" s="4">
        <v>82</v>
      </c>
      <c r="M19" s="4" t="s">
        <v>43</v>
      </c>
      <c r="N19" s="67" t="s">
        <v>470</v>
      </c>
      <c r="O19" s="4" t="s">
        <v>2184</v>
      </c>
      <c r="P19" s="4" t="s">
        <v>2185</v>
      </c>
      <c r="Q19" s="51">
        <v>40</v>
      </c>
      <c r="R19" s="4" t="s">
        <v>987</v>
      </c>
      <c r="S19" s="67" t="s">
        <v>2186</v>
      </c>
      <c r="T19" s="11" t="s">
        <v>40</v>
      </c>
      <c r="U19" s="4" t="s">
        <v>447</v>
      </c>
      <c r="V19" s="67" t="s">
        <v>130</v>
      </c>
      <c r="W19" s="4" t="s">
        <v>2187</v>
      </c>
      <c r="X19" s="11" t="s">
        <v>957</v>
      </c>
      <c r="Y19"/>
    </row>
    <row r="20" spans="1:25" s="11" customFormat="1" ht="13.5" customHeight="1">
      <c r="A20" s="72" t="s">
        <v>308</v>
      </c>
      <c r="B20" s="98">
        <v>19</v>
      </c>
      <c r="C20" s="91" t="s">
        <v>1190</v>
      </c>
      <c r="D20" s="93">
        <v>27</v>
      </c>
      <c r="E20" s="4" t="s">
        <v>255</v>
      </c>
      <c r="F20" s="11" t="s">
        <v>76</v>
      </c>
      <c r="G20" s="47" t="s">
        <v>2030</v>
      </c>
      <c r="H20" s="4">
        <v>2015</v>
      </c>
      <c r="I20" s="4" t="s">
        <v>990</v>
      </c>
      <c r="J20" s="4" t="s">
        <v>146</v>
      </c>
      <c r="K20" s="4">
        <v>74</v>
      </c>
      <c r="L20" s="4">
        <v>74</v>
      </c>
      <c r="M20" s="11" t="s">
        <v>83</v>
      </c>
      <c r="N20" s="67" t="s">
        <v>1467</v>
      </c>
      <c r="O20" s="11" t="s">
        <v>178</v>
      </c>
      <c r="P20" s="11" t="s">
        <v>985</v>
      </c>
      <c r="Q20" s="51">
        <f>2010-1970</f>
        <v>40</v>
      </c>
      <c r="R20" s="11" t="s">
        <v>987</v>
      </c>
      <c r="S20" s="70" t="s">
        <v>988</v>
      </c>
      <c r="T20" s="11" t="s">
        <v>40</v>
      </c>
      <c r="U20" s="11" t="s">
        <v>986</v>
      </c>
      <c r="V20" s="67" t="s">
        <v>130</v>
      </c>
      <c r="W20" s="11" t="s">
        <v>989</v>
      </c>
      <c r="X20" s="11" t="s">
        <v>675</v>
      </c>
      <c r="Y20"/>
    </row>
    <row r="21" spans="1:25" s="11" customFormat="1" ht="12" customHeight="1">
      <c r="A21" s="72" t="s">
        <v>280</v>
      </c>
      <c r="B21" s="99">
        <v>20</v>
      </c>
      <c r="C21" s="91" t="s">
        <v>1190</v>
      </c>
      <c r="D21" s="93">
        <v>28</v>
      </c>
      <c r="E21" s="4" t="s">
        <v>443</v>
      </c>
      <c r="F21" s="11" t="s">
        <v>444</v>
      </c>
      <c r="G21" s="47" t="s">
        <v>2057</v>
      </c>
      <c r="H21" s="4">
        <v>2013</v>
      </c>
      <c r="I21" s="4" t="s">
        <v>53</v>
      </c>
      <c r="J21" s="4" t="s">
        <v>61</v>
      </c>
      <c r="K21" s="4">
        <v>917</v>
      </c>
      <c r="L21" s="4">
        <v>917</v>
      </c>
      <c r="M21" s="11" t="s">
        <v>43</v>
      </c>
      <c r="N21" s="67" t="s">
        <v>470</v>
      </c>
      <c r="O21" s="11" t="s">
        <v>68</v>
      </c>
      <c r="P21" s="11" t="s">
        <v>1059</v>
      </c>
      <c r="Q21" s="51">
        <f>2011-1978</f>
        <v>33</v>
      </c>
      <c r="R21" s="11" t="s">
        <v>526</v>
      </c>
      <c r="S21" s="67" t="s">
        <v>988</v>
      </c>
      <c r="T21" s="11" t="s">
        <v>40</v>
      </c>
      <c r="U21" s="11" t="s">
        <v>448</v>
      </c>
      <c r="V21" s="67" t="s">
        <v>130</v>
      </c>
      <c r="W21" s="4" t="s">
        <v>1025</v>
      </c>
      <c r="X21" s="11" t="s">
        <v>675</v>
      </c>
      <c r="Y21"/>
    </row>
    <row r="22" spans="1:25" s="11" customFormat="1" ht="12" customHeight="1">
      <c r="A22" s="72" t="s">
        <v>1276</v>
      </c>
      <c r="B22" s="98">
        <v>21</v>
      </c>
      <c r="C22" s="91" t="s">
        <v>1190</v>
      </c>
      <c r="D22" s="93">
        <v>29</v>
      </c>
      <c r="E22" s="4" t="s">
        <v>1270</v>
      </c>
      <c r="F22" s="4" t="s">
        <v>723</v>
      </c>
      <c r="G22" s="47" t="s">
        <v>2125</v>
      </c>
      <c r="H22" s="4">
        <v>2018</v>
      </c>
      <c r="I22" s="11" t="s">
        <v>1204</v>
      </c>
      <c r="J22" s="11" t="s">
        <v>1205</v>
      </c>
      <c r="K22" s="4">
        <v>183</v>
      </c>
      <c r="L22" s="4">
        <v>183</v>
      </c>
      <c r="M22" s="4" t="s">
        <v>261</v>
      </c>
      <c r="N22" s="67" t="s">
        <v>470</v>
      </c>
      <c r="O22" s="4" t="s">
        <v>155</v>
      </c>
      <c r="P22" s="4" t="s">
        <v>1271</v>
      </c>
      <c r="Q22" s="51">
        <v>44</v>
      </c>
      <c r="R22" s="4" t="s">
        <v>1272</v>
      </c>
      <c r="S22" s="67" t="s">
        <v>1278</v>
      </c>
      <c r="T22" s="11" t="s">
        <v>40</v>
      </c>
      <c r="U22" s="11" t="s">
        <v>867</v>
      </c>
      <c r="V22" s="67" t="s">
        <v>1274</v>
      </c>
      <c r="W22" s="11" t="s">
        <v>1279</v>
      </c>
      <c r="X22" s="11" t="s">
        <v>675</v>
      </c>
      <c r="Y22" s="5"/>
    </row>
    <row r="23" spans="1:25" s="11" customFormat="1" ht="12" customHeight="1">
      <c r="A23" s="72" t="s">
        <v>1345</v>
      </c>
      <c r="B23" s="99">
        <v>22</v>
      </c>
      <c r="C23" s="91" t="s">
        <v>1190</v>
      </c>
      <c r="D23" s="93">
        <v>30</v>
      </c>
      <c r="E23" s="4" t="s">
        <v>1203</v>
      </c>
      <c r="F23" s="11" t="s">
        <v>1209</v>
      </c>
      <c r="G23" s="47" t="s">
        <v>1338</v>
      </c>
      <c r="H23" s="4">
        <v>2017</v>
      </c>
      <c r="I23" s="11" t="s">
        <v>1204</v>
      </c>
      <c r="J23" s="11" t="s">
        <v>1205</v>
      </c>
      <c r="K23" s="4">
        <v>86</v>
      </c>
      <c r="L23" s="4">
        <v>86</v>
      </c>
      <c r="M23" s="11" t="s">
        <v>261</v>
      </c>
      <c r="N23" s="67" t="s">
        <v>1467</v>
      </c>
      <c r="O23" s="4" t="s">
        <v>403</v>
      </c>
      <c r="P23" s="11" t="s">
        <v>1208</v>
      </c>
      <c r="Q23" s="51">
        <f>2015-1980</f>
        <v>35</v>
      </c>
      <c r="R23" s="11" t="s">
        <v>1342</v>
      </c>
      <c r="S23" s="67" t="s">
        <v>1343</v>
      </c>
      <c r="T23" s="11" t="s">
        <v>193</v>
      </c>
      <c r="U23" s="11" t="s">
        <v>447</v>
      </c>
      <c r="V23" s="67" t="s">
        <v>1206</v>
      </c>
      <c r="W23" s="11" t="s">
        <v>1344</v>
      </c>
      <c r="X23" s="11" t="s">
        <v>675</v>
      </c>
      <c r="Y23" s="5"/>
    </row>
    <row r="24" spans="1:25" s="11" customFormat="1" ht="12" customHeight="1">
      <c r="A24" s="72" t="s">
        <v>565</v>
      </c>
      <c r="B24" s="98">
        <v>23</v>
      </c>
      <c r="C24" s="91" t="s">
        <v>1190</v>
      </c>
      <c r="D24" s="93">
        <v>31</v>
      </c>
      <c r="E24" s="4" t="s">
        <v>1557</v>
      </c>
      <c r="F24" s="4" t="s">
        <v>244</v>
      </c>
      <c r="G24" s="47" t="s">
        <v>2080</v>
      </c>
      <c r="H24" s="4">
        <v>2014</v>
      </c>
      <c r="I24" s="11" t="s">
        <v>340</v>
      </c>
      <c r="J24" s="4" t="s">
        <v>340</v>
      </c>
      <c r="K24" s="4">
        <v>34</v>
      </c>
      <c r="L24" s="4">
        <v>34</v>
      </c>
      <c r="M24" s="4" t="s">
        <v>35</v>
      </c>
      <c r="N24" s="67" t="s">
        <v>1467</v>
      </c>
      <c r="O24" s="4" t="s">
        <v>1493</v>
      </c>
      <c r="P24" s="11" t="s">
        <v>1074</v>
      </c>
      <c r="Q24" s="51">
        <f>2003-1911</f>
        <v>92</v>
      </c>
      <c r="R24" s="11" t="s">
        <v>63</v>
      </c>
      <c r="S24" s="67" t="s">
        <v>566</v>
      </c>
      <c r="T24" s="11" t="s">
        <v>40</v>
      </c>
      <c r="U24" s="11" t="s">
        <v>564</v>
      </c>
      <c r="V24" s="67" t="s">
        <v>130</v>
      </c>
      <c r="W24" s="4" t="s">
        <v>1025</v>
      </c>
      <c r="X24" s="11" t="s">
        <v>670</v>
      </c>
      <c r="Y24"/>
    </row>
    <row r="25" spans="1:25" s="11" customFormat="1" ht="12" customHeight="1">
      <c r="A25" s="72" t="s">
        <v>281</v>
      </c>
      <c r="B25" s="98">
        <v>24</v>
      </c>
      <c r="C25" s="91" t="s">
        <v>1190</v>
      </c>
      <c r="D25" s="93">
        <v>32</v>
      </c>
      <c r="E25" s="4" t="s">
        <v>567</v>
      </c>
      <c r="F25" s="4" t="s">
        <v>62</v>
      </c>
      <c r="G25" s="47" t="s">
        <v>2081</v>
      </c>
      <c r="H25" s="4">
        <v>2015</v>
      </c>
      <c r="I25" s="11" t="s">
        <v>340</v>
      </c>
      <c r="J25" s="4" t="s">
        <v>340</v>
      </c>
      <c r="K25" s="4">
        <v>23</v>
      </c>
      <c r="L25" s="4">
        <v>23</v>
      </c>
      <c r="M25" s="4" t="s">
        <v>35</v>
      </c>
      <c r="N25" s="67" t="s">
        <v>1467</v>
      </c>
      <c r="O25" s="4" t="s">
        <v>1494</v>
      </c>
      <c r="P25" s="11" t="s">
        <v>568</v>
      </c>
      <c r="Q25" s="51">
        <f>2008-1930</f>
        <v>78</v>
      </c>
      <c r="R25" s="11" t="s">
        <v>63</v>
      </c>
      <c r="S25" s="67" t="s">
        <v>566</v>
      </c>
      <c r="T25" s="11" t="s">
        <v>193</v>
      </c>
      <c r="U25" s="11" t="s">
        <v>564</v>
      </c>
      <c r="V25" s="67" t="s">
        <v>130</v>
      </c>
      <c r="W25" s="4" t="s">
        <v>1025</v>
      </c>
      <c r="X25" s="11" t="s">
        <v>670</v>
      </c>
      <c r="Y25"/>
    </row>
    <row r="26" spans="1:25" s="11" customFormat="1" ht="12">
      <c r="A26" s="72" t="s">
        <v>787</v>
      </c>
      <c r="B26" s="99">
        <v>25</v>
      </c>
      <c r="C26" s="91" t="s">
        <v>1025</v>
      </c>
      <c r="D26" s="93">
        <v>33</v>
      </c>
      <c r="E26" s="4" t="s">
        <v>82</v>
      </c>
      <c r="F26" s="4" t="s">
        <v>71</v>
      </c>
      <c r="G26" s="47" t="s">
        <v>1966</v>
      </c>
      <c r="H26" s="4">
        <v>2013</v>
      </c>
      <c r="I26" s="4" t="s">
        <v>788</v>
      </c>
      <c r="J26" s="4" t="s">
        <v>788</v>
      </c>
      <c r="K26" s="4">
        <v>360</v>
      </c>
      <c r="L26" s="4">
        <v>360</v>
      </c>
      <c r="M26" s="4" t="s">
        <v>83</v>
      </c>
      <c r="N26" s="67" t="s">
        <v>1467</v>
      </c>
      <c r="O26" s="4" t="s">
        <v>84</v>
      </c>
      <c r="P26" s="4" t="s">
        <v>785</v>
      </c>
      <c r="Q26" s="51">
        <v>43</v>
      </c>
      <c r="R26" s="4" t="s">
        <v>1575</v>
      </c>
      <c r="S26" s="67" t="s">
        <v>1025</v>
      </c>
      <c r="T26" s="11" t="s">
        <v>86</v>
      </c>
      <c r="U26" s="11" t="s">
        <v>648</v>
      </c>
      <c r="V26" s="67" t="s">
        <v>1025</v>
      </c>
      <c r="W26" s="11" t="s">
        <v>1574</v>
      </c>
      <c r="X26" s="11" t="s">
        <v>670</v>
      </c>
    </row>
    <row r="27" spans="1:25" s="11" customFormat="1" ht="12" customHeight="1">
      <c r="A27" s="72" t="s">
        <v>627</v>
      </c>
      <c r="B27" s="98">
        <v>26</v>
      </c>
      <c r="C27" s="91" t="s">
        <v>1190</v>
      </c>
      <c r="D27" s="93">
        <v>34</v>
      </c>
      <c r="E27" s="4" t="s">
        <v>1159</v>
      </c>
      <c r="F27" s="11" t="s">
        <v>1160</v>
      </c>
      <c r="G27" s="47" t="s">
        <v>1989</v>
      </c>
      <c r="H27" s="4">
        <v>2015</v>
      </c>
      <c r="I27" s="11" t="s">
        <v>207</v>
      </c>
      <c r="J27" s="4" t="s">
        <v>207</v>
      </c>
      <c r="K27" s="4">
        <v>9</v>
      </c>
      <c r="L27" s="4">
        <v>9</v>
      </c>
      <c r="M27" s="11" t="s">
        <v>261</v>
      </c>
      <c r="N27" s="67" t="s">
        <v>1469</v>
      </c>
      <c r="O27" s="4" t="s">
        <v>625</v>
      </c>
      <c r="P27" s="11" t="s">
        <v>1161</v>
      </c>
      <c r="Q27" s="51">
        <f>2010-1951</f>
        <v>59</v>
      </c>
      <c r="R27" s="11" t="s">
        <v>1163</v>
      </c>
      <c r="S27" s="67" t="s">
        <v>1164</v>
      </c>
      <c r="T27" s="11" t="s">
        <v>193</v>
      </c>
      <c r="U27" s="11" t="s">
        <v>1115</v>
      </c>
      <c r="V27" s="67" t="s">
        <v>130</v>
      </c>
      <c r="W27" s="11" t="s">
        <v>1165</v>
      </c>
      <c r="X27" s="11" t="s">
        <v>957</v>
      </c>
      <c r="Y27" s="5"/>
    </row>
    <row r="28" spans="1:25" s="11" customFormat="1" ht="12" customHeight="1">
      <c r="A28" s="72" t="s">
        <v>572</v>
      </c>
      <c r="B28" s="99">
        <v>27</v>
      </c>
      <c r="C28" s="91" t="s">
        <v>1190</v>
      </c>
      <c r="D28" s="93">
        <v>35</v>
      </c>
      <c r="E28" s="4" t="s">
        <v>569</v>
      </c>
      <c r="F28" s="4" t="s">
        <v>570</v>
      </c>
      <c r="G28" s="47" t="s">
        <v>2082</v>
      </c>
      <c r="H28" s="4">
        <v>2015</v>
      </c>
      <c r="I28" s="11" t="s">
        <v>340</v>
      </c>
      <c r="J28" s="4" t="s">
        <v>340</v>
      </c>
      <c r="K28" s="4">
        <v>8</v>
      </c>
      <c r="L28" s="4">
        <v>8</v>
      </c>
      <c r="M28" s="4" t="s">
        <v>35</v>
      </c>
      <c r="N28" s="67" t="s">
        <v>1469</v>
      </c>
      <c r="O28" s="4" t="s">
        <v>1495</v>
      </c>
      <c r="P28" s="11" t="s">
        <v>1075</v>
      </c>
      <c r="Q28" s="51">
        <f>2000-1960</f>
        <v>40</v>
      </c>
      <c r="R28" s="11" t="s">
        <v>571</v>
      </c>
      <c r="S28" s="67" t="s">
        <v>566</v>
      </c>
      <c r="T28" s="11" t="s">
        <v>193</v>
      </c>
      <c r="U28" s="11" t="s">
        <v>465</v>
      </c>
      <c r="V28" s="67" t="s">
        <v>130</v>
      </c>
      <c r="W28" s="4" t="s">
        <v>1025</v>
      </c>
      <c r="X28" s="11" t="s">
        <v>670</v>
      </c>
      <c r="Y28"/>
    </row>
    <row r="29" spans="1:25" s="11" customFormat="1" ht="12" customHeight="1">
      <c r="A29" s="72" t="s">
        <v>627</v>
      </c>
      <c r="B29" s="98">
        <v>28</v>
      </c>
      <c r="C29" s="91" t="s">
        <v>1190</v>
      </c>
      <c r="D29" s="93">
        <v>36</v>
      </c>
      <c r="E29" s="4" t="s">
        <v>623</v>
      </c>
      <c r="F29" s="11" t="s">
        <v>624</v>
      </c>
      <c r="G29" s="47" t="s">
        <v>2096</v>
      </c>
      <c r="H29" s="4">
        <v>2016</v>
      </c>
      <c r="I29" s="11" t="s">
        <v>45</v>
      </c>
      <c r="J29" s="11" t="s">
        <v>45</v>
      </c>
      <c r="K29" s="4">
        <v>14</v>
      </c>
      <c r="L29" s="4">
        <v>14</v>
      </c>
      <c r="M29" s="11" t="s">
        <v>43</v>
      </c>
      <c r="N29" s="67" t="s">
        <v>1469</v>
      </c>
      <c r="O29" s="11" t="s">
        <v>625</v>
      </c>
      <c r="P29" s="11" t="s">
        <v>1087</v>
      </c>
      <c r="Q29" s="51">
        <f>2000-1951</f>
        <v>49</v>
      </c>
      <c r="R29" s="11" t="s">
        <v>602</v>
      </c>
      <c r="S29" s="67" t="s">
        <v>524</v>
      </c>
      <c r="T29" s="11" t="s">
        <v>40</v>
      </c>
      <c r="U29" s="11" t="s">
        <v>1115</v>
      </c>
      <c r="V29" s="67" t="s">
        <v>130</v>
      </c>
      <c r="W29" s="4" t="s">
        <v>1025</v>
      </c>
      <c r="X29" s="11" t="s">
        <v>670</v>
      </c>
      <c r="Y29"/>
    </row>
    <row r="30" spans="1:25" s="11" customFormat="1" ht="12">
      <c r="A30" s="72" t="s">
        <v>272</v>
      </c>
      <c r="B30" s="99">
        <v>29</v>
      </c>
      <c r="C30" s="91" t="s">
        <v>1190</v>
      </c>
      <c r="D30" s="93">
        <v>44</v>
      </c>
      <c r="E30" s="4" t="s">
        <v>49</v>
      </c>
      <c r="F30" s="4" t="s">
        <v>240</v>
      </c>
      <c r="G30" s="47" t="s">
        <v>1948</v>
      </c>
      <c r="H30" s="4">
        <v>2005</v>
      </c>
      <c r="I30" s="4" t="s">
        <v>50</v>
      </c>
      <c r="J30" s="4" t="s">
        <v>51</v>
      </c>
      <c r="K30" s="4">
        <v>23</v>
      </c>
      <c r="L30" s="4">
        <v>23</v>
      </c>
      <c r="M30" s="4" t="s">
        <v>35</v>
      </c>
      <c r="N30" s="67" t="s">
        <v>470</v>
      </c>
      <c r="O30" s="4" t="s">
        <v>132</v>
      </c>
      <c r="P30" s="4" t="s">
        <v>737</v>
      </c>
      <c r="Q30" s="51">
        <f>2004-1970</f>
        <v>34</v>
      </c>
      <c r="R30" s="4" t="s">
        <v>36</v>
      </c>
      <c r="S30" s="67" t="s">
        <v>740</v>
      </c>
      <c r="T30" s="11" t="s">
        <v>40</v>
      </c>
      <c r="U30" s="11" t="s">
        <v>447</v>
      </c>
      <c r="V30" s="67" t="s">
        <v>736</v>
      </c>
      <c r="W30" s="11" t="s">
        <v>739</v>
      </c>
      <c r="X30" s="11" t="s">
        <v>670</v>
      </c>
      <c r="Y30" s="9"/>
    </row>
    <row r="31" spans="1:25" s="11" customFormat="1" ht="12" customHeight="1">
      <c r="A31" s="72" t="s">
        <v>317</v>
      </c>
      <c r="B31" s="98">
        <v>30</v>
      </c>
      <c r="C31" s="91" t="s">
        <v>1190</v>
      </c>
      <c r="D31" s="93">
        <v>49</v>
      </c>
      <c r="E31" s="4" t="s">
        <v>1246</v>
      </c>
      <c r="F31" s="4" t="s">
        <v>38</v>
      </c>
      <c r="G31" s="47" t="s">
        <v>2121</v>
      </c>
      <c r="H31" s="4">
        <v>2018</v>
      </c>
      <c r="I31" s="11" t="s">
        <v>45</v>
      </c>
      <c r="J31" s="11" t="s">
        <v>45</v>
      </c>
      <c r="K31" s="4">
        <v>127</v>
      </c>
      <c r="L31" s="4">
        <v>127</v>
      </c>
      <c r="M31" s="11" t="s">
        <v>261</v>
      </c>
      <c r="N31" s="67" t="s">
        <v>1467</v>
      </c>
      <c r="O31" s="11" t="s">
        <v>1248</v>
      </c>
      <c r="P31" s="11" t="s">
        <v>1247</v>
      </c>
      <c r="Q31" s="51">
        <v>20</v>
      </c>
      <c r="R31" s="11" t="s">
        <v>1293</v>
      </c>
      <c r="S31" s="67" t="s">
        <v>1294</v>
      </c>
      <c r="T31" s="11" t="s">
        <v>40</v>
      </c>
      <c r="U31" s="11" t="s">
        <v>459</v>
      </c>
      <c r="V31" s="56"/>
      <c r="W31" s="11" t="s">
        <v>1292</v>
      </c>
      <c r="X31" s="11" t="s">
        <v>670</v>
      </c>
      <c r="Y31" s="5"/>
    </row>
    <row r="32" spans="1:25" s="11" customFormat="1" ht="13.5" customHeight="1">
      <c r="A32" s="72" t="s">
        <v>1169</v>
      </c>
      <c r="B32" s="99">
        <v>31</v>
      </c>
      <c r="C32" s="91" t="s">
        <v>1190</v>
      </c>
      <c r="D32" s="93">
        <v>62</v>
      </c>
      <c r="E32" s="4" t="s">
        <v>1166</v>
      </c>
      <c r="F32" s="4" t="s">
        <v>723</v>
      </c>
      <c r="G32" s="47" t="s">
        <v>1949</v>
      </c>
      <c r="H32" s="4">
        <v>2015</v>
      </c>
      <c r="I32" s="4" t="s">
        <v>61</v>
      </c>
      <c r="J32" s="4" t="s">
        <v>61</v>
      </c>
      <c r="K32" s="4">
        <v>51</v>
      </c>
      <c r="L32" s="4">
        <v>51</v>
      </c>
      <c r="M32" s="4" t="s">
        <v>35</v>
      </c>
      <c r="N32" s="67" t="s">
        <v>1464</v>
      </c>
      <c r="O32" s="4" t="s">
        <v>1170</v>
      </c>
      <c r="P32" s="4" t="s">
        <v>1167</v>
      </c>
      <c r="Q32" s="51">
        <f>2012-1802</f>
        <v>210</v>
      </c>
      <c r="R32" s="4" t="s">
        <v>1539</v>
      </c>
      <c r="S32" s="67" t="s">
        <v>1168</v>
      </c>
      <c r="T32" s="11" t="s">
        <v>193</v>
      </c>
      <c r="U32" s="11" t="s">
        <v>435</v>
      </c>
      <c r="V32" s="67" t="s">
        <v>1213</v>
      </c>
      <c r="W32" s="11" t="s">
        <v>1534</v>
      </c>
      <c r="X32" s="11" t="s">
        <v>675</v>
      </c>
    </row>
    <row r="33" spans="1:25" s="11" customFormat="1" ht="12" customHeight="1">
      <c r="A33" s="72" t="s">
        <v>1303</v>
      </c>
      <c r="B33" s="98">
        <v>32</v>
      </c>
      <c r="C33" s="91" t="s">
        <v>1025</v>
      </c>
      <c r="D33" s="93">
        <v>72</v>
      </c>
      <c r="E33" s="4" t="s">
        <v>1261</v>
      </c>
      <c r="F33" s="4" t="s">
        <v>56</v>
      </c>
      <c r="G33" s="47" t="s">
        <v>2124</v>
      </c>
      <c r="H33" s="4">
        <v>2015</v>
      </c>
      <c r="I33" s="11" t="s">
        <v>61</v>
      </c>
      <c r="J33" s="4" t="s">
        <v>1262</v>
      </c>
      <c r="K33" s="4">
        <v>0</v>
      </c>
      <c r="L33" s="4">
        <v>0</v>
      </c>
      <c r="M33" s="4" t="s">
        <v>35</v>
      </c>
      <c r="N33" s="67" t="s">
        <v>470</v>
      </c>
      <c r="O33" s="4" t="s">
        <v>1263</v>
      </c>
      <c r="P33" s="4" t="s">
        <v>1264</v>
      </c>
      <c r="Q33" s="51">
        <v>50</v>
      </c>
      <c r="R33" s="11" t="s">
        <v>1265</v>
      </c>
      <c r="S33" s="67" t="s">
        <v>1277</v>
      </c>
      <c r="T33" s="11" t="s">
        <v>40</v>
      </c>
      <c r="U33" s="11" t="s">
        <v>907</v>
      </c>
      <c r="V33" s="67" t="s">
        <v>130</v>
      </c>
      <c r="W33" s="11" t="s">
        <v>1269</v>
      </c>
      <c r="X33" s="11" t="s">
        <v>675</v>
      </c>
      <c r="Y33"/>
    </row>
    <row r="34" spans="1:25" s="11" customFormat="1" ht="12" customHeight="1">
      <c r="A34" s="72" t="s">
        <v>319</v>
      </c>
      <c r="B34" s="99">
        <v>33</v>
      </c>
      <c r="C34" s="91" t="s">
        <v>1190</v>
      </c>
      <c r="D34" s="93">
        <v>78</v>
      </c>
      <c r="E34" s="4" t="s">
        <v>243</v>
      </c>
      <c r="F34" s="11" t="s">
        <v>244</v>
      </c>
      <c r="G34" s="47" t="s">
        <v>2025</v>
      </c>
      <c r="H34" s="4">
        <v>2013</v>
      </c>
      <c r="I34" s="4" t="s">
        <v>968</v>
      </c>
      <c r="J34" s="4" t="s">
        <v>51</v>
      </c>
      <c r="K34" s="4" t="s">
        <v>971</v>
      </c>
      <c r="L34" s="4">
        <v>282</v>
      </c>
      <c r="M34" s="11" t="s">
        <v>43</v>
      </c>
      <c r="N34" s="67" t="s">
        <v>470</v>
      </c>
      <c r="O34" s="11" t="s">
        <v>245</v>
      </c>
      <c r="P34" s="11" t="s">
        <v>967</v>
      </c>
      <c r="Q34" s="51">
        <f>2010-1973</f>
        <v>37</v>
      </c>
      <c r="R34" s="11" t="s">
        <v>131</v>
      </c>
      <c r="S34" s="67" t="s">
        <v>969</v>
      </c>
      <c r="T34" s="11" t="s">
        <v>40</v>
      </c>
      <c r="U34" s="11" t="s">
        <v>459</v>
      </c>
      <c r="V34" s="67" t="s">
        <v>130</v>
      </c>
      <c r="W34" s="4" t="s">
        <v>7</v>
      </c>
      <c r="X34" s="11" t="s">
        <v>670</v>
      </c>
      <c r="Y34"/>
    </row>
    <row r="35" spans="1:25" s="11" customFormat="1" ht="12" customHeight="1">
      <c r="A35" s="72" t="s">
        <v>1025</v>
      </c>
      <c r="B35" s="98">
        <v>34</v>
      </c>
      <c r="C35" s="91" t="s">
        <v>1190</v>
      </c>
      <c r="D35" s="93">
        <v>79</v>
      </c>
      <c r="E35" s="4" t="s">
        <v>246</v>
      </c>
      <c r="F35" s="11" t="s">
        <v>113</v>
      </c>
      <c r="G35" s="47" t="s">
        <v>2026</v>
      </c>
      <c r="H35" s="4">
        <v>2008</v>
      </c>
      <c r="I35" s="4" t="s">
        <v>973</v>
      </c>
      <c r="J35" s="4" t="s">
        <v>230</v>
      </c>
      <c r="K35" s="4">
        <v>3</v>
      </c>
      <c r="L35" s="4">
        <v>3</v>
      </c>
      <c r="M35" s="11" t="s">
        <v>83</v>
      </c>
      <c r="N35" s="67" t="s">
        <v>470</v>
      </c>
      <c r="O35" s="11" t="s">
        <v>247</v>
      </c>
      <c r="P35" s="11" t="s">
        <v>975</v>
      </c>
      <c r="Q35" s="51">
        <f>2005-1960</f>
        <v>45</v>
      </c>
      <c r="R35" s="11" t="s">
        <v>131</v>
      </c>
      <c r="S35" s="70" t="s">
        <v>130</v>
      </c>
      <c r="T35" s="11" t="s">
        <v>86</v>
      </c>
      <c r="U35" s="11" t="s">
        <v>907</v>
      </c>
      <c r="V35" s="67" t="s">
        <v>953</v>
      </c>
      <c r="W35" s="11" t="s">
        <v>1664</v>
      </c>
      <c r="X35" s="11" t="s">
        <v>670</v>
      </c>
      <c r="Y35"/>
    </row>
    <row r="36" spans="1:25" s="11" customFormat="1" ht="12" customHeight="1">
      <c r="A36" s="72" t="s">
        <v>320</v>
      </c>
      <c r="B36" s="99">
        <v>35</v>
      </c>
      <c r="C36" s="91" t="s">
        <v>1190</v>
      </c>
      <c r="D36" s="93">
        <v>80</v>
      </c>
      <c r="E36" s="4" t="s">
        <v>249</v>
      </c>
      <c r="F36" s="11" t="s">
        <v>250</v>
      </c>
      <c r="G36" s="47" t="s">
        <v>2027</v>
      </c>
      <c r="H36" s="4">
        <v>2012</v>
      </c>
      <c r="I36" s="4" t="s">
        <v>341</v>
      </c>
      <c r="J36" s="4" t="s">
        <v>340</v>
      </c>
      <c r="K36" s="4">
        <v>12</v>
      </c>
      <c r="L36" s="4">
        <v>12</v>
      </c>
      <c r="M36" s="11" t="s">
        <v>35</v>
      </c>
      <c r="N36" s="67" t="s">
        <v>1465</v>
      </c>
      <c r="O36" s="11" t="s">
        <v>248</v>
      </c>
      <c r="P36" s="11" t="s">
        <v>977</v>
      </c>
      <c r="Q36" s="51">
        <f>1993-1980</f>
        <v>13</v>
      </c>
      <c r="R36" s="11" t="s">
        <v>131</v>
      </c>
      <c r="S36" s="70" t="s">
        <v>130</v>
      </c>
      <c r="T36" s="11" t="s">
        <v>40</v>
      </c>
      <c r="U36" s="11" t="s">
        <v>924</v>
      </c>
      <c r="V36" s="67" t="s">
        <v>130</v>
      </c>
      <c r="W36" s="11" t="s">
        <v>976</v>
      </c>
      <c r="X36" s="11" t="s">
        <v>670</v>
      </c>
      <c r="Y36"/>
    </row>
    <row r="37" spans="1:25" s="11" customFormat="1" ht="12" customHeight="1">
      <c r="A37" s="72" t="s">
        <v>1531</v>
      </c>
      <c r="B37" s="98">
        <v>36</v>
      </c>
      <c r="C37" s="91" t="s">
        <v>1190</v>
      </c>
      <c r="D37" s="93">
        <v>81</v>
      </c>
      <c r="E37" s="4" t="s">
        <v>1525</v>
      </c>
      <c r="F37" s="11" t="s">
        <v>264</v>
      </c>
      <c r="G37" s="47" t="s">
        <v>2028</v>
      </c>
      <c r="H37" s="4">
        <v>2006</v>
      </c>
      <c r="I37" s="4" t="s">
        <v>45</v>
      </c>
      <c r="J37" s="4" t="s">
        <v>45</v>
      </c>
      <c r="K37" s="4">
        <v>34</v>
      </c>
      <c r="L37" s="4">
        <v>34</v>
      </c>
      <c r="M37" s="11" t="s">
        <v>35</v>
      </c>
      <c r="N37" s="67" t="s">
        <v>1468</v>
      </c>
      <c r="O37" s="11" t="s">
        <v>1527</v>
      </c>
      <c r="P37" s="11" t="s">
        <v>1526</v>
      </c>
      <c r="Q37" s="51">
        <v>4</v>
      </c>
      <c r="R37" s="11" t="s">
        <v>1528</v>
      </c>
      <c r="S37" s="70" t="s">
        <v>1530</v>
      </c>
      <c r="T37" s="11" t="s">
        <v>40</v>
      </c>
      <c r="U37" s="11" t="s">
        <v>435</v>
      </c>
      <c r="V37" s="67" t="s">
        <v>130</v>
      </c>
      <c r="W37" s="11" t="s">
        <v>1529</v>
      </c>
      <c r="X37" s="11" t="s">
        <v>670</v>
      </c>
      <c r="Y37"/>
    </row>
    <row r="38" spans="1:25" s="90" customFormat="1" ht="12" customHeight="1">
      <c r="A38" s="72" t="s">
        <v>321</v>
      </c>
      <c r="B38" s="99">
        <v>37</v>
      </c>
      <c r="C38" s="91" t="s">
        <v>1190</v>
      </c>
      <c r="D38" s="93">
        <v>82</v>
      </c>
      <c r="E38" s="4" t="s">
        <v>251</v>
      </c>
      <c r="F38" s="11" t="s">
        <v>38</v>
      </c>
      <c r="G38" s="47" t="s">
        <v>2029</v>
      </c>
      <c r="H38" s="4">
        <v>2010</v>
      </c>
      <c r="I38" s="4" t="s">
        <v>340</v>
      </c>
      <c r="J38" s="4" t="s">
        <v>340</v>
      </c>
      <c r="K38" s="4">
        <v>27</v>
      </c>
      <c r="L38" s="4">
        <v>27</v>
      </c>
      <c r="M38" s="11" t="s">
        <v>35</v>
      </c>
      <c r="N38" s="67" t="s">
        <v>1467</v>
      </c>
      <c r="O38" s="11" t="s">
        <v>252</v>
      </c>
      <c r="P38" s="11" t="s">
        <v>980</v>
      </c>
      <c r="Q38" s="51">
        <f>2006-1927</f>
        <v>79</v>
      </c>
      <c r="R38" s="11" t="s">
        <v>982</v>
      </c>
      <c r="S38" s="67" t="s">
        <v>253</v>
      </c>
      <c r="T38" s="11" t="s">
        <v>40</v>
      </c>
      <c r="U38" s="11" t="s">
        <v>981</v>
      </c>
      <c r="V38" s="67" t="s">
        <v>130</v>
      </c>
      <c r="W38" s="11" t="s">
        <v>983</v>
      </c>
      <c r="X38" s="11" t="s">
        <v>670</v>
      </c>
      <c r="Y38"/>
    </row>
    <row r="39" spans="1:25" s="5" customFormat="1">
      <c r="A39" s="72" t="s">
        <v>322</v>
      </c>
      <c r="B39" s="98">
        <v>38</v>
      </c>
      <c r="C39" s="91" t="s">
        <v>1190</v>
      </c>
      <c r="D39" s="93">
        <v>83</v>
      </c>
      <c r="E39" s="4" t="s">
        <v>258</v>
      </c>
      <c r="F39" s="11" t="s">
        <v>62</v>
      </c>
      <c r="G39" s="47" t="s">
        <v>2031</v>
      </c>
      <c r="H39" s="4">
        <v>2011</v>
      </c>
      <c r="I39" s="4" t="s">
        <v>61</v>
      </c>
      <c r="J39" s="4" t="s">
        <v>61</v>
      </c>
      <c r="K39" s="4">
        <v>24</v>
      </c>
      <c r="L39" s="4">
        <v>24</v>
      </c>
      <c r="M39" s="11" t="s">
        <v>43</v>
      </c>
      <c r="N39" s="67" t="s">
        <v>1469</v>
      </c>
      <c r="O39" s="11" t="s">
        <v>259</v>
      </c>
      <c r="P39" s="11" t="s">
        <v>991</v>
      </c>
      <c r="Q39" s="51">
        <f>2006-1906</f>
        <v>100</v>
      </c>
      <c r="R39" s="11" t="s">
        <v>36</v>
      </c>
      <c r="S39" s="67" t="s">
        <v>260</v>
      </c>
      <c r="T39" s="11" t="s">
        <v>40</v>
      </c>
      <c r="U39" s="11" t="s">
        <v>992</v>
      </c>
      <c r="V39" s="67" t="s">
        <v>993</v>
      </c>
      <c r="W39" s="11" t="s">
        <v>994</v>
      </c>
      <c r="X39" s="11" t="s">
        <v>675</v>
      </c>
      <c r="Y39"/>
    </row>
    <row r="40" spans="1:25" s="5" customFormat="1" ht="12.95" customHeight="1">
      <c r="A40" s="72" t="s">
        <v>1153</v>
      </c>
      <c r="B40" s="99">
        <v>39</v>
      </c>
      <c r="C40" s="91" t="s">
        <v>1190</v>
      </c>
      <c r="D40" s="93">
        <v>84</v>
      </c>
      <c r="E40" s="4" t="s">
        <v>1149</v>
      </c>
      <c r="F40" s="11" t="s">
        <v>1150</v>
      </c>
      <c r="G40" s="47" t="s">
        <v>2032</v>
      </c>
      <c r="H40" s="4">
        <v>2009</v>
      </c>
      <c r="I40" s="4" t="s">
        <v>45</v>
      </c>
      <c r="J40" s="4" t="s">
        <v>96</v>
      </c>
      <c r="K40" s="4">
        <v>425</v>
      </c>
      <c r="L40" s="4">
        <v>425</v>
      </c>
      <c r="M40" s="11" t="s">
        <v>83</v>
      </c>
      <c r="N40" s="67" t="s">
        <v>470</v>
      </c>
      <c r="O40" s="11" t="s">
        <v>470</v>
      </c>
      <c r="P40" s="11" t="s">
        <v>1151</v>
      </c>
      <c r="Q40" s="51">
        <f>1993-1950</f>
        <v>43</v>
      </c>
      <c r="R40" s="11" t="s">
        <v>188</v>
      </c>
      <c r="S40" s="70"/>
      <c r="T40" s="11" t="s">
        <v>193</v>
      </c>
      <c r="U40" s="11" t="s">
        <v>448</v>
      </c>
      <c r="V40" s="67" t="s">
        <v>130</v>
      </c>
      <c r="W40" s="11" t="s">
        <v>1152</v>
      </c>
      <c r="X40" s="11" t="s">
        <v>670</v>
      </c>
    </row>
    <row r="41" spans="1:25" s="5" customFormat="1">
      <c r="A41" s="72" t="s">
        <v>280</v>
      </c>
      <c r="B41" s="98">
        <v>40</v>
      </c>
      <c r="C41" s="91" t="s">
        <v>1190</v>
      </c>
      <c r="D41" s="93">
        <v>85</v>
      </c>
      <c r="E41" s="4" t="s">
        <v>262</v>
      </c>
      <c r="F41" s="11" t="s">
        <v>38</v>
      </c>
      <c r="G41" s="47" t="s">
        <v>2033</v>
      </c>
      <c r="H41" s="4">
        <v>2012</v>
      </c>
      <c r="I41" s="4" t="s">
        <v>50</v>
      </c>
      <c r="J41" s="4" t="s">
        <v>51</v>
      </c>
      <c r="K41" s="4">
        <v>19</v>
      </c>
      <c r="L41" s="4">
        <v>19</v>
      </c>
      <c r="M41" s="11" t="s">
        <v>261</v>
      </c>
      <c r="N41" s="67" t="s">
        <v>470</v>
      </c>
      <c r="O41" s="11" t="s">
        <v>68</v>
      </c>
      <c r="P41" s="11" t="s">
        <v>995</v>
      </c>
      <c r="Q41" s="51">
        <f>1993-1976</f>
        <v>17</v>
      </c>
      <c r="R41" s="11" t="s">
        <v>131</v>
      </c>
      <c r="S41" s="70" t="s">
        <v>130</v>
      </c>
      <c r="T41" s="11" t="s">
        <v>40</v>
      </c>
      <c r="U41" s="11" t="s">
        <v>448</v>
      </c>
      <c r="V41" s="67" t="s">
        <v>130</v>
      </c>
      <c r="W41" s="11" t="s">
        <v>996</v>
      </c>
      <c r="X41" s="11" t="s">
        <v>670</v>
      </c>
      <c r="Y41"/>
    </row>
    <row r="42" spans="1:25" s="5" customFormat="1">
      <c r="A42" s="72" t="s">
        <v>323</v>
      </c>
      <c r="B42" s="99">
        <v>41</v>
      </c>
      <c r="C42" s="91" t="s">
        <v>1025</v>
      </c>
      <c r="D42" s="93">
        <v>86</v>
      </c>
      <c r="E42" s="4" t="s">
        <v>263</v>
      </c>
      <c r="F42" s="11" t="s">
        <v>264</v>
      </c>
      <c r="G42" s="47" t="s">
        <v>2034</v>
      </c>
      <c r="H42" s="4">
        <v>2015</v>
      </c>
      <c r="I42" s="4" t="s">
        <v>48</v>
      </c>
      <c r="J42" s="4" t="s">
        <v>48</v>
      </c>
      <c r="K42" s="4">
        <v>100</v>
      </c>
      <c r="L42" s="4">
        <v>100</v>
      </c>
      <c r="M42" s="11" t="s">
        <v>261</v>
      </c>
      <c r="N42" s="67" t="s">
        <v>1470</v>
      </c>
      <c r="O42" s="11" t="s">
        <v>265</v>
      </c>
      <c r="P42" s="11" t="s">
        <v>997</v>
      </c>
      <c r="Q42" s="51">
        <f>1996-1905</f>
        <v>91</v>
      </c>
      <c r="R42" s="11" t="s">
        <v>266</v>
      </c>
      <c r="S42" s="67" t="s">
        <v>267</v>
      </c>
      <c r="T42" s="11" t="s">
        <v>40</v>
      </c>
      <c r="U42" s="11" t="s">
        <v>911</v>
      </c>
      <c r="V42" s="67" t="s">
        <v>130</v>
      </c>
      <c r="W42" s="11" t="s">
        <v>998</v>
      </c>
      <c r="X42" s="11" t="s">
        <v>670</v>
      </c>
      <c r="Y42"/>
    </row>
    <row r="43" spans="1:25" s="5" customFormat="1">
      <c r="A43" s="72" t="s">
        <v>336</v>
      </c>
      <c r="B43" s="98">
        <v>42</v>
      </c>
      <c r="C43" s="91" t="s">
        <v>1190</v>
      </c>
      <c r="D43" s="93">
        <v>87</v>
      </c>
      <c r="E43" s="4" t="s">
        <v>326</v>
      </c>
      <c r="F43" s="11" t="s">
        <v>34</v>
      </c>
      <c r="G43" s="47" t="s">
        <v>2036</v>
      </c>
      <c r="H43" s="4">
        <v>2004</v>
      </c>
      <c r="I43" s="4" t="s">
        <v>327</v>
      </c>
      <c r="J43" s="4" t="s">
        <v>1002</v>
      </c>
      <c r="K43" s="4">
        <v>2</v>
      </c>
      <c r="L43" s="4" t="s">
        <v>1003</v>
      </c>
      <c r="M43" s="11" t="s">
        <v>43</v>
      </c>
      <c r="N43" s="67" t="s">
        <v>1481</v>
      </c>
      <c r="O43" s="11" t="s">
        <v>328</v>
      </c>
      <c r="P43" s="11" t="s">
        <v>1009</v>
      </c>
      <c r="Q43" s="51">
        <f>2003-1926</f>
        <v>77</v>
      </c>
      <c r="R43" s="11" t="s">
        <v>131</v>
      </c>
      <c r="S43" s="70" t="s">
        <v>130</v>
      </c>
      <c r="T43" s="11" t="s">
        <v>86</v>
      </c>
      <c r="U43" s="11" t="s">
        <v>465</v>
      </c>
      <c r="V43" s="67" t="s">
        <v>130</v>
      </c>
      <c r="W43" s="6" t="s">
        <v>1025</v>
      </c>
      <c r="X43" s="11" t="s">
        <v>670</v>
      </c>
      <c r="Y43"/>
    </row>
    <row r="44" spans="1:25" s="5" customFormat="1">
      <c r="A44" s="72" t="s">
        <v>1257</v>
      </c>
      <c r="B44" s="99">
        <v>43</v>
      </c>
      <c r="C44" s="91" t="s">
        <v>1190</v>
      </c>
      <c r="D44" s="93">
        <v>88</v>
      </c>
      <c r="E44" s="4" t="s">
        <v>343</v>
      </c>
      <c r="F44" s="11" t="s">
        <v>71</v>
      </c>
      <c r="G44" s="47" t="s">
        <v>2037</v>
      </c>
      <c r="H44" s="4">
        <v>2015</v>
      </c>
      <c r="I44" s="4" t="s">
        <v>344</v>
      </c>
      <c r="J44" s="4" t="s">
        <v>51</v>
      </c>
      <c r="K44" s="4">
        <v>67</v>
      </c>
      <c r="L44" s="4">
        <v>67</v>
      </c>
      <c r="M44" s="11" t="s">
        <v>83</v>
      </c>
      <c r="N44" s="67" t="s">
        <v>1482</v>
      </c>
      <c r="O44" s="11" t="s">
        <v>1005</v>
      </c>
      <c r="P44" s="11" t="s">
        <v>345</v>
      </c>
      <c r="Q44" s="51">
        <f>2010-1901</f>
        <v>109</v>
      </c>
      <c r="R44" s="11" t="s">
        <v>346</v>
      </c>
      <c r="S44" s="67" t="s">
        <v>347</v>
      </c>
      <c r="T44" s="11" t="s">
        <v>40</v>
      </c>
      <c r="U44" s="11" t="s">
        <v>1006</v>
      </c>
      <c r="V44" s="67" t="s">
        <v>1007</v>
      </c>
      <c r="W44" s="11" t="s">
        <v>1008</v>
      </c>
      <c r="X44" s="11" t="s">
        <v>670</v>
      </c>
      <c r="Y44"/>
    </row>
    <row r="45" spans="1:25" s="5" customFormat="1">
      <c r="A45" s="72" t="s">
        <v>360</v>
      </c>
      <c r="B45" s="98">
        <v>44</v>
      </c>
      <c r="C45" s="91" t="s">
        <v>1190</v>
      </c>
      <c r="D45" s="93">
        <v>89</v>
      </c>
      <c r="E45" s="4" t="s">
        <v>356</v>
      </c>
      <c r="F45" s="11" t="s">
        <v>38</v>
      </c>
      <c r="G45" s="47" t="s">
        <v>2038</v>
      </c>
      <c r="H45" s="4">
        <v>2008</v>
      </c>
      <c r="I45" s="4" t="s">
        <v>357</v>
      </c>
      <c r="J45" s="4" t="s">
        <v>61</v>
      </c>
      <c r="K45" s="4">
        <v>22</v>
      </c>
      <c r="L45" s="4">
        <v>22</v>
      </c>
      <c r="M45" s="11" t="s">
        <v>261</v>
      </c>
      <c r="N45" s="67" t="s">
        <v>1465</v>
      </c>
      <c r="O45" s="11" t="s">
        <v>358</v>
      </c>
      <c r="P45" s="11" t="s">
        <v>804</v>
      </c>
      <c r="Q45" s="51">
        <f>2006-1966</f>
        <v>40</v>
      </c>
      <c r="R45" s="11" t="s">
        <v>451</v>
      </c>
      <c r="S45" s="67" t="s">
        <v>805</v>
      </c>
      <c r="T45" s="11" t="s">
        <v>193</v>
      </c>
      <c r="U45" s="11" t="s">
        <v>1012</v>
      </c>
      <c r="V45" s="67" t="s">
        <v>361</v>
      </c>
      <c r="W45" s="11" t="s">
        <v>1011</v>
      </c>
      <c r="X45" s="11" t="s">
        <v>675</v>
      </c>
      <c r="Y45"/>
    </row>
    <row r="46" spans="1:25" s="5" customFormat="1">
      <c r="A46" s="72" t="s">
        <v>367</v>
      </c>
      <c r="B46" s="99">
        <v>45</v>
      </c>
      <c r="C46" s="91" t="s">
        <v>1190</v>
      </c>
      <c r="D46" s="93">
        <v>90</v>
      </c>
      <c r="E46" s="4" t="s">
        <v>359</v>
      </c>
      <c r="F46" s="11" t="s">
        <v>203</v>
      </c>
      <c r="G46" s="47" t="s">
        <v>2039</v>
      </c>
      <c r="H46" s="4">
        <v>2010</v>
      </c>
      <c r="I46" s="4" t="s">
        <v>363</v>
      </c>
      <c r="J46" s="4" t="s">
        <v>61</v>
      </c>
      <c r="K46" s="4">
        <v>38</v>
      </c>
      <c r="L46" s="4">
        <v>38</v>
      </c>
      <c r="M46" s="11" t="s">
        <v>35</v>
      </c>
      <c r="N46" s="67" t="s">
        <v>1464</v>
      </c>
      <c r="O46" s="11" t="s">
        <v>364</v>
      </c>
      <c r="P46" s="11" t="s">
        <v>1013</v>
      </c>
      <c r="Q46" s="51">
        <f>2007-2003</f>
        <v>4</v>
      </c>
      <c r="R46" s="11" t="s">
        <v>36</v>
      </c>
      <c r="S46" s="67" t="s">
        <v>365</v>
      </c>
      <c r="T46" s="11" t="s">
        <v>40</v>
      </c>
      <c r="U46" s="11" t="s">
        <v>435</v>
      </c>
      <c r="V46" s="67" t="s">
        <v>1015</v>
      </c>
      <c r="W46" s="11" t="s">
        <v>1014</v>
      </c>
      <c r="X46" s="11" t="s">
        <v>675</v>
      </c>
    </row>
    <row r="47" spans="1:25">
      <c r="A47" s="72" t="s">
        <v>371</v>
      </c>
      <c r="B47" s="98">
        <v>46</v>
      </c>
      <c r="C47" s="91" t="s">
        <v>1190</v>
      </c>
      <c r="D47" s="93">
        <v>91</v>
      </c>
      <c r="E47" s="4" t="s">
        <v>466</v>
      </c>
      <c r="F47" s="11" t="s">
        <v>368</v>
      </c>
      <c r="G47" s="47" t="s">
        <v>2040</v>
      </c>
      <c r="H47" s="4">
        <v>2011</v>
      </c>
      <c r="I47" s="4" t="s">
        <v>61</v>
      </c>
      <c r="J47" s="4" t="s">
        <v>61</v>
      </c>
      <c r="K47" s="4">
        <v>22</v>
      </c>
      <c r="L47" s="4">
        <v>22</v>
      </c>
      <c r="M47" s="11" t="s">
        <v>35</v>
      </c>
      <c r="N47" s="67" t="s">
        <v>1467</v>
      </c>
      <c r="O47" s="11" t="s">
        <v>369</v>
      </c>
      <c r="P47" s="11" t="s">
        <v>1016</v>
      </c>
      <c r="Q47" s="51">
        <f>2006-1958</f>
        <v>48</v>
      </c>
      <c r="R47" s="11" t="s">
        <v>36</v>
      </c>
      <c r="S47" s="67" t="s">
        <v>370</v>
      </c>
      <c r="T47" s="11" t="s">
        <v>40</v>
      </c>
      <c r="U47" s="11" t="s">
        <v>860</v>
      </c>
      <c r="V47" s="67" t="s">
        <v>130</v>
      </c>
      <c r="W47" s="6" t="s">
        <v>1025</v>
      </c>
      <c r="X47" s="11" t="s">
        <v>675</v>
      </c>
    </row>
    <row r="48" spans="1:25" s="5" customFormat="1">
      <c r="A48" s="72" t="s">
        <v>280</v>
      </c>
      <c r="B48" s="98">
        <v>47</v>
      </c>
      <c r="C48" s="91" t="s">
        <v>1190</v>
      </c>
      <c r="D48" s="93">
        <v>92</v>
      </c>
      <c r="E48" s="4" t="s">
        <v>373</v>
      </c>
      <c r="F48" s="11" t="s">
        <v>244</v>
      </c>
      <c r="G48" s="47" t="s">
        <v>2041</v>
      </c>
      <c r="H48" s="4">
        <v>2002</v>
      </c>
      <c r="I48" s="4" t="s">
        <v>50</v>
      </c>
      <c r="J48" s="4" t="s">
        <v>51</v>
      </c>
      <c r="K48" s="4">
        <v>51</v>
      </c>
      <c r="L48" s="4">
        <v>51</v>
      </c>
      <c r="M48" s="11" t="s">
        <v>261</v>
      </c>
      <c r="N48" s="67" t="s">
        <v>470</v>
      </c>
      <c r="O48" s="11" t="s">
        <v>68</v>
      </c>
      <c r="P48" s="11" t="s">
        <v>895</v>
      </c>
      <c r="Q48" s="51">
        <f>1995-1970</f>
        <v>25</v>
      </c>
      <c r="R48" s="11" t="s">
        <v>374</v>
      </c>
      <c r="S48" s="67" t="s">
        <v>1673</v>
      </c>
      <c r="T48" s="11" t="s">
        <v>40</v>
      </c>
      <c r="U48" s="11" t="s">
        <v>448</v>
      </c>
      <c r="V48" s="67" t="s">
        <v>877</v>
      </c>
      <c r="W48" s="11" t="s">
        <v>1017</v>
      </c>
      <c r="X48" s="11" t="s">
        <v>670</v>
      </c>
      <c r="Y48"/>
    </row>
    <row r="49" spans="1:25">
      <c r="A49" s="72" t="s">
        <v>1158</v>
      </c>
      <c r="B49" s="99">
        <v>48</v>
      </c>
      <c r="C49" s="91" t="s">
        <v>1190</v>
      </c>
      <c r="D49" s="93">
        <v>93</v>
      </c>
      <c r="E49" s="4" t="s">
        <v>1154</v>
      </c>
      <c r="F49" s="11" t="s">
        <v>1155</v>
      </c>
      <c r="G49" s="47" t="s">
        <v>2042</v>
      </c>
      <c r="H49" s="4">
        <v>2013</v>
      </c>
      <c r="I49" s="4" t="s">
        <v>344</v>
      </c>
      <c r="J49" s="4" t="s">
        <v>1018</v>
      </c>
      <c r="K49" s="4">
        <v>24</v>
      </c>
      <c r="L49" s="4">
        <v>24</v>
      </c>
      <c r="M49" s="11" t="s">
        <v>261</v>
      </c>
      <c r="N49" s="67" t="s">
        <v>470</v>
      </c>
      <c r="O49" s="11" t="s">
        <v>206</v>
      </c>
      <c r="P49" s="11" t="s">
        <v>1157</v>
      </c>
      <c r="Q49" s="51">
        <f>2007-1987</f>
        <v>20</v>
      </c>
      <c r="R49" s="11" t="s">
        <v>451</v>
      </c>
      <c r="S49" s="67" t="s">
        <v>130</v>
      </c>
      <c r="T49" s="11" t="s">
        <v>40</v>
      </c>
      <c r="U49" s="11" t="s">
        <v>448</v>
      </c>
      <c r="V49" s="67" t="s">
        <v>1156</v>
      </c>
      <c r="W49" s="11" t="s">
        <v>1017</v>
      </c>
      <c r="X49" s="11" t="s">
        <v>957</v>
      </c>
      <c r="Y49" s="5"/>
    </row>
    <row r="50" spans="1:25">
      <c r="A50" s="72" t="s">
        <v>381</v>
      </c>
      <c r="B50" s="98">
        <v>49</v>
      </c>
      <c r="C50" s="91" t="s">
        <v>1190</v>
      </c>
      <c r="D50" s="93">
        <v>94</v>
      </c>
      <c r="E50" s="4" t="s">
        <v>378</v>
      </c>
      <c r="F50" s="11" t="s">
        <v>239</v>
      </c>
      <c r="G50" s="47" t="s">
        <v>2043</v>
      </c>
      <c r="H50" s="4">
        <v>2013</v>
      </c>
      <c r="I50" s="4" t="s">
        <v>61</v>
      </c>
      <c r="J50" s="4" t="s">
        <v>61</v>
      </c>
      <c r="K50" s="4">
        <v>124</v>
      </c>
      <c r="L50" s="4">
        <v>124</v>
      </c>
      <c r="M50" s="11" t="s">
        <v>261</v>
      </c>
      <c r="N50" s="67" t="s">
        <v>1469</v>
      </c>
      <c r="O50" s="11" t="s">
        <v>379</v>
      </c>
      <c r="P50" s="11" t="s">
        <v>1095</v>
      </c>
      <c r="Q50" s="51">
        <f>2007-1949</f>
        <v>58</v>
      </c>
      <c r="R50" s="11" t="s">
        <v>36</v>
      </c>
      <c r="S50" s="67" t="s">
        <v>380</v>
      </c>
      <c r="T50" s="11" t="s">
        <v>193</v>
      </c>
      <c r="U50" s="11" t="s">
        <v>1096</v>
      </c>
      <c r="V50" s="67" t="s">
        <v>1097</v>
      </c>
      <c r="W50" s="11" t="s">
        <v>1099</v>
      </c>
      <c r="X50" s="11" t="s">
        <v>675</v>
      </c>
    </row>
    <row r="51" spans="1:25">
      <c r="A51" s="72" t="s">
        <v>385</v>
      </c>
      <c r="B51" s="99">
        <v>50</v>
      </c>
      <c r="C51" s="91" t="s">
        <v>1190</v>
      </c>
      <c r="D51" s="93">
        <v>95</v>
      </c>
      <c r="E51" s="4" t="s">
        <v>382</v>
      </c>
      <c r="F51" s="11" t="s">
        <v>383</v>
      </c>
      <c r="G51" s="47" t="s">
        <v>2044</v>
      </c>
      <c r="H51" s="4">
        <v>2002</v>
      </c>
      <c r="I51" s="4" t="s">
        <v>230</v>
      </c>
      <c r="J51" s="4" t="s">
        <v>230</v>
      </c>
      <c r="K51" s="4">
        <v>18</v>
      </c>
      <c r="L51" s="4">
        <v>18</v>
      </c>
      <c r="M51" s="11" t="s">
        <v>261</v>
      </c>
      <c r="N51" s="67" t="s">
        <v>470</v>
      </c>
      <c r="O51" s="11" t="s">
        <v>384</v>
      </c>
      <c r="P51" s="11" t="s">
        <v>1048</v>
      </c>
      <c r="Q51" s="51">
        <f>2001-1960</f>
        <v>41</v>
      </c>
      <c r="R51" s="11" t="s">
        <v>131</v>
      </c>
      <c r="S51" s="70" t="s">
        <v>130</v>
      </c>
      <c r="T51" s="11" t="s">
        <v>86</v>
      </c>
      <c r="U51" s="11" t="s">
        <v>448</v>
      </c>
      <c r="V51" s="67" t="s">
        <v>130</v>
      </c>
      <c r="W51" s="11" t="s">
        <v>729</v>
      </c>
      <c r="X51" s="11" t="s">
        <v>670</v>
      </c>
    </row>
    <row r="52" spans="1:25">
      <c r="A52" s="72" t="s">
        <v>393</v>
      </c>
      <c r="B52" s="98">
        <v>51</v>
      </c>
      <c r="C52" s="91" t="s">
        <v>1190</v>
      </c>
      <c r="D52" s="93">
        <v>96</v>
      </c>
      <c r="E52" s="4" t="s">
        <v>386</v>
      </c>
      <c r="F52" s="11" t="s">
        <v>387</v>
      </c>
      <c r="G52" s="47" t="s">
        <v>2045</v>
      </c>
      <c r="H52" s="4">
        <v>1998</v>
      </c>
      <c r="I52" s="4" t="s">
        <v>230</v>
      </c>
      <c r="J52" s="4" t="s">
        <v>230</v>
      </c>
      <c r="K52" s="4">
        <v>18</v>
      </c>
      <c r="L52" s="4">
        <v>18</v>
      </c>
      <c r="M52" s="11" t="s">
        <v>261</v>
      </c>
      <c r="N52" s="67" t="s">
        <v>470</v>
      </c>
      <c r="O52" s="11" t="s">
        <v>388</v>
      </c>
      <c r="P52" s="11" t="s">
        <v>1049</v>
      </c>
      <c r="Q52" s="51">
        <f>1995-1960</f>
        <v>35</v>
      </c>
      <c r="R52" s="11" t="s">
        <v>131</v>
      </c>
      <c r="S52" s="67" t="s">
        <v>390</v>
      </c>
      <c r="T52" s="11" t="s">
        <v>86</v>
      </c>
      <c r="U52" s="11" t="s">
        <v>448</v>
      </c>
      <c r="V52" s="67" t="s">
        <v>130</v>
      </c>
      <c r="W52" s="11" t="s">
        <v>729</v>
      </c>
      <c r="X52" s="11" t="s">
        <v>670</v>
      </c>
    </row>
    <row r="53" spans="1:25">
      <c r="A53" s="72" t="s">
        <v>397</v>
      </c>
      <c r="B53" s="99">
        <v>52</v>
      </c>
      <c r="C53" s="91" t="s">
        <v>1190</v>
      </c>
      <c r="D53" s="93">
        <v>97</v>
      </c>
      <c r="E53" s="4" t="s">
        <v>391</v>
      </c>
      <c r="F53" s="11" t="s">
        <v>392</v>
      </c>
      <c r="G53" s="47" t="s">
        <v>2046</v>
      </c>
      <c r="H53" s="4">
        <v>2003</v>
      </c>
      <c r="I53" s="4" t="s">
        <v>230</v>
      </c>
      <c r="J53" s="4" t="s">
        <v>230</v>
      </c>
      <c r="K53" s="4">
        <v>14</v>
      </c>
      <c r="L53" s="4">
        <v>14</v>
      </c>
      <c r="M53" s="11" t="s">
        <v>43</v>
      </c>
      <c r="N53" s="67" t="s">
        <v>470</v>
      </c>
      <c r="O53" s="11" t="s">
        <v>1483</v>
      </c>
      <c r="P53" s="11" t="s">
        <v>1050</v>
      </c>
      <c r="Q53" s="51">
        <f>1990-1920</f>
        <v>70</v>
      </c>
      <c r="R53" s="11" t="s">
        <v>987</v>
      </c>
      <c r="S53" s="70" t="s">
        <v>130</v>
      </c>
      <c r="T53" s="11" t="s">
        <v>86</v>
      </c>
      <c r="U53" s="11" t="s">
        <v>1101</v>
      </c>
      <c r="V53" s="67" t="s">
        <v>964</v>
      </c>
      <c r="W53" s="11" t="s">
        <v>1102</v>
      </c>
      <c r="X53" s="11" t="s">
        <v>670</v>
      </c>
    </row>
    <row r="54" spans="1:25">
      <c r="A54" s="72" t="s">
        <v>401</v>
      </c>
      <c r="B54" s="98">
        <v>53</v>
      </c>
      <c r="C54" s="91" t="s">
        <v>1190</v>
      </c>
      <c r="D54" s="93">
        <v>98</v>
      </c>
      <c r="E54" s="4" t="s">
        <v>398</v>
      </c>
      <c r="F54" s="11" t="s">
        <v>368</v>
      </c>
      <c r="G54" s="47" t="s">
        <v>2047</v>
      </c>
      <c r="H54" s="4">
        <v>2007</v>
      </c>
      <c r="I54" s="4" t="s">
        <v>45</v>
      </c>
      <c r="J54" s="4" t="s">
        <v>96</v>
      </c>
      <c r="K54" s="4">
        <v>254</v>
      </c>
      <c r="L54" s="4">
        <v>254</v>
      </c>
      <c r="M54" s="11" t="s">
        <v>261</v>
      </c>
      <c r="N54" s="67" t="s">
        <v>1467</v>
      </c>
      <c r="O54" s="11" t="s">
        <v>197</v>
      </c>
      <c r="P54" s="11" t="s">
        <v>1051</v>
      </c>
      <c r="Q54" s="51">
        <f>2004-1975</f>
        <v>29</v>
      </c>
      <c r="R54" s="11" t="s">
        <v>131</v>
      </c>
      <c r="S54" s="67" t="s">
        <v>399</v>
      </c>
      <c r="T54" s="11" t="s">
        <v>40</v>
      </c>
      <c r="U54" s="11" t="s">
        <v>921</v>
      </c>
      <c r="V54" s="67" t="s">
        <v>130</v>
      </c>
      <c r="W54" s="11" t="s">
        <v>1103</v>
      </c>
      <c r="X54" s="11" t="s">
        <v>670</v>
      </c>
    </row>
    <row r="55" spans="1:25">
      <c r="A55" s="72" t="s">
        <v>405</v>
      </c>
      <c r="B55" s="99">
        <v>54</v>
      </c>
      <c r="C55" s="91" t="s">
        <v>1190</v>
      </c>
      <c r="D55" s="93">
        <v>99</v>
      </c>
      <c r="E55" s="4" t="s">
        <v>402</v>
      </c>
      <c r="F55" s="11" t="s">
        <v>38</v>
      </c>
      <c r="G55" s="47" t="s">
        <v>2048</v>
      </c>
      <c r="H55" s="4">
        <v>2012</v>
      </c>
      <c r="I55" s="11" t="s">
        <v>61</v>
      </c>
      <c r="J55" s="11" t="s">
        <v>146</v>
      </c>
      <c r="K55" s="4">
        <v>92</v>
      </c>
      <c r="L55" s="4">
        <v>92</v>
      </c>
      <c r="M55" s="11" t="s">
        <v>261</v>
      </c>
      <c r="N55" s="67" t="s">
        <v>1467</v>
      </c>
      <c r="O55" s="11" t="s">
        <v>403</v>
      </c>
      <c r="P55" s="11" t="s">
        <v>1104</v>
      </c>
      <c r="Q55" s="51">
        <f>2008-1999</f>
        <v>9</v>
      </c>
      <c r="R55" s="11" t="s">
        <v>131</v>
      </c>
      <c r="S55" s="67" t="s">
        <v>404</v>
      </c>
      <c r="T55" s="11" t="s">
        <v>40</v>
      </c>
      <c r="U55" s="11" t="s">
        <v>907</v>
      </c>
      <c r="V55" s="67" t="s">
        <v>130</v>
      </c>
      <c r="W55" s="11" t="s">
        <v>1105</v>
      </c>
      <c r="X55" s="11" t="s">
        <v>807</v>
      </c>
    </row>
    <row r="56" spans="1:25">
      <c r="A56" s="72" t="s">
        <v>280</v>
      </c>
      <c r="B56" s="98">
        <v>55</v>
      </c>
      <c r="C56" s="91" t="s">
        <v>1190</v>
      </c>
      <c r="D56" s="93">
        <v>100</v>
      </c>
      <c r="E56" s="4" t="s">
        <v>406</v>
      </c>
      <c r="F56" s="11" t="s">
        <v>407</v>
      </c>
      <c r="G56" s="47" t="s">
        <v>2049</v>
      </c>
      <c r="H56" s="4">
        <v>2011</v>
      </c>
      <c r="I56" s="11" t="s">
        <v>50</v>
      </c>
      <c r="J56" s="11" t="s">
        <v>1018</v>
      </c>
      <c r="K56" s="4">
        <v>9</v>
      </c>
      <c r="L56" s="4">
        <v>9</v>
      </c>
      <c r="M56" s="11" t="s">
        <v>43</v>
      </c>
      <c r="N56" s="67" t="s">
        <v>470</v>
      </c>
      <c r="O56" s="11" t="s">
        <v>68</v>
      </c>
      <c r="P56" s="11" t="s">
        <v>1052</v>
      </c>
      <c r="Q56" s="51">
        <f>2005-1995</f>
        <v>10</v>
      </c>
      <c r="R56" s="11" t="s">
        <v>131</v>
      </c>
      <c r="S56" s="67" t="s">
        <v>408</v>
      </c>
      <c r="T56" s="11" t="s">
        <v>40</v>
      </c>
      <c r="U56" s="11" t="s">
        <v>447</v>
      </c>
      <c r="V56" s="67" t="s">
        <v>130</v>
      </c>
      <c r="W56" s="11" t="s">
        <v>1107</v>
      </c>
      <c r="X56" s="11" t="s">
        <v>670</v>
      </c>
    </row>
    <row r="57" spans="1:25">
      <c r="A57" s="72" t="s">
        <v>413</v>
      </c>
      <c r="B57" s="99">
        <v>56</v>
      </c>
      <c r="C57" s="91" t="s">
        <v>1190</v>
      </c>
      <c r="D57" s="93">
        <v>101</v>
      </c>
      <c r="E57" s="4" t="s">
        <v>410</v>
      </c>
      <c r="F57" s="11" t="s">
        <v>181</v>
      </c>
      <c r="G57" s="47" t="s">
        <v>2050</v>
      </c>
      <c r="H57" s="4">
        <v>2013</v>
      </c>
      <c r="I57" s="4" t="s">
        <v>61</v>
      </c>
      <c r="J57" s="4" t="s">
        <v>61</v>
      </c>
      <c r="K57" s="4">
        <v>27</v>
      </c>
      <c r="L57" s="4">
        <v>27</v>
      </c>
      <c r="M57" s="11" t="s">
        <v>261</v>
      </c>
      <c r="N57" s="67" t="s">
        <v>1467</v>
      </c>
      <c r="O57" s="11" t="s">
        <v>411</v>
      </c>
      <c r="P57" s="11" t="s">
        <v>1053</v>
      </c>
      <c r="Q57" s="51">
        <f>2011-1963</f>
        <v>48</v>
      </c>
      <c r="R57" s="11" t="s">
        <v>36</v>
      </c>
      <c r="S57" s="67" t="s">
        <v>412</v>
      </c>
      <c r="T57" s="11" t="s">
        <v>193</v>
      </c>
      <c r="U57" s="11" t="s">
        <v>924</v>
      </c>
      <c r="V57" s="67" t="s">
        <v>1109</v>
      </c>
      <c r="W57" s="11" t="s">
        <v>729</v>
      </c>
      <c r="X57" s="11" t="s">
        <v>675</v>
      </c>
    </row>
    <row r="58" spans="1:25">
      <c r="A58" s="72" t="s">
        <v>395</v>
      </c>
      <c r="B58" s="98">
        <v>57</v>
      </c>
      <c r="C58" s="91" t="s">
        <v>1190</v>
      </c>
      <c r="D58" s="93">
        <v>102</v>
      </c>
      <c r="E58" s="4" t="s">
        <v>414</v>
      </c>
      <c r="F58" s="11" t="s">
        <v>415</v>
      </c>
      <c r="G58" s="47" t="s">
        <v>2051</v>
      </c>
      <c r="H58" s="4">
        <v>2008</v>
      </c>
      <c r="I58" s="11" t="s">
        <v>230</v>
      </c>
      <c r="J58" s="4" t="s">
        <v>230</v>
      </c>
      <c r="K58" s="4">
        <v>28</v>
      </c>
      <c r="L58" s="4">
        <v>28</v>
      </c>
      <c r="M58" s="11" t="s">
        <v>43</v>
      </c>
      <c r="N58" s="67" t="s">
        <v>470</v>
      </c>
      <c r="O58" s="11" t="s">
        <v>394</v>
      </c>
      <c r="P58" s="11" t="s">
        <v>1054</v>
      </c>
      <c r="Q58" s="51">
        <f>2004-1980</f>
        <v>24</v>
      </c>
      <c r="R58" s="11" t="s">
        <v>1111</v>
      </c>
      <c r="S58" s="67" t="s">
        <v>416</v>
      </c>
      <c r="T58" s="11" t="s">
        <v>86</v>
      </c>
      <c r="U58" s="11" t="s">
        <v>907</v>
      </c>
      <c r="V58" s="67" t="s">
        <v>959</v>
      </c>
      <c r="W58" s="11" t="s">
        <v>729</v>
      </c>
      <c r="X58" s="11" t="s">
        <v>957</v>
      </c>
    </row>
    <row r="59" spans="1:25">
      <c r="A59" s="72" t="s">
        <v>395</v>
      </c>
      <c r="B59" s="99">
        <v>58</v>
      </c>
      <c r="C59" s="91" t="s">
        <v>1190</v>
      </c>
      <c r="D59" s="93">
        <v>103</v>
      </c>
      <c r="E59" s="4" t="s">
        <v>418</v>
      </c>
      <c r="F59" s="11" t="s">
        <v>419</v>
      </c>
      <c r="G59" s="47" t="s">
        <v>2052</v>
      </c>
      <c r="H59" s="4">
        <v>2011</v>
      </c>
      <c r="I59" s="11" t="s">
        <v>230</v>
      </c>
      <c r="J59" s="4" t="s">
        <v>230</v>
      </c>
      <c r="K59" s="4">
        <v>2</v>
      </c>
      <c r="L59" s="4">
        <v>2</v>
      </c>
      <c r="M59" s="11" t="s">
        <v>261</v>
      </c>
      <c r="N59" s="67" t="s">
        <v>470</v>
      </c>
      <c r="O59" s="11" t="s">
        <v>394</v>
      </c>
      <c r="P59" s="11" t="s">
        <v>1055</v>
      </c>
      <c r="Q59" s="51">
        <f>2007-1917</f>
        <v>90</v>
      </c>
      <c r="R59" s="11" t="s">
        <v>421</v>
      </c>
      <c r="S59" s="67" t="s">
        <v>1112</v>
      </c>
      <c r="T59" s="11" t="s">
        <v>86</v>
      </c>
      <c r="U59" s="11" t="s">
        <v>648</v>
      </c>
      <c r="V59" s="67" t="s">
        <v>130</v>
      </c>
      <c r="W59" s="11" t="s">
        <v>729</v>
      </c>
      <c r="X59" s="11" t="s">
        <v>670</v>
      </c>
    </row>
    <row r="60" spans="1:25">
      <c r="A60" s="72" t="s">
        <v>425</v>
      </c>
      <c r="B60" s="98">
        <v>59</v>
      </c>
      <c r="C60" s="91" t="s">
        <v>1190</v>
      </c>
      <c r="D60" s="93">
        <v>104</v>
      </c>
      <c r="E60" s="4" t="s">
        <v>422</v>
      </c>
      <c r="F60" s="11" t="s">
        <v>38</v>
      </c>
      <c r="G60" s="47" t="s">
        <v>2053</v>
      </c>
      <c r="H60" s="4">
        <v>2010</v>
      </c>
      <c r="I60" s="11" t="s">
        <v>230</v>
      </c>
      <c r="J60" s="4" t="s">
        <v>230</v>
      </c>
      <c r="K60" s="4">
        <v>112</v>
      </c>
      <c r="L60" s="4">
        <v>112</v>
      </c>
      <c r="M60" s="11" t="s">
        <v>43</v>
      </c>
      <c r="N60" s="67" t="s">
        <v>1467</v>
      </c>
      <c r="O60" s="11" t="s">
        <v>423</v>
      </c>
      <c r="P60" s="11" t="s">
        <v>1113</v>
      </c>
      <c r="Q60" s="51">
        <f>2006-1970</f>
        <v>36</v>
      </c>
      <c r="R60" s="11" t="s">
        <v>131</v>
      </c>
      <c r="S60" s="67" t="s">
        <v>424</v>
      </c>
      <c r="T60" s="11" t="s">
        <v>86</v>
      </c>
      <c r="U60" s="11" t="s">
        <v>447</v>
      </c>
      <c r="V60" s="67" t="s">
        <v>130</v>
      </c>
      <c r="W60" s="4" t="s">
        <v>1025</v>
      </c>
      <c r="X60" s="11" t="s">
        <v>670</v>
      </c>
    </row>
    <row r="61" spans="1:25" s="16" customFormat="1">
      <c r="A61" s="72" t="s">
        <v>429</v>
      </c>
      <c r="B61" s="99">
        <v>60</v>
      </c>
      <c r="C61" s="91" t="s">
        <v>1190</v>
      </c>
      <c r="D61" s="93">
        <v>105</v>
      </c>
      <c r="E61" s="4" t="s">
        <v>427</v>
      </c>
      <c r="F61" s="11" t="s">
        <v>38</v>
      </c>
      <c r="G61" s="47" t="s">
        <v>2054</v>
      </c>
      <c r="H61" s="4">
        <v>2006</v>
      </c>
      <c r="I61" s="4" t="s">
        <v>426</v>
      </c>
      <c r="J61" s="4" t="s">
        <v>45</v>
      </c>
      <c r="K61" s="4">
        <v>3</v>
      </c>
      <c r="L61" s="4">
        <v>3</v>
      </c>
      <c r="M61" s="11" t="s">
        <v>43</v>
      </c>
      <c r="N61" s="67" t="s">
        <v>1481</v>
      </c>
      <c r="O61" s="11" t="s">
        <v>1489</v>
      </c>
      <c r="P61" s="11" t="s">
        <v>1056</v>
      </c>
      <c r="Q61" s="51">
        <f>2004-1978</f>
        <v>26</v>
      </c>
      <c r="R61" s="11" t="s">
        <v>131</v>
      </c>
      <c r="S61" s="70" t="s">
        <v>130</v>
      </c>
      <c r="T61" s="11" t="s">
        <v>86</v>
      </c>
      <c r="U61" s="11" t="s">
        <v>465</v>
      </c>
      <c r="V61" s="67" t="s">
        <v>130</v>
      </c>
      <c r="W61" s="4" t="s">
        <v>1025</v>
      </c>
      <c r="X61" s="11" t="s">
        <v>670</v>
      </c>
      <c r="Y61"/>
    </row>
    <row r="62" spans="1:25">
      <c r="A62" s="72" t="s">
        <v>280</v>
      </c>
      <c r="B62" s="98">
        <v>61</v>
      </c>
      <c r="C62" s="91" t="s">
        <v>1190</v>
      </c>
      <c r="D62" s="93">
        <v>106</v>
      </c>
      <c r="E62" s="4" t="s">
        <v>439</v>
      </c>
      <c r="F62" s="11" t="s">
        <v>440</v>
      </c>
      <c r="G62" s="47" t="s">
        <v>2056</v>
      </c>
      <c r="H62" s="4">
        <v>2011</v>
      </c>
      <c r="I62" s="4" t="s">
        <v>441</v>
      </c>
      <c r="J62" s="4" t="s">
        <v>51</v>
      </c>
      <c r="K62" s="4">
        <v>12</v>
      </c>
      <c r="L62" s="4">
        <v>12</v>
      </c>
      <c r="M62" s="11" t="s">
        <v>261</v>
      </c>
      <c r="N62" s="67" t="s">
        <v>470</v>
      </c>
      <c r="O62" s="11" t="s">
        <v>68</v>
      </c>
      <c r="P62" s="11" t="s">
        <v>1058</v>
      </c>
      <c r="Q62" s="51">
        <f>2009-1982</f>
        <v>27</v>
      </c>
      <c r="R62" s="11" t="s">
        <v>131</v>
      </c>
      <c r="S62" s="67" t="s">
        <v>442</v>
      </c>
      <c r="T62" s="11" t="s">
        <v>193</v>
      </c>
      <c r="U62" s="11" t="s">
        <v>448</v>
      </c>
      <c r="V62" s="67" t="s">
        <v>130</v>
      </c>
      <c r="W62" s="4" t="s">
        <v>1025</v>
      </c>
      <c r="X62" s="11" t="s">
        <v>670</v>
      </c>
    </row>
    <row r="63" spans="1:25">
      <c r="A63" s="72" t="s">
        <v>280</v>
      </c>
      <c r="B63" s="99">
        <v>62</v>
      </c>
      <c r="C63" s="91" t="s">
        <v>1190</v>
      </c>
      <c r="D63" s="93">
        <v>107</v>
      </c>
      <c r="E63" s="4" t="s">
        <v>445</v>
      </c>
      <c r="F63" s="11" t="s">
        <v>446</v>
      </c>
      <c r="G63" s="47" t="s">
        <v>2058</v>
      </c>
      <c r="H63" s="4">
        <v>2015</v>
      </c>
      <c r="I63" s="4" t="s">
        <v>45</v>
      </c>
      <c r="J63" s="4" t="s">
        <v>45</v>
      </c>
      <c r="K63" s="4">
        <v>80</v>
      </c>
      <c r="L63" s="4">
        <v>80</v>
      </c>
      <c r="M63" s="11" t="s">
        <v>43</v>
      </c>
      <c r="N63" s="67" t="s">
        <v>470</v>
      </c>
      <c r="O63" s="11" t="s">
        <v>68</v>
      </c>
      <c r="P63" s="11" t="s">
        <v>1060</v>
      </c>
      <c r="Q63" s="51">
        <f>2009-1994</f>
        <v>15</v>
      </c>
      <c r="R63" s="11" t="s">
        <v>174</v>
      </c>
      <c r="S63" s="67" t="s">
        <v>449</v>
      </c>
      <c r="T63" s="11" t="s">
        <v>193</v>
      </c>
      <c r="U63" s="11" t="s">
        <v>447</v>
      </c>
      <c r="V63" s="67" t="s">
        <v>130</v>
      </c>
      <c r="W63" s="4" t="s">
        <v>1025</v>
      </c>
      <c r="X63" s="11" t="s">
        <v>670</v>
      </c>
    </row>
    <row r="64" spans="1:25">
      <c r="A64" s="72" t="s">
        <v>453</v>
      </c>
      <c r="B64" s="98">
        <v>63</v>
      </c>
      <c r="C64" s="91" t="s">
        <v>1190</v>
      </c>
      <c r="D64" s="93">
        <v>108</v>
      </c>
      <c r="E64" s="4" t="s">
        <v>450</v>
      </c>
      <c r="F64" s="11" t="s">
        <v>42</v>
      </c>
      <c r="G64" s="47" t="s">
        <v>2059</v>
      </c>
      <c r="H64" s="4">
        <v>2014</v>
      </c>
      <c r="I64" s="4" t="s">
        <v>45</v>
      </c>
      <c r="J64" s="4" t="s">
        <v>45</v>
      </c>
      <c r="K64" s="4">
        <v>164</v>
      </c>
      <c r="L64" s="4">
        <v>164</v>
      </c>
      <c r="M64" s="11" t="s">
        <v>35</v>
      </c>
      <c r="N64" s="67" t="s">
        <v>1468</v>
      </c>
      <c r="O64" s="11" t="s">
        <v>1487</v>
      </c>
      <c r="P64" s="11" t="s">
        <v>1061</v>
      </c>
      <c r="Q64" s="51">
        <f>2012-1965</f>
        <v>47</v>
      </c>
      <c r="R64" s="11" t="s">
        <v>451</v>
      </c>
      <c r="S64" s="67" t="s">
        <v>452</v>
      </c>
      <c r="T64" s="11" t="s">
        <v>40</v>
      </c>
      <c r="U64" s="11" t="s">
        <v>435</v>
      </c>
      <c r="V64" s="67" t="s">
        <v>130</v>
      </c>
      <c r="W64" s="4" t="s">
        <v>1025</v>
      </c>
      <c r="X64" s="11" t="s">
        <v>670</v>
      </c>
    </row>
    <row r="65" spans="1:25">
      <c r="A65" s="72" t="s">
        <v>302</v>
      </c>
      <c r="B65" s="99">
        <v>64</v>
      </c>
      <c r="C65" s="91" t="s">
        <v>1190</v>
      </c>
      <c r="D65" s="93">
        <v>109</v>
      </c>
      <c r="E65" s="4" t="s">
        <v>457</v>
      </c>
      <c r="F65" s="11" t="s">
        <v>458</v>
      </c>
      <c r="G65" s="47" t="s">
        <v>2061</v>
      </c>
      <c r="H65" s="4">
        <v>2016</v>
      </c>
      <c r="I65" s="11" t="s">
        <v>45</v>
      </c>
      <c r="J65" s="11" t="s">
        <v>45</v>
      </c>
      <c r="K65" s="4">
        <v>29</v>
      </c>
      <c r="L65" s="4">
        <v>29</v>
      </c>
      <c r="M65" s="11" t="s">
        <v>261</v>
      </c>
      <c r="N65" s="67" t="s">
        <v>470</v>
      </c>
      <c r="O65" s="11" t="s">
        <v>149</v>
      </c>
      <c r="P65" s="11" t="s">
        <v>1063</v>
      </c>
      <c r="Q65" s="51">
        <f>2014-1960</f>
        <v>54</v>
      </c>
      <c r="R65" s="11" t="s">
        <v>131</v>
      </c>
      <c r="S65" s="67" t="s">
        <v>460</v>
      </c>
      <c r="T65" s="11" t="s">
        <v>193</v>
      </c>
      <c r="U65" s="11" t="s">
        <v>459</v>
      </c>
      <c r="V65" s="67" t="s">
        <v>130</v>
      </c>
      <c r="W65" s="4" t="s">
        <v>1025</v>
      </c>
      <c r="X65" s="11" t="s">
        <v>670</v>
      </c>
    </row>
    <row r="66" spans="1:25" ht="15.75" customHeight="1">
      <c r="A66" s="72" t="s">
        <v>302</v>
      </c>
      <c r="B66" s="98">
        <v>65</v>
      </c>
      <c r="C66" s="91" t="s">
        <v>1190</v>
      </c>
      <c r="D66" s="93">
        <v>110</v>
      </c>
      <c r="E66" s="4" t="s">
        <v>461</v>
      </c>
      <c r="F66" s="11" t="s">
        <v>38</v>
      </c>
      <c r="G66" s="47" t="s">
        <v>2062</v>
      </c>
      <c r="H66" s="4">
        <v>2014</v>
      </c>
      <c r="I66" s="11" t="s">
        <v>45</v>
      </c>
      <c r="J66" s="11" t="s">
        <v>45</v>
      </c>
      <c r="K66" s="4">
        <v>94</v>
      </c>
      <c r="L66" s="4">
        <v>94</v>
      </c>
      <c r="M66" s="11" t="s">
        <v>261</v>
      </c>
      <c r="N66" s="67" t="s">
        <v>470</v>
      </c>
      <c r="O66" s="11" t="s">
        <v>149</v>
      </c>
      <c r="P66" s="11" t="s">
        <v>1064</v>
      </c>
      <c r="Q66" s="51">
        <f>2010-1970</f>
        <v>40</v>
      </c>
      <c r="R66" s="11" t="s">
        <v>463</v>
      </c>
      <c r="S66" s="67" t="s">
        <v>462</v>
      </c>
      <c r="T66" s="11" t="s">
        <v>40</v>
      </c>
      <c r="U66" s="11" t="s">
        <v>459</v>
      </c>
      <c r="V66" s="67" t="s">
        <v>499</v>
      </c>
      <c r="W66" s="4" t="s">
        <v>1025</v>
      </c>
      <c r="X66" s="11" t="s">
        <v>670</v>
      </c>
    </row>
    <row r="67" spans="1:25">
      <c r="A67" s="72" t="s">
        <v>471</v>
      </c>
      <c r="B67" s="99">
        <v>66</v>
      </c>
      <c r="C67" s="91" t="s">
        <v>1190</v>
      </c>
      <c r="D67" s="93">
        <v>111</v>
      </c>
      <c r="E67" s="4" t="s">
        <v>467</v>
      </c>
      <c r="F67" s="11" t="s">
        <v>56</v>
      </c>
      <c r="G67" s="47" t="s">
        <v>2063</v>
      </c>
      <c r="H67" s="4">
        <v>2013</v>
      </c>
      <c r="I67" s="11" t="s">
        <v>468</v>
      </c>
      <c r="J67" s="11" t="s">
        <v>469</v>
      </c>
      <c r="K67" s="4">
        <v>91</v>
      </c>
      <c r="L67" s="4">
        <v>91</v>
      </c>
      <c r="M67" s="11" t="s">
        <v>83</v>
      </c>
      <c r="N67" s="67" t="s">
        <v>470</v>
      </c>
      <c r="O67" s="11" t="s">
        <v>470</v>
      </c>
      <c r="P67" s="11" t="s">
        <v>1065</v>
      </c>
      <c r="Q67" s="51">
        <f>2006-1988</f>
        <v>18</v>
      </c>
      <c r="R67" s="11" t="s">
        <v>131</v>
      </c>
      <c r="S67" s="67" t="s">
        <v>472</v>
      </c>
      <c r="T67" s="11" t="s">
        <v>193</v>
      </c>
      <c r="U67" s="11" t="s">
        <v>447</v>
      </c>
      <c r="V67" s="67" t="s">
        <v>130</v>
      </c>
      <c r="W67" s="4" t="s">
        <v>1025</v>
      </c>
      <c r="X67" s="11" t="s">
        <v>670</v>
      </c>
    </row>
    <row r="68" spans="1:25" s="5" customFormat="1">
      <c r="A68" s="72" t="s">
        <v>478</v>
      </c>
      <c r="B68" s="98">
        <v>67</v>
      </c>
      <c r="C68" s="91" t="s">
        <v>1190</v>
      </c>
      <c r="D68" s="93">
        <v>112</v>
      </c>
      <c r="E68" s="4" t="s">
        <v>473</v>
      </c>
      <c r="F68" s="11" t="s">
        <v>474</v>
      </c>
      <c r="G68" s="47" t="s">
        <v>2064</v>
      </c>
      <c r="H68" s="4">
        <v>2011</v>
      </c>
      <c r="I68" s="11" t="s">
        <v>476</v>
      </c>
      <c r="J68" s="11" t="s">
        <v>476</v>
      </c>
      <c r="K68" s="4">
        <v>30</v>
      </c>
      <c r="L68" s="4">
        <v>30</v>
      </c>
      <c r="M68" s="11" t="s">
        <v>35</v>
      </c>
      <c r="N68" s="67" t="s">
        <v>1468</v>
      </c>
      <c r="O68" s="11" t="s">
        <v>475</v>
      </c>
      <c r="P68" s="11" t="s">
        <v>1066</v>
      </c>
      <c r="Q68" s="51">
        <f>2008-1950</f>
        <v>58</v>
      </c>
      <c r="R68" s="11" t="s">
        <v>477</v>
      </c>
      <c r="S68" s="67" t="s">
        <v>479</v>
      </c>
      <c r="T68" s="11" t="s">
        <v>86</v>
      </c>
      <c r="U68" s="11" t="s">
        <v>448</v>
      </c>
      <c r="V68" s="67" t="s">
        <v>498</v>
      </c>
      <c r="W68" s="4" t="s">
        <v>1025</v>
      </c>
      <c r="X68" s="11" t="s">
        <v>670</v>
      </c>
      <c r="Y68"/>
    </row>
    <row r="69" spans="1:25" s="46" customFormat="1">
      <c r="A69" s="72" t="s">
        <v>491</v>
      </c>
      <c r="B69" s="99">
        <v>68</v>
      </c>
      <c r="C69" s="91" t="s">
        <v>1190</v>
      </c>
      <c r="D69" s="93">
        <v>113</v>
      </c>
      <c r="E69" s="4" t="s">
        <v>480</v>
      </c>
      <c r="F69" s="11" t="s">
        <v>481</v>
      </c>
      <c r="G69" s="47" t="s">
        <v>2065</v>
      </c>
      <c r="H69" s="4">
        <v>2010</v>
      </c>
      <c r="I69" s="11" t="s">
        <v>482</v>
      </c>
      <c r="J69" s="11" t="s">
        <v>482</v>
      </c>
      <c r="K69" s="4">
        <v>29</v>
      </c>
      <c r="L69" s="4">
        <v>29</v>
      </c>
      <c r="M69" s="11" t="s">
        <v>35</v>
      </c>
      <c r="N69" s="67" t="s">
        <v>1468</v>
      </c>
      <c r="O69" s="11" t="s">
        <v>483</v>
      </c>
      <c r="P69" s="11" t="s">
        <v>1066</v>
      </c>
      <c r="Q69" s="51">
        <v>58</v>
      </c>
      <c r="R69" s="11" t="s">
        <v>131</v>
      </c>
      <c r="S69" s="67" t="s">
        <v>490</v>
      </c>
      <c r="T69" s="11" t="s">
        <v>86</v>
      </c>
      <c r="U69" s="11" t="s">
        <v>448</v>
      </c>
      <c r="V69" s="67" t="s">
        <v>497</v>
      </c>
      <c r="W69" s="4" t="s">
        <v>1025</v>
      </c>
      <c r="X69" s="11" t="s">
        <v>670</v>
      </c>
      <c r="Y69"/>
    </row>
    <row r="70" spans="1:25" s="5" customFormat="1">
      <c r="A70" s="72" t="s">
        <v>488</v>
      </c>
      <c r="B70" s="98">
        <v>69</v>
      </c>
      <c r="C70" s="91" t="s">
        <v>1190</v>
      </c>
      <c r="D70" s="93">
        <v>114</v>
      </c>
      <c r="E70" s="4" t="s">
        <v>484</v>
      </c>
      <c r="F70" s="11" t="s">
        <v>485</v>
      </c>
      <c r="G70" s="47" t="s">
        <v>2066</v>
      </c>
      <c r="H70" s="4">
        <v>2012</v>
      </c>
      <c r="I70" s="11" t="s">
        <v>486</v>
      </c>
      <c r="J70" s="4" t="s">
        <v>51</v>
      </c>
      <c r="K70" s="4">
        <v>2</v>
      </c>
      <c r="L70" s="4">
        <v>2</v>
      </c>
      <c r="M70" s="11" t="s">
        <v>35</v>
      </c>
      <c r="N70" s="67" t="s">
        <v>1467</v>
      </c>
      <c r="O70" s="11" t="s">
        <v>1485</v>
      </c>
      <c r="P70" s="11" t="s">
        <v>1067</v>
      </c>
      <c r="Q70" s="51">
        <f>2006-1977</f>
        <v>29</v>
      </c>
      <c r="R70" s="11" t="s">
        <v>451</v>
      </c>
      <c r="S70" s="67" t="s">
        <v>489</v>
      </c>
      <c r="T70" s="11" t="s">
        <v>487</v>
      </c>
      <c r="U70" s="11" t="s">
        <v>448</v>
      </c>
      <c r="V70" s="67" t="s">
        <v>496</v>
      </c>
      <c r="W70" s="4" t="s">
        <v>1025</v>
      </c>
      <c r="X70" s="11" t="s">
        <v>670</v>
      </c>
      <c r="Y70"/>
    </row>
    <row r="71" spans="1:25">
      <c r="A71" s="72" t="s">
        <v>495</v>
      </c>
      <c r="B71" s="98">
        <v>70</v>
      </c>
      <c r="C71" s="91" t="s">
        <v>1190</v>
      </c>
      <c r="D71" s="93">
        <v>115</v>
      </c>
      <c r="E71" s="4" t="s">
        <v>492</v>
      </c>
      <c r="F71" s="11" t="s">
        <v>38</v>
      </c>
      <c r="G71" s="47" t="s">
        <v>2067</v>
      </c>
      <c r="H71" s="4">
        <v>2009</v>
      </c>
      <c r="I71" s="11" t="s">
        <v>493</v>
      </c>
      <c r="J71" s="4" t="s">
        <v>230</v>
      </c>
      <c r="K71" s="4">
        <v>34</v>
      </c>
      <c r="L71" s="4">
        <v>34</v>
      </c>
      <c r="M71" s="11" t="s">
        <v>35</v>
      </c>
      <c r="N71" s="67" t="s">
        <v>1467</v>
      </c>
      <c r="O71" s="11" t="s">
        <v>1486</v>
      </c>
      <c r="P71" s="11" t="s">
        <v>1122</v>
      </c>
      <c r="Q71" s="51">
        <f>1977-1951</f>
        <v>26</v>
      </c>
      <c r="R71" s="11" t="s">
        <v>494</v>
      </c>
      <c r="S71" s="67" t="s">
        <v>1347</v>
      </c>
      <c r="T71" s="11" t="s">
        <v>86</v>
      </c>
      <c r="U71" s="11" t="s">
        <v>448</v>
      </c>
      <c r="V71" s="67" t="s">
        <v>130</v>
      </c>
      <c r="W71" s="4" t="s">
        <v>1025</v>
      </c>
      <c r="X71" s="11" t="s">
        <v>670</v>
      </c>
    </row>
    <row r="72" spans="1:25">
      <c r="A72" s="72" t="s">
        <v>506</v>
      </c>
      <c r="B72" s="99">
        <v>71</v>
      </c>
      <c r="C72" s="91" t="s">
        <v>1190</v>
      </c>
      <c r="D72" s="93">
        <v>116</v>
      </c>
      <c r="E72" s="4" t="s">
        <v>500</v>
      </c>
      <c r="F72" s="11" t="s">
        <v>501</v>
      </c>
      <c r="G72" s="47" t="s">
        <v>2068</v>
      </c>
      <c r="H72" s="4">
        <v>2010</v>
      </c>
      <c r="I72" s="11" t="s">
        <v>468</v>
      </c>
      <c r="J72" s="4" t="s">
        <v>469</v>
      </c>
      <c r="K72" s="4">
        <v>60</v>
      </c>
      <c r="L72" s="4">
        <v>60</v>
      </c>
      <c r="M72" s="11" t="s">
        <v>261</v>
      </c>
      <c r="N72" s="67" t="s">
        <v>470</v>
      </c>
      <c r="O72" s="11" t="s">
        <v>502</v>
      </c>
      <c r="P72" s="11" t="s">
        <v>1124</v>
      </c>
      <c r="Q72" s="51">
        <f>1999-1980</f>
        <v>19</v>
      </c>
      <c r="R72" s="11" t="s">
        <v>131</v>
      </c>
      <c r="S72" s="70" t="s">
        <v>504</v>
      </c>
      <c r="T72" s="11" t="s">
        <v>40</v>
      </c>
      <c r="U72" s="11" t="s">
        <v>448</v>
      </c>
      <c r="V72" s="67" t="s">
        <v>505</v>
      </c>
      <c r="W72" s="4" t="s">
        <v>1025</v>
      </c>
      <c r="X72" s="11" t="s">
        <v>670</v>
      </c>
    </row>
    <row r="73" spans="1:25">
      <c r="A73" s="72" t="s">
        <v>280</v>
      </c>
      <c r="B73" s="98">
        <v>72</v>
      </c>
      <c r="C73" s="91" t="s">
        <v>1190</v>
      </c>
      <c r="D73" s="93">
        <v>117</v>
      </c>
      <c r="E73" s="4" t="s">
        <v>508</v>
      </c>
      <c r="F73" s="11" t="s">
        <v>507</v>
      </c>
      <c r="G73" s="47" t="s">
        <v>2069</v>
      </c>
      <c r="H73" s="4">
        <v>2015</v>
      </c>
      <c r="I73" s="11" t="s">
        <v>511</v>
      </c>
      <c r="J73" s="4" t="s">
        <v>512</v>
      </c>
      <c r="K73" s="4">
        <v>1573</v>
      </c>
      <c r="L73" s="4"/>
      <c r="M73" s="11" t="s">
        <v>261</v>
      </c>
      <c r="N73" s="67" t="s">
        <v>470</v>
      </c>
      <c r="O73" s="11" t="s">
        <v>68</v>
      </c>
      <c r="P73" s="11" t="s">
        <v>1123</v>
      </c>
      <c r="Q73" s="51">
        <f>2001-1966</f>
        <v>35</v>
      </c>
      <c r="R73" s="11" t="s">
        <v>131</v>
      </c>
      <c r="S73" s="67" t="s">
        <v>510</v>
      </c>
      <c r="T73" s="11" t="s">
        <v>40</v>
      </c>
      <c r="U73" s="11" t="s">
        <v>447</v>
      </c>
      <c r="V73" s="67" t="s">
        <v>509</v>
      </c>
      <c r="W73" s="4" t="s">
        <v>1025</v>
      </c>
      <c r="X73" s="11" t="s">
        <v>670</v>
      </c>
    </row>
    <row r="74" spans="1:25">
      <c r="A74" s="72" t="s">
        <v>395</v>
      </c>
      <c r="B74" s="99">
        <v>73</v>
      </c>
      <c r="C74" s="91" t="s">
        <v>1190</v>
      </c>
      <c r="D74" s="93">
        <v>118</v>
      </c>
      <c r="E74" s="4" t="s">
        <v>513</v>
      </c>
      <c r="F74" s="4" t="s">
        <v>38</v>
      </c>
      <c r="G74" s="47" t="s">
        <v>2070</v>
      </c>
      <c r="H74" s="4">
        <v>2015</v>
      </c>
      <c r="I74" s="11" t="s">
        <v>518</v>
      </c>
      <c r="J74" s="4" t="s">
        <v>517</v>
      </c>
      <c r="K74" s="4">
        <v>65</v>
      </c>
      <c r="L74" s="4">
        <v>65</v>
      </c>
      <c r="M74" s="11" t="s">
        <v>261</v>
      </c>
      <c r="N74" s="67" t="s">
        <v>470</v>
      </c>
      <c r="O74" s="11" t="s">
        <v>394</v>
      </c>
      <c r="P74" s="11" t="s">
        <v>1068</v>
      </c>
      <c r="Q74" s="51">
        <f>2000-1986</f>
        <v>14</v>
      </c>
      <c r="R74" s="11" t="s">
        <v>514</v>
      </c>
      <c r="S74" s="67" t="s">
        <v>516</v>
      </c>
      <c r="T74" s="11" t="s">
        <v>86</v>
      </c>
      <c r="U74" s="11" t="s">
        <v>448</v>
      </c>
      <c r="V74" s="67" t="s">
        <v>515</v>
      </c>
      <c r="W74" s="4" t="s">
        <v>1025</v>
      </c>
      <c r="X74" s="11" t="s">
        <v>670</v>
      </c>
    </row>
    <row r="75" spans="1:25">
      <c r="A75" s="72" t="s">
        <v>308</v>
      </c>
      <c r="B75" s="98">
        <v>74</v>
      </c>
      <c r="C75" s="91" t="s">
        <v>1190</v>
      </c>
      <c r="D75" s="93">
        <v>119</v>
      </c>
      <c r="E75" s="4" t="s">
        <v>519</v>
      </c>
      <c r="F75" s="4" t="s">
        <v>520</v>
      </c>
      <c r="G75" s="47" t="s">
        <v>2071</v>
      </c>
      <c r="H75" s="4">
        <v>2012</v>
      </c>
      <c r="I75" s="11" t="s">
        <v>45</v>
      </c>
      <c r="J75" s="4" t="s">
        <v>45</v>
      </c>
      <c r="K75" s="4">
        <v>59</v>
      </c>
      <c r="L75" s="4">
        <v>59</v>
      </c>
      <c r="M75" s="11" t="s">
        <v>83</v>
      </c>
      <c r="N75" s="67" t="s">
        <v>1467</v>
      </c>
      <c r="O75" s="11" t="s">
        <v>197</v>
      </c>
      <c r="P75" s="11" t="s">
        <v>521</v>
      </c>
      <c r="Q75" s="51">
        <f>2009-1975</f>
        <v>34</v>
      </c>
      <c r="R75" s="11" t="s">
        <v>131</v>
      </c>
      <c r="S75" s="67" t="s">
        <v>524</v>
      </c>
      <c r="T75" s="11" t="s">
        <v>40</v>
      </c>
      <c r="U75" s="11" t="s">
        <v>522</v>
      </c>
      <c r="V75" s="67" t="s">
        <v>130</v>
      </c>
      <c r="W75" s="4" t="s">
        <v>1025</v>
      </c>
      <c r="X75" s="11" t="s">
        <v>670</v>
      </c>
    </row>
    <row r="76" spans="1:25">
      <c r="A76" s="72" t="s">
        <v>280</v>
      </c>
      <c r="B76" s="99">
        <v>75</v>
      </c>
      <c r="C76" s="91" t="s">
        <v>1190</v>
      </c>
      <c r="D76" s="93">
        <v>120</v>
      </c>
      <c r="E76" s="4" t="s">
        <v>525</v>
      </c>
      <c r="F76" s="4" t="s">
        <v>507</v>
      </c>
      <c r="G76" s="47" t="s">
        <v>2072</v>
      </c>
      <c r="H76" s="4">
        <v>2015</v>
      </c>
      <c r="I76" s="11" t="s">
        <v>61</v>
      </c>
      <c r="J76" s="4" t="s">
        <v>61</v>
      </c>
      <c r="K76" s="4">
        <v>53</v>
      </c>
      <c r="L76" s="4">
        <v>53</v>
      </c>
      <c r="M76" s="4" t="s">
        <v>261</v>
      </c>
      <c r="N76" s="67" t="s">
        <v>470</v>
      </c>
      <c r="O76" s="4" t="s">
        <v>68</v>
      </c>
      <c r="P76" s="11" t="s">
        <v>1069</v>
      </c>
      <c r="Q76" s="51">
        <f>2013-1960</f>
        <v>53</v>
      </c>
      <c r="R76" s="11" t="s">
        <v>528</v>
      </c>
      <c r="S76" s="67" t="s">
        <v>529</v>
      </c>
      <c r="T76" s="11" t="s">
        <v>193</v>
      </c>
      <c r="U76" s="11" t="s">
        <v>448</v>
      </c>
      <c r="V76" s="67" t="s">
        <v>130</v>
      </c>
      <c r="W76" s="4" t="s">
        <v>1025</v>
      </c>
      <c r="X76" s="11" t="s">
        <v>675</v>
      </c>
    </row>
    <row r="77" spans="1:25">
      <c r="A77" s="72" t="s">
        <v>534</v>
      </c>
      <c r="B77" s="98">
        <v>76</v>
      </c>
      <c r="C77" s="91" t="s">
        <v>1190</v>
      </c>
      <c r="D77" s="93">
        <v>121</v>
      </c>
      <c r="E77" s="4" t="s">
        <v>530</v>
      </c>
      <c r="F77" s="4" t="s">
        <v>38</v>
      </c>
      <c r="G77" s="47" t="s">
        <v>2073</v>
      </c>
      <c r="H77" s="4">
        <v>2013</v>
      </c>
      <c r="I77" s="11" t="s">
        <v>531</v>
      </c>
      <c r="J77" s="4" t="s">
        <v>532</v>
      </c>
      <c r="K77" s="4">
        <v>2</v>
      </c>
      <c r="L77" s="4">
        <v>2</v>
      </c>
      <c r="M77" s="4" t="s">
        <v>35</v>
      </c>
      <c r="N77" s="67" t="s">
        <v>1467</v>
      </c>
      <c r="O77" s="4" t="s">
        <v>1484</v>
      </c>
      <c r="P77" s="11" t="s">
        <v>1070</v>
      </c>
      <c r="Q77" s="51">
        <f>2012-1974</f>
        <v>38</v>
      </c>
      <c r="R77" s="11" t="s">
        <v>36</v>
      </c>
      <c r="S77" s="70" t="s">
        <v>130</v>
      </c>
      <c r="T77" s="11" t="s">
        <v>40</v>
      </c>
      <c r="U77" s="11" t="s">
        <v>459</v>
      </c>
      <c r="V77" s="67" t="s">
        <v>130</v>
      </c>
      <c r="W77" s="4" t="s">
        <v>1025</v>
      </c>
      <c r="X77" s="11" t="s">
        <v>670</v>
      </c>
    </row>
    <row r="78" spans="1:25">
      <c r="A78" s="72" t="s">
        <v>541</v>
      </c>
      <c r="B78" s="99">
        <v>77</v>
      </c>
      <c r="C78" s="91" t="s">
        <v>1190</v>
      </c>
      <c r="D78" s="93">
        <v>122</v>
      </c>
      <c r="E78" s="4" t="s">
        <v>535</v>
      </c>
      <c r="F78" s="4" t="s">
        <v>536</v>
      </c>
      <c r="G78" s="47" t="s">
        <v>2074</v>
      </c>
      <c r="H78" s="4">
        <v>2008</v>
      </c>
      <c r="I78" s="11" t="s">
        <v>482</v>
      </c>
      <c r="J78" s="4" t="s">
        <v>538</v>
      </c>
      <c r="K78" s="4">
        <v>2</v>
      </c>
      <c r="L78" s="4">
        <v>2</v>
      </c>
      <c r="M78" s="4" t="s">
        <v>261</v>
      </c>
      <c r="N78" s="67" t="s">
        <v>470</v>
      </c>
      <c r="O78" s="4" t="s">
        <v>539</v>
      </c>
      <c r="P78" s="11" t="s">
        <v>1089</v>
      </c>
      <c r="Q78" s="51">
        <f>2006-1973</f>
        <v>33</v>
      </c>
      <c r="R78" s="11" t="s">
        <v>131</v>
      </c>
      <c r="S78" s="67" t="s">
        <v>537</v>
      </c>
      <c r="T78" s="11" t="s">
        <v>86</v>
      </c>
      <c r="U78" s="11" t="s">
        <v>447</v>
      </c>
      <c r="V78" s="67" t="s">
        <v>540</v>
      </c>
      <c r="W78" s="4" t="s">
        <v>1025</v>
      </c>
      <c r="X78" s="11" t="s">
        <v>670</v>
      </c>
    </row>
    <row r="79" spans="1:25">
      <c r="A79" s="72" t="s">
        <v>545</v>
      </c>
      <c r="B79" s="98">
        <v>78</v>
      </c>
      <c r="C79" s="91" t="s">
        <v>1190</v>
      </c>
      <c r="D79" s="93">
        <v>123</v>
      </c>
      <c r="E79" s="4" t="s">
        <v>542</v>
      </c>
      <c r="F79" s="4" t="s">
        <v>543</v>
      </c>
      <c r="G79" s="47" t="s">
        <v>2075</v>
      </c>
      <c r="H79" s="4">
        <v>2011</v>
      </c>
      <c r="I79" s="11" t="s">
        <v>482</v>
      </c>
      <c r="J79" s="4" t="s">
        <v>546</v>
      </c>
      <c r="K79" s="4" t="s">
        <v>547</v>
      </c>
      <c r="L79" s="4" t="s">
        <v>1019</v>
      </c>
      <c r="M79" s="4" t="s">
        <v>43</v>
      </c>
      <c r="N79" s="67" t="s">
        <v>470</v>
      </c>
      <c r="O79" s="4" t="s">
        <v>544</v>
      </c>
      <c r="P79" s="11" t="s">
        <v>1090</v>
      </c>
      <c r="Q79" s="51">
        <f>2008-1990</f>
        <v>18</v>
      </c>
      <c r="R79" s="11" t="s">
        <v>131</v>
      </c>
      <c r="S79" s="70" t="s">
        <v>130</v>
      </c>
      <c r="T79" s="11" t="s">
        <v>86</v>
      </c>
      <c r="U79" s="11" t="s">
        <v>447</v>
      </c>
      <c r="V79" s="67" t="s">
        <v>130</v>
      </c>
      <c r="W79" s="4" t="s">
        <v>1025</v>
      </c>
      <c r="X79" s="11" t="s">
        <v>670</v>
      </c>
    </row>
    <row r="80" spans="1:25">
      <c r="A80" s="72" t="s">
        <v>1146</v>
      </c>
      <c r="B80" s="99">
        <v>79</v>
      </c>
      <c r="C80" s="91" t="s">
        <v>1190</v>
      </c>
      <c r="D80" s="93">
        <v>124</v>
      </c>
      <c r="E80" s="4" t="s">
        <v>1143</v>
      </c>
      <c r="F80" s="4" t="s">
        <v>38</v>
      </c>
      <c r="G80" s="47" t="s">
        <v>2192</v>
      </c>
      <c r="H80" s="4">
        <v>2010</v>
      </c>
      <c r="I80" s="11" t="s">
        <v>45</v>
      </c>
      <c r="J80" s="4" t="s">
        <v>45</v>
      </c>
      <c r="K80" s="4">
        <v>12</v>
      </c>
      <c r="L80" s="4">
        <v>12</v>
      </c>
      <c r="M80" s="4" t="s">
        <v>261</v>
      </c>
      <c r="N80" s="67" t="s">
        <v>1469</v>
      </c>
      <c r="O80" s="4" t="s">
        <v>1144</v>
      </c>
      <c r="P80" s="11" t="s">
        <v>1145</v>
      </c>
      <c r="Q80" s="51">
        <f>2000-1980</f>
        <v>20</v>
      </c>
      <c r="R80" s="11" t="s">
        <v>987</v>
      </c>
      <c r="S80" s="70" t="s">
        <v>524</v>
      </c>
      <c r="T80" s="11" t="s">
        <v>86</v>
      </c>
      <c r="U80" s="11" t="s">
        <v>1147</v>
      </c>
      <c r="V80" s="67" t="s">
        <v>130</v>
      </c>
      <c r="W80" s="11" t="s">
        <v>1148</v>
      </c>
      <c r="X80" s="11" t="s">
        <v>670</v>
      </c>
      <c r="Y80" s="5"/>
    </row>
    <row r="81" spans="1:25">
      <c r="A81" s="72" t="s">
        <v>552</v>
      </c>
      <c r="B81" s="98">
        <v>80</v>
      </c>
      <c r="C81" s="91" t="s">
        <v>1190</v>
      </c>
      <c r="D81" s="93">
        <v>125</v>
      </c>
      <c r="E81" s="4" t="s">
        <v>548</v>
      </c>
      <c r="F81" s="4" t="s">
        <v>549</v>
      </c>
      <c r="G81" s="47" t="s">
        <v>2077</v>
      </c>
      <c r="H81" s="4">
        <v>2004</v>
      </c>
      <c r="I81" s="11" t="s">
        <v>122</v>
      </c>
      <c r="J81" s="4" t="s">
        <v>550</v>
      </c>
      <c r="K81" s="4">
        <v>2</v>
      </c>
      <c r="L81" s="4">
        <v>2</v>
      </c>
      <c r="M81" s="4" t="s">
        <v>43</v>
      </c>
      <c r="N81" s="67" t="s">
        <v>1467</v>
      </c>
      <c r="O81" s="4" t="s">
        <v>1490</v>
      </c>
      <c r="P81" s="11" t="s">
        <v>1071</v>
      </c>
      <c r="Q81" s="51">
        <f>2002-1975</f>
        <v>27</v>
      </c>
      <c r="R81" s="11" t="s">
        <v>131</v>
      </c>
      <c r="S81" s="67" t="s">
        <v>551</v>
      </c>
      <c r="T81" s="11" t="s">
        <v>86</v>
      </c>
      <c r="U81" s="11" t="s">
        <v>448</v>
      </c>
      <c r="V81" s="67" t="s">
        <v>130</v>
      </c>
      <c r="W81" s="4" t="s">
        <v>1025</v>
      </c>
      <c r="X81" s="11" t="s">
        <v>670</v>
      </c>
    </row>
    <row r="82" spans="1:25">
      <c r="A82" s="72" t="s">
        <v>559</v>
      </c>
      <c r="B82" s="99">
        <v>81</v>
      </c>
      <c r="C82" s="91" t="s">
        <v>1190</v>
      </c>
      <c r="D82" s="93">
        <v>126</v>
      </c>
      <c r="E82" s="4" t="s">
        <v>553</v>
      </c>
      <c r="F82" s="4" t="s">
        <v>554</v>
      </c>
      <c r="G82" s="47" t="s">
        <v>2078</v>
      </c>
      <c r="H82" s="4">
        <v>1999</v>
      </c>
      <c r="I82" s="11" t="s">
        <v>518</v>
      </c>
      <c r="J82" s="4" t="s">
        <v>557</v>
      </c>
      <c r="K82" s="4" t="s">
        <v>558</v>
      </c>
      <c r="L82" s="4">
        <v>62</v>
      </c>
      <c r="M82" s="4" t="s">
        <v>43</v>
      </c>
      <c r="N82" s="67" t="s">
        <v>1467</v>
      </c>
      <c r="O82" s="4" t="s">
        <v>1491</v>
      </c>
      <c r="P82" s="11" t="s">
        <v>1072</v>
      </c>
      <c r="Q82" s="51">
        <f>1994-1932</f>
        <v>62</v>
      </c>
      <c r="R82" s="11" t="s">
        <v>835</v>
      </c>
      <c r="S82" s="70" t="s">
        <v>130</v>
      </c>
      <c r="T82" s="11" t="s">
        <v>86</v>
      </c>
      <c r="U82" s="11" t="s">
        <v>447</v>
      </c>
      <c r="V82" s="67" t="s">
        <v>555</v>
      </c>
      <c r="W82" s="4" t="s">
        <v>1025</v>
      </c>
      <c r="X82" s="11" t="s">
        <v>670</v>
      </c>
    </row>
    <row r="83" spans="1:25" s="5" customFormat="1">
      <c r="A83" s="72" t="s">
        <v>563</v>
      </c>
      <c r="B83" s="98">
        <v>82</v>
      </c>
      <c r="C83" s="91" t="s">
        <v>1190</v>
      </c>
      <c r="D83" s="93">
        <v>127</v>
      </c>
      <c r="E83" s="4" t="s">
        <v>560</v>
      </c>
      <c r="F83" s="4" t="s">
        <v>377</v>
      </c>
      <c r="G83" s="47" t="s">
        <v>2079</v>
      </c>
      <c r="H83" s="4">
        <v>1997</v>
      </c>
      <c r="I83" s="11" t="s">
        <v>230</v>
      </c>
      <c r="J83" s="11" t="s">
        <v>230</v>
      </c>
      <c r="K83" s="4">
        <v>84</v>
      </c>
      <c r="L83" s="4">
        <v>84</v>
      </c>
      <c r="M83" s="4" t="s">
        <v>35</v>
      </c>
      <c r="N83" s="67" t="s">
        <v>1467</v>
      </c>
      <c r="O83" s="4" t="s">
        <v>1492</v>
      </c>
      <c r="P83" s="11" t="s">
        <v>1073</v>
      </c>
      <c r="Q83" s="51">
        <v>10</v>
      </c>
      <c r="R83" s="11" t="s">
        <v>131</v>
      </c>
      <c r="S83" s="67" t="s">
        <v>561</v>
      </c>
      <c r="T83" s="11" t="s">
        <v>86</v>
      </c>
      <c r="U83" s="11" t="s">
        <v>564</v>
      </c>
      <c r="V83" s="67" t="s">
        <v>130</v>
      </c>
      <c r="W83" s="4" t="s">
        <v>1025</v>
      </c>
      <c r="X83" s="11" t="s">
        <v>670</v>
      </c>
      <c r="Y83"/>
    </row>
    <row r="84" spans="1:25">
      <c r="A84" s="72" t="s">
        <v>575</v>
      </c>
      <c r="B84" s="99">
        <v>83</v>
      </c>
      <c r="C84" s="91" t="s">
        <v>1190</v>
      </c>
      <c r="D84" s="93">
        <v>128</v>
      </c>
      <c r="E84" s="4" t="s">
        <v>573</v>
      </c>
      <c r="F84" s="4" t="s">
        <v>38</v>
      </c>
      <c r="G84" s="47" t="s">
        <v>2083</v>
      </c>
      <c r="H84" s="4">
        <v>2009</v>
      </c>
      <c r="I84" s="4" t="s">
        <v>340</v>
      </c>
      <c r="J84" s="4" t="s">
        <v>340</v>
      </c>
      <c r="K84" s="4">
        <v>9</v>
      </c>
      <c r="L84" s="4">
        <v>9</v>
      </c>
      <c r="M84" s="4" t="s">
        <v>261</v>
      </c>
      <c r="N84" s="67" t="s">
        <v>1467</v>
      </c>
      <c r="O84" s="4" t="s">
        <v>1496</v>
      </c>
      <c r="P84" s="11" t="s">
        <v>1076</v>
      </c>
      <c r="Q84" s="51">
        <f>2004-1939</f>
        <v>65</v>
      </c>
      <c r="R84" s="11" t="s">
        <v>131</v>
      </c>
      <c r="S84" s="67" t="s">
        <v>574</v>
      </c>
      <c r="T84" s="11" t="s">
        <v>193</v>
      </c>
      <c r="U84" s="11" t="s">
        <v>459</v>
      </c>
      <c r="V84" s="67" t="s">
        <v>130</v>
      </c>
      <c r="W84" s="4" t="s">
        <v>1025</v>
      </c>
      <c r="X84" s="11" t="s">
        <v>670</v>
      </c>
    </row>
    <row r="85" spans="1:25">
      <c r="A85" s="72" t="s">
        <v>579</v>
      </c>
      <c r="B85" s="98">
        <v>84</v>
      </c>
      <c r="C85" s="91" t="s">
        <v>1190</v>
      </c>
      <c r="D85" s="93">
        <v>129</v>
      </c>
      <c r="E85" s="4" t="s">
        <v>576</v>
      </c>
      <c r="F85" s="4" t="s">
        <v>577</v>
      </c>
      <c r="G85" s="47" t="s">
        <v>2084</v>
      </c>
      <c r="H85" s="4">
        <v>2014</v>
      </c>
      <c r="I85" s="4" t="s">
        <v>50</v>
      </c>
      <c r="J85" s="4" t="s">
        <v>580</v>
      </c>
      <c r="K85" s="4">
        <v>63</v>
      </c>
      <c r="L85" s="4">
        <v>63</v>
      </c>
      <c r="M85" s="4" t="s">
        <v>43</v>
      </c>
      <c r="N85" s="67" t="s">
        <v>1469</v>
      </c>
      <c r="O85" s="4" t="s">
        <v>578</v>
      </c>
      <c r="P85" s="11" t="s">
        <v>1077</v>
      </c>
      <c r="Q85" s="51" t="s">
        <v>1351</v>
      </c>
      <c r="R85" s="11" t="s">
        <v>131</v>
      </c>
      <c r="S85" s="70" t="s">
        <v>1348</v>
      </c>
      <c r="T85" s="11" t="s">
        <v>193</v>
      </c>
      <c r="U85" s="11" t="s">
        <v>1114</v>
      </c>
      <c r="V85" s="67" t="s">
        <v>1349</v>
      </c>
      <c r="W85" s="11" t="s">
        <v>1350</v>
      </c>
      <c r="X85" s="11" t="s">
        <v>670</v>
      </c>
      <c r="Y85" s="5"/>
    </row>
    <row r="86" spans="1:25">
      <c r="A86" s="72" t="s">
        <v>302</v>
      </c>
      <c r="B86" s="99">
        <v>85</v>
      </c>
      <c r="C86" s="91" t="s">
        <v>1190</v>
      </c>
      <c r="D86" s="93">
        <v>130</v>
      </c>
      <c r="E86" s="4" t="s">
        <v>582</v>
      </c>
      <c r="F86" s="4" t="s">
        <v>583</v>
      </c>
      <c r="G86" s="47" t="s">
        <v>2086</v>
      </c>
      <c r="H86" s="4">
        <v>2011</v>
      </c>
      <c r="I86" s="4" t="s">
        <v>45</v>
      </c>
      <c r="J86" s="4" t="s">
        <v>45</v>
      </c>
      <c r="K86" s="4">
        <v>152</v>
      </c>
      <c r="L86" s="4">
        <v>152</v>
      </c>
      <c r="M86" s="4" t="s">
        <v>43</v>
      </c>
      <c r="N86" s="67" t="s">
        <v>470</v>
      </c>
      <c r="O86" s="4" t="s">
        <v>584</v>
      </c>
      <c r="P86" s="11" t="s">
        <v>1079</v>
      </c>
      <c r="Q86" s="51">
        <f>2000-1981</f>
        <v>19</v>
      </c>
      <c r="R86" s="11" t="s">
        <v>131</v>
      </c>
      <c r="S86" s="70" t="s">
        <v>585</v>
      </c>
      <c r="T86" s="11" t="s">
        <v>193</v>
      </c>
      <c r="U86" s="11" t="s">
        <v>459</v>
      </c>
      <c r="V86" s="67" t="s">
        <v>588</v>
      </c>
      <c r="W86" s="4" t="s">
        <v>1025</v>
      </c>
      <c r="X86" s="11" t="s">
        <v>670</v>
      </c>
    </row>
    <row r="87" spans="1:25">
      <c r="A87" s="72" t="s">
        <v>302</v>
      </c>
      <c r="B87" s="98">
        <v>86</v>
      </c>
      <c r="C87" s="91" t="s">
        <v>1190</v>
      </c>
      <c r="D87" s="93">
        <v>131</v>
      </c>
      <c r="E87" s="4" t="s">
        <v>586</v>
      </c>
      <c r="F87" s="4" t="s">
        <v>587</v>
      </c>
      <c r="G87" s="47" t="s">
        <v>2087</v>
      </c>
      <c r="H87" s="4">
        <v>2011</v>
      </c>
      <c r="I87" s="4" t="s">
        <v>96</v>
      </c>
      <c r="J87" s="4" t="s">
        <v>45</v>
      </c>
      <c r="K87" s="4">
        <v>37</v>
      </c>
      <c r="L87" s="4">
        <v>37</v>
      </c>
      <c r="M87" s="4" t="s">
        <v>261</v>
      </c>
      <c r="N87" s="67" t="s">
        <v>470</v>
      </c>
      <c r="O87" s="4" t="s">
        <v>584</v>
      </c>
      <c r="P87" s="11" t="s">
        <v>1079</v>
      </c>
      <c r="Q87" s="51">
        <f>2000-1981</f>
        <v>19</v>
      </c>
      <c r="R87" s="11" t="s">
        <v>131</v>
      </c>
      <c r="S87" s="70" t="s">
        <v>585</v>
      </c>
      <c r="T87" s="11" t="s">
        <v>40</v>
      </c>
      <c r="U87" s="11" t="s">
        <v>459</v>
      </c>
      <c r="V87" s="67" t="s">
        <v>588</v>
      </c>
      <c r="W87" s="4" t="s">
        <v>1025</v>
      </c>
      <c r="X87" s="11" t="s">
        <v>670</v>
      </c>
    </row>
    <row r="88" spans="1:25">
      <c r="A88" s="72" t="s">
        <v>302</v>
      </c>
      <c r="B88" s="99">
        <v>87</v>
      </c>
      <c r="C88" s="91" t="s">
        <v>1190</v>
      </c>
      <c r="D88" s="93">
        <v>132</v>
      </c>
      <c r="E88" s="4" t="s">
        <v>589</v>
      </c>
      <c r="F88" s="4" t="s">
        <v>590</v>
      </c>
      <c r="G88" s="47" t="s">
        <v>2088</v>
      </c>
      <c r="H88" s="4">
        <v>2012</v>
      </c>
      <c r="I88" s="4" t="s">
        <v>45</v>
      </c>
      <c r="J88" s="4" t="s">
        <v>45</v>
      </c>
      <c r="K88" s="4">
        <v>148</v>
      </c>
      <c r="L88" s="4">
        <v>148</v>
      </c>
      <c r="M88" s="4" t="s">
        <v>261</v>
      </c>
      <c r="N88" s="67" t="s">
        <v>470</v>
      </c>
      <c r="O88" s="4" t="s">
        <v>584</v>
      </c>
      <c r="P88" s="11" t="s">
        <v>1079</v>
      </c>
      <c r="Q88" s="51">
        <f>2000-1981</f>
        <v>19</v>
      </c>
      <c r="R88" s="11" t="s">
        <v>131</v>
      </c>
      <c r="S88" s="70" t="s">
        <v>585</v>
      </c>
      <c r="T88" s="11" t="s">
        <v>40</v>
      </c>
      <c r="U88" s="11" t="s">
        <v>459</v>
      </c>
      <c r="V88" s="67" t="s">
        <v>588</v>
      </c>
      <c r="W88" s="4" t="s">
        <v>1025</v>
      </c>
      <c r="X88" s="11" t="s">
        <v>670</v>
      </c>
    </row>
    <row r="89" spans="1:25">
      <c r="A89" s="72" t="s">
        <v>596</v>
      </c>
      <c r="B89" s="98">
        <v>88</v>
      </c>
      <c r="C89" s="91" t="s">
        <v>1190</v>
      </c>
      <c r="D89" s="93">
        <v>133</v>
      </c>
      <c r="E89" s="4" t="s">
        <v>591</v>
      </c>
      <c r="F89" s="4" t="s">
        <v>592</v>
      </c>
      <c r="G89" s="47" t="s">
        <v>2089</v>
      </c>
      <c r="H89" s="4">
        <v>2009</v>
      </c>
      <c r="I89" s="4" t="s">
        <v>51</v>
      </c>
      <c r="J89" s="4" t="s">
        <v>51</v>
      </c>
      <c r="K89" s="4">
        <v>2</v>
      </c>
      <c r="L89" s="4">
        <v>2</v>
      </c>
      <c r="M89" s="4" t="s">
        <v>261</v>
      </c>
      <c r="N89" s="67" t="s">
        <v>1469</v>
      </c>
      <c r="O89" s="4" t="s">
        <v>593</v>
      </c>
      <c r="P89" s="11" t="s">
        <v>1080</v>
      </c>
      <c r="Q89" s="51">
        <f>2005-1965</f>
        <v>40</v>
      </c>
      <c r="R89" s="11" t="s">
        <v>131</v>
      </c>
      <c r="S89" s="67" t="s">
        <v>594</v>
      </c>
      <c r="T89" s="11" t="s">
        <v>40</v>
      </c>
      <c r="U89" s="11" t="s">
        <v>907</v>
      </c>
      <c r="V89" s="67" t="s">
        <v>130</v>
      </c>
      <c r="W89" s="4" t="s">
        <v>1025</v>
      </c>
      <c r="X89" s="11" t="s">
        <v>670</v>
      </c>
    </row>
    <row r="90" spans="1:25">
      <c r="A90" s="72" t="s">
        <v>600</v>
      </c>
      <c r="B90" s="99">
        <v>89</v>
      </c>
      <c r="C90" s="91" t="s">
        <v>1025</v>
      </c>
      <c r="D90" s="93">
        <v>134</v>
      </c>
      <c r="E90" s="4" t="s">
        <v>597</v>
      </c>
      <c r="F90" s="4" t="s">
        <v>599</v>
      </c>
      <c r="G90" s="47" t="s">
        <v>2090</v>
      </c>
      <c r="H90" s="4">
        <v>2003</v>
      </c>
      <c r="I90" s="4" t="s">
        <v>50</v>
      </c>
      <c r="J90" s="4" t="s">
        <v>469</v>
      </c>
      <c r="K90" s="4">
        <v>52</v>
      </c>
      <c r="L90" s="4">
        <v>52</v>
      </c>
      <c r="M90" s="4" t="s">
        <v>261</v>
      </c>
      <c r="N90" s="67" t="s">
        <v>470</v>
      </c>
      <c r="O90" s="4" t="s">
        <v>598</v>
      </c>
      <c r="P90" s="11" t="s">
        <v>1081</v>
      </c>
      <c r="Q90" s="51">
        <f>1997-1900</f>
        <v>97</v>
      </c>
      <c r="R90" s="11" t="s">
        <v>131</v>
      </c>
      <c r="S90" s="70" t="s">
        <v>130</v>
      </c>
      <c r="T90" s="11" t="s">
        <v>193</v>
      </c>
      <c r="U90" s="11" t="s">
        <v>1101</v>
      </c>
      <c r="V90" s="67" t="s">
        <v>130</v>
      </c>
      <c r="W90" s="4" t="s">
        <v>1025</v>
      </c>
      <c r="X90" s="11" t="s">
        <v>670</v>
      </c>
    </row>
    <row r="91" spans="1:25">
      <c r="A91" s="72" t="s">
        <v>302</v>
      </c>
      <c r="B91" s="98">
        <v>90</v>
      </c>
      <c r="C91" s="91" t="s">
        <v>1190</v>
      </c>
      <c r="D91" s="93">
        <v>135</v>
      </c>
      <c r="E91" s="4" t="s">
        <v>601</v>
      </c>
      <c r="F91" s="4" t="s">
        <v>604</v>
      </c>
      <c r="G91" s="47" t="s">
        <v>2091</v>
      </c>
      <c r="H91" s="4">
        <v>2016</v>
      </c>
      <c r="I91" s="4" t="s">
        <v>45</v>
      </c>
      <c r="J91" s="4" t="s">
        <v>45</v>
      </c>
      <c r="K91" s="4">
        <v>128</v>
      </c>
      <c r="L91" s="4">
        <v>128</v>
      </c>
      <c r="M91" s="4" t="s">
        <v>43</v>
      </c>
      <c r="N91" s="67" t="s">
        <v>470</v>
      </c>
      <c r="O91" s="4" t="s">
        <v>149</v>
      </c>
      <c r="P91" s="11" t="s">
        <v>1082</v>
      </c>
      <c r="Q91" s="51">
        <f>2006-1980</f>
        <v>26</v>
      </c>
      <c r="R91" s="11" t="s">
        <v>1182</v>
      </c>
      <c r="S91" s="67" t="s">
        <v>603</v>
      </c>
      <c r="T91" s="11" t="s">
        <v>40</v>
      </c>
      <c r="U91" s="11" t="s">
        <v>459</v>
      </c>
      <c r="V91" s="67" t="s">
        <v>130</v>
      </c>
      <c r="W91" s="4" t="s">
        <v>1025</v>
      </c>
      <c r="X91" s="11" t="s">
        <v>670</v>
      </c>
    </row>
    <row r="92" spans="1:25" s="5" customFormat="1">
      <c r="A92" s="72" t="s">
        <v>610</v>
      </c>
      <c r="B92" s="99">
        <v>91</v>
      </c>
      <c r="C92" s="91" t="s">
        <v>1190</v>
      </c>
      <c r="D92" s="93">
        <v>136</v>
      </c>
      <c r="E92" s="4" t="s">
        <v>606</v>
      </c>
      <c r="F92" s="4" t="s">
        <v>608</v>
      </c>
      <c r="G92" s="47" t="s">
        <v>2092</v>
      </c>
      <c r="H92" s="4">
        <v>2014</v>
      </c>
      <c r="I92" s="4" t="s">
        <v>230</v>
      </c>
      <c r="J92" s="4" t="s">
        <v>230</v>
      </c>
      <c r="K92" s="4">
        <v>12</v>
      </c>
      <c r="L92" s="4">
        <v>12</v>
      </c>
      <c r="M92" s="4" t="s">
        <v>43</v>
      </c>
      <c r="N92" s="67" t="s">
        <v>1469</v>
      </c>
      <c r="O92" s="4" t="s">
        <v>609</v>
      </c>
      <c r="P92" s="11" t="s">
        <v>1083</v>
      </c>
      <c r="Q92" s="51">
        <f>2010-1984</f>
        <v>26</v>
      </c>
      <c r="R92" s="11" t="s">
        <v>131</v>
      </c>
      <c r="S92" s="56"/>
      <c r="T92" s="11" t="s">
        <v>86</v>
      </c>
      <c r="U92" s="11" t="s">
        <v>447</v>
      </c>
      <c r="V92" s="67" t="s">
        <v>607</v>
      </c>
      <c r="W92" s="4" t="s">
        <v>1025</v>
      </c>
      <c r="X92" s="11" t="s">
        <v>670</v>
      </c>
      <c r="Y92"/>
    </row>
    <row r="93" spans="1:25">
      <c r="A93" s="72" t="s">
        <v>614</v>
      </c>
      <c r="B93" s="98">
        <v>92</v>
      </c>
      <c r="C93" s="91" t="s">
        <v>1190</v>
      </c>
      <c r="D93" s="93">
        <v>137</v>
      </c>
      <c r="E93" s="4" t="s">
        <v>611</v>
      </c>
      <c r="F93" s="4" t="s">
        <v>612</v>
      </c>
      <c r="G93" s="47" t="s">
        <v>2093</v>
      </c>
      <c r="H93" s="4">
        <v>1949</v>
      </c>
      <c r="I93" s="4" t="s">
        <v>45</v>
      </c>
      <c r="J93" s="4" t="s">
        <v>45</v>
      </c>
      <c r="K93" s="4">
        <v>37</v>
      </c>
      <c r="L93" s="4">
        <v>37</v>
      </c>
      <c r="M93" s="4" t="s">
        <v>83</v>
      </c>
      <c r="N93" s="67" t="s">
        <v>470</v>
      </c>
      <c r="O93" s="4" t="s">
        <v>1498</v>
      </c>
      <c r="P93" s="11" t="s">
        <v>1084</v>
      </c>
      <c r="Q93" s="51">
        <v>36</v>
      </c>
      <c r="R93" s="11" t="s">
        <v>131</v>
      </c>
      <c r="S93" s="56"/>
      <c r="T93" s="11" t="s">
        <v>40</v>
      </c>
      <c r="U93" s="11" t="s">
        <v>648</v>
      </c>
      <c r="V93" s="67" t="s">
        <v>130</v>
      </c>
      <c r="W93" s="4" t="s">
        <v>1025</v>
      </c>
      <c r="X93" s="11" t="s">
        <v>670</v>
      </c>
    </row>
    <row r="94" spans="1:25">
      <c r="A94" s="72" t="s">
        <v>302</v>
      </c>
      <c r="B94" s="98">
        <v>93</v>
      </c>
      <c r="C94" s="91" t="s">
        <v>1190</v>
      </c>
      <c r="D94" s="93">
        <v>138</v>
      </c>
      <c r="E94" s="4" t="s">
        <v>615</v>
      </c>
      <c r="F94" s="11" t="s">
        <v>616</v>
      </c>
      <c r="G94" s="47" t="s">
        <v>2094</v>
      </c>
      <c r="H94" s="4">
        <v>2016</v>
      </c>
      <c r="I94" s="11" t="s">
        <v>45</v>
      </c>
      <c r="J94" s="11" t="s">
        <v>45</v>
      </c>
      <c r="K94" s="4">
        <v>73</v>
      </c>
      <c r="L94" s="4">
        <v>73</v>
      </c>
      <c r="M94" s="11" t="s">
        <v>261</v>
      </c>
      <c r="N94" s="67" t="s">
        <v>470</v>
      </c>
      <c r="O94" s="11" t="s">
        <v>149</v>
      </c>
      <c r="P94" s="11" t="s">
        <v>1085</v>
      </c>
      <c r="Q94" s="51">
        <f>2015-1993</f>
        <v>22</v>
      </c>
      <c r="R94" s="11" t="s">
        <v>131</v>
      </c>
      <c r="S94" s="67" t="s">
        <v>617</v>
      </c>
      <c r="T94" s="11" t="s">
        <v>40</v>
      </c>
      <c r="U94" s="11" t="s">
        <v>459</v>
      </c>
      <c r="V94" s="67" t="s">
        <v>130</v>
      </c>
      <c r="W94" s="4" t="s">
        <v>1025</v>
      </c>
      <c r="X94" s="11" t="s">
        <v>670</v>
      </c>
    </row>
    <row r="95" spans="1:25">
      <c r="A95" s="72" t="s">
        <v>302</v>
      </c>
      <c r="B95" s="99">
        <v>94</v>
      </c>
      <c r="C95" s="91" t="s">
        <v>1025</v>
      </c>
      <c r="D95" s="93">
        <v>139</v>
      </c>
      <c r="E95" s="4" t="s">
        <v>619</v>
      </c>
      <c r="F95" s="11" t="s">
        <v>620</v>
      </c>
      <c r="G95" s="47" t="s">
        <v>2095</v>
      </c>
      <c r="H95" s="4">
        <v>2011</v>
      </c>
      <c r="I95" s="11" t="s">
        <v>50</v>
      </c>
      <c r="J95" s="11" t="s">
        <v>51</v>
      </c>
      <c r="K95" s="4">
        <v>95</v>
      </c>
      <c r="L95" s="4">
        <v>95</v>
      </c>
      <c r="M95" s="11" t="s">
        <v>43</v>
      </c>
      <c r="N95" s="67" t="s">
        <v>470</v>
      </c>
      <c r="O95" s="11" t="s">
        <v>149</v>
      </c>
      <c r="P95" s="11" t="s">
        <v>1086</v>
      </c>
      <c r="Q95" s="51" t="s">
        <v>1283</v>
      </c>
      <c r="R95" s="11" t="s">
        <v>602</v>
      </c>
      <c r="S95" s="67" t="s">
        <v>621</v>
      </c>
      <c r="T95" s="11" t="s">
        <v>193</v>
      </c>
      <c r="U95" s="11" t="s">
        <v>459</v>
      </c>
      <c r="V95" s="67" t="s">
        <v>130</v>
      </c>
      <c r="W95" s="4" t="s">
        <v>1025</v>
      </c>
      <c r="X95" s="11" t="s">
        <v>670</v>
      </c>
    </row>
    <row r="96" spans="1:25">
      <c r="A96" s="72" t="s">
        <v>319</v>
      </c>
      <c r="B96" s="98">
        <v>95</v>
      </c>
      <c r="C96" s="91" t="s">
        <v>1190</v>
      </c>
      <c r="D96" s="93">
        <v>140</v>
      </c>
      <c r="E96" s="4" t="s">
        <v>628</v>
      </c>
      <c r="F96" s="11" t="s">
        <v>56</v>
      </c>
      <c r="G96" s="47" t="s">
        <v>2097</v>
      </c>
      <c r="H96" s="4">
        <v>2015</v>
      </c>
      <c r="I96" s="11" t="s">
        <v>45</v>
      </c>
      <c r="J96" s="11" t="s">
        <v>45</v>
      </c>
      <c r="K96" s="4">
        <v>101</v>
      </c>
      <c r="L96" s="4">
        <v>101</v>
      </c>
      <c r="M96" s="11" t="s">
        <v>43</v>
      </c>
      <c r="N96" s="67" t="s">
        <v>470</v>
      </c>
      <c r="O96" s="11" t="s">
        <v>245</v>
      </c>
      <c r="P96" s="11" t="s">
        <v>1088</v>
      </c>
      <c r="Q96" s="51">
        <f>2010-2000</f>
        <v>10</v>
      </c>
      <c r="R96" s="11" t="s">
        <v>131</v>
      </c>
      <c r="S96" s="67" t="s">
        <v>524</v>
      </c>
      <c r="T96" s="11" t="s">
        <v>193</v>
      </c>
      <c r="U96" s="11" t="s">
        <v>459</v>
      </c>
      <c r="V96" s="67" t="s">
        <v>130</v>
      </c>
      <c r="W96" s="4" t="s">
        <v>1025</v>
      </c>
      <c r="X96" s="11" t="s">
        <v>670</v>
      </c>
    </row>
    <row r="97" spans="1:25">
      <c r="A97" s="72" t="s">
        <v>632</v>
      </c>
      <c r="B97" s="99">
        <v>96</v>
      </c>
      <c r="C97" s="91" t="s">
        <v>1190</v>
      </c>
      <c r="D97" s="93">
        <v>141</v>
      </c>
      <c r="E97" s="4" t="s">
        <v>629</v>
      </c>
      <c r="F97" s="11" t="s">
        <v>38</v>
      </c>
      <c r="G97" s="47" t="s">
        <v>2098</v>
      </c>
      <c r="H97" s="4">
        <v>2016</v>
      </c>
      <c r="I97" s="11" t="s">
        <v>61</v>
      </c>
      <c r="J97" s="11" t="s">
        <v>61</v>
      </c>
      <c r="K97" s="4">
        <v>78</v>
      </c>
      <c r="L97" s="4">
        <v>78</v>
      </c>
      <c r="M97" s="11" t="s">
        <v>43</v>
      </c>
      <c r="N97" s="67" t="s">
        <v>1467</v>
      </c>
      <c r="O97" s="4" t="s">
        <v>1499</v>
      </c>
      <c r="P97" s="11" t="s">
        <v>1022</v>
      </c>
      <c r="Q97" s="51">
        <v>50</v>
      </c>
      <c r="R97" s="11" t="s">
        <v>631</v>
      </c>
      <c r="S97" s="67" t="s">
        <v>630</v>
      </c>
      <c r="T97" s="11" t="s">
        <v>40</v>
      </c>
      <c r="U97" s="11" t="s">
        <v>459</v>
      </c>
      <c r="V97" s="67" t="s">
        <v>130</v>
      </c>
      <c r="W97" s="4" t="s">
        <v>1025</v>
      </c>
      <c r="X97" s="11" t="s">
        <v>675</v>
      </c>
    </row>
    <row r="98" spans="1:25">
      <c r="A98" s="72" t="s">
        <v>636</v>
      </c>
      <c r="B98" s="98">
        <v>97</v>
      </c>
      <c r="C98" s="91" t="s">
        <v>1190</v>
      </c>
      <c r="D98" s="93">
        <v>142</v>
      </c>
      <c r="E98" s="4" t="s">
        <v>633</v>
      </c>
      <c r="F98" s="11" t="s">
        <v>634</v>
      </c>
      <c r="G98" s="47" t="s">
        <v>2099</v>
      </c>
      <c r="H98" s="4">
        <v>2003</v>
      </c>
      <c r="I98" s="11" t="s">
        <v>45</v>
      </c>
      <c r="J98" s="11" t="s">
        <v>45</v>
      </c>
      <c r="K98" s="4">
        <v>220</v>
      </c>
      <c r="L98" s="4">
        <v>220</v>
      </c>
      <c r="M98" s="11" t="s">
        <v>261</v>
      </c>
      <c r="N98" s="67" t="s">
        <v>1467</v>
      </c>
      <c r="O98" s="4" t="s">
        <v>1500</v>
      </c>
      <c r="P98" s="11" t="s">
        <v>1021</v>
      </c>
      <c r="Q98" s="51">
        <f>2000-1930</f>
        <v>70</v>
      </c>
      <c r="R98" s="11" t="s">
        <v>131</v>
      </c>
      <c r="S98" s="70" t="s">
        <v>130</v>
      </c>
      <c r="T98" s="11" t="s">
        <v>40</v>
      </c>
      <c r="U98" s="11" t="s">
        <v>459</v>
      </c>
      <c r="V98" s="67" t="s">
        <v>130</v>
      </c>
      <c r="W98" s="4" t="s">
        <v>1025</v>
      </c>
      <c r="X98" s="11" t="s">
        <v>670</v>
      </c>
    </row>
    <row r="99" spans="1:25" s="5" customFormat="1">
      <c r="A99" s="72" t="s">
        <v>640</v>
      </c>
      <c r="B99" s="99">
        <v>98</v>
      </c>
      <c r="C99" s="91" t="s">
        <v>1190</v>
      </c>
      <c r="D99" s="93">
        <v>143</v>
      </c>
      <c r="E99" s="4" t="s">
        <v>637</v>
      </c>
      <c r="F99" s="11" t="s">
        <v>38</v>
      </c>
      <c r="G99" s="47" t="s">
        <v>2100</v>
      </c>
      <c r="H99" s="4">
        <v>2008</v>
      </c>
      <c r="I99" s="11" t="s">
        <v>45</v>
      </c>
      <c r="J99" s="11" t="s">
        <v>45</v>
      </c>
      <c r="K99" s="4">
        <v>7</v>
      </c>
      <c r="L99" s="4">
        <v>7</v>
      </c>
      <c r="M99" s="11" t="s">
        <v>83</v>
      </c>
      <c r="N99" s="67" t="s">
        <v>470</v>
      </c>
      <c r="O99" s="4" t="s">
        <v>1501</v>
      </c>
      <c r="P99" s="11" t="s">
        <v>1023</v>
      </c>
      <c r="Q99" s="51">
        <f>2007-1978</f>
        <v>29</v>
      </c>
      <c r="R99" s="11" t="s">
        <v>1181</v>
      </c>
      <c r="S99" s="67" t="s">
        <v>638</v>
      </c>
      <c r="T99" s="11" t="s">
        <v>40</v>
      </c>
      <c r="U99" s="11" t="s">
        <v>448</v>
      </c>
      <c r="V99" s="67" t="s">
        <v>130</v>
      </c>
      <c r="W99" s="4" t="s">
        <v>1025</v>
      </c>
      <c r="X99" s="11" t="s">
        <v>670</v>
      </c>
      <c r="Y99"/>
    </row>
    <row r="100" spans="1:25">
      <c r="A100" s="72" t="s">
        <v>319</v>
      </c>
      <c r="B100" s="98">
        <v>99</v>
      </c>
      <c r="C100" s="91" t="s">
        <v>1025</v>
      </c>
      <c r="D100" s="93">
        <v>144</v>
      </c>
      <c r="E100" s="4" t="s">
        <v>641</v>
      </c>
      <c r="F100" s="11" t="s">
        <v>62</v>
      </c>
      <c r="G100" s="47" t="s">
        <v>2101</v>
      </c>
      <c r="H100" s="4">
        <v>2013</v>
      </c>
      <c r="I100" s="11" t="s">
        <v>45</v>
      </c>
      <c r="J100" s="11" t="s">
        <v>45</v>
      </c>
      <c r="K100" s="4">
        <v>239</v>
      </c>
      <c r="L100" s="4">
        <v>239</v>
      </c>
      <c r="M100" s="11" t="s">
        <v>261</v>
      </c>
      <c r="N100" s="67" t="s">
        <v>470</v>
      </c>
      <c r="O100" s="4" t="s">
        <v>245</v>
      </c>
      <c r="P100" s="11" t="s">
        <v>521</v>
      </c>
      <c r="Q100" s="51">
        <f>2009-1975</f>
        <v>34</v>
      </c>
      <c r="R100" s="11" t="s">
        <v>131</v>
      </c>
      <c r="S100" s="71" t="s">
        <v>643</v>
      </c>
      <c r="T100" s="11" t="s">
        <v>40</v>
      </c>
      <c r="U100" s="11" t="s">
        <v>459</v>
      </c>
      <c r="V100" s="67" t="s">
        <v>1024</v>
      </c>
      <c r="W100" s="11" t="s">
        <v>913</v>
      </c>
      <c r="X100" s="11" t="s">
        <v>670</v>
      </c>
    </row>
    <row r="101" spans="1:25">
      <c r="A101" s="72" t="s">
        <v>647</v>
      </c>
      <c r="B101" s="99">
        <v>100</v>
      </c>
      <c r="C101" s="91" t="s">
        <v>1025</v>
      </c>
      <c r="D101" s="93">
        <v>145</v>
      </c>
      <c r="E101" s="4" t="s">
        <v>644</v>
      </c>
      <c r="F101" s="11" t="s">
        <v>645</v>
      </c>
      <c r="G101" s="47" t="s">
        <v>2102</v>
      </c>
      <c r="H101" s="4">
        <v>2010</v>
      </c>
      <c r="I101" s="11" t="s">
        <v>45</v>
      </c>
      <c r="J101" s="11" t="s">
        <v>45</v>
      </c>
      <c r="K101" s="4">
        <v>62</v>
      </c>
      <c r="L101" s="4">
        <v>62</v>
      </c>
      <c r="M101" s="11" t="s">
        <v>43</v>
      </c>
      <c r="N101" s="67" t="s">
        <v>470</v>
      </c>
      <c r="O101" s="4" t="s">
        <v>646</v>
      </c>
      <c r="P101" s="11" t="s">
        <v>1026</v>
      </c>
      <c r="Q101" s="51">
        <f>2008-1989</f>
        <v>19</v>
      </c>
      <c r="R101" s="11" t="s">
        <v>131</v>
      </c>
      <c r="S101" s="70" t="s">
        <v>130</v>
      </c>
      <c r="T101" s="11" t="s">
        <v>40</v>
      </c>
      <c r="U101" s="11" t="s">
        <v>648</v>
      </c>
      <c r="V101" s="56"/>
      <c r="W101" s="11" t="s">
        <v>1027</v>
      </c>
      <c r="X101" s="11" t="s">
        <v>670</v>
      </c>
    </row>
    <row r="102" spans="1:25" s="5" customFormat="1">
      <c r="A102" s="72" t="s">
        <v>652</v>
      </c>
      <c r="B102" s="98">
        <v>101</v>
      </c>
      <c r="C102" s="91" t="s">
        <v>1190</v>
      </c>
      <c r="D102" s="93">
        <v>146</v>
      </c>
      <c r="E102" s="4" t="s">
        <v>649</v>
      </c>
      <c r="F102" s="11" t="s">
        <v>64</v>
      </c>
      <c r="G102" s="47" t="s">
        <v>2103</v>
      </c>
      <c r="H102" s="4">
        <v>2016</v>
      </c>
      <c r="I102" s="11" t="s">
        <v>45</v>
      </c>
      <c r="J102" s="11" t="s">
        <v>45</v>
      </c>
      <c r="K102" s="4">
        <v>45</v>
      </c>
      <c r="L102" s="4">
        <v>45</v>
      </c>
      <c r="M102" s="11" t="s">
        <v>35</v>
      </c>
      <c r="N102" s="67" t="s">
        <v>1465</v>
      </c>
      <c r="O102" s="4" t="s">
        <v>650</v>
      </c>
      <c r="P102" s="11" t="s">
        <v>1028</v>
      </c>
      <c r="Q102" s="51">
        <f>2011-1991</f>
        <v>20</v>
      </c>
      <c r="R102" s="11" t="s">
        <v>225</v>
      </c>
      <c r="S102" s="67" t="s">
        <v>651</v>
      </c>
      <c r="T102" s="11" t="s">
        <v>40</v>
      </c>
      <c r="U102" s="11" t="s">
        <v>435</v>
      </c>
      <c r="V102" s="56"/>
      <c r="W102" s="4" t="s">
        <v>1025</v>
      </c>
      <c r="X102" s="11" t="s">
        <v>670</v>
      </c>
      <c r="Y102"/>
    </row>
    <row r="103" spans="1:25">
      <c r="A103" s="72" t="s">
        <v>656</v>
      </c>
      <c r="B103" s="99">
        <v>102</v>
      </c>
      <c r="C103" s="91" t="s">
        <v>1190</v>
      </c>
      <c r="D103" s="93">
        <v>147</v>
      </c>
      <c r="E103" s="4" t="s">
        <v>653</v>
      </c>
      <c r="F103" s="11" t="s">
        <v>38</v>
      </c>
      <c r="G103" s="47" t="s">
        <v>2104</v>
      </c>
      <c r="H103" s="4">
        <v>2015</v>
      </c>
      <c r="I103" s="11" t="s">
        <v>45</v>
      </c>
      <c r="J103" s="11" t="s">
        <v>45</v>
      </c>
      <c r="K103" s="4">
        <v>38</v>
      </c>
      <c r="L103" s="4">
        <v>38</v>
      </c>
      <c r="M103" s="11" t="s">
        <v>43</v>
      </c>
      <c r="N103" s="67" t="s">
        <v>1467</v>
      </c>
      <c r="O103" s="4" t="s">
        <v>657</v>
      </c>
      <c r="P103" s="11" t="s">
        <v>1029</v>
      </c>
      <c r="Q103" s="51">
        <f>2011-1990</f>
        <v>21</v>
      </c>
      <c r="R103" s="11" t="s">
        <v>133</v>
      </c>
      <c r="S103" s="67" t="s">
        <v>654</v>
      </c>
      <c r="T103" s="11" t="s">
        <v>193</v>
      </c>
      <c r="U103" s="11" t="s">
        <v>648</v>
      </c>
      <c r="V103" s="67" t="s">
        <v>130</v>
      </c>
      <c r="W103" s="4" t="s">
        <v>1025</v>
      </c>
      <c r="X103" s="11" t="s">
        <v>957</v>
      </c>
    </row>
    <row r="104" spans="1:25">
      <c r="A104" s="72" t="s">
        <v>506</v>
      </c>
      <c r="B104" s="98">
        <v>103</v>
      </c>
      <c r="C104" s="91" t="s">
        <v>1025</v>
      </c>
      <c r="D104" s="93">
        <v>148</v>
      </c>
      <c r="E104" s="4" t="s">
        <v>658</v>
      </c>
      <c r="F104" s="11" t="s">
        <v>239</v>
      </c>
      <c r="G104" s="47" t="s">
        <v>2105</v>
      </c>
      <c r="H104" s="4">
        <v>2012</v>
      </c>
      <c r="I104" s="11" t="s">
        <v>45</v>
      </c>
      <c r="J104" s="11" t="s">
        <v>45</v>
      </c>
      <c r="K104" s="4" t="s">
        <v>1034</v>
      </c>
      <c r="L104" s="4" t="s">
        <v>1034</v>
      </c>
      <c r="M104" s="11" t="s">
        <v>43</v>
      </c>
      <c r="N104" s="67" t="s">
        <v>470</v>
      </c>
      <c r="O104" s="4" t="s">
        <v>502</v>
      </c>
      <c r="P104" s="11" t="s">
        <v>1032</v>
      </c>
      <c r="Q104" s="51">
        <f>2009-1984</f>
        <v>25</v>
      </c>
      <c r="R104" s="11" t="s">
        <v>131</v>
      </c>
      <c r="S104" s="70" t="s">
        <v>130</v>
      </c>
      <c r="T104" s="11" t="s">
        <v>40</v>
      </c>
      <c r="U104" s="11" t="s">
        <v>447</v>
      </c>
      <c r="V104" s="67" t="s">
        <v>913</v>
      </c>
      <c r="W104" s="11" t="s">
        <v>1033</v>
      </c>
      <c r="X104" s="11" t="s">
        <v>670</v>
      </c>
    </row>
    <row r="105" spans="1:25">
      <c r="A105" s="72" t="s">
        <v>302</v>
      </c>
      <c r="B105" s="99">
        <v>104</v>
      </c>
      <c r="C105" s="91" t="s">
        <v>1190</v>
      </c>
      <c r="D105" s="93">
        <v>149</v>
      </c>
      <c r="E105" s="4" t="s">
        <v>660</v>
      </c>
      <c r="F105" s="11" t="s">
        <v>661</v>
      </c>
      <c r="G105" s="47" t="s">
        <v>2106</v>
      </c>
      <c r="H105" s="4">
        <v>2015</v>
      </c>
      <c r="I105" s="11" t="s">
        <v>45</v>
      </c>
      <c r="J105" s="11" t="s">
        <v>45</v>
      </c>
      <c r="K105" s="4">
        <v>63</v>
      </c>
      <c r="L105" s="4">
        <v>63</v>
      </c>
      <c r="M105" s="11" t="s">
        <v>261</v>
      </c>
      <c r="N105" s="67" t="s">
        <v>470</v>
      </c>
      <c r="O105" s="4" t="s">
        <v>149</v>
      </c>
      <c r="P105" s="11" t="s">
        <v>1036</v>
      </c>
      <c r="Q105" s="51">
        <f>2012-1959</f>
        <v>53</v>
      </c>
      <c r="R105" s="11" t="s">
        <v>335</v>
      </c>
      <c r="S105" s="70" t="s">
        <v>130</v>
      </c>
      <c r="T105" s="11" t="s">
        <v>40</v>
      </c>
      <c r="U105" s="11" t="s">
        <v>459</v>
      </c>
      <c r="V105" s="67" t="s">
        <v>663</v>
      </c>
      <c r="W105" s="11" t="s">
        <v>662</v>
      </c>
      <c r="X105" s="11" t="s">
        <v>670</v>
      </c>
    </row>
    <row r="106" spans="1:25">
      <c r="A106" s="72" t="s">
        <v>293</v>
      </c>
      <c r="B106" s="98">
        <v>105</v>
      </c>
      <c r="C106" s="91" t="s">
        <v>1025</v>
      </c>
      <c r="D106" s="93">
        <v>150</v>
      </c>
      <c r="E106" s="4" t="s">
        <v>664</v>
      </c>
      <c r="F106" s="11" t="s">
        <v>239</v>
      </c>
      <c r="G106" s="47" t="s">
        <v>2107</v>
      </c>
      <c r="H106" s="4">
        <v>2014</v>
      </c>
      <c r="I106" s="11" t="s">
        <v>665</v>
      </c>
      <c r="J106" s="11" t="s">
        <v>665</v>
      </c>
      <c r="K106" s="57" t="s">
        <v>7</v>
      </c>
      <c r="L106" s="57" t="s">
        <v>7</v>
      </c>
      <c r="M106" s="11" t="s">
        <v>261</v>
      </c>
      <c r="N106" s="67" t="s">
        <v>470</v>
      </c>
      <c r="O106" s="4" t="s">
        <v>242</v>
      </c>
      <c r="P106" s="11" t="s">
        <v>1037</v>
      </c>
      <c r="Q106" s="51">
        <f>2010-2003</f>
        <v>7</v>
      </c>
      <c r="R106" s="11" t="s">
        <v>1041</v>
      </c>
      <c r="S106" s="67" t="s">
        <v>668</v>
      </c>
      <c r="T106" s="11" t="s">
        <v>40</v>
      </c>
      <c r="U106" s="11" t="s">
        <v>459</v>
      </c>
      <c r="V106" s="67" t="s">
        <v>667</v>
      </c>
      <c r="W106" s="11" t="s">
        <v>666</v>
      </c>
      <c r="X106" s="11" t="s">
        <v>1030</v>
      </c>
    </row>
    <row r="107" spans="1:25">
      <c r="A107" s="72" t="s">
        <v>280</v>
      </c>
      <c r="B107" s="99">
        <v>106</v>
      </c>
      <c r="C107" s="91" t="s">
        <v>1190</v>
      </c>
      <c r="D107" s="93">
        <v>151</v>
      </c>
      <c r="E107" s="4" t="s">
        <v>1137</v>
      </c>
      <c r="F107" s="11" t="s">
        <v>38</v>
      </c>
      <c r="G107" s="47" t="s">
        <v>2108</v>
      </c>
      <c r="H107" s="4">
        <v>2012</v>
      </c>
      <c r="I107" s="11" t="s">
        <v>50</v>
      </c>
      <c r="J107" s="11" t="s">
        <v>51</v>
      </c>
      <c r="K107" s="4">
        <v>37</v>
      </c>
      <c r="L107" s="4">
        <v>37</v>
      </c>
      <c r="M107" s="11" t="s">
        <v>261</v>
      </c>
      <c r="N107" s="67" t="s">
        <v>470</v>
      </c>
      <c r="O107" s="4" t="s">
        <v>68</v>
      </c>
      <c r="P107" s="11" t="s">
        <v>1138</v>
      </c>
      <c r="Q107" s="51">
        <f>2005-1970</f>
        <v>35</v>
      </c>
      <c r="R107" s="11" t="s">
        <v>131</v>
      </c>
      <c r="S107" s="67" t="s">
        <v>1141</v>
      </c>
      <c r="T107" s="11" t="s">
        <v>193</v>
      </c>
      <c r="U107" s="11" t="s">
        <v>448</v>
      </c>
      <c r="V107" s="67" t="s">
        <v>1142</v>
      </c>
      <c r="W107" s="11" t="s">
        <v>1140</v>
      </c>
      <c r="X107" s="11" t="s">
        <v>670</v>
      </c>
      <c r="Y107" s="11" t="s">
        <v>1139</v>
      </c>
    </row>
    <row r="108" spans="1:25">
      <c r="A108" s="72" t="s">
        <v>290</v>
      </c>
      <c r="B108" s="98">
        <v>107</v>
      </c>
      <c r="C108" s="91" t="s">
        <v>1190</v>
      </c>
      <c r="D108" s="93">
        <v>152</v>
      </c>
      <c r="E108" s="4" t="s">
        <v>672</v>
      </c>
      <c r="F108" s="11" t="s">
        <v>34</v>
      </c>
      <c r="G108" s="47" t="s">
        <v>2109</v>
      </c>
      <c r="H108" s="4">
        <v>2011</v>
      </c>
      <c r="I108" s="11" t="s">
        <v>673</v>
      </c>
      <c r="J108" s="11" t="s">
        <v>61</v>
      </c>
      <c r="K108" s="4">
        <v>760</v>
      </c>
      <c r="L108" s="4">
        <v>760</v>
      </c>
      <c r="M108" s="11" t="s">
        <v>261</v>
      </c>
      <c r="N108" s="67" t="s">
        <v>470</v>
      </c>
      <c r="O108" s="4" t="s">
        <v>90</v>
      </c>
      <c r="P108" s="11" t="s">
        <v>1038</v>
      </c>
      <c r="Q108" s="51">
        <f>2008-1965</f>
        <v>43</v>
      </c>
      <c r="R108" s="11" t="s">
        <v>188</v>
      </c>
      <c r="S108" s="70" t="s">
        <v>130</v>
      </c>
      <c r="T108" s="11" t="s">
        <v>40</v>
      </c>
      <c r="U108" s="11" t="s">
        <v>448</v>
      </c>
      <c r="V108" s="67" t="s">
        <v>676</v>
      </c>
      <c r="W108" s="11" t="s">
        <v>677</v>
      </c>
      <c r="X108" s="11" t="s">
        <v>675</v>
      </c>
    </row>
    <row r="109" spans="1:25">
      <c r="A109" s="72" t="s">
        <v>682</v>
      </c>
      <c r="B109" s="99">
        <v>108</v>
      </c>
      <c r="C109" s="91" t="s">
        <v>1190</v>
      </c>
      <c r="D109" s="93">
        <v>153</v>
      </c>
      <c r="E109" s="4" t="s">
        <v>679</v>
      </c>
      <c r="F109" s="11" t="s">
        <v>56</v>
      </c>
      <c r="G109" s="47" t="s">
        <v>2110</v>
      </c>
      <c r="H109" s="4">
        <v>2011</v>
      </c>
      <c r="I109" s="11" t="s">
        <v>230</v>
      </c>
      <c r="J109" s="11" t="s">
        <v>230</v>
      </c>
      <c r="K109" s="4">
        <v>61</v>
      </c>
      <c r="L109" s="4">
        <v>61</v>
      </c>
      <c r="M109" s="11" t="s">
        <v>261</v>
      </c>
      <c r="N109" s="67" t="s">
        <v>1468</v>
      </c>
      <c r="O109" s="4" t="s">
        <v>680</v>
      </c>
      <c r="P109" s="11" t="s">
        <v>1039</v>
      </c>
      <c r="Q109" s="51">
        <f>2010-1880</f>
        <v>130</v>
      </c>
      <c r="R109" s="11" t="s">
        <v>987</v>
      </c>
      <c r="S109" s="70" t="s">
        <v>130</v>
      </c>
      <c r="T109" s="11" t="s">
        <v>86</v>
      </c>
      <c r="U109" s="11" t="s">
        <v>447</v>
      </c>
      <c r="V109" s="67" t="s">
        <v>681</v>
      </c>
      <c r="W109" s="11" t="s">
        <v>1308</v>
      </c>
      <c r="X109" s="11" t="s">
        <v>670</v>
      </c>
      <c r="Y109" s="5"/>
    </row>
    <row r="110" spans="1:25">
      <c r="A110" s="72" t="s">
        <v>430</v>
      </c>
      <c r="B110" s="98">
        <v>109</v>
      </c>
      <c r="C110" s="91" t="s">
        <v>1190</v>
      </c>
      <c r="D110" s="93">
        <v>154</v>
      </c>
      <c r="E110" s="4" t="s">
        <v>683</v>
      </c>
      <c r="F110" s="11" t="s">
        <v>684</v>
      </c>
      <c r="G110" s="47" t="s">
        <v>2111</v>
      </c>
      <c r="H110" s="4">
        <v>2008</v>
      </c>
      <c r="I110" s="11" t="s">
        <v>1311</v>
      </c>
      <c r="J110" s="11" t="s">
        <v>230</v>
      </c>
      <c r="K110" s="4">
        <v>46</v>
      </c>
      <c r="L110" s="4">
        <v>46</v>
      </c>
      <c r="M110" s="11" t="s">
        <v>43</v>
      </c>
      <c r="N110" s="67" t="s">
        <v>470</v>
      </c>
      <c r="O110" s="4" t="s">
        <v>686</v>
      </c>
      <c r="P110" s="11" t="s">
        <v>1091</v>
      </c>
      <c r="Q110" s="51">
        <f>2006-1982</f>
        <v>24</v>
      </c>
      <c r="R110" s="11" t="s">
        <v>131</v>
      </c>
      <c r="S110" s="67" t="s">
        <v>1314</v>
      </c>
      <c r="T110" s="11" t="s">
        <v>86</v>
      </c>
      <c r="U110" s="11" t="s">
        <v>687</v>
      </c>
      <c r="V110" s="67" t="s">
        <v>1313</v>
      </c>
      <c r="W110" s="11" t="s">
        <v>685</v>
      </c>
      <c r="X110" s="11" t="s">
        <v>670</v>
      </c>
      <c r="Y110" s="5"/>
    </row>
    <row r="111" spans="1:25">
      <c r="A111" s="72" t="s">
        <v>711</v>
      </c>
      <c r="B111" s="99">
        <v>110</v>
      </c>
      <c r="C111" s="91" t="s">
        <v>1190</v>
      </c>
      <c r="D111" s="93">
        <v>155</v>
      </c>
      <c r="E111" s="4" t="s">
        <v>690</v>
      </c>
      <c r="F111" s="11" t="s">
        <v>38</v>
      </c>
      <c r="G111" s="47" t="s">
        <v>2112</v>
      </c>
      <c r="H111" s="4">
        <v>2009</v>
      </c>
      <c r="I111" s="11" t="s">
        <v>691</v>
      </c>
      <c r="J111" s="11" t="s">
        <v>692</v>
      </c>
      <c r="K111" s="4">
        <v>108</v>
      </c>
      <c r="L111" s="4">
        <v>108</v>
      </c>
      <c r="M111" s="11" t="s">
        <v>261</v>
      </c>
      <c r="N111" s="67" t="s">
        <v>470</v>
      </c>
      <c r="O111" s="4" t="s">
        <v>693</v>
      </c>
      <c r="P111" s="11" t="s">
        <v>1092</v>
      </c>
      <c r="Q111" s="51">
        <f>2005-1958</f>
        <v>47</v>
      </c>
      <c r="R111" s="11" t="s">
        <v>131</v>
      </c>
      <c r="S111" s="67" t="s">
        <v>694</v>
      </c>
      <c r="T111" s="11" t="s">
        <v>86</v>
      </c>
      <c r="U111" s="11" t="s">
        <v>687</v>
      </c>
      <c r="V111" s="67" t="s">
        <v>1318</v>
      </c>
      <c r="W111" s="11" t="s">
        <v>1317</v>
      </c>
      <c r="X111" s="11" t="s">
        <v>670</v>
      </c>
      <c r="Y111" s="5"/>
    </row>
    <row r="112" spans="1:25">
      <c r="A112" s="72" t="s">
        <v>712</v>
      </c>
      <c r="B112" s="98">
        <v>111</v>
      </c>
      <c r="C112" s="91" t="s">
        <v>1190</v>
      </c>
      <c r="D112" s="93">
        <v>156</v>
      </c>
      <c r="E112" s="4" t="s">
        <v>695</v>
      </c>
      <c r="F112" s="11" t="s">
        <v>696</v>
      </c>
      <c r="G112" s="47" t="s">
        <v>1321</v>
      </c>
      <c r="H112" s="4">
        <v>2011</v>
      </c>
      <c r="I112" s="11" t="s">
        <v>697</v>
      </c>
      <c r="J112" s="11" t="s">
        <v>698</v>
      </c>
      <c r="K112" s="4">
        <v>52</v>
      </c>
      <c r="L112" s="4">
        <v>52</v>
      </c>
      <c r="M112" s="11" t="s">
        <v>43</v>
      </c>
      <c r="N112" s="67" t="s">
        <v>1468</v>
      </c>
      <c r="O112" s="4" t="s">
        <v>699</v>
      </c>
      <c r="P112" s="11" t="s">
        <v>1093</v>
      </c>
      <c r="Q112" s="51">
        <f>1990-1960</f>
        <v>30</v>
      </c>
      <c r="R112" s="11" t="s">
        <v>1322</v>
      </c>
      <c r="S112" s="67" t="s">
        <v>700</v>
      </c>
      <c r="T112" s="11" t="s">
        <v>86</v>
      </c>
      <c r="U112" s="11" t="s">
        <v>860</v>
      </c>
      <c r="V112" s="67" t="s">
        <v>130</v>
      </c>
      <c r="W112" s="11" t="s">
        <v>1323</v>
      </c>
      <c r="X112" s="11" t="s">
        <v>675</v>
      </c>
      <c r="Y112" s="5"/>
    </row>
    <row r="113" spans="1:25">
      <c r="A113" s="72" t="s">
        <v>1189</v>
      </c>
      <c r="B113" s="99">
        <v>112</v>
      </c>
      <c r="C113" s="91" t="s">
        <v>1190</v>
      </c>
      <c r="D113" s="93">
        <v>157</v>
      </c>
      <c r="E113" s="4" t="s">
        <v>702</v>
      </c>
      <c r="F113" s="11" t="s">
        <v>703</v>
      </c>
      <c r="G113" s="47" t="s">
        <v>2113</v>
      </c>
      <c r="H113" s="4">
        <v>1995</v>
      </c>
      <c r="I113" s="11" t="s">
        <v>705</v>
      </c>
      <c r="J113" s="11" t="s">
        <v>706</v>
      </c>
      <c r="K113" s="4">
        <v>18</v>
      </c>
      <c r="L113" s="4" t="s">
        <v>707</v>
      </c>
      <c r="M113" s="11" t="s">
        <v>43</v>
      </c>
      <c r="N113" s="67" t="s">
        <v>470</v>
      </c>
      <c r="O113" s="4" t="s">
        <v>710</v>
      </c>
      <c r="P113" s="11" t="s">
        <v>1094</v>
      </c>
      <c r="Q113" s="51">
        <f>1987-1939</f>
        <v>48</v>
      </c>
      <c r="R113" s="11" t="s">
        <v>131</v>
      </c>
      <c r="S113" s="67" t="s">
        <v>709</v>
      </c>
      <c r="T113" s="11" t="s">
        <v>86</v>
      </c>
      <c r="U113" s="11" t="s">
        <v>447</v>
      </c>
      <c r="V113" s="67" t="s">
        <v>1324</v>
      </c>
      <c r="W113" s="11" t="s">
        <v>708</v>
      </c>
      <c r="X113" s="11" t="s">
        <v>670</v>
      </c>
      <c r="Y113" s="5"/>
    </row>
    <row r="114" spans="1:25">
      <c r="A114" s="72" t="s">
        <v>1187</v>
      </c>
      <c r="B114" s="98">
        <v>113</v>
      </c>
      <c r="C114" s="91" t="s">
        <v>1190</v>
      </c>
      <c r="D114" s="93">
        <v>158</v>
      </c>
      <c r="E114" s="4" t="s">
        <v>713</v>
      </c>
      <c r="F114" s="11" t="s">
        <v>34</v>
      </c>
      <c r="G114" s="47" t="s">
        <v>2114</v>
      </c>
      <c r="H114" s="4">
        <v>2010</v>
      </c>
      <c r="I114" s="11" t="s">
        <v>61</v>
      </c>
      <c r="J114" s="11" t="s">
        <v>61</v>
      </c>
      <c r="K114" s="4">
        <v>2</v>
      </c>
      <c r="L114" s="4">
        <v>2</v>
      </c>
      <c r="M114" s="11" t="s">
        <v>261</v>
      </c>
      <c r="N114" s="67" t="s">
        <v>1467</v>
      </c>
      <c r="O114" s="4" t="s">
        <v>714</v>
      </c>
      <c r="P114" s="11" t="s">
        <v>1186</v>
      </c>
      <c r="Q114" s="51">
        <f>2006-2001</f>
        <v>5</v>
      </c>
      <c r="R114" s="11" t="s">
        <v>1188</v>
      </c>
      <c r="S114" s="70" t="s">
        <v>130</v>
      </c>
      <c r="T114" s="11" t="s">
        <v>40</v>
      </c>
      <c r="U114" s="11" t="s">
        <v>648</v>
      </c>
      <c r="V114" s="67" t="s">
        <v>130</v>
      </c>
      <c r="W114" s="11" t="s">
        <v>1328</v>
      </c>
      <c r="X114" s="11" t="s">
        <v>675</v>
      </c>
      <c r="Y114" s="5"/>
    </row>
    <row r="115" spans="1:25">
      <c r="A115" s="72" t="s">
        <v>1184</v>
      </c>
      <c r="B115" s="99">
        <v>114</v>
      </c>
      <c r="C115" s="91" t="s">
        <v>1190</v>
      </c>
      <c r="D115" s="93">
        <v>159</v>
      </c>
      <c r="E115" s="4" t="s">
        <v>1178</v>
      </c>
      <c r="F115" s="11" t="s">
        <v>169</v>
      </c>
      <c r="G115" s="47" t="s">
        <v>1329</v>
      </c>
      <c r="H115" s="4">
        <v>2013</v>
      </c>
      <c r="I115" s="11" t="s">
        <v>1331</v>
      </c>
      <c r="J115" s="11" t="s">
        <v>45</v>
      </c>
      <c r="K115" s="4">
        <v>3</v>
      </c>
      <c r="L115" s="4">
        <v>3</v>
      </c>
      <c r="M115" s="11" t="s">
        <v>83</v>
      </c>
      <c r="N115" s="67" t="s">
        <v>470</v>
      </c>
      <c r="O115" s="4" t="s">
        <v>1179</v>
      </c>
      <c r="P115" s="11" t="s">
        <v>1180</v>
      </c>
      <c r="Q115" s="51">
        <f>2010-1980</f>
        <v>30</v>
      </c>
      <c r="R115" s="11" t="s">
        <v>1181</v>
      </c>
      <c r="S115" s="70" t="s">
        <v>130</v>
      </c>
      <c r="T115" s="11" t="s">
        <v>193</v>
      </c>
      <c r="U115" s="11" t="s">
        <v>1101</v>
      </c>
      <c r="V115" s="67" t="s">
        <v>1183</v>
      </c>
      <c r="W115" s="11" t="s">
        <v>1332</v>
      </c>
      <c r="X115" s="11" t="s">
        <v>670</v>
      </c>
      <c r="Y115" s="5"/>
    </row>
    <row r="116" spans="1:25">
      <c r="A116" s="72" t="s">
        <v>401</v>
      </c>
      <c r="B116" s="98">
        <v>115</v>
      </c>
      <c r="C116" s="92" t="s">
        <v>1190</v>
      </c>
      <c r="D116" s="93">
        <v>160</v>
      </c>
      <c r="E116" s="4" t="s">
        <v>1191</v>
      </c>
      <c r="F116" s="11" t="s">
        <v>56</v>
      </c>
      <c r="G116" s="47" t="s">
        <v>2116</v>
      </c>
      <c r="H116" s="4">
        <v>2016</v>
      </c>
      <c r="I116" s="11" t="s">
        <v>96</v>
      </c>
      <c r="J116" s="11" t="s">
        <v>45</v>
      </c>
      <c r="K116" s="4">
        <v>21</v>
      </c>
      <c r="L116" s="4">
        <v>21</v>
      </c>
      <c r="M116" s="11" t="s">
        <v>83</v>
      </c>
      <c r="N116" s="67" t="s">
        <v>1467</v>
      </c>
      <c r="O116" s="4" t="s">
        <v>197</v>
      </c>
      <c r="P116" s="11" t="s">
        <v>1192</v>
      </c>
      <c r="Q116" s="51">
        <f>2010-1979</f>
        <v>31</v>
      </c>
      <c r="R116" s="11" t="s">
        <v>1334</v>
      </c>
      <c r="S116" s="70" t="s">
        <v>130</v>
      </c>
      <c r="T116" s="11" t="s">
        <v>193</v>
      </c>
      <c r="U116" s="11" t="s">
        <v>522</v>
      </c>
      <c r="V116" s="67" t="s">
        <v>130</v>
      </c>
      <c r="W116" s="11" t="s">
        <v>871</v>
      </c>
      <c r="X116" s="11" t="s">
        <v>670</v>
      </c>
      <c r="Y116" s="5"/>
    </row>
    <row r="117" spans="1:25">
      <c r="A117" s="72" t="s">
        <v>290</v>
      </c>
      <c r="B117" s="98">
        <v>116</v>
      </c>
      <c r="C117" s="91" t="s">
        <v>1190</v>
      </c>
      <c r="D117" s="93">
        <v>161</v>
      </c>
      <c r="E117" s="4" t="s">
        <v>1193</v>
      </c>
      <c r="F117" s="11" t="s">
        <v>64</v>
      </c>
      <c r="G117" s="47" t="s">
        <v>2117</v>
      </c>
      <c r="H117" s="4">
        <v>2015</v>
      </c>
      <c r="I117" s="11" t="s">
        <v>230</v>
      </c>
      <c r="J117" s="11" t="s">
        <v>230</v>
      </c>
      <c r="K117" s="4">
        <v>14</v>
      </c>
      <c r="L117" s="4">
        <v>14</v>
      </c>
      <c r="M117" s="11" t="s">
        <v>43</v>
      </c>
      <c r="N117" s="67" t="s">
        <v>470</v>
      </c>
      <c r="O117" s="4" t="s">
        <v>90</v>
      </c>
      <c r="P117" s="11" t="s">
        <v>1194</v>
      </c>
      <c r="Q117" s="51">
        <f>2011-1992</f>
        <v>19</v>
      </c>
      <c r="R117" s="11" t="s">
        <v>1337</v>
      </c>
      <c r="S117" s="70" t="s">
        <v>1195</v>
      </c>
      <c r="T117" s="11" t="s">
        <v>40</v>
      </c>
      <c r="U117" s="11" t="s">
        <v>447</v>
      </c>
      <c r="V117" s="67" t="s">
        <v>130</v>
      </c>
      <c r="W117" s="4" t="s">
        <v>1335</v>
      </c>
      <c r="X117" s="11" t="s">
        <v>670</v>
      </c>
      <c r="Y117" s="5"/>
    </row>
    <row r="118" spans="1:25">
      <c r="A118" s="72" t="s">
        <v>1346</v>
      </c>
      <c r="B118" s="99">
        <v>117</v>
      </c>
      <c r="C118" s="91" t="s">
        <v>1190</v>
      </c>
      <c r="D118" s="93">
        <v>162</v>
      </c>
      <c r="E118" s="4" t="s">
        <v>1221</v>
      </c>
      <c r="F118" s="11" t="s">
        <v>56</v>
      </c>
      <c r="G118" s="47" t="s">
        <v>2118</v>
      </c>
      <c r="H118" s="4">
        <v>2018</v>
      </c>
      <c r="I118" s="11" t="s">
        <v>45</v>
      </c>
      <c r="J118" s="11" t="s">
        <v>45</v>
      </c>
      <c r="K118" s="4">
        <v>19</v>
      </c>
      <c r="L118" s="4">
        <v>19</v>
      </c>
      <c r="M118" s="11" t="s">
        <v>83</v>
      </c>
      <c r="N118" s="67" t="s">
        <v>1467</v>
      </c>
      <c r="O118" s="4" t="s">
        <v>1225</v>
      </c>
      <c r="P118" s="11" t="s">
        <v>1222</v>
      </c>
      <c r="Q118" s="51">
        <v>10</v>
      </c>
      <c r="R118" s="11" t="s">
        <v>85</v>
      </c>
      <c r="S118" s="70" t="s">
        <v>130</v>
      </c>
      <c r="T118" s="11" t="s">
        <v>193</v>
      </c>
      <c r="U118" s="11" t="s">
        <v>648</v>
      </c>
      <c r="V118" s="67" t="s">
        <v>130</v>
      </c>
      <c r="W118" s="11" t="s">
        <v>1223</v>
      </c>
      <c r="X118" s="11" t="s">
        <v>670</v>
      </c>
      <c r="Y118" s="5"/>
    </row>
    <row r="119" spans="1:25">
      <c r="A119" s="72" t="s">
        <v>506</v>
      </c>
      <c r="B119" s="98">
        <v>118</v>
      </c>
      <c r="C119" s="91" t="s">
        <v>1190</v>
      </c>
      <c r="D119" s="93">
        <v>163</v>
      </c>
      <c r="E119" s="11" t="s">
        <v>1228</v>
      </c>
      <c r="F119" s="11" t="s">
        <v>1229</v>
      </c>
      <c r="G119" s="47" t="s">
        <v>2119</v>
      </c>
      <c r="H119" s="4">
        <v>2016</v>
      </c>
      <c r="I119" s="11" t="s">
        <v>580</v>
      </c>
      <c r="J119" s="11" t="s">
        <v>1230</v>
      </c>
      <c r="K119" s="4">
        <v>470</v>
      </c>
      <c r="L119" s="4" t="s">
        <v>1233</v>
      </c>
      <c r="M119" s="11" t="s">
        <v>43</v>
      </c>
      <c r="N119" s="67" t="s">
        <v>470</v>
      </c>
      <c r="O119" s="11" t="s">
        <v>1231</v>
      </c>
      <c r="P119" s="11" t="s">
        <v>1232</v>
      </c>
      <c r="Q119" s="51" t="s">
        <v>1234</v>
      </c>
      <c r="R119" s="11" t="s">
        <v>1352</v>
      </c>
      <c r="S119" s="67" t="s">
        <v>1353</v>
      </c>
      <c r="T119" s="11" t="s">
        <v>40</v>
      </c>
      <c r="U119" s="11" t="s">
        <v>447</v>
      </c>
      <c r="V119" s="67" t="s">
        <v>130</v>
      </c>
      <c r="W119" s="29" t="s">
        <v>1237</v>
      </c>
      <c r="X119" s="11" t="s">
        <v>670</v>
      </c>
      <c r="Y119" s="5"/>
    </row>
    <row r="120" spans="1:25">
      <c r="A120" s="72" t="s">
        <v>1244</v>
      </c>
      <c r="B120" s="99">
        <v>119</v>
      </c>
      <c r="C120" s="91" t="s">
        <v>1190</v>
      </c>
      <c r="D120" s="93">
        <v>164</v>
      </c>
      <c r="E120" s="4" t="s">
        <v>1239</v>
      </c>
      <c r="F120" s="4" t="s">
        <v>1240</v>
      </c>
      <c r="G120" s="47" t="s">
        <v>2120</v>
      </c>
      <c r="H120" s="4">
        <v>2018</v>
      </c>
      <c r="I120" s="11" t="s">
        <v>990</v>
      </c>
      <c r="J120" s="11" t="s">
        <v>61</v>
      </c>
      <c r="K120" s="4">
        <v>20</v>
      </c>
      <c r="L120" s="4">
        <v>20</v>
      </c>
      <c r="M120" s="11" t="s">
        <v>261</v>
      </c>
      <c r="N120" s="67" t="s">
        <v>1467</v>
      </c>
      <c r="O120" s="11" t="s">
        <v>403</v>
      </c>
      <c r="P120" s="11" t="s">
        <v>1241</v>
      </c>
      <c r="Q120" s="51">
        <v>10</v>
      </c>
      <c r="R120" s="11" t="s">
        <v>1243</v>
      </c>
      <c r="S120" s="70" t="s">
        <v>5</v>
      </c>
      <c r="T120" s="11" t="s">
        <v>193</v>
      </c>
      <c r="U120" s="11" t="s">
        <v>907</v>
      </c>
      <c r="V120" s="67"/>
      <c r="W120" s="29" t="s">
        <v>1242</v>
      </c>
      <c r="X120" s="11" t="s">
        <v>675</v>
      </c>
      <c r="Y120" s="5"/>
    </row>
    <row r="121" spans="1:25">
      <c r="A121" s="72" t="s">
        <v>290</v>
      </c>
      <c r="B121" s="98">
        <v>120</v>
      </c>
      <c r="C121" s="91" t="s">
        <v>1190</v>
      </c>
      <c r="D121" s="93">
        <v>165</v>
      </c>
      <c r="E121" s="4" t="s">
        <v>1249</v>
      </c>
      <c r="F121" s="4" t="s">
        <v>181</v>
      </c>
      <c r="G121" s="47" t="s">
        <v>2122</v>
      </c>
      <c r="H121" s="4">
        <v>2018</v>
      </c>
      <c r="I121" s="11" t="s">
        <v>45</v>
      </c>
      <c r="J121" s="11" t="s">
        <v>45</v>
      </c>
      <c r="K121" s="4">
        <v>1</v>
      </c>
      <c r="L121" s="4">
        <v>1</v>
      </c>
      <c r="M121" s="11" t="s">
        <v>261</v>
      </c>
      <c r="N121" s="67" t="s">
        <v>470</v>
      </c>
      <c r="O121" s="11" t="s">
        <v>90</v>
      </c>
      <c r="P121" s="11" t="s">
        <v>1254</v>
      </c>
      <c r="Q121" s="51">
        <v>32</v>
      </c>
      <c r="R121" s="11" t="s">
        <v>131</v>
      </c>
      <c r="S121" s="67" t="s">
        <v>1288</v>
      </c>
      <c r="T121" s="11" t="s">
        <v>40</v>
      </c>
      <c r="U121" s="11" t="s">
        <v>447</v>
      </c>
      <c r="V121" s="67" t="s">
        <v>130</v>
      </c>
      <c r="W121" s="11" t="s">
        <v>1290</v>
      </c>
      <c r="X121" s="11" t="s">
        <v>670</v>
      </c>
      <c r="Y121" s="5"/>
    </row>
    <row r="122" spans="1:25">
      <c r="A122" s="72" t="s">
        <v>1256</v>
      </c>
      <c r="B122" s="99">
        <v>121</v>
      </c>
      <c r="C122" s="91" t="s">
        <v>1190</v>
      </c>
      <c r="D122" s="93">
        <v>166</v>
      </c>
      <c r="E122" s="11" t="s">
        <v>1250</v>
      </c>
      <c r="F122" s="11" t="s">
        <v>181</v>
      </c>
      <c r="G122" s="47" t="s">
        <v>2123</v>
      </c>
      <c r="H122" s="4">
        <v>2018</v>
      </c>
      <c r="I122" s="11" t="s">
        <v>45</v>
      </c>
      <c r="J122" s="11" t="s">
        <v>45</v>
      </c>
      <c r="K122" s="4">
        <v>29</v>
      </c>
      <c r="L122" s="4">
        <v>29</v>
      </c>
      <c r="M122" s="11" t="s">
        <v>35</v>
      </c>
      <c r="N122" s="67" t="s">
        <v>470</v>
      </c>
      <c r="O122" s="11" t="s">
        <v>1258</v>
      </c>
      <c r="P122" s="11" t="s">
        <v>1253</v>
      </c>
      <c r="Q122" s="51">
        <v>35</v>
      </c>
      <c r="R122" s="11" t="s">
        <v>1259</v>
      </c>
      <c r="S122" s="67" t="s">
        <v>130</v>
      </c>
      <c r="T122" s="11" t="s">
        <v>40</v>
      </c>
      <c r="U122" s="11" t="s">
        <v>907</v>
      </c>
      <c r="V122" s="67" t="s">
        <v>1255</v>
      </c>
      <c r="W122" s="11" t="s">
        <v>1252</v>
      </c>
      <c r="X122" s="11" t="s">
        <v>670</v>
      </c>
      <c r="Y122" s="5"/>
    </row>
    <row r="123" spans="1:25">
      <c r="A123" s="72" t="s">
        <v>1284</v>
      </c>
      <c r="B123" s="98">
        <v>122</v>
      </c>
      <c r="C123" s="91" t="s">
        <v>1190</v>
      </c>
      <c r="D123" s="93">
        <v>168</v>
      </c>
      <c r="E123" s="4" t="s">
        <v>1281</v>
      </c>
      <c r="F123" s="4" t="s">
        <v>1282</v>
      </c>
      <c r="G123" s="47" t="s">
        <v>2126</v>
      </c>
      <c r="H123" s="4">
        <v>2017</v>
      </c>
      <c r="I123" s="11" t="s">
        <v>61</v>
      </c>
      <c r="J123" s="11" t="s">
        <v>61</v>
      </c>
      <c r="K123" s="4">
        <v>3</v>
      </c>
      <c r="L123" s="4">
        <v>3</v>
      </c>
      <c r="M123" s="4" t="s">
        <v>35</v>
      </c>
      <c r="N123" s="67" t="s">
        <v>1467</v>
      </c>
      <c r="O123" s="4" t="s">
        <v>1480</v>
      </c>
      <c r="P123" s="4"/>
      <c r="Q123" s="51" t="s">
        <v>1283</v>
      </c>
      <c r="R123" s="4" t="s">
        <v>1272</v>
      </c>
      <c r="S123" s="67" t="s">
        <v>130</v>
      </c>
      <c r="T123" s="11" t="s">
        <v>40</v>
      </c>
      <c r="U123" s="11" t="s">
        <v>459</v>
      </c>
      <c r="V123" s="67" t="s">
        <v>130</v>
      </c>
      <c r="W123" s="11" t="s">
        <v>729</v>
      </c>
      <c r="X123" s="11" t="s">
        <v>675</v>
      </c>
    </row>
    <row r="124" spans="1:25">
      <c r="A124" s="72" t="s">
        <v>1306</v>
      </c>
      <c r="B124" s="99">
        <v>123</v>
      </c>
      <c r="C124" s="91" t="s">
        <v>1190</v>
      </c>
      <c r="D124" s="93">
        <v>169</v>
      </c>
      <c r="E124" s="4" t="s">
        <v>1299</v>
      </c>
      <c r="F124" s="4" t="s">
        <v>64</v>
      </c>
      <c r="G124" s="47" t="s">
        <v>2127</v>
      </c>
      <c r="H124" s="4">
        <v>2019</v>
      </c>
      <c r="I124" s="4" t="s">
        <v>51</v>
      </c>
      <c r="J124" s="4" t="s">
        <v>1305</v>
      </c>
      <c r="K124" s="53">
        <v>99</v>
      </c>
      <c r="L124" s="53">
        <v>99</v>
      </c>
      <c r="M124" s="4" t="s">
        <v>1300</v>
      </c>
      <c r="N124" s="67" t="s">
        <v>470</v>
      </c>
      <c r="O124" s="4" t="s">
        <v>1301</v>
      </c>
      <c r="P124" s="4" t="s">
        <v>1304</v>
      </c>
      <c r="Q124" s="51">
        <v>25</v>
      </c>
      <c r="R124" s="4" t="s">
        <v>1307</v>
      </c>
      <c r="S124" s="67" t="s">
        <v>1294</v>
      </c>
      <c r="T124" s="4" t="s">
        <v>40</v>
      </c>
      <c r="U124" s="4" t="s">
        <v>648</v>
      </c>
      <c r="V124" s="67" t="s">
        <v>130</v>
      </c>
      <c r="W124" s="4" t="s">
        <v>1302</v>
      </c>
      <c r="X124" s="4" t="s">
        <v>957</v>
      </c>
    </row>
    <row r="125" spans="1:25">
      <c r="A125" s="72" t="s">
        <v>1376</v>
      </c>
      <c r="B125" s="98">
        <v>124</v>
      </c>
      <c r="C125" s="91" t="s">
        <v>1190</v>
      </c>
      <c r="D125" s="93">
        <v>170</v>
      </c>
      <c r="E125" s="4" t="s">
        <v>1366</v>
      </c>
      <c r="F125" s="4" t="s">
        <v>64</v>
      </c>
      <c r="G125" s="47" t="s">
        <v>1367</v>
      </c>
      <c r="H125" s="4">
        <v>2019</v>
      </c>
      <c r="I125" s="4" t="s">
        <v>580</v>
      </c>
      <c r="J125" s="4" t="s">
        <v>1368</v>
      </c>
      <c r="K125" s="4">
        <v>123</v>
      </c>
      <c r="L125" s="4">
        <v>123</v>
      </c>
      <c r="M125" s="4" t="s">
        <v>35</v>
      </c>
      <c r="N125" s="67" t="s">
        <v>1469</v>
      </c>
      <c r="O125" s="4" t="s">
        <v>1369</v>
      </c>
      <c r="P125" s="4" t="s">
        <v>1370</v>
      </c>
      <c r="Q125" s="51">
        <v>15</v>
      </c>
      <c r="R125" s="4" t="s">
        <v>188</v>
      </c>
      <c r="S125" s="67" t="s">
        <v>1380</v>
      </c>
      <c r="T125" s="4" t="s">
        <v>40</v>
      </c>
      <c r="U125" s="4" t="s">
        <v>435</v>
      </c>
      <c r="V125" s="67" t="s">
        <v>1372</v>
      </c>
      <c r="W125" s="4" t="s">
        <v>1373</v>
      </c>
      <c r="X125" s="4" t="s">
        <v>670</v>
      </c>
    </row>
    <row r="126" spans="1:25">
      <c r="A126" s="72" t="s">
        <v>1518</v>
      </c>
      <c r="B126" s="99">
        <v>125</v>
      </c>
      <c r="C126" s="91" t="s">
        <v>1190</v>
      </c>
      <c r="D126" s="93">
        <v>171</v>
      </c>
      <c r="E126" s="4" t="s">
        <v>1922</v>
      </c>
      <c r="F126" s="4" t="s">
        <v>1382</v>
      </c>
      <c r="G126" s="47" t="s">
        <v>2128</v>
      </c>
      <c r="H126" s="4">
        <v>2014</v>
      </c>
      <c r="I126" s="4" t="s">
        <v>61</v>
      </c>
      <c r="J126" s="4" t="s">
        <v>1418</v>
      </c>
      <c r="K126" s="4">
        <v>11</v>
      </c>
      <c r="L126" s="4">
        <v>11</v>
      </c>
      <c r="M126" s="4" t="s">
        <v>261</v>
      </c>
      <c r="N126" s="67" t="s">
        <v>1467</v>
      </c>
      <c r="O126" s="4" t="s">
        <v>1924</v>
      </c>
      <c r="P126" s="4" t="s">
        <v>1923</v>
      </c>
      <c r="Q126" s="51">
        <v>32</v>
      </c>
      <c r="R126" s="4" t="s">
        <v>1925</v>
      </c>
      <c r="S126" s="67" t="s">
        <v>1929</v>
      </c>
      <c r="T126" s="11" t="s">
        <v>40</v>
      </c>
      <c r="U126" s="4" t="s">
        <v>935</v>
      </c>
      <c r="V126" s="67" t="s">
        <v>1926</v>
      </c>
      <c r="W126" s="4" t="s">
        <v>1927</v>
      </c>
      <c r="X126" s="11" t="s">
        <v>675</v>
      </c>
    </row>
    <row r="127" spans="1:25">
      <c r="A127" s="72" t="s">
        <v>1390</v>
      </c>
      <c r="B127" s="98">
        <v>126</v>
      </c>
      <c r="C127" s="91" t="s">
        <v>1190</v>
      </c>
      <c r="D127" s="93">
        <v>172</v>
      </c>
      <c r="E127" s="4" t="s">
        <v>1381</v>
      </c>
      <c r="F127" s="4" t="s">
        <v>1382</v>
      </c>
      <c r="G127" s="47" t="s">
        <v>2129</v>
      </c>
      <c r="H127" s="4">
        <v>2016</v>
      </c>
      <c r="I127" s="4" t="s">
        <v>1384</v>
      </c>
      <c r="J127" s="4" t="s">
        <v>1383</v>
      </c>
      <c r="K127" s="4" t="s">
        <v>1386</v>
      </c>
      <c r="L127" s="4" t="s">
        <v>1386</v>
      </c>
      <c r="M127" s="4" t="s">
        <v>43</v>
      </c>
      <c r="N127" s="67" t="s">
        <v>1467</v>
      </c>
      <c r="O127" s="4" t="s">
        <v>1391</v>
      </c>
      <c r="P127" s="4" t="s">
        <v>1385</v>
      </c>
      <c r="Q127" s="51">
        <v>33</v>
      </c>
      <c r="R127" s="4" t="s">
        <v>1388</v>
      </c>
      <c r="S127" s="67" t="s">
        <v>1387</v>
      </c>
      <c r="T127" s="4" t="s">
        <v>40</v>
      </c>
      <c r="U127" s="4" t="s">
        <v>935</v>
      </c>
      <c r="V127" s="67" t="s">
        <v>1025</v>
      </c>
      <c r="W127" s="4" t="s">
        <v>1389</v>
      </c>
      <c r="X127" s="4" t="s">
        <v>670</v>
      </c>
    </row>
    <row r="128" spans="1:25">
      <c r="A128" s="72" t="s">
        <v>275</v>
      </c>
      <c r="B128" s="99">
        <v>127</v>
      </c>
      <c r="C128" s="91" t="s">
        <v>1190</v>
      </c>
      <c r="D128" s="93">
        <v>173</v>
      </c>
      <c r="E128" s="4" t="s">
        <v>1392</v>
      </c>
      <c r="F128" s="4" t="s">
        <v>1393</v>
      </c>
      <c r="G128" s="47" t="s">
        <v>2130</v>
      </c>
      <c r="H128" s="4">
        <v>2008</v>
      </c>
      <c r="I128" s="4" t="s">
        <v>45</v>
      </c>
      <c r="J128" s="4" t="s">
        <v>45</v>
      </c>
      <c r="K128" s="4">
        <v>103</v>
      </c>
      <c r="L128" s="4">
        <v>103</v>
      </c>
      <c r="M128" s="4" t="s">
        <v>43</v>
      </c>
      <c r="N128" s="67" t="s">
        <v>470</v>
      </c>
      <c r="O128" s="4" t="s">
        <v>57</v>
      </c>
      <c r="P128" s="4" t="s">
        <v>1091</v>
      </c>
      <c r="Q128" s="51">
        <v>24</v>
      </c>
      <c r="R128" s="4" t="s">
        <v>1379</v>
      </c>
      <c r="S128" s="67" t="s">
        <v>130</v>
      </c>
      <c r="T128" s="11" t="s">
        <v>40</v>
      </c>
      <c r="U128" s="4" t="s">
        <v>459</v>
      </c>
      <c r="V128" s="67" t="s">
        <v>1025</v>
      </c>
      <c r="W128" s="4" t="s">
        <v>1394</v>
      </c>
      <c r="X128" s="4" t="s">
        <v>670</v>
      </c>
    </row>
    <row r="129" spans="1:25">
      <c r="A129" s="72" t="s">
        <v>1408</v>
      </c>
      <c r="B129" s="98">
        <v>128</v>
      </c>
      <c r="C129" s="91" t="s">
        <v>1190</v>
      </c>
      <c r="D129" s="93">
        <v>174</v>
      </c>
      <c r="E129" s="4" t="s">
        <v>1398</v>
      </c>
      <c r="F129" s="4" t="s">
        <v>1399</v>
      </c>
      <c r="G129" s="47" t="s">
        <v>1400</v>
      </c>
      <c r="H129" s="4">
        <v>2019</v>
      </c>
      <c r="I129" s="4" t="s">
        <v>1204</v>
      </c>
      <c r="J129" s="4" t="s">
        <v>1204</v>
      </c>
      <c r="K129" s="4">
        <v>29</v>
      </c>
      <c r="L129" s="4">
        <v>29</v>
      </c>
      <c r="M129" s="4" t="s">
        <v>35</v>
      </c>
      <c r="N129" s="67" t="s">
        <v>1469</v>
      </c>
      <c r="O129" s="4" t="s">
        <v>1402</v>
      </c>
      <c r="P129" s="4" t="s">
        <v>1401</v>
      </c>
      <c r="Q129" s="51">
        <v>20</v>
      </c>
      <c r="R129" s="4" t="s">
        <v>1041</v>
      </c>
      <c r="S129" s="67" t="s">
        <v>1406</v>
      </c>
      <c r="T129" s="11" t="s">
        <v>40</v>
      </c>
      <c r="U129" s="4" t="s">
        <v>447</v>
      </c>
      <c r="V129" s="67" t="s">
        <v>1025</v>
      </c>
      <c r="W129" s="4" t="s">
        <v>1407</v>
      </c>
      <c r="X129" s="4" t="s">
        <v>670</v>
      </c>
    </row>
    <row r="130" spans="1:25">
      <c r="A130" s="72" t="s">
        <v>1414</v>
      </c>
      <c r="B130" s="99">
        <v>129</v>
      </c>
      <c r="C130" s="91" t="s">
        <v>1190</v>
      </c>
      <c r="D130" s="93">
        <v>175</v>
      </c>
      <c r="E130" s="4" t="s">
        <v>1409</v>
      </c>
      <c r="F130" s="4" t="s">
        <v>723</v>
      </c>
      <c r="G130" s="47" t="s">
        <v>2131</v>
      </c>
      <c r="H130" s="4">
        <v>2018</v>
      </c>
      <c r="I130" s="4" t="s">
        <v>45</v>
      </c>
      <c r="J130" s="4" t="s">
        <v>45</v>
      </c>
      <c r="K130" s="4">
        <v>65</v>
      </c>
      <c r="L130" s="4">
        <v>65</v>
      </c>
      <c r="M130" s="4" t="s">
        <v>35</v>
      </c>
      <c r="N130" s="67" t="s">
        <v>1464</v>
      </c>
      <c r="O130" s="4" t="s">
        <v>1413</v>
      </c>
      <c r="P130" s="4" t="s">
        <v>1410</v>
      </c>
      <c r="Q130" s="51">
        <v>32</v>
      </c>
      <c r="R130" s="4" t="s">
        <v>188</v>
      </c>
      <c r="S130" s="67" t="s">
        <v>1411</v>
      </c>
      <c r="T130" s="11" t="s">
        <v>40</v>
      </c>
      <c r="U130" s="4" t="s">
        <v>435</v>
      </c>
      <c r="V130" s="67" t="s">
        <v>1431</v>
      </c>
      <c r="W130" s="4" t="s">
        <v>1415</v>
      </c>
      <c r="X130" s="4" t="s">
        <v>670</v>
      </c>
    </row>
    <row r="131" spans="1:25">
      <c r="A131" s="72" t="s">
        <v>1424</v>
      </c>
      <c r="B131" s="98">
        <v>130</v>
      </c>
      <c r="C131" s="91" t="s">
        <v>1190</v>
      </c>
      <c r="D131" s="93">
        <v>176</v>
      </c>
      <c r="E131" s="4" t="s">
        <v>1416</v>
      </c>
      <c r="F131" s="4" t="s">
        <v>239</v>
      </c>
      <c r="G131" s="47" t="s">
        <v>2132</v>
      </c>
      <c r="H131" s="4">
        <v>2015</v>
      </c>
      <c r="I131" s="4" t="s">
        <v>1417</v>
      </c>
      <c r="J131" s="4" t="s">
        <v>1418</v>
      </c>
      <c r="K131" s="4">
        <v>46</v>
      </c>
      <c r="L131" s="4">
        <v>46</v>
      </c>
      <c r="M131" s="4" t="s">
        <v>35</v>
      </c>
      <c r="N131" s="67" t="s">
        <v>1467</v>
      </c>
      <c r="O131" s="4" t="s">
        <v>1423</v>
      </c>
      <c r="P131" s="4" t="s">
        <v>1420</v>
      </c>
      <c r="Q131" s="51">
        <v>46</v>
      </c>
      <c r="R131" s="4" t="s">
        <v>1419</v>
      </c>
      <c r="S131" s="67" t="s">
        <v>1422</v>
      </c>
      <c r="T131" s="11" t="s">
        <v>40</v>
      </c>
      <c r="U131" s="4" t="s">
        <v>1425</v>
      </c>
      <c r="V131" s="67" t="s">
        <v>1432</v>
      </c>
      <c r="W131" s="4" t="s">
        <v>1421</v>
      </c>
      <c r="X131" s="11" t="s">
        <v>675</v>
      </c>
    </row>
    <row r="132" spans="1:25">
      <c r="A132" s="72" t="s">
        <v>280</v>
      </c>
      <c r="B132" s="99">
        <v>131</v>
      </c>
      <c r="C132" s="91" t="s">
        <v>1190</v>
      </c>
      <c r="D132" s="93">
        <v>177</v>
      </c>
      <c r="E132" s="4" t="s">
        <v>1428</v>
      </c>
      <c r="F132" s="4" t="s">
        <v>1229</v>
      </c>
      <c r="G132" s="47" t="s">
        <v>1427</v>
      </c>
      <c r="H132" s="4">
        <v>2019</v>
      </c>
      <c r="I132" s="4" t="s">
        <v>51</v>
      </c>
      <c r="J132" s="4" t="s">
        <v>1437</v>
      </c>
      <c r="K132" s="4">
        <v>291</v>
      </c>
      <c r="L132" s="4" t="s">
        <v>1436</v>
      </c>
      <c r="M132" s="4" t="s">
        <v>43</v>
      </c>
      <c r="N132" s="67" t="s">
        <v>470</v>
      </c>
      <c r="O132" s="4" t="s">
        <v>68</v>
      </c>
      <c r="P132" s="4" t="s">
        <v>1429</v>
      </c>
      <c r="Q132" s="51">
        <v>40</v>
      </c>
      <c r="R132" s="4" t="s">
        <v>1379</v>
      </c>
      <c r="S132" s="67" t="s">
        <v>1433</v>
      </c>
      <c r="T132" s="11" t="s">
        <v>40</v>
      </c>
      <c r="U132" s="4" t="s">
        <v>447</v>
      </c>
      <c r="V132" s="67" t="s">
        <v>1430</v>
      </c>
      <c r="W132" s="4" t="s">
        <v>1454</v>
      </c>
      <c r="X132" s="4" t="s">
        <v>670</v>
      </c>
    </row>
    <row r="133" spans="1:25">
      <c r="A133" s="72" t="s">
        <v>1457</v>
      </c>
      <c r="B133" s="98">
        <v>132</v>
      </c>
      <c r="C133" s="91" t="s">
        <v>1190</v>
      </c>
      <c r="D133" s="93">
        <v>178</v>
      </c>
      <c r="E133" s="4" t="s">
        <v>1450</v>
      </c>
      <c r="F133" s="4" t="s">
        <v>674</v>
      </c>
      <c r="G133" s="47" t="s">
        <v>2133</v>
      </c>
      <c r="H133" s="4">
        <v>2019</v>
      </c>
      <c r="I133" s="4" t="s">
        <v>48</v>
      </c>
      <c r="J133" s="4" t="s">
        <v>1451</v>
      </c>
      <c r="K133" s="4">
        <v>22</v>
      </c>
      <c r="L133" s="4">
        <v>22</v>
      </c>
      <c r="M133" s="4" t="s">
        <v>261</v>
      </c>
      <c r="N133" s="67" t="s">
        <v>470</v>
      </c>
      <c r="O133" s="4" t="s">
        <v>1452</v>
      </c>
      <c r="P133" s="4" t="s">
        <v>1453</v>
      </c>
      <c r="Q133" s="51">
        <v>100</v>
      </c>
      <c r="R133" s="4" t="s">
        <v>1459</v>
      </c>
      <c r="S133" s="67" t="s">
        <v>1458</v>
      </c>
      <c r="T133" s="11" t="s">
        <v>40</v>
      </c>
      <c r="U133" s="4" t="s">
        <v>911</v>
      </c>
      <c r="V133" s="67" t="s">
        <v>1455</v>
      </c>
      <c r="W133" s="4" t="s">
        <v>1456</v>
      </c>
      <c r="X133" s="4" t="s">
        <v>670</v>
      </c>
    </row>
    <row r="134" spans="1:25">
      <c r="A134" s="72" t="s">
        <v>1478</v>
      </c>
      <c r="B134" s="99">
        <v>133</v>
      </c>
      <c r="C134" s="91" t="s">
        <v>1190</v>
      </c>
      <c r="D134" s="93">
        <v>179</v>
      </c>
      <c r="E134" s="4" t="s">
        <v>1471</v>
      </c>
      <c r="F134" s="4" t="s">
        <v>239</v>
      </c>
      <c r="G134" s="47" t="s">
        <v>2134</v>
      </c>
      <c r="H134" s="4">
        <v>2019</v>
      </c>
      <c r="I134" s="4" t="s">
        <v>45</v>
      </c>
      <c r="J134" s="4" t="s">
        <v>45</v>
      </c>
      <c r="K134" s="4">
        <v>8</v>
      </c>
      <c r="L134" s="4">
        <v>8</v>
      </c>
      <c r="M134" s="4" t="s">
        <v>35</v>
      </c>
      <c r="N134" s="67" t="s">
        <v>1467</v>
      </c>
      <c r="O134" s="4" t="s">
        <v>1473</v>
      </c>
      <c r="P134" s="4" t="s">
        <v>1472</v>
      </c>
      <c r="Q134" s="51">
        <v>9</v>
      </c>
      <c r="R134" s="4" t="s">
        <v>1479</v>
      </c>
      <c r="S134" s="67" t="s">
        <v>130</v>
      </c>
      <c r="T134" s="11" t="s">
        <v>40</v>
      </c>
      <c r="U134" s="4" t="s">
        <v>459</v>
      </c>
      <c r="V134" s="67" t="s">
        <v>130</v>
      </c>
      <c r="W134" s="4" t="s">
        <v>1475</v>
      </c>
      <c r="X134" s="4" t="s">
        <v>670</v>
      </c>
    </row>
    <row r="135" spans="1:25">
      <c r="A135" s="72" t="s">
        <v>1522</v>
      </c>
      <c r="B135" s="98">
        <v>134</v>
      </c>
      <c r="C135" s="91" t="s">
        <v>1190</v>
      </c>
      <c r="D135" s="93">
        <v>180</v>
      </c>
      <c r="E135" s="4" t="s">
        <v>1519</v>
      </c>
      <c r="F135" s="4" t="s">
        <v>181</v>
      </c>
      <c r="G135" s="47" t="s">
        <v>2136</v>
      </c>
      <c r="H135" s="4">
        <v>2019</v>
      </c>
      <c r="I135" s="4" t="s">
        <v>1204</v>
      </c>
      <c r="J135" s="4" t="s">
        <v>61</v>
      </c>
      <c r="K135" s="4">
        <v>7</v>
      </c>
      <c r="L135" s="4">
        <v>7</v>
      </c>
      <c r="M135" s="11" t="s">
        <v>35</v>
      </c>
      <c r="N135" s="67" t="s">
        <v>1469</v>
      </c>
      <c r="O135" s="11" t="s">
        <v>1520</v>
      </c>
      <c r="P135" s="11" t="s">
        <v>1521</v>
      </c>
      <c r="Q135" s="51">
        <v>94</v>
      </c>
      <c r="R135" s="11" t="s">
        <v>1524</v>
      </c>
      <c r="S135" s="67" t="s">
        <v>1687</v>
      </c>
      <c r="T135" s="11" t="s">
        <v>40</v>
      </c>
      <c r="U135" s="11" t="s">
        <v>465</v>
      </c>
      <c r="V135" s="67" t="s">
        <v>1523</v>
      </c>
      <c r="W135" s="11" t="s">
        <v>1688</v>
      </c>
      <c r="X135" s="11" t="s">
        <v>675</v>
      </c>
    </row>
    <row r="136" spans="1:25" s="5" customFormat="1">
      <c r="A136" s="72" t="s">
        <v>1543</v>
      </c>
      <c r="B136" s="99">
        <v>135</v>
      </c>
      <c r="C136" s="91" t="s">
        <v>1190</v>
      </c>
      <c r="D136" s="93">
        <v>181</v>
      </c>
      <c r="E136" s="4" t="s">
        <v>1540</v>
      </c>
      <c r="F136" s="4" t="s">
        <v>1541</v>
      </c>
      <c r="G136" s="47" t="s">
        <v>2137</v>
      </c>
      <c r="H136" s="4">
        <v>2019</v>
      </c>
      <c r="I136" s="4" t="s">
        <v>344</v>
      </c>
      <c r="J136" s="4" t="s">
        <v>51</v>
      </c>
      <c r="K136" s="4">
        <v>4</v>
      </c>
      <c r="L136" s="4">
        <v>4</v>
      </c>
      <c r="M136" s="4" t="s">
        <v>35</v>
      </c>
      <c r="N136" s="67" t="s">
        <v>1467</v>
      </c>
      <c r="O136" s="11" t="s">
        <v>1544</v>
      </c>
      <c r="P136" s="11" t="s">
        <v>1546</v>
      </c>
      <c r="Q136" s="51">
        <v>125</v>
      </c>
      <c r="R136" s="11" t="s">
        <v>1542</v>
      </c>
      <c r="S136" s="67" t="s">
        <v>1684</v>
      </c>
      <c r="T136" s="11" t="s">
        <v>40</v>
      </c>
      <c r="U136" s="4" t="s">
        <v>459</v>
      </c>
      <c r="V136" s="67" t="s">
        <v>1683</v>
      </c>
      <c r="W136" s="4" t="s">
        <v>1545</v>
      </c>
      <c r="X136" s="4" t="s">
        <v>670</v>
      </c>
      <c r="Y136"/>
    </row>
    <row r="137" spans="1:25">
      <c r="A137" s="72" t="s">
        <v>1561</v>
      </c>
      <c r="B137" s="98">
        <v>136</v>
      </c>
      <c r="C137" s="91" t="s">
        <v>1190</v>
      </c>
      <c r="D137" s="93">
        <v>182</v>
      </c>
      <c r="E137" s="4" t="s">
        <v>1551</v>
      </c>
      <c r="F137" s="4" t="s">
        <v>1552</v>
      </c>
      <c r="G137" s="47" t="s">
        <v>2138</v>
      </c>
      <c r="H137" s="4">
        <v>2018</v>
      </c>
      <c r="I137" s="4" t="s">
        <v>1553</v>
      </c>
      <c r="J137" s="4" t="s">
        <v>1554</v>
      </c>
      <c r="K137" s="4">
        <v>2</v>
      </c>
      <c r="L137" s="4">
        <v>2</v>
      </c>
      <c r="M137" s="4" t="s">
        <v>43</v>
      </c>
      <c r="N137" s="67" t="s">
        <v>1467</v>
      </c>
      <c r="O137" s="11" t="s">
        <v>1555</v>
      </c>
      <c r="P137" s="11" t="s">
        <v>1556</v>
      </c>
      <c r="Q137" s="51" t="s">
        <v>1558</v>
      </c>
      <c r="R137" s="11" t="s">
        <v>1681</v>
      </c>
      <c r="S137" s="70" t="s">
        <v>1560</v>
      </c>
      <c r="T137" s="11" t="s">
        <v>40</v>
      </c>
      <c r="U137" s="4" t="s">
        <v>935</v>
      </c>
      <c r="V137" s="67" t="s">
        <v>1025</v>
      </c>
      <c r="W137" s="4" t="s">
        <v>1559</v>
      </c>
      <c r="X137" s="4" t="s">
        <v>670</v>
      </c>
    </row>
    <row r="138" spans="1:25">
      <c r="A138" s="72" t="s">
        <v>1568</v>
      </c>
      <c r="B138" s="99">
        <v>137</v>
      </c>
      <c r="C138" s="91" t="s">
        <v>1190</v>
      </c>
      <c r="D138" s="93">
        <v>183</v>
      </c>
      <c r="E138" s="4" t="s">
        <v>1562</v>
      </c>
      <c r="F138" s="4" t="s">
        <v>56</v>
      </c>
      <c r="G138" s="47" t="s">
        <v>2139</v>
      </c>
      <c r="H138" s="4">
        <v>2014</v>
      </c>
      <c r="I138" s="4" t="s">
        <v>45</v>
      </c>
      <c r="J138" s="4" t="s">
        <v>45</v>
      </c>
      <c r="K138" s="4">
        <v>40</v>
      </c>
      <c r="L138" s="4">
        <v>40</v>
      </c>
      <c r="M138" s="4" t="s">
        <v>43</v>
      </c>
      <c r="N138" s="67" t="s">
        <v>1467</v>
      </c>
      <c r="O138" s="11" t="s">
        <v>178</v>
      </c>
      <c r="P138" s="11" t="s">
        <v>1563</v>
      </c>
      <c r="Q138" s="51">
        <v>35</v>
      </c>
      <c r="R138" s="11" t="s">
        <v>1564</v>
      </c>
      <c r="S138" s="67" t="s">
        <v>1566</v>
      </c>
      <c r="T138" s="11" t="s">
        <v>40</v>
      </c>
      <c r="U138" s="4" t="s">
        <v>1607</v>
      </c>
      <c r="V138" s="67" t="s">
        <v>1025</v>
      </c>
      <c r="W138" s="4" t="s">
        <v>1565</v>
      </c>
      <c r="X138" s="4" t="s">
        <v>670</v>
      </c>
    </row>
    <row r="139" spans="1:25">
      <c r="A139" s="72" t="s">
        <v>284</v>
      </c>
      <c r="B139" s="98">
        <v>138</v>
      </c>
      <c r="C139" s="91" t="s">
        <v>1190</v>
      </c>
      <c r="D139" s="93">
        <v>184</v>
      </c>
      <c r="E139" s="4" t="s">
        <v>1604</v>
      </c>
      <c r="F139" s="4" t="s">
        <v>590</v>
      </c>
      <c r="G139" s="47" t="s">
        <v>2140</v>
      </c>
      <c r="H139" s="4">
        <v>2019</v>
      </c>
      <c r="I139" s="11" t="s">
        <v>50</v>
      </c>
      <c r="J139" s="4" t="s">
        <v>51</v>
      </c>
      <c r="K139" s="4">
        <v>133</v>
      </c>
      <c r="L139" s="4">
        <v>133</v>
      </c>
      <c r="M139" s="11" t="s">
        <v>35</v>
      </c>
      <c r="N139" s="67" t="s">
        <v>470</v>
      </c>
      <c r="O139" s="11" t="s">
        <v>1605</v>
      </c>
      <c r="P139" s="11" t="s">
        <v>1678</v>
      </c>
      <c r="Q139" s="51">
        <f>2012-2006</f>
        <v>6</v>
      </c>
      <c r="R139" s="11" t="s">
        <v>1479</v>
      </c>
      <c r="S139" s="67" t="s">
        <v>130</v>
      </c>
      <c r="T139" s="11" t="s">
        <v>40</v>
      </c>
      <c r="U139" s="4" t="s">
        <v>1608</v>
      </c>
      <c r="V139" s="67" t="s">
        <v>1025</v>
      </c>
      <c r="W139" s="4" t="s">
        <v>1679</v>
      </c>
      <c r="X139" s="4" t="s">
        <v>670</v>
      </c>
    </row>
    <row r="140" spans="1:25">
      <c r="A140" s="72" t="s">
        <v>302</v>
      </c>
      <c r="B140" s="98">
        <v>139</v>
      </c>
      <c r="C140" s="91" t="s">
        <v>1190</v>
      </c>
      <c r="D140" s="93">
        <v>185</v>
      </c>
      <c r="E140" s="4" t="s">
        <v>1624</v>
      </c>
      <c r="F140" s="4" t="s">
        <v>1625</v>
      </c>
      <c r="G140" s="47" t="s">
        <v>2141</v>
      </c>
      <c r="H140" s="4">
        <v>2020</v>
      </c>
      <c r="I140" s="11" t="s">
        <v>45</v>
      </c>
      <c r="J140" s="11" t="s">
        <v>45</v>
      </c>
      <c r="K140" s="4">
        <v>17</v>
      </c>
      <c r="L140" s="4">
        <v>17</v>
      </c>
      <c r="M140" s="11" t="s">
        <v>35</v>
      </c>
      <c r="N140" s="67" t="s">
        <v>470</v>
      </c>
      <c r="O140" s="11" t="s">
        <v>1627</v>
      </c>
      <c r="P140" s="11" t="s">
        <v>1626</v>
      </c>
      <c r="Q140" s="51">
        <v>24</v>
      </c>
      <c r="R140" s="11" t="s">
        <v>188</v>
      </c>
      <c r="S140" s="67" t="s">
        <v>1629</v>
      </c>
      <c r="T140" s="11" t="s">
        <v>40</v>
      </c>
      <c r="U140" s="11" t="s">
        <v>935</v>
      </c>
      <c r="V140" s="67" t="s">
        <v>1630</v>
      </c>
      <c r="W140" s="11" t="s">
        <v>1677</v>
      </c>
      <c r="X140" s="11" t="s">
        <v>670</v>
      </c>
    </row>
    <row r="141" spans="1:25">
      <c r="A141" s="72" t="s">
        <v>1638</v>
      </c>
      <c r="B141" s="99">
        <v>140</v>
      </c>
      <c r="C141" s="91" t="s">
        <v>1190</v>
      </c>
      <c r="D141" s="93">
        <v>186</v>
      </c>
      <c r="E141" s="4" t="s">
        <v>1632</v>
      </c>
      <c r="F141" s="4" t="s">
        <v>1633</v>
      </c>
      <c r="G141" s="47" t="s">
        <v>2142</v>
      </c>
      <c r="H141" s="4">
        <v>2013</v>
      </c>
      <c r="I141" s="4" t="s">
        <v>51</v>
      </c>
      <c r="J141" s="4" t="s">
        <v>580</v>
      </c>
      <c r="K141" s="4">
        <v>2</v>
      </c>
      <c r="L141" s="4">
        <v>2</v>
      </c>
      <c r="M141" s="4" t="s">
        <v>35</v>
      </c>
      <c r="N141" s="67" t="s">
        <v>1469</v>
      </c>
      <c r="O141" s="11" t="s">
        <v>1634</v>
      </c>
      <c r="P141" s="11" t="s">
        <v>1676</v>
      </c>
      <c r="Q141" s="51">
        <v>40</v>
      </c>
      <c r="R141" s="11" t="s">
        <v>188</v>
      </c>
      <c r="S141" s="67" t="s">
        <v>130</v>
      </c>
      <c r="T141" s="11" t="s">
        <v>40</v>
      </c>
      <c r="U141" s="4" t="s">
        <v>459</v>
      </c>
      <c r="V141" s="67" t="s">
        <v>1025</v>
      </c>
      <c r="W141" s="4" t="s">
        <v>1637</v>
      </c>
      <c r="X141" s="11" t="s">
        <v>670</v>
      </c>
    </row>
    <row r="142" spans="1:25">
      <c r="A142" s="72" t="s">
        <v>1707</v>
      </c>
      <c r="B142" s="98">
        <v>141</v>
      </c>
      <c r="C142" s="91" t="s">
        <v>1190</v>
      </c>
      <c r="D142" s="93">
        <v>187</v>
      </c>
      <c r="E142" s="4" t="s">
        <v>1690</v>
      </c>
      <c r="F142" s="4" t="s">
        <v>160</v>
      </c>
      <c r="G142" s="47" t="s">
        <v>2143</v>
      </c>
      <c r="H142" s="4">
        <v>2017</v>
      </c>
      <c r="I142" s="11" t="s">
        <v>1204</v>
      </c>
      <c r="J142" s="4" t="s">
        <v>1204</v>
      </c>
      <c r="K142" s="4">
        <v>1334</v>
      </c>
      <c r="L142" s="4" t="s">
        <v>1704</v>
      </c>
      <c r="M142" s="4" t="s">
        <v>35</v>
      </c>
      <c r="N142" s="67" t="s">
        <v>470</v>
      </c>
      <c r="O142" s="11" t="s">
        <v>155</v>
      </c>
      <c r="P142" s="57" t="s">
        <v>1401</v>
      </c>
      <c r="Q142" s="51">
        <v>20</v>
      </c>
      <c r="R142" s="11" t="s">
        <v>1479</v>
      </c>
      <c r="S142" s="67" t="s">
        <v>1706</v>
      </c>
      <c r="T142" s="11" t="s">
        <v>40</v>
      </c>
      <c r="U142" s="4" t="s">
        <v>459</v>
      </c>
      <c r="V142" s="67" t="s">
        <v>1700</v>
      </c>
      <c r="W142" s="4" t="s">
        <v>1705</v>
      </c>
      <c r="X142" s="4" t="s">
        <v>675</v>
      </c>
      <c r="Y142" s="5"/>
    </row>
    <row r="143" spans="1:25">
      <c r="A143" s="72" t="s">
        <v>1699</v>
      </c>
      <c r="B143" s="99">
        <v>142</v>
      </c>
      <c r="C143" s="91" t="s">
        <v>1190</v>
      </c>
      <c r="D143" s="93">
        <v>188</v>
      </c>
      <c r="E143" s="4" t="s">
        <v>1691</v>
      </c>
      <c r="F143" s="4" t="s">
        <v>536</v>
      </c>
      <c r="G143" s="47" t="s">
        <v>2144</v>
      </c>
      <c r="H143" s="4">
        <v>2018</v>
      </c>
      <c r="I143" s="11" t="s">
        <v>230</v>
      </c>
      <c r="J143" s="11" t="s">
        <v>1692</v>
      </c>
      <c r="K143" s="4">
        <v>135</v>
      </c>
      <c r="L143" s="4">
        <v>135</v>
      </c>
      <c r="M143" s="4" t="s">
        <v>1709</v>
      </c>
      <c r="N143" s="67" t="s">
        <v>1464</v>
      </c>
      <c r="O143" s="4" t="s">
        <v>1693</v>
      </c>
      <c r="P143" s="11" t="s">
        <v>1180</v>
      </c>
      <c r="Q143" s="51">
        <v>30</v>
      </c>
      <c r="R143" s="4" t="s">
        <v>1694</v>
      </c>
      <c r="S143" s="67" t="s">
        <v>130</v>
      </c>
      <c r="T143" s="4" t="s">
        <v>1695</v>
      </c>
      <c r="U143" s="4" t="s">
        <v>1696</v>
      </c>
      <c r="V143" s="67" t="s">
        <v>1697</v>
      </c>
      <c r="W143" s="4" t="s">
        <v>1698</v>
      </c>
      <c r="X143" s="11" t="s">
        <v>670</v>
      </c>
      <c r="Y143" s="4"/>
    </row>
    <row r="144" spans="1:25" s="5" customFormat="1">
      <c r="A144" s="72" t="s">
        <v>1719</v>
      </c>
      <c r="B144" s="98">
        <v>143</v>
      </c>
      <c r="C144" s="91" t="s">
        <v>1025</v>
      </c>
      <c r="D144" s="93">
        <v>189</v>
      </c>
      <c r="E144" s="4" t="s">
        <v>1708</v>
      </c>
      <c r="F144" s="4" t="s">
        <v>64</v>
      </c>
      <c r="G144" s="47" t="s">
        <v>2145</v>
      </c>
      <c r="H144" s="4">
        <v>2019</v>
      </c>
      <c r="I144" s="4" t="s">
        <v>45</v>
      </c>
      <c r="J144" s="4" t="s">
        <v>96</v>
      </c>
      <c r="K144" s="4">
        <v>112</v>
      </c>
      <c r="L144" s="4">
        <v>112</v>
      </c>
      <c r="M144" s="11" t="s">
        <v>35</v>
      </c>
      <c r="N144" s="67" t="s">
        <v>1464</v>
      </c>
      <c r="O144" s="11" t="s">
        <v>1717</v>
      </c>
      <c r="P144" s="11" t="s">
        <v>1710</v>
      </c>
      <c r="Q144" s="65"/>
      <c r="R144" s="4" t="s">
        <v>131</v>
      </c>
      <c r="S144" s="67" t="s">
        <v>130</v>
      </c>
      <c r="T144" s="11" t="s">
        <v>193</v>
      </c>
      <c r="U144" s="4" t="s">
        <v>1716</v>
      </c>
      <c r="V144" s="67" t="s">
        <v>1713</v>
      </c>
      <c r="W144" s="4" t="s">
        <v>1718</v>
      </c>
      <c r="X144" s="11" t="s">
        <v>670</v>
      </c>
      <c r="Y144"/>
    </row>
    <row r="145" spans="1:24">
      <c r="A145" s="72" t="s">
        <v>1748</v>
      </c>
      <c r="B145" s="99">
        <v>144</v>
      </c>
      <c r="C145" s="91" t="s">
        <v>1190</v>
      </c>
      <c r="D145" s="93">
        <v>190</v>
      </c>
      <c r="E145" s="4" t="s">
        <v>1720</v>
      </c>
      <c r="F145" s="4" t="s">
        <v>1229</v>
      </c>
      <c r="G145" s="47" t="s">
        <v>2146</v>
      </c>
      <c r="H145" s="4">
        <v>2020</v>
      </c>
      <c r="I145" s="11" t="s">
        <v>230</v>
      </c>
      <c r="J145" s="4" t="s">
        <v>1692</v>
      </c>
      <c r="K145" s="4">
        <v>82</v>
      </c>
      <c r="L145" s="4">
        <v>82</v>
      </c>
      <c r="M145" s="11" t="s">
        <v>43</v>
      </c>
      <c r="N145" s="67" t="s">
        <v>470</v>
      </c>
      <c r="O145" s="11" t="s">
        <v>1724</v>
      </c>
      <c r="P145" s="11" t="s">
        <v>1722</v>
      </c>
      <c r="Q145" s="51">
        <v>22</v>
      </c>
      <c r="R145" s="4" t="s">
        <v>514</v>
      </c>
      <c r="S145" s="67" t="s">
        <v>1727</v>
      </c>
      <c r="T145" s="11" t="s">
        <v>86</v>
      </c>
      <c r="U145" s="4" t="s">
        <v>1721</v>
      </c>
      <c r="V145" s="67" t="s">
        <v>1723</v>
      </c>
      <c r="W145" s="4" t="s">
        <v>1725</v>
      </c>
      <c r="X145" s="11" t="s">
        <v>670</v>
      </c>
    </row>
    <row r="146" spans="1:24">
      <c r="A146" s="72" t="s">
        <v>1749</v>
      </c>
      <c r="B146" s="98">
        <v>145</v>
      </c>
      <c r="C146" s="91" t="s">
        <v>1190</v>
      </c>
      <c r="D146" s="93">
        <v>191</v>
      </c>
      <c r="E146" s="4" t="s">
        <v>1728</v>
      </c>
      <c r="F146" s="4" t="s">
        <v>1729</v>
      </c>
      <c r="G146" s="47" t="s">
        <v>2147</v>
      </c>
      <c r="H146" s="4">
        <v>2014</v>
      </c>
      <c r="I146" s="11" t="s">
        <v>1692</v>
      </c>
      <c r="J146" s="11" t="s">
        <v>1692</v>
      </c>
      <c r="K146" s="4">
        <v>54</v>
      </c>
      <c r="L146" s="4">
        <v>54</v>
      </c>
      <c r="M146" s="4" t="s">
        <v>43</v>
      </c>
      <c r="N146" s="67" t="s">
        <v>1731</v>
      </c>
      <c r="O146" s="4" t="s">
        <v>1732</v>
      </c>
      <c r="P146" s="11" t="s">
        <v>1730</v>
      </c>
      <c r="Q146" s="11"/>
      <c r="R146" s="4" t="s">
        <v>514</v>
      </c>
      <c r="S146" s="4" t="s">
        <v>1025</v>
      </c>
      <c r="T146" s="11" t="s">
        <v>86</v>
      </c>
      <c r="U146" s="4" t="s">
        <v>447</v>
      </c>
      <c r="V146" s="4" t="s">
        <v>1025</v>
      </c>
      <c r="W146" s="4" t="s">
        <v>1025</v>
      </c>
      <c r="X146" s="11" t="s">
        <v>670</v>
      </c>
    </row>
    <row r="147" spans="1:24">
      <c r="A147" s="72" t="s">
        <v>1750</v>
      </c>
      <c r="B147" s="99">
        <v>146</v>
      </c>
      <c r="C147" s="91" t="s">
        <v>1190</v>
      </c>
      <c r="D147" s="93">
        <v>192</v>
      </c>
      <c r="E147" s="4" t="s">
        <v>1734</v>
      </c>
      <c r="F147" s="4" t="s">
        <v>1735</v>
      </c>
      <c r="G147" s="47" t="s">
        <v>2148</v>
      </c>
      <c r="H147" s="4">
        <v>2013</v>
      </c>
      <c r="I147" s="4" t="s">
        <v>689</v>
      </c>
      <c r="J147" s="11" t="s">
        <v>689</v>
      </c>
      <c r="K147" s="4" t="s">
        <v>1738</v>
      </c>
      <c r="L147" s="4" t="s">
        <v>1738</v>
      </c>
      <c r="M147" s="4" t="s">
        <v>43</v>
      </c>
      <c r="N147" s="67" t="s">
        <v>1736</v>
      </c>
      <c r="O147" s="4"/>
      <c r="P147" s="11" t="s">
        <v>1737</v>
      </c>
      <c r="Q147" s="51">
        <v>30</v>
      </c>
      <c r="R147" s="4" t="s">
        <v>131</v>
      </c>
      <c r="S147" s="67" t="s">
        <v>1739</v>
      </c>
      <c r="T147" s="11" t="s">
        <v>86</v>
      </c>
      <c r="U147" s="4" t="s">
        <v>447</v>
      </c>
      <c r="V147" s="67" t="s">
        <v>1740</v>
      </c>
      <c r="W147" s="4" t="s">
        <v>1741</v>
      </c>
      <c r="X147" s="11" t="s">
        <v>675</v>
      </c>
    </row>
    <row r="148" spans="1:24">
      <c r="A148" s="72" t="s">
        <v>1751</v>
      </c>
      <c r="B148" s="98">
        <v>147</v>
      </c>
      <c r="C148" s="91" t="s">
        <v>1190</v>
      </c>
      <c r="D148" s="93">
        <v>193</v>
      </c>
      <c r="E148" s="4" t="s">
        <v>1743</v>
      </c>
      <c r="F148" s="4" t="s">
        <v>181</v>
      </c>
      <c r="G148" s="47" t="s">
        <v>2149</v>
      </c>
      <c r="H148" s="4">
        <v>2012</v>
      </c>
      <c r="I148" s="11" t="s">
        <v>697</v>
      </c>
      <c r="J148" s="11" t="s">
        <v>1742</v>
      </c>
      <c r="K148" s="4">
        <v>18</v>
      </c>
      <c r="L148" s="4">
        <v>18</v>
      </c>
      <c r="M148" s="4" t="s">
        <v>1745</v>
      </c>
      <c r="N148" s="67" t="s">
        <v>1469</v>
      </c>
      <c r="O148" s="4" t="s">
        <v>1746</v>
      </c>
      <c r="P148" s="11" t="s">
        <v>1747</v>
      </c>
      <c r="Q148" s="51">
        <v>40</v>
      </c>
      <c r="R148" s="4" t="s">
        <v>131</v>
      </c>
      <c r="S148" s="67" t="s">
        <v>130</v>
      </c>
      <c r="T148" s="11" t="s">
        <v>86</v>
      </c>
      <c r="U148" s="4" t="s">
        <v>447</v>
      </c>
      <c r="V148" s="67" t="s">
        <v>1744</v>
      </c>
      <c r="W148" s="4" t="s">
        <v>1741</v>
      </c>
      <c r="X148" s="11" t="s">
        <v>675</v>
      </c>
    </row>
    <row r="149" spans="1:24">
      <c r="A149" s="72" t="s">
        <v>287</v>
      </c>
      <c r="B149" s="99">
        <v>148</v>
      </c>
      <c r="C149" s="91" t="s">
        <v>1190</v>
      </c>
      <c r="D149" s="93">
        <v>194</v>
      </c>
      <c r="E149" s="4" t="s">
        <v>1752</v>
      </c>
      <c r="F149" s="4" t="s">
        <v>181</v>
      </c>
      <c r="G149" s="47" t="s">
        <v>2150</v>
      </c>
      <c r="H149" s="4">
        <v>2020</v>
      </c>
      <c r="I149" s="4" t="s">
        <v>61</v>
      </c>
      <c r="J149" s="4" t="s">
        <v>61</v>
      </c>
      <c r="K149" s="4">
        <v>1</v>
      </c>
      <c r="L149" s="4">
        <v>1</v>
      </c>
      <c r="M149" s="4" t="s">
        <v>35</v>
      </c>
      <c r="N149" s="67" t="s">
        <v>1467</v>
      </c>
      <c r="O149" s="11" t="s">
        <v>1753</v>
      </c>
      <c r="P149" s="11" t="s">
        <v>1760</v>
      </c>
      <c r="Q149" s="51">
        <v>2</v>
      </c>
      <c r="R149" s="4" t="s">
        <v>1754</v>
      </c>
      <c r="S149" s="67" t="s">
        <v>130</v>
      </c>
      <c r="T149" s="11" t="s">
        <v>193</v>
      </c>
      <c r="U149" s="4" t="s">
        <v>447</v>
      </c>
      <c r="V149" s="67" t="s">
        <v>1025</v>
      </c>
      <c r="W149" s="4" t="s">
        <v>1755</v>
      </c>
      <c r="X149" s="11" t="s">
        <v>675</v>
      </c>
    </row>
    <row r="150" spans="1:24" s="5" customFormat="1">
      <c r="A150" s="72" t="s">
        <v>317</v>
      </c>
      <c r="B150" s="98">
        <v>149</v>
      </c>
      <c r="C150" s="91" t="s">
        <v>1190</v>
      </c>
      <c r="D150" s="93">
        <v>195</v>
      </c>
      <c r="E150" s="4" t="s">
        <v>1758</v>
      </c>
      <c r="F150" s="4" t="s">
        <v>38</v>
      </c>
      <c r="G150" s="47" t="s">
        <v>2194</v>
      </c>
      <c r="H150" s="4">
        <v>2011</v>
      </c>
      <c r="I150" s="4" t="s">
        <v>45</v>
      </c>
      <c r="J150" s="4" t="s">
        <v>45</v>
      </c>
      <c r="K150" s="4">
        <v>1</v>
      </c>
      <c r="L150" s="4">
        <v>1</v>
      </c>
      <c r="M150" s="4" t="s">
        <v>43</v>
      </c>
      <c r="N150" s="67" t="s">
        <v>1467</v>
      </c>
      <c r="O150" s="11" t="s">
        <v>1761</v>
      </c>
      <c r="P150" s="11" t="s">
        <v>1759</v>
      </c>
      <c r="Q150" s="51">
        <v>20</v>
      </c>
      <c r="R150" s="4" t="s">
        <v>131</v>
      </c>
      <c r="S150" s="67" t="s">
        <v>130</v>
      </c>
      <c r="T150" s="11" t="s">
        <v>193</v>
      </c>
      <c r="U150" s="4" t="s">
        <v>459</v>
      </c>
      <c r="V150" s="67" t="s">
        <v>1025</v>
      </c>
      <c r="W150" s="4" t="s">
        <v>1762</v>
      </c>
      <c r="X150" s="11" t="s">
        <v>670</v>
      </c>
    </row>
    <row r="151" spans="1:24">
      <c r="A151" s="72" t="s">
        <v>1772</v>
      </c>
      <c r="B151" s="99">
        <v>150</v>
      </c>
      <c r="C151" s="91" t="s">
        <v>1190</v>
      </c>
      <c r="D151" s="93">
        <v>196</v>
      </c>
      <c r="E151" s="4" t="s">
        <v>1768</v>
      </c>
      <c r="F151" s="4" t="s">
        <v>1769</v>
      </c>
      <c r="G151" s="47" t="s">
        <v>2151</v>
      </c>
      <c r="H151" s="4">
        <v>1997</v>
      </c>
      <c r="I151" s="4" t="s">
        <v>51</v>
      </c>
      <c r="J151" s="4" t="s">
        <v>51</v>
      </c>
      <c r="K151" s="4">
        <v>1</v>
      </c>
      <c r="L151" s="4">
        <v>1</v>
      </c>
      <c r="M151" s="4" t="s">
        <v>43</v>
      </c>
      <c r="N151" s="67" t="s">
        <v>1467</v>
      </c>
      <c r="O151" s="4" t="s">
        <v>178</v>
      </c>
      <c r="P151" s="4" t="s">
        <v>1770</v>
      </c>
      <c r="Q151" s="51">
        <v>42</v>
      </c>
      <c r="R151" s="4" t="s">
        <v>131</v>
      </c>
      <c r="S151" s="67" t="s">
        <v>130</v>
      </c>
      <c r="T151" s="11" t="s">
        <v>193</v>
      </c>
      <c r="U151" s="4" t="s">
        <v>459</v>
      </c>
      <c r="V151" s="67" t="s">
        <v>1025</v>
      </c>
      <c r="W151" s="4" t="s">
        <v>1773</v>
      </c>
      <c r="X151" s="11" t="s">
        <v>670</v>
      </c>
    </row>
    <row r="152" spans="1:24">
      <c r="A152" s="72" t="s">
        <v>1782</v>
      </c>
      <c r="B152" s="98">
        <v>151</v>
      </c>
      <c r="C152" s="91" t="s">
        <v>1190</v>
      </c>
      <c r="D152" s="93">
        <v>197</v>
      </c>
      <c r="E152" s="4" t="s">
        <v>1774</v>
      </c>
      <c r="F152" s="4" t="s">
        <v>1775</v>
      </c>
      <c r="G152" s="47" t="s">
        <v>2152</v>
      </c>
      <c r="H152" s="4">
        <v>2000</v>
      </c>
      <c r="I152" s="4" t="s">
        <v>61</v>
      </c>
      <c r="J152" s="4" t="s">
        <v>1204</v>
      </c>
      <c r="K152" s="4">
        <v>3</v>
      </c>
      <c r="L152" s="4">
        <v>3</v>
      </c>
      <c r="M152" s="4" t="s">
        <v>43</v>
      </c>
      <c r="N152" s="67" t="s">
        <v>470</v>
      </c>
      <c r="O152" s="4" t="s">
        <v>1776</v>
      </c>
      <c r="P152" s="4" t="s">
        <v>1777</v>
      </c>
      <c r="Q152" s="51">
        <v>84</v>
      </c>
      <c r="R152" s="4" t="s">
        <v>1479</v>
      </c>
      <c r="S152" s="67" t="s">
        <v>1778</v>
      </c>
      <c r="T152" s="11" t="s">
        <v>193</v>
      </c>
      <c r="U152" s="4" t="s">
        <v>459</v>
      </c>
      <c r="V152" s="67" t="s">
        <v>1779</v>
      </c>
      <c r="W152" s="4" t="s">
        <v>1780</v>
      </c>
      <c r="X152" s="11" t="s">
        <v>675</v>
      </c>
    </row>
    <row r="153" spans="1:24">
      <c r="A153" s="72" t="s">
        <v>1788</v>
      </c>
      <c r="B153" s="99">
        <v>152</v>
      </c>
      <c r="C153" s="91" t="s">
        <v>1190</v>
      </c>
      <c r="D153" s="93">
        <v>198</v>
      </c>
      <c r="E153" s="4" t="s">
        <v>1783</v>
      </c>
      <c r="F153" s="4" t="s">
        <v>1784</v>
      </c>
      <c r="G153" s="47" t="s">
        <v>2153</v>
      </c>
      <c r="H153" s="4">
        <v>2000</v>
      </c>
      <c r="I153" s="67" t="s">
        <v>230</v>
      </c>
      <c r="J153" s="67" t="s">
        <v>1692</v>
      </c>
      <c r="K153" s="4">
        <v>1</v>
      </c>
      <c r="L153" s="4">
        <v>1</v>
      </c>
      <c r="M153" s="4" t="s">
        <v>43</v>
      </c>
      <c r="N153" s="67" t="s">
        <v>1467</v>
      </c>
      <c r="O153" s="4" t="s">
        <v>1791</v>
      </c>
      <c r="P153" s="4" t="s">
        <v>1785</v>
      </c>
      <c r="Q153" s="51">
        <v>11</v>
      </c>
      <c r="R153" s="4" t="s">
        <v>1786</v>
      </c>
      <c r="S153" s="67" t="s">
        <v>130</v>
      </c>
      <c r="T153" s="11" t="s">
        <v>86</v>
      </c>
      <c r="U153" s="4" t="s">
        <v>459</v>
      </c>
      <c r="V153" s="67" t="s">
        <v>1025</v>
      </c>
      <c r="W153" s="4" t="s">
        <v>1789</v>
      </c>
      <c r="X153" s="11" t="s">
        <v>670</v>
      </c>
    </row>
    <row r="154" spans="1:24">
      <c r="A154" s="72" t="s">
        <v>1518</v>
      </c>
      <c r="B154" s="98">
        <v>153</v>
      </c>
      <c r="C154" s="91" t="s">
        <v>1190</v>
      </c>
      <c r="D154" s="93">
        <v>199</v>
      </c>
      <c r="E154" s="4" t="s">
        <v>1790</v>
      </c>
      <c r="F154" s="4" t="s">
        <v>1784</v>
      </c>
      <c r="G154" s="47" t="s">
        <v>2154</v>
      </c>
      <c r="H154" s="4">
        <v>2000</v>
      </c>
      <c r="I154" s="67" t="s">
        <v>61</v>
      </c>
      <c r="J154" s="67" t="s">
        <v>61</v>
      </c>
      <c r="K154" s="4">
        <v>1</v>
      </c>
      <c r="L154" s="4">
        <v>1</v>
      </c>
      <c r="M154" s="4" t="s">
        <v>35</v>
      </c>
      <c r="N154" s="67" t="s">
        <v>1467</v>
      </c>
      <c r="O154" s="4" t="s">
        <v>1512</v>
      </c>
      <c r="P154" s="4" t="s">
        <v>1792</v>
      </c>
      <c r="Q154" s="51">
        <v>6</v>
      </c>
      <c r="R154" s="4" t="s">
        <v>131</v>
      </c>
      <c r="S154" s="67" t="s">
        <v>130</v>
      </c>
      <c r="T154" s="11" t="s">
        <v>40</v>
      </c>
      <c r="U154" s="4" t="s">
        <v>935</v>
      </c>
      <c r="V154" s="67" t="s">
        <v>1025</v>
      </c>
      <c r="W154" s="4" t="s">
        <v>1794</v>
      </c>
      <c r="X154" s="11" t="s">
        <v>675</v>
      </c>
    </row>
    <row r="155" spans="1:24">
      <c r="A155" s="72" t="s">
        <v>1804</v>
      </c>
      <c r="B155" s="99">
        <v>154</v>
      </c>
      <c r="C155" s="91" t="s">
        <v>1190</v>
      </c>
      <c r="D155" s="93">
        <v>200</v>
      </c>
      <c r="E155" s="4" t="s">
        <v>1795</v>
      </c>
      <c r="F155" s="4" t="s">
        <v>264</v>
      </c>
      <c r="G155" s="47" t="s">
        <v>2155</v>
      </c>
      <c r="H155" s="4">
        <v>2011</v>
      </c>
      <c r="I155" s="67" t="s">
        <v>340</v>
      </c>
      <c r="J155" s="67" t="s">
        <v>340</v>
      </c>
      <c r="K155" s="4">
        <v>2</v>
      </c>
      <c r="L155" s="4">
        <v>2</v>
      </c>
      <c r="M155" s="11" t="s">
        <v>43</v>
      </c>
      <c r="N155" s="67" t="s">
        <v>1468</v>
      </c>
      <c r="O155" s="11" t="s">
        <v>1796</v>
      </c>
      <c r="P155" s="4" t="s">
        <v>1801</v>
      </c>
      <c r="Q155" s="51" t="s">
        <v>1802</v>
      </c>
      <c r="R155" s="4" t="s">
        <v>1798</v>
      </c>
      <c r="S155" s="67" t="s">
        <v>1797</v>
      </c>
      <c r="T155" s="11" t="s">
        <v>40</v>
      </c>
      <c r="U155" s="4" t="s">
        <v>924</v>
      </c>
      <c r="V155" s="67" t="s">
        <v>1803</v>
      </c>
      <c r="W155" s="5"/>
      <c r="X155" s="11" t="s">
        <v>670</v>
      </c>
    </row>
    <row r="156" spans="1:24">
      <c r="A156" s="72" t="s">
        <v>1938</v>
      </c>
      <c r="B156" s="98">
        <v>155</v>
      </c>
      <c r="C156" s="91" t="s">
        <v>1190</v>
      </c>
      <c r="D156" s="93">
        <v>201</v>
      </c>
      <c r="E156" s="4" t="s">
        <v>1805</v>
      </c>
      <c r="F156" s="4" t="s">
        <v>38</v>
      </c>
      <c r="G156" s="47" t="s">
        <v>2156</v>
      </c>
      <c r="H156" s="4">
        <v>2011</v>
      </c>
      <c r="I156" s="67" t="s">
        <v>340</v>
      </c>
      <c r="J156" s="67" t="s">
        <v>340</v>
      </c>
      <c r="K156" s="4">
        <v>1</v>
      </c>
      <c r="L156" s="4">
        <v>1</v>
      </c>
      <c r="M156" s="11" t="s">
        <v>43</v>
      </c>
      <c r="N156" s="67" t="s">
        <v>1467</v>
      </c>
      <c r="O156" s="11" t="s">
        <v>1808</v>
      </c>
      <c r="P156" s="4" t="s">
        <v>1806</v>
      </c>
      <c r="Q156" s="51">
        <v>110</v>
      </c>
      <c r="R156" s="4" t="s">
        <v>188</v>
      </c>
      <c r="S156" s="67" t="s">
        <v>1807</v>
      </c>
      <c r="T156" s="11" t="s">
        <v>40</v>
      </c>
      <c r="U156" s="4" t="s">
        <v>903</v>
      </c>
      <c r="V156" s="67" t="s">
        <v>1025</v>
      </c>
      <c r="W156" s="4" t="s">
        <v>1809</v>
      </c>
      <c r="X156" s="11" t="s">
        <v>670</v>
      </c>
    </row>
    <row r="157" spans="1:24">
      <c r="A157" s="72" t="s">
        <v>281</v>
      </c>
      <c r="B157" s="99">
        <v>156</v>
      </c>
      <c r="C157" s="91" t="s">
        <v>1190</v>
      </c>
      <c r="D157" s="93">
        <v>202</v>
      </c>
      <c r="E157" s="4" t="s">
        <v>1810</v>
      </c>
      <c r="F157" s="4" t="s">
        <v>38</v>
      </c>
      <c r="G157" s="47" t="s">
        <v>2157</v>
      </c>
      <c r="H157" s="4">
        <v>2011</v>
      </c>
      <c r="I157" s="67" t="s">
        <v>340</v>
      </c>
      <c r="J157" s="67" t="s">
        <v>340</v>
      </c>
      <c r="K157" s="4">
        <v>3</v>
      </c>
      <c r="L157" s="4">
        <v>3</v>
      </c>
      <c r="M157" s="11" t="s">
        <v>43</v>
      </c>
      <c r="N157" s="67" t="s">
        <v>1467</v>
      </c>
      <c r="O157" s="11" t="s">
        <v>1812</v>
      </c>
      <c r="P157" s="4" t="s">
        <v>1814</v>
      </c>
      <c r="Q157" s="51" t="s">
        <v>1815</v>
      </c>
      <c r="R157" s="4" t="s">
        <v>1817</v>
      </c>
      <c r="S157" s="67" t="s">
        <v>130</v>
      </c>
      <c r="T157" s="11" t="s">
        <v>40</v>
      </c>
      <c r="U157" s="4" t="s">
        <v>447</v>
      </c>
      <c r="V157" s="67" t="s">
        <v>1683</v>
      </c>
      <c r="W157" s="4" t="s">
        <v>1811</v>
      </c>
      <c r="X157" s="11" t="s">
        <v>670</v>
      </c>
    </row>
    <row r="158" spans="1:24">
      <c r="A158" s="72" t="s">
        <v>1938</v>
      </c>
      <c r="B158" s="98">
        <v>157</v>
      </c>
      <c r="C158" s="91" t="s">
        <v>1190</v>
      </c>
      <c r="D158" s="93">
        <v>203</v>
      </c>
      <c r="E158" s="4" t="s">
        <v>1818</v>
      </c>
      <c r="F158" s="4" t="s">
        <v>368</v>
      </c>
      <c r="G158" s="47" t="s">
        <v>2158</v>
      </c>
      <c r="H158" s="4">
        <v>2011</v>
      </c>
      <c r="I158" s="67" t="s">
        <v>340</v>
      </c>
      <c r="J158" s="67" t="s">
        <v>340</v>
      </c>
      <c r="K158" s="4">
        <v>1</v>
      </c>
      <c r="L158" s="4">
        <v>1</v>
      </c>
      <c r="M158" s="4" t="s">
        <v>43</v>
      </c>
      <c r="N158" s="67" t="s">
        <v>1467</v>
      </c>
      <c r="O158" s="11" t="s">
        <v>1808</v>
      </c>
      <c r="P158" s="4" t="s">
        <v>1819</v>
      </c>
      <c r="Q158" s="51" t="s">
        <v>1815</v>
      </c>
      <c r="R158" s="4" t="s">
        <v>188</v>
      </c>
      <c r="S158" s="67" t="s">
        <v>130</v>
      </c>
      <c r="T158" s="11" t="s">
        <v>40</v>
      </c>
      <c r="U158" s="4" t="s">
        <v>924</v>
      </c>
      <c r="V158" s="67" t="s">
        <v>1823</v>
      </c>
      <c r="W158" s="4" t="s">
        <v>1821</v>
      </c>
      <c r="X158" s="11" t="s">
        <v>670</v>
      </c>
    </row>
    <row r="159" spans="1:24">
      <c r="A159" s="72" t="s">
        <v>1847</v>
      </c>
      <c r="B159" s="99">
        <v>158</v>
      </c>
      <c r="C159" s="91" t="s">
        <v>1190</v>
      </c>
      <c r="D159" s="93">
        <v>204</v>
      </c>
      <c r="E159" s="4" t="s">
        <v>1825</v>
      </c>
      <c r="F159" s="4" t="s">
        <v>203</v>
      </c>
      <c r="G159" s="47" t="s">
        <v>2159</v>
      </c>
      <c r="H159" s="4">
        <v>2012</v>
      </c>
      <c r="I159" s="67" t="s">
        <v>1827</v>
      </c>
      <c r="J159" s="67" t="s">
        <v>1827</v>
      </c>
      <c r="K159" s="4">
        <v>120</v>
      </c>
      <c r="L159" s="4">
        <v>120</v>
      </c>
      <c r="M159" s="4" t="s">
        <v>43</v>
      </c>
      <c r="N159" s="67" t="s">
        <v>1468</v>
      </c>
      <c r="O159" s="4" t="s">
        <v>1830</v>
      </c>
      <c r="P159" s="4" t="s">
        <v>1826</v>
      </c>
      <c r="Q159" s="51">
        <v>16</v>
      </c>
      <c r="R159" s="4" t="s">
        <v>1837</v>
      </c>
      <c r="S159" s="67" t="s">
        <v>130</v>
      </c>
      <c r="T159" s="11" t="s">
        <v>487</v>
      </c>
      <c r="U159" s="4" t="s">
        <v>564</v>
      </c>
      <c r="V159" s="67" t="s">
        <v>1025</v>
      </c>
      <c r="W159" s="4" t="s">
        <v>1828</v>
      </c>
      <c r="X159" s="11" t="s">
        <v>670</v>
      </c>
    </row>
    <row r="160" spans="1:24">
      <c r="A160" s="72" t="s">
        <v>319</v>
      </c>
      <c r="B160" s="98">
        <v>159</v>
      </c>
      <c r="C160" s="91" t="s">
        <v>1190</v>
      </c>
      <c r="D160" s="93">
        <v>205</v>
      </c>
      <c r="E160" s="4" t="s">
        <v>1832</v>
      </c>
      <c r="F160" s="4" t="s">
        <v>1833</v>
      </c>
      <c r="G160" s="47" t="s">
        <v>2160</v>
      </c>
      <c r="H160" s="4">
        <v>2012</v>
      </c>
      <c r="I160" s="67" t="s">
        <v>51</v>
      </c>
      <c r="J160" s="67" t="s">
        <v>51</v>
      </c>
      <c r="K160" s="4">
        <v>1</v>
      </c>
      <c r="L160" s="4">
        <v>1</v>
      </c>
      <c r="M160" s="4" t="s">
        <v>43</v>
      </c>
      <c r="N160" s="67" t="s">
        <v>470</v>
      </c>
      <c r="O160" s="4" t="s">
        <v>1834</v>
      </c>
      <c r="P160" s="4" t="s">
        <v>1835</v>
      </c>
      <c r="Q160" s="51">
        <v>30</v>
      </c>
      <c r="R160" s="4" t="s">
        <v>131</v>
      </c>
      <c r="S160" s="67" t="s">
        <v>130</v>
      </c>
      <c r="T160" s="11" t="s">
        <v>40</v>
      </c>
      <c r="U160" s="4" t="s">
        <v>459</v>
      </c>
      <c r="V160" s="67" t="s">
        <v>1025</v>
      </c>
      <c r="W160" s="4" t="s">
        <v>1836</v>
      </c>
      <c r="X160" s="11" t="s">
        <v>670</v>
      </c>
    </row>
    <row r="161" spans="1:25">
      <c r="A161" s="72" t="s">
        <v>1846</v>
      </c>
      <c r="B161" s="99">
        <v>160</v>
      </c>
      <c r="C161" s="91" t="s">
        <v>1190</v>
      </c>
      <c r="D161" s="93">
        <v>206</v>
      </c>
      <c r="E161" s="4" t="s">
        <v>1839</v>
      </c>
      <c r="F161" s="4" t="s">
        <v>38</v>
      </c>
      <c r="G161" s="47" t="s">
        <v>2161</v>
      </c>
      <c r="H161" s="4">
        <v>2019</v>
      </c>
      <c r="I161" s="67" t="s">
        <v>230</v>
      </c>
      <c r="J161" s="67" t="s">
        <v>1692</v>
      </c>
      <c r="K161" s="4">
        <v>43</v>
      </c>
      <c r="L161" s="4">
        <v>43</v>
      </c>
      <c r="M161" s="4" t="s">
        <v>43</v>
      </c>
      <c r="N161" s="67" t="s">
        <v>1467</v>
      </c>
      <c r="O161" s="4" t="s">
        <v>1841</v>
      </c>
      <c r="P161" s="4" t="s">
        <v>1842</v>
      </c>
      <c r="Q161" s="51">
        <v>49</v>
      </c>
      <c r="R161" s="4" t="s">
        <v>131</v>
      </c>
      <c r="S161" s="67" t="s">
        <v>1845</v>
      </c>
      <c r="T161" s="11" t="s">
        <v>86</v>
      </c>
      <c r="U161" s="4" t="s">
        <v>459</v>
      </c>
      <c r="V161" s="67" t="s">
        <v>1843</v>
      </c>
      <c r="W161" s="4" t="s">
        <v>1840</v>
      </c>
      <c r="X161" s="11" t="s">
        <v>670</v>
      </c>
    </row>
    <row r="162" spans="1:25">
      <c r="A162" s="72" t="s">
        <v>1938</v>
      </c>
      <c r="B162" s="98">
        <v>161</v>
      </c>
      <c r="C162" s="91" t="s">
        <v>1446</v>
      </c>
      <c r="D162" s="93">
        <v>207</v>
      </c>
      <c r="E162" s="4" t="s">
        <v>1848</v>
      </c>
      <c r="F162" s="4" t="s">
        <v>1849</v>
      </c>
      <c r="G162" s="47" t="s">
        <v>2162</v>
      </c>
      <c r="H162" s="4">
        <v>2020</v>
      </c>
      <c r="I162" s="67" t="s">
        <v>340</v>
      </c>
      <c r="J162" s="67" t="s">
        <v>340</v>
      </c>
      <c r="K162" s="4">
        <v>8</v>
      </c>
      <c r="L162" s="4">
        <v>8</v>
      </c>
      <c r="M162" s="4" t="s">
        <v>35</v>
      </c>
      <c r="N162" s="67" t="s">
        <v>1467</v>
      </c>
      <c r="O162" s="11" t="s">
        <v>1855</v>
      </c>
      <c r="P162" s="4" t="s">
        <v>1850</v>
      </c>
      <c r="Q162" s="51" t="s">
        <v>1856</v>
      </c>
      <c r="R162" s="4" t="s">
        <v>1854</v>
      </c>
      <c r="S162" s="67" t="s">
        <v>130</v>
      </c>
      <c r="T162" s="11" t="s">
        <v>40</v>
      </c>
      <c r="U162" s="4" t="s">
        <v>903</v>
      </c>
      <c r="V162" s="67" t="s">
        <v>1857</v>
      </c>
      <c r="W162" s="4" t="s">
        <v>1851</v>
      </c>
      <c r="X162" s="11" t="s">
        <v>957</v>
      </c>
    </row>
    <row r="163" spans="1:25">
      <c r="A163" s="72" t="s">
        <v>1939</v>
      </c>
      <c r="B163" s="98">
        <v>162</v>
      </c>
      <c r="C163" s="91" t="s">
        <v>1190</v>
      </c>
      <c r="D163" s="93">
        <v>208</v>
      </c>
      <c r="E163" s="4" t="s">
        <v>1859</v>
      </c>
      <c r="F163" s="4" t="s">
        <v>89</v>
      </c>
      <c r="G163" s="47" t="s">
        <v>2163</v>
      </c>
      <c r="H163" s="4">
        <v>2020</v>
      </c>
      <c r="I163" s="67" t="s">
        <v>207</v>
      </c>
      <c r="J163" s="67" t="s">
        <v>207</v>
      </c>
      <c r="K163" s="4">
        <v>7</v>
      </c>
      <c r="L163" s="4">
        <v>7</v>
      </c>
      <c r="M163" s="4" t="s">
        <v>35</v>
      </c>
      <c r="N163" s="67" t="s">
        <v>1467</v>
      </c>
      <c r="O163" s="4" t="s">
        <v>1879</v>
      </c>
      <c r="P163" s="4" t="s">
        <v>1860</v>
      </c>
      <c r="Q163" s="51" t="s">
        <v>1234</v>
      </c>
      <c r="R163" s="4" t="s">
        <v>188</v>
      </c>
      <c r="S163" s="67" t="s">
        <v>1864</v>
      </c>
      <c r="T163" s="11" t="s">
        <v>40</v>
      </c>
      <c r="U163" s="4" t="s">
        <v>564</v>
      </c>
      <c r="V163" s="67" t="s">
        <v>1863</v>
      </c>
      <c r="W163" s="4" t="s">
        <v>1861</v>
      </c>
      <c r="X163" s="11" t="s">
        <v>670</v>
      </c>
    </row>
    <row r="164" spans="1:25">
      <c r="A164" s="72" t="s">
        <v>1938</v>
      </c>
      <c r="B164" s="99">
        <v>163</v>
      </c>
      <c r="C164" s="91" t="s">
        <v>1190</v>
      </c>
      <c r="D164" s="93">
        <v>209</v>
      </c>
      <c r="E164" s="4" t="s">
        <v>1866</v>
      </c>
      <c r="F164" s="4" t="s">
        <v>1282</v>
      </c>
      <c r="G164" s="47" t="s">
        <v>2164</v>
      </c>
      <c r="H164" s="4">
        <v>2020</v>
      </c>
      <c r="I164" s="67" t="s">
        <v>45</v>
      </c>
      <c r="J164" s="67" t="s">
        <v>45</v>
      </c>
      <c r="K164" s="4">
        <v>162</v>
      </c>
      <c r="L164" s="4">
        <v>162</v>
      </c>
      <c r="M164" s="4" t="s">
        <v>43</v>
      </c>
      <c r="N164" s="67" t="s">
        <v>1467</v>
      </c>
      <c r="O164" s="4" t="s">
        <v>1878</v>
      </c>
      <c r="P164" s="4" t="s">
        <v>1867</v>
      </c>
      <c r="Q164" s="51" t="s">
        <v>1351</v>
      </c>
      <c r="R164" s="4" t="s">
        <v>131</v>
      </c>
      <c r="S164" s="67" t="s">
        <v>1869</v>
      </c>
      <c r="T164" s="11" t="s">
        <v>40</v>
      </c>
      <c r="U164" s="4" t="s">
        <v>903</v>
      </c>
      <c r="V164" s="67" t="s">
        <v>1868</v>
      </c>
      <c r="W164" s="4" t="s">
        <v>1870</v>
      </c>
      <c r="X164" s="11" t="s">
        <v>670</v>
      </c>
    </row>
    <row r="165" spans="1:25">
      <c r="A165" s="72" t="s">
        <v>1940</v>
      </c>
      <c r="B165" s="98">
        <v>164</v>
      </c>
      <c r="C165" s="91" t="s">
        <v>1190</v>
      </c>
      <c r="D165" s="93">
        <v>210</v>
      </c>
      <c r="E165" s="4" t="s">
        <v>1872</v>
      </c>
      <c r="F165" s="4" t="s">
        <v>1873</v>
      </c>
      <c r="G165" s="47" t="s">
        <v>2165</v>
      </c>
      <c r="H165" s="4">
        <v>2020</v>
      </c>
      <c r="I165" s="67" t="s">
        <v>1876</v>
      </c>
      <c r="J165" s="67" t="s">
        <v>1877</v>
      </c>
      <c r="K165" s="4">
        <v>12</v>
      </c>
      <c r="L165" s="4">
        <v>12</v>
      </c>
      <c r="M165" s="4" t="s">
        <v>35</v>
      </c>
      <c r="N165" s="67" t="s">
        <v>470</v>
      </c>
      <c r="O165" s="4" t="s">
        <v>1880</v>
      </c>
      <c r="P165" s="4" t="s">
        <v>1874</v>
      </c>
      <c r="Q165" s="51" t="s">
        <v>1875</v>
      </c>
      <c r="R165" s="4" t="s">
        <v>188</v>
      </c>
      <c r="S165" s="67" t="s">
        <v>1884</v>
      </c>
      <c r="T165" s="11" t="s">
        <v>40</v>
      </c>
      <c r="U165" s="4" t="s">
        <v>648</v>
      </c>
      <c r="V165" s="67" t="s">
        <v>1882</v>
      </c>
      <c r="W165" s="4" t="s">
        <v>1883</v>
      </c>
      <c r="X165" s="11" t="s">
        <v>670</v>
      </c>
    </row>
    <row r="166" spans="1:25">
      <c r="A166" s="72" t="s">
        <v>1938</v>
      </c>
      <c r="B166" s="99">
        <v>165</v>
      </c>
      <c r="C166" s="91" t="s">
        <v>1894</v>
      </c>
      <c r="D166" s="93">
        <v>211</v>
      </c>
      <c r="E166" s="4" t="s">
        <v>1887</v>
      </c>
      <c r="F166" s="4" t="s">
        <v>1888</v>
      </c>
      <c r="G166" s="47" t="s">
        <v>2166</v>
      </c>
      <c r="H166" s="4">
        <v>2012</v>
      </c>
      <c r="I166" s="4" t="s">
        <v>230</v>
      </c>
      <c r="J166" s="4" t="s">
        <v>230</v>
      </c>
      <c r="K166" s="4">
        <v>4</v>
      </c>
      <c r="L166" s="4">
        <v>4</v>
      </c>
      <c r="M166" s="4" t="s">
        <v>43</v>
      </c>
      <c r="N166" s="67" t="s">
        <v>1467</v>
      </c>
      <c r="O166" s="11" t="s">
        <v>1855</v>
      </c>
      <c r="P166" s="4" t="s">
        <v>1889</v>
      </c>
      <c r="Q166" s="51" t="s">
        <v>1890</v>
      </c>
      <c r="R166" s="4" t="s">
        <v>1893</v>
      </c>
      <c r="S166" s="67" t="s">
        <v>130</v>
      </c>
      <c r="T166" s="11" t="s">
        <v>1891</v>
      </c>
      <c r="U166" s="4" t="s">
        <v>903</v>
      </c>
      <c r="V166" s="67" t="s">
        <v>130</v>
      </c>
      <c r="W166" s="11" t="s">
        <v>1892</v>
      </c>
      <c r="X166" s="11" t="s">
        <v>670</v>
      </c>
    </row>
    <row r="167" spans="1:25">
      <c r="A167" s="72" t="s">
        <v>296</v>
      </c>
      <c r="B167" s="98">
        <v>166</v>
      </c>
      <c r="C167" s="91" t="s">
        <v>1190</v>
      </c>
      <c r="D167" s="93">
        <v>212</v>
      </c>
      <c r="E167" s="4" t="s">
        <v>1895</v>
      </c>
      <c r="F167" s="4" t="s">
        <v>1896</v>
      </c>
      <c r="G167" s="47" t="s">
        <v>2167</v>
      </c>
      <c r="H167" s="4">
        <v>2014</v>
      </c>
      <c r="I167" s="4" t="s">
        <v>1692</v>
      </c>
      <c r="J167" s="4" t="s">
        <v>230</v>
      </c>
      <c r="K167" s="4">
        <v>1</v>
      </c>
      <c r="L167" s="4">
        <v>1</v>
      </c>
      <c r="M167" s="4" t="s">
        <v>43</v>
      </c>
      <c r="N167" s="67" t="s">
        <v>470</v>
      </c>
      <c r="O167" s="4" t="s">
        <v>1898</v>
      </c>
      <c r="P167" s="4" t="s">
        <v>1897</v>
      </c>
      <c r="Q167" s="51">
        <v>33</v>
      </c>
      <c r="R167" s="4" t="s">
        <v>1379</v>
      </c>
      <c r="S167" s="67" t="s">
        <v>1899</v>
      </c>
      <c r="T167" s="4" t="s">
        <v>86</v>
      </c>
      <c r="U167" s="4" t="s">
        <v>648</v>
      </c>
      <c r="V167" s="67" t="s">
        <v>130</v>
      </c>
      <c r="W167" s="11" t="s">
        <v>1901</v>
      </c>
      <c r="X167" s="11" t="s">
        <v>670</v>
      </c>
    </row>
    <row r="168" spans="1:25" s="5" customFormat="1">
      <c r="A168" s="72" t="s">
        <v>1941</v>
      </c>
      <c r="B168" s="99">
        <v>167</v>
      </c>
      <c r="C168" s="91" t="s">
        <v>1190</v>
      </c>
      <c r="D168" s="93">
        <v>213</v>
      </c>
      <c r="E168" s="4" t="s">
        <v>2191</v>
      </c>
      <c r="F168" s="4" t="s">
        <v>1902</v>
      </c>
      <c r="G168" s="47" t="s">
        <v>2168</v>
      </c>
      <c r="H168" s="4">
        <v>2014</v>
      </c>
      <c r="I168" s="4" t="s">
        <v>45</v>
      </c>
      <c r="J168" s="4" t="s">
        <v>96</v>
      </c>
      <c r="K168" s="4">
        <v>1</v>
      </c>
      <c r="L168" s="4">
        <v>1</v>
      </c>
      <c r="M168" s="4" t="s">
        <v>43</v>
      </c>
      <c r="N168" s="67" t="s">
        <v>1467</v>
      </c>
      <c r="O168" s="4" t="s">
        <v>1904</v>
      </c>
      <c r="P168" s="4" t="s">
        <v>1908</v>
      </c>
      <c r="Q168" s="51">
        <v>50</v>
      </c>
      <c r="R168" s="4" t="s">
        <v>1906</v>
      </c>
      <c r="S168" s="67" t="s">
        <v>1907</v>
      </c>
      <c r="T168" s="11" t="s">
        <v>40</v>
      </c>
      <c r="U168" s="4" t="s">
        <v>459</v>
      </c>
      <c r="V168" s="67" t="s">
        <v>130</v>
      </c>
      <c r="W168" s="4" t="s">
        <v>1905</v>
      </c>
      <c r="X168" s="11" t="s">
        <v>670</v>
      </c>
      <c r="Y168"/>
    </row>
    <row r="169" spans="1:25">
      <c r="A169" s="72" t="s">
        <v>1942</v>
      </c>
      <c r="B169" s="98">
        <v>168</v>
      </c>
      <c r="C169" s="91" t="s">
        <v>1190</v>
      </c>
      <c r="D169" s="93">
        <v>214</v>
      </c>
      <c r="E169" s="4" t="s">
        <v>1910</v>
      </c>
      <c r="F169" s="4" t="s">
        <v>203</v>
      </c>
      <c r="G169" s="47" t="s">
        <v>2169</v>
      </c>
      <c r="H169" s="4">
        <v>2014</v>
      </c>
      <c r="I169" s="4" t="s">
        <v>580</v>
      </c>
      <c r="J169" s="4" t="s">
        <v>51</v>
      </c>
      <c r="K169" s="4">
        <v>1</v>
      </c>
      <c r="L169" s="4">
        <v>1</v>
      </c>
      <c r="M169" s="4" t="s">
        <v>43</v>
      </c>
      <c r="N169" s="67" t="s">
        <v>470</v>
      </c>
      <c r="O169" s="4" t="s">
        <v>1911</v>
      </c>
      <c r="P169" s="4" t="s">
        <v>1914</v>
      </c>
      <c r="Q169" s="51">
        <v>18</v>
      </c>
      <c r="R169" s="4" t="s">
        <v>131</v>
      </c>
      <c r="S169" s="67" t="s">
        <v>1912</v>
      </c>
      <c r="T169" s="11" t="s">
        <v>193</v>
      </c>
      <c r="U169" s="4" t="s">
        <v>447</v>
      </c>
      <c r="V169" s="67" t="s">
        <v>1913</v>
      </c>
      <c r="W169" s="4" t="s">
        <v>1915</v>
      </c>
      <c r="X169" s="11" t="s">
        <v>670</v>
      </c>
    </row>
    <row r="170" spans="1:25" s="5" customFormat="1">
      <c r="A170" s="72" t="s">
        <v>1944</v>
      </c>
      <c r="B170" s="99">
        <v>169</v>
      </c>
      <c r="C170" s="91" t="s">
        <v>1190</v>
      </c>
      <c r="D170" s="93">
        <v>215</v>
      </c>
      <c r="E170" s="4" t="s">
        <v>1916</v>
      </c>
      <c r="F170" s="4" t="s">
        <v>1917</v>
      </c>
      <c r="G170" s="47" t="s">
        <v>2170</v>
      </c>
      <c r="H170" s="4">
        <v>2014</v>
      </c>
      <c r="I170" s="4" t="s">
        <v>697</v>
      </c>
      <c r="J170" s="4" t="s">
        <v>1742</v>
      </c>
      <c r="K170" s="4">
        <v>10</v>
      </c>
      <c r="L170" s="4">
        <v>10</v>
      </c>
      <c r="M170" s="4" t="s">
        <v>43</v>
      </c>
      <c r="N170" s="67" t="s">
        <v>470</v>
      </c>
      <c r="O170" s="4" t="s">
        <v>1943</v>
      </c>
      <c r="P170" s="4" t="s">
        <v>1918</v>
      </c>
      <c r="Q170" s="51">
        <v>20</v>
      </c>
      <c r="R170" s="4" t="s">
        <v>1379</v>
      </c>
      <c r="S170" s="67" t="s">
        <v>130</v>
      </c>
      <c r="T170" s="4" t="s">
        <v>86</v>
      </c>
      <c r="U170" s="4" t="s">
        <v>447</v>
      </c>
      <c r="V170" s="67" t="s">
        <v>1921</v>
      </c>
      <c r="W170" s="4" t="s">
        <v>1920</v>
      </c>
      <c r="X170" s="4" t="s">
        <v>675</v>
      </c>
      <c r="Y170" s="4"/>
    </row>
    <row r="171" spans="1:25" s="5" customFormat="1">
      <c r="A171" s="72" t="s">
        <v>1945</v>
      </c>
      <c r="B171" s="98">
        <v>170</v>
      </c>
      <c r="C171" s="91" t="s">
        <v>1190</v>
      </c>
      <c r="D171" s="93">
        <v>216</v>
      </c>
      <c r="E171" s="4" t="s">
        <v>1930</v>
      </c>
      <c r="F171" s="4" t="s">
        <v>377</v>
      </c>
      <c r="G171" s="47" t="s">
        <v>2171</v>
      </c>
      <c r="H171" s="4">
        <v>2005</v>
      </c>
      <c r="I171" s="4" t="s">
        <v>441</v>
      </c>
      <c r="J171" s="4" t="s">
        <v>51</v>
      </c>
      <c r="K171" s="4">
        <v>1</v>
      </c>
      <c r="L171" s="4">
        <v>1</v>
      </c>
      <c r="M171" s="4" t="s">
        <v>261</v>
      </c>
      <c r="N171" s="67" t="s">
        <v>470</v>
      </c>
      <c r="O171" s="4" t="s">
        <v>1931</v>
      </c>
      <c r="P171" s="4" t="s">
        <v>1932</v>
      </c>
      <c r="Q171" s="51">
        <v>32</v>
      </c>
      <c r="R171" s="4" t="s">
        <v>1893</v>
      </c>
      <c r="S171" s="67" t="s">
        <v>1933</v>
      </c>
      <c r="T171" s="4" t="s">
        <v>40</v>
      </c>
      <c r="U171" s="4" t="s">
        <v>447</v>
      </c>
      <c r="V171" s="67" t="s">
        <v>1935</v>
      </c>
      <c r="W171" s="4" t="s">
        <v>1936</v>
      </c>
      <c r="X171" s="4" t="s">
        <v>670</v>
      </c>
      <c r="Y171" s="4"/>
    </row>
    <row r="172" spans="1:25" s="5" customFormat="1">
      <c r="A172" s="72" t="s">
        <v>2175</v>
      </c>
      <c r="B172" s="99">
        <v>171</v>
      </c>
      <c r="C172" s="91" t="s">
        <v>1190</v>
      </c>
      <c r="D172" s="93">
        <v>217</v>
      </c>
      <c r="E172" s="4" t="s">
        <v>2173</v>
      </c>
      <c r="F172" s="4" t="s">
        <v>1849</v>
      </c>
      <c r="G172" s="47" t="s">
        <v>2174</v>
      </c>
      <c r="H172" s="4">
        <v>2020</v>
      </c>
      <c r="I172" s="4" t="s">
        <v>45</v>
      </c>
      <c r="J172" s="4" t="s">
        <v>45</v>
      </c>
      <c r="K172" s="4">
        <v>1</v>
      </c>
      <c r="L172" s="4">
        <v>1</v>
      </c>
      <c r="M172" s="4" t="s">
        <v>261</v>
      </c>
      <c r="N172" s="67" t="s">
        <v>1467</v>
      </c>
      <c r="O172" s="4" t="s">
        <v>2176</v>
      </c>
      <c r="P172" s="4" t="s">
        <v>2177</v>
      </c>
      <c r="Q172" s="51" t="s">
        <v>2178</v>
      </c>
      <c r="R172" s="4" t="s">
        <v>131</v>
      </c>
      <c r="S172" s="67" t="s">
        <v>130</v>
      </c>
      <c r="T172" s="11" t="s">
        <v>40</v>
      </c>
      <c r="U172" s="4" t="s">
        <v>935</v>
      </c>
      <c r="V172" s="67" t="s">
        <v>2181</v>
      </c>
      <c r="W172" s="4" t="s">
        <v>2179</v>
      </c>
      <c r="X172" s="11" t="s">
        <v>670</v>
      </c>
      <c r="Y172"/>
    </row>
    <row r="173" spans="1:25" s="5" customFormat="1">
      <c r="A173" s="72" t="s">
        <v>720</v>
      </c>
      <c r="B173" s="98">
        <v>172</v>
      </c>
      <c r="C173" s="91" t="s">
        <v>1190</v>
      </c>
      <c r="D173" s="93">
        <v>218</v>
      </c>
      <c r="E173" s="4" t="s">
        <v>37</v>
      </c>
      <c r="F173" s="4" t="s">
        <v>38</v>
      </c>
      <c r="G173" s="47" t="s">
        <v>1360</v>
      </c>
      <c r="H173" s="4">
        <v>2008</v>
      </c>
      <c r="I173" s="4" t="s">
        <v>334</v>
      </c>
      <c r="J173" s="4" t="s">
        <v>334</v>
      </c>
      <c r="K173" s="4">
        <v>30</v>
      </c>
      <c r="L173" s="4" t="s">
        <v>337</v>
      </c>
      <c r="M173" s="4" t="s">
        <v>35</v>
      </c>
      <c r="N173" s="67" t="s">
        <v>1465</v>
      </c>
      <c r="O173" s="4" t="s">
        <v>39</v>
      </c>
      <c r="P173" s="4" t="s">
        <v>733</v>
      </c>
      <c r="Q173" s="51">
        <f>2003-1993</f>
        <v>10</v>
      </c>
      <c r="R173" s="4" t="s">
        <v>1537</v>
      </c>
      <c r="S173" s="67" t="s">
        <v>1200</v>
      </c>
      <c r="T173" s="11" t="s">
        <v>40</v>
      </c>
      <c r="U173" s="11" t="s">
        <v>435</v>
      </c>
      <c r="V173" s="67" t="s">
        <v>721</v>
      </c>
      <c r="W173" s="11" t="s">
        <v>1201</v>
      </c>
      <c r="X173" s="11" t="s">
        <v>670</v>
      </c>
      <c r="Y173" s="9"/>
    </row>
    <row r="174" spans="1:25" s="5" customFormat="1">
      <c r="A174" s="72" t="s">
        <v>269</v>
      </c>
      <c r="B174" s="99">
        <v>173</v>
      </c>
      <c r="C174" s="91" t="s">
        <v>1025</v>
      </c>
      <c r="D174" s="93">
        <v>219</v>
      </c>
      <c r="E174" s="4" t="s">
        <v>41</v>
      </c>
      <c r="F174" s="4" t="s">
        <v>723</v>
      </c>
      <c r="G174" s="47" t="s">
        <v>1361</v>
      </c>
      <c r="H174" s="4">
        <v>2008</v>
      </c>
      <c r="I174" s="4" t="s">
        <v>376</v>
      </c>
      <c r="J174" s="4" t="s">
        <v>51</v>
      </c>
      <c r="K174" s="4">
        <v>102</v>
      </c>
      <c r="L174" s="4">
        <v>102</v>
      </c>
      <c r="M174" s="4" t="s">
        <v>35</v>
      </c>
      <c r="N174" s="67" t="s">
        <v>1466</v>
      </c>
      <c r="O174" s="4" t="s">
        <v>725</v>
      </c>
      <c r="P174" s="4" t="s">
        <v>732</v>
      </c>
      <c r="Q174" s="51">
        <f>2007-1965</f>
        <v>42</v>
      </c>
      <c r="R174" s="4" t="s">
        <v>36</v>
      </c>
      <c r="S174" s="67" t="s">
        <v>724</v>
      </c>
      <c r="T174" s="11" t="s">
        <v>40</v>
      </c>
      <c r="U174" s="11" t="s">
        <v>435</v>
      </c>
      <c r="V174" s="67" t="s">
        <v>726</v>
      </c>
      <c r="W174" s="11" t="s">
        <v>1219</v>
      </c>
      <c r="X174" s="11" t="s">
        <v>670</v>
      </c>
      <c r="Y174" s="9"/>
    </row>
    <row r="175" spans="1:25" s="5" customFormat="1">
      <c r="A175" s="72" t="s">
        <v>270</v>
      </c>
      <c r="B175" s="98">
        <v>174</v>
      </c>
      <c r="C175" s="91" t="s">
        <v>1025</v>
      </c>
      <c r="D175" s="93">
        <v>220</v>
      </c>
      <c r="E175" s="4" t="s">
        <v>1362</v>
      </c>
      <c r="F175" s="4" t="s">
        <v>44</v>
      </c>
      <c r="G175" s="47" t="s">
        <v>1363</v>
      </c>
      <c r="H175" s="4">
        <v>2007</v>
      </c>
      <c r="I175" s="4" t="s">
        <v>45</v>
      </c>
      <c r="J175" s="4" t="s">
        <v>45</v>
      </c>
      <c r="K175" s="4">
        <v>485</v>
      </c>
      <c r="L175" s="4">
        <v>485</v>
      </c>
      <c r="M175" s="4" t="s">
        <v>43</v>
      </c>
      <c r="N175" s="67" t="s">
        <v>1466</v>
      </c>
      <c r="O175" s="4" t="s">
        <v>46</v>
      </c>
      <c r="P175" s="4" t="s">
        <v>731</v>
      </c>
      <c r="Q175" s="51">
        <f>2000-1975</f>
        <v>25</v>
      </c>
      <c r="R175" s="4" t="s">
        <v>36</v>
      </c>
      <c r="S175" s="67" t="s">
        <v>727</v>
      </c>
      <c r="T175" s="11" t="s">
        <v>40</v>
      </c>
      <c r="U175" s="11" t="s">
        <v>435</v>
      </c>
      <c r="V175" s="67" t="s">
        <v>1365</v>
      </c>
      <c r="W175" s="11" t="s">
        <v>701</v>
      </c>
      <c r="X175" s="11" t="s">
        <v>670</v>
      </c>
      <c r="Y175" s="9"/>
    </row>
    <row r="176" spans="1:25">
      <c r="A176" s="72" t="s">
        <v>271</v>
      </c>
      <c r="B176" s="99">
        <v>175</v>
      </c>
      <c r="C176" s="91" t="s">
        <v>1190</v>
      </c>
      <c r="D176" s="93">
        <v>221</v>
      </c>
      <c r="E176" s="4" t="s">
        <v>47</v>
      </c>
      <c r="F176" s="4" t="s">
        <v>38</v>
      </c>
      <c r="G176" s="47" t="s">
        <v>1947</v>
      </c>
      <c r="H176" s="4">
        <v>2007</v>
      </c>
      <c r="I176" s="4" t="s">
        <v>48</v>
      </c>
      <c r="J176" s="4" t="s">
        <v>48</v>
      </c>
      <c r="K176" s="4">
        <v>3</v>
      </c>
      <c r="L176" s="4">
        <v>3</v>
      </c>
      <c r="M176" s="4" t="s">
        <v>35</v>
      </c>
      <c r="N176" s="67" t="s">
        <v>1464</v>
      </c>
      <c r="O176" s="4" t="s">
        <v>1397</v>
      </c>
      <c r="P176" s="4" t="s">
        <v>730</v>
      </c>
      <c r="Q176" s="51">
        <f>2005-2002</f>
        <v>3</v>
      </c>
      <c r="R176" s="4" t="s">
        <v>36</v>
      </c>
      <c r="S176" s="67" t="s">
        <v>1025</v>
      </c>
      <c r="T176" s="11" t="s">
        <v>40</v>
      </c>
      <c r="U176" s="11" t="s">
        <v>435</v>
      </c>
      <c r="V176" s="67" t="s">
        <v>1245</v>
      </c>
      <c r="W176" s="11" t="s">
        <v>1210</v>
      </c>
      <c r="X176" s="11" t="s">
        <v>670</v>
      </c>
      <c r="Y176" s="9"/>
    </row>
    <row r="177" spans="1:25" s="5" customFormat="1">
      <c r="A177" s="72" t="s">
        <v>274</v>
      </c>
      <c r="B177" s="98">
        <v>176</v>
      </c>
      <c r="C177" s="91" t="s">
        <v>1025</v>
      </c>
      <c r="D177" s="93">
        <v>222</v>
      </c>
      <c r="E177" s="4" t="s">
        <v>52</v>
      </c>
      <c r="F177" s="4" t="s">
        <v>34</v>
      </c>
      <c r="G177" s="47" t="s">
        <v>1950</v>
      </c>
      <c r="H177" s="4">
        <v>1994</v>
      </c>
      <c r="I177" s="4" t="s">
        <v>357</v>
      </c>
      <c r="J177" s="4" t="s">
        <v>61</v>
      </c>
      <c r="K177" s="4">
        <v>9</v>
      </c>
      <c r="L177" s="4">
        <v>9</v>
      </c>
      <c r="M177" s="4" t="s">
        <v>35</v>
      </c>
      <c r="N177" s="67" t="s">
        <v>470</v>
      </c>
      <c r="O177" s="4" t="s">
        <v>741</v>
      </c>
      <c r="P177" s="4" t="s">
        <v>1216</v>
      </c>
      <c r="Q177" s="51">
        <f>1953-1918</f>
        <v>35</v>
      </c>
      <c r="R177" s="4" t="s">
        <v>36</v>
      </c>
      <c r="S177" s="67" t="s">
        <v>54</v>
      </c>
      <c r="T177" s="11" t="s">
        <v>40</v>
      </c>
      <c r="U177" s="11" t="s">
        <v>459</v>
      </c>
      <c r="V177" s="67" t="s">
        <v>726</v>
      </c>
      <c r="W177" s="11" t="s">
        <v>1217</v>
      </c>
      <c r="X177" s="11" t="s">
        <v>675</v>
      </c>
      <c r="Y177" s="9"/>
    </row>
    <row r="178" spans="1:25" s="5" customFormat="1">
      <c r="A178" s="72" t="s">
        <v>1602</v>
      </c>
      <c r="B178" s="99">
        <v>177</v>
      </c>
      <c r="C178" s="91" t="s">
        <v>1190</v>
      </c>
      <c r="D178" s="93">
        <v>223</v>
      </c>
      <c r="E178" s="4" t="s">
        <v>1595</v>
      </c>
      <c r="F178" s="11" t="s">
        <v>113</v>
      </c>
      <c r="G178" s="47" t="s">
        <v>1951</v>
      </c>
      <c r="H178" s="11">
        <v>2009</v>
      </c>
      <c r="I178" s="11" t="s">
        <v>230</v>
      </c>
      <c r="J178" s="11" t="s">
        <v>230</v>
      </c>
      <c r="K178" s="4">
        <v>36</v>
      </c>
      <c r="L178" s="4">
        <v>36</v>
      </c>
      <c r="M178" s="11" t="s">
        <v>43</v>
      </c>
      <c r="N178" s="67" t="s">
        <v>1467</v>
      </c>
      <c r="O178" s="11" t="s">
        <v>1596</v>
      </c>
      <c r="P178" s="11" t="s">
        <v>1597</v>
      </c>
      <c r="Q178" s="51">
        <f>2007-1968</f>
        <v>39</v>
      </c>
      <c r="R178" s="11" t="s">
        <v>1599</v>
      </c>
      <c r="S178" s="67" t="s">
        <v>1025</v>
      </c>
      <c r="T178" s="11" t="s">
        <v>86</v>
      </c>
      <c r="U178" s="11" t="s">
        <v>907</v>
      </c>
      <c r="V178" s="67" t="s">
        <v>1025</v>
      </c>
      <c r="W178" s="4" t="s">
        <v>1598</v>
      </c>
      <c r="X178" s="4" t="s">
        <v>670</v>
      </c>
      <c r="Y178" s="26"/>
    </row>
    <row r="179" spans="1:25" s="5" customFormat="1">
      <c r="A179" s="72" t="s">
        <v>275</v>
      </c>
      <c r="B179" s="98">
        <v>178</v>
      </c>
      <c r="C179" s="91" t="s">
        <v>1446</v>
      </c>
      <c r="D179" s="93">
        <v>224</v>
      </c>
      <c r="E179" s="4" t="s">
        <v>55</v>
      </c>
      <c r="F179" s="4" t="s">
        <v>1442</v>
      </c>
      <c r="G179" s="47" t="s">
        <v>1952</v>
      </c>
      <c r="H179" s="4">
        <v>2003</v>
      </c>
      <c r="I179" s="4" t="s">
        <v>50</v>
      </c>
      <c r="J179" s="4" t="s">
        <v>469</v>
      </c>
      <c r="K179" s="4">
        <v>119</v>
      </c>
      <c r="L179" s="4">
        <v>119</v>
      </c>
      <c r="M179" s="4" t="s">
        <v>43</v>
      </c>
      <c r="N179" s="67" t="s">
        <v>470</v>
      </c>
      <c r="O179" s="4" t="s">
        <v>57</v>
      </c>
      <c r="P179" s="4" t="s">
        <v>742</v>
      </c>
      <c r="Q179" s="51">
        <v>34</v>
      </c>
      <c r="R179" s="4" t="s">
        <v>36</v>
      </c>
      <c r="S179" s="67" t="s">
        <v>1443</v>
      </c>
      <c r="T179" s="11" t="s">
        <v>40</v>
      </c>
      <c r="U179" s="11" t="s">
        <v>459</v>
      </c>
      <c r="V179" s="67" t="s">
        <v>1025</v>
      </c>
      <c r="W179" s="11" t="s">
        <v>743</v>
      </c>
      <c r="X179" s="11" t="s">
        <v>670</v>
      </c>
      <c r="Y179" s="11"/>
    </row>
    <row r="180" spans="1:25" s="5" customFormat="1">
      <c r="A180" s="72" t="s">
        <v>276</v>
      </c>
      <c r="B180" s="99">
        <v>179</v>
      </c>
      <c r="C180" s="91" t="s">
        <v>1190</v>
      </c>
      <c r="D180" s="93">
        <v>225</v>
      </c>
      <c r="E180" s="4" t="s">
        <v>58</v>
      </c>
      <c r="F180" s="4" t="s">
        <v>59</v>
      </c>
      <c r="G180" s="47" t="s">
        <v>1953</v>
      </c>
      <c r="H180" s="4">
        <v>2002</v>
      </c>
      <c r="I180" s="4" t="s">
        <v>357</v>
      </c>
      <c r="J180" s="4" t="s">
        <v>61</v>
      </c>
      <c r="K180" s="4">
        <v>5</v>
      </c>
      <c r="L180" s="4">
        <v>5</v>
      </c>
      <c r="M180" s="4" t="s">
        <v>35</v>
      </c>
      <c r="N180" s="67" t="s">
        <v>470</v>
      </c>
      <c r="O180" s="4" t="s">
        <v>1460</v>
      </c>
      <c r="P180" s="4" t="s">
        <v>744</v>
      </c>
      <c r="Q180" s="51">
        <f>2000-1950</f>
        <v>50</v>
      </c>
      <c r="R180" s="4" t="s">
        <v>36</v>
      </c>
      <c r="S180" s="67" t="s">
        <v>1461</v>
      </c>
      <c r="T180" s="11" t="s">
        <v>40</v>
      </c>
      <c r="U180" s="11" t="s">
        <v>459</v>
      </c>
      <c r="V180" s="67" t="s">
        <v>745</v>
      </c>
      <c r="W180" s="11" t="s">
        <v>746</v>
      </c>
      <c r="X180" s="11" t="s">
        <v>675</v>
      </c>
      <c r="Y180" s="11"/>
    </row>
    <row r="181" spans="1:25" s="5" customFormat="1">
      <c r="A181" s="95" t="s">
        <v>278</v>
      </c>
      <c r="B181" s="98">
        <v>180</v>
      </c>
      <c r="C181" s="91" t="s">
        <v>1190</v>
      </c>
      <c r="D181" s="93">
        <v>226</v>
      </c>
      <c r="E181" s="4" t="s">
        <v>60</v>
      </c>
      <c r="F181" s="4" t="s">
        <v>38</v>
      </c>
      <c r="G181" s="47" t="s">
        <v>1954</v>
      </c>
      <c r="H181" s="4">
        <v>2009</v>
      </c>
      <c r="I181" s="4" t="s">
        <v>61</v>
      </c>
      <c r="J181" s="4" t="s">
        <v>61</v>
      </c>
      <c r="K181" s="4">
        <v>10</v>
      </c>
      <c r="L181" s="4">
        <v>10</v>
      </c>
      <c r="M181" s="4" t="s">
        <v>35</v>
      </c>
      <c r="N181" s="67" t="s">
        <v>470</v>
      </c>
      <c r="O181" s="4" t="s">
        <v>277</v>
      </c>
      <c r="P181" s="4" t="s">
        <v>748</v>
      </c>
      <c r="Q181" s="51">
        <f>2007-1987</f>
        <v>20</v>
      </c>
      <c r="R181" s="4" t="s">
        <v>36</v>
      </c>
      <c r="S181" s="67" t="s">
        <v>1503</v>
      </c>
      <c r="T181" s="11" t="s">
        <v>40</v>
      </c>
      <c r="U181" s="11" t="s">
        <v>459</v>
      </c>
      <c r="V181" s="67" t="s">
        <v>747</v>
      </c>
      <c r="W181" s="11" t="s">
        <v>749</v>
      </c>
      <c r="X181" s="11" t="s">
        <v>675</v>
      </c>
      <c r="Y181" s="11"/>
    </row>
    <row r="182" spans="1:25" s="5" customFormat="1">
      <c r="A182" s="95" t="s">
        <v>1131</v>
      </c>
      <c r="B182" s="99">
        <v>181</v>
      </c>
      <c r="C182" s="91" t="s">
        <v>1190</v>
      </c>
      <c r="D182" s="93">
        <v>227</v>
      </c>
      <c r="E182" s="4" t="s">
        <v>1126</v>
      </c>
      <c r="F182" s="4" t="s">
        <v>239</v>
      </c>
      <c r="G182" s="47" t="s">
        <v>1955</v>
      </c>
      <c r="H182" s="4">
        <v>2014</v>
      </c>
      <c r="I182" s="4" t="s">
        <v>1127</v>
      </c>
      <c r="J182" s="4" t="s">
        <v>96</v>
      </c>
      <c r="K182" s="4">
        <v>6</v>
      </c>
      <c r="L182" s="4">
        <v>6</v>
      </c>
      <c r="M182" s="4" t="s">
        <v>261</v>
      </c>
      <c r="N182" s="67" t="s">
        <v>1467</v>
      </c>
      <c r="O182" s="4" t="s">
        <v>197</v>
      </c>
      <c r="P182" s="4" t="s">
        <v>1128</v>
      </c>
      <c r="Q182" s="51">
        <f>2011-1975</f>
        <v>36</v>
      </c>
      <c r="R182" s="4" t="s">
        <v>131</v>
      </c>
      <c r="S182" s="67" t="s">
        <v>1129</v>
      </c>
      <c r="T182" s="11" t="s">
        <v>193</v>
      </c>
      <c r="U182" s="11" t="s">
        <v>522</v>
      </c>
      <c r="V182" s="67" t="s">
        <v>130</v>
      </c>
      <c r="W182" s="11" t="s">
        <v>1130</v>
      </c>
      <c r="X182" s="11" t="s">
        <v>670</v>
      </c>
      <c r="Y182" s="11"/>
    </row>
    <row r="183" spans="1:25" s="5" customFormat="1">
      <c r="A183" s="95" t="s">
        <v>1135</v>
      </c>
      <c r="B183" s="98">
        <v>182</v>
      </c>
      <c r="C183" s="91" t="s">
        <v>1025</v>
      </c>
      <c r="D183" s="93">
        <v>228</v>
      </c>
      <c r="E183" s="4" t="s">
        <v>1606</v>
      </c>
      <c r="F183" s="4" t="s">
        <v>56</v>
      </c>
      <c r="G183" s="47" t="s">
        <v>1956</v>
      </c>
      <c r="H183" s="4">
        <v>2014</v>
      </c>
      <c r="I183" s="4" t="s">
        <v>61</v>
      </c>
      <c r="J183" s="4" t="s">
        <v>61</v>
      </c>
      <c r="K183" s="4">
        <v>20</v>
      </c>
      <c r="L183" s="4">
        <v>20</v>
      </c>
      <c r="M183" s="4" t="s">
        <v>261</v>
      </c>
      <c r="N183" s="67" t="s">
        <v>470</v>
      </c>
      <c r="O183" s="4" t="s">
        <v>1132</v>
      </c>
      <c r="P183" s="4" t="s">
        <v>1506</v>
      </c>
      <c r="Q183" s="51" t="s">
        <v>1505</v>
      </c>
      <c r="R183" s="4" t="s">
        <v>451</v>
      </c>
      <c r="S183" s="67" t="s">
        <v>1507</v>
      </c>
      <c r="T183" s="11" t="s">
        <v>193</v>
      </c>
      <c r="U183" s="11" t="s">
        <v>1101</v>
      </c>
      <c r="V183" s="67" t="s">
        <v>130</v>
      </c>
      <c r="W183" s="11" t="s">
        <v>1133</v>
      </c>
      <c r="X183" s="11" t="s">
        <v>675</v>
      </c>
      <c r="Y183" s="11"/>
    </row>
    <row r="184" spans="1:25" s="5" customFormat="1">
      <c r="A184" s="95" t="s">
        <v>280</v>
      </c>
      <c r="B184" s="99">
        <v>183</v>
      </c>
      <c r="C184" s="91" t="s">
        <v>1190</v>
      </c>
      <c r="D184" s="93">
        <v>229</v>
      </c>
      <c r="E184" s="4" t="s">
        <v>752</v>
      </c>
      <c r="F184" s="4" t="s">
        <v>38</v>
      </c>
      <c r="G184" s="47" t="s">
        <v>1958</v>
      </c>
      <c r="H184" s="4">
        <v>2006</v>
      </c>
      <c r="I184" s="4" t="s">
        <v>50</v>
      </c>
      <c r="J184" s="4" t="s">
        <v>51</v>
      </c>
      <c r="K184" s="4">
        <v>4</v>
      </c>
      <c r="L184" s="4">
        <v>4</v>
      </c>
      <c r="M184" s="4" t="s">
        <v>43</v>
      </c>
      <c r="N184" s="67" t="s">
        <v>470</v>
      </c>
      <c r="O184" s="4" t="s">
        <v>68</v>
      </c>
      <c r="P184" s="4" t="s">
        <v>1532</v>
      </c>
      <c r="Q184" s="51">
        <f>2005-1980</f>
        <v>25</v>
      </c>
      <c r="R184" s="4" t="s">
        <v>753</v>
      </c>
      <c r="S184" s="67" t="s">
        <v>69</v>
      </c>
      <c r="T184" s="11" t="s">
        <v>40</v>
      </c>
      <c r="U184" s="11" t="s">
        <v>447</v>
      </c>
      <c r="V184" s="67" t="s">
        <v>1025</v>
      </c>
      <c r="W184" s="11" t="s">
        <v>1533</v>
      </c>
      <c r="X184" s="11" t="s">
        <v>670</v>
      </c>
      <c r="Y184" s="11"/>
    </row>
    <row r="185" spans="1:25" s="5" customFormat="1">
      <c r="A185" s="95" t="s">
        <v>281</v>
      </c>
      <c r="B185" s="98">
        <v>184</v>
      </c>
      <c r="C185" s="91" t="s">
        <v>1190</v>
      </c>
      <c r="D185" s="93">
        <v>230</v>
      </c>
      <c r="E185" s="4" t="s">
        <v>70</v>
      </c>
      <c r="F185" s="4" t="s">
        <v>71</v>
      </c>
      <c r="G185" s="47" t="s">
        <v>1959</v>
      </c>
      <c r="H185" s="4">
        <v>2008</v>
      </c>
      <c r="I185" s="4" t="s">
        <v>340</v>
      </c>
      <c r="J185" s="4" t="s">
        <v>340</v>
      </c>
      <c r="K185" s="4">
        <v>28</v>
      </c>
      <c r="L185" s="4">
        <v>28</v>
      </c>
      <c r="M185" s="4" t="s">
        <v>35</v>
      </c>
      <c r="N185" s="67" t="s">
        <v>1467</v>
      </c>
      <c r="O185" s="4" t="s">
        <v>1494</v>
      </c>
      <c r="P185" s="4" t="s">
        <v>754</v>
      </c>
      <c r="Q185" s="51">
        <f>2004-1917</f>
        <v>87</v>
      </c>
      <c r="R185" s="4" t="s">
        <v>1536</v>
      </c>
      <c r="S185" s="67" t="s">
        <v>756</v>
      </c>
      <c r="T185" s="11" t="s">
        <v>40</v>
      </c>
      <c r="U185" s="11" t="s">
        <v>448</v>
      </c>
      <c r="V185" s="67" t="s">
        <v>755</v>
      </c>
      <c r="W185" s="11" t="s">
        <v>757</v>
      </c>
      <c r="X185" s="11" t="s">
        <v>670</v>
      </c>
      <c r="Y185" s="11"/>
    </row>
    <row r="186" spans="1:25" s="5" customFormat="1">
      <c r="A186" s="95" t="s">
        <v>282</v>
      </c>
      <c r="B186" s="98">
        <v>185</v>
      </c>
      <c r="C186" s="91" t="s">
        <v>1190</v>
      </c>
      <c r="D186" s="93">
        <v>231</v>
      </c>
      <c r="E186" s="4" t="s">
        <v>73</v>
      </c>
      <c r="F186" s="4" t="s">
        <v>74</v>
      </c>
      <c r="G186" s="47" t="s">
        <v>1960</v>
      </c>
      <c r="H186" s="4">
        <v>2008</v>
      </c>
      <c r="I186" s="4" t="s">
        <v>61</v>
      </c>
      <c r="J186" s="4" t="s">
        <v>61</v>
      </c>
      <c r="K186" s="4">
        <v>171</v>
      </c>
      <c r="L186" s="4">
        <v>171</v>
      </c>
      <c r="M186" s="4" t="s">
        <v>43</v>
      </c>
      <c r="N186" s="67" t="s">
        <v>470</v>
      </c>
      <c r="O186" s="12" t="s">
        <v>759</v>
      </c>
      <c r="P186" s="4" t="s">
        <v>758</v>
      </c>
      <c r="Q186" s="51">
        <v>100</v>
      </c>
      <c r="R186" s="4" t="s">
        <v>36</v>
      </c>
      <c r="S186" s="67" t="s">
        <v>760</v>
      </c>
      <c r="T186" s="11" t="s">
        <v>40</v>
      </c>
      <c r="U186" s="11" t="s">
        <v>448</v>
      </c>
      <c r="V186" s="67" t="s">
        <v>761</v>
      </c>
      <c r="W186" s="11" t="s">
        <v>1548</v>
      </c>
      <c r="X186" s="11" t="s">
        <v>675</v>
      </c>
      <c r="Y186" s="11"/>
    </row>
    <row r="187" spans="1:25" ht="17.25" customHeight="1">
      <c r="A187" s="95" t="s">
        <v>283</v>
      </c>
      <c r="B187" s="99">
        <v>186</v>
      </c>
      <c r="C187" s="91" t="s">
        <v>1190</v>
      </c>
      <c r="D187" s="93">
        <v>232</v>
      </c>
      <c r="E187" s="4" t="s">
        <v>1569</v>
      </c>
      <c r="F187" s="4" t="s">
        <v>38</v>
      </c>
      <c r="G187" s="47" t="s">
        <v>1961</v>
      </c>
      <c r="H187" s="4">
        <v>2007</v>
      </c>
      <c r="I187" s="4" t="s">
        <v>61</v>
      </c>
      <c r="J187" s="4" t="s">
        <v>61</v>
      </c>
      <c r="K187" s="4">
        <v>26</v>
      </c>
      <c r="L187" s="4">
        <v>26</v>
      </c>
      <c r="M187" s="4" t="s">
        <v>35</v>
      </c>
      <c r="N187" s="67" t="s">
        <v>470</v>
      </c>
      <c r="O187" s="12" t="s">
        <v>124</v>
      </c>
      <c r="P187" s="4" t="s">
        <v>765</v>
      </c>
      <c r="Q187" s="51">
        <f>2004-1994</f>
        <v>10</v>
      </c>
      <c r="R187" s="4" t="s">
        <v>36</v>
      </c>
      <c r="S187" s="67" t="s">
        <v>764</v>
      </c>
      <c r="T187" s="11" t="s">
        <v>40</v>
      </c>
      <c r="U187" s="11" t="s">
        <v>459</v>
      </c>
      <c r="V187" s="67" t="s">
        <v>762</v>
      </c>
      <c r="W187" s="11" t="s">
        <v>763</v>
      </c>
      <c r="X187" s="11" t="s">
        <v>675</v>
      </c>
      <c r="Y187" s="11"/>
    </row>
    <row r="188" spans="1:25" s="5" customFormat="1">
      <c r="A188" s="95" t="s">
        <v>284</v>
      </c>
      <c r="B188" s="98">
        <v>187</v>
      </c>
      <c r="C188" s="91" t="s">
        <v>1190</v>
      </c>
      <c r="D188" s="93">
        <v>233</v>
      </c>
      <c r="E188" s="4" t="s">
        <v>75</v>
      </c>
      <c r="F188" s="4" t="s">
        <v>76</v>
      </c>
      <c r="G188" s="47" t="s">
        <v>1962</v>
      </c>
      <c r="H188" s="4">
        <v>2008</v>
      </c>
      <c r="I188" s="4" t="s">
        <v>768</v>
      </c>
      <c r="J188" s="4" t="s">
        <v>61</v>
      </c>
      <c r="K188" s="4">
        <v>52</v>
      </c>
      <c r="L188" s="4">
        <v>52</v>
      </c>
      <c r="M188" s="4" t="s">
        <v>35</v>
      </c>
      <c r="N188" s="67" t="s">
        <v>470</v>
      </c>
      <c r="O188" s="4" t="s">
        <v>77</v>
      </c>
      <c r="P188" s="4" t="s">
        <v>766</v>
      </c>
      <c r="Q188" s="51">
        <v>48</v>
      </c>
      <c r="R188" s="4" t="s">
        <v>451</v>
      </c>
      <c r="S188" s="67" t="s">
        <v>1571</v>
      </c>
      <c r="T188" s="11" t="s">
        <v>40</v>
      </c>
      <c r="U188" s="11" t="s">
        <v>459</v>
      </c>
      <c r="V188" s="67" t="s">
        <v>767</v>
      </c>
      <c r="W188" s="11" t="s">
        <v>769</v>
      </c>
      <c r="X188" s="11" t="s">
        <v>675</v>
      </c>
      <c r="Y188" s="11"/>
    </row>
    <row r="189" spans="1:25">
      <c r="A189" s="95" t="s">
        <v>285</v>
      </c>
      <c r="B189" s="99">
        <v>188</v>
      </c>
      <c r="C189" s="91" t="s">
        <v>1190</v>
      </c>
      <c r="D189" s="93">
        <v>234</v>
      </c>
      <c r="E189" s="4" t="s">
        <v>771</v>
      </c>
      <c r="F189" s="4" t="s">
        <v>78</v>
      </c>
      <c r="G189" s="47" t="s">
        <v>1963</v>
      </c>
      <c r="H189" s="4">
        <v>2008</v>
      </c>
      <c r="I189" s="4" t="s">
        <v>61</v>
      </c>
      <c r="J189" s="4" t="s">
        <v>61</v>
      </c>
      <c r="K189" s="4">
        <v>31</v>
      </c>
      <c r="L189" s="4">
        <v>31</v>
      </c>
      <c r="M189" s="4" t="s">
        <v>35</v>
      </c>
      <c r="N189" s="67" t="s">
        <v>470</v>
      </c>
      <c r="O189" s="4" t="s">
        <v>772</v>
      </c>
      <c r="P189" s="4" t="s">
        <v>770</v>
      </c>
      <c r="Q189" s="51">
        <v>80</v>
      </c>
      <c r="R189" s="4" t="s">
        <v>451</v>
      </c>
      <c r="S189" s="67" t="s">
        <v>1025</v>
      </c>
      <c r="T189" s="11" t="s">
        <v>40</v>
      </c>
      <c r="U189" s="11" t="s">
        <v>459</v>
      </c>
      <c r="V189" s="67" t="s">
        <v>1025</v>
      </c>
      <c r="W189" s="11" t="s">
        <v>778</v>
      </c>
      <c r="X189" s="11" t="s">
        <v>675</v>
      </c>
      <c r="Y189" s="11"/>
    </row>
    <row r="190" spans="1:25">
      <c r="A190" s="95" t="s">
        <v>289</v>
      </c>
      <c r="B190" s="98">
        <v>189</v>
      </c>
      <c r="C190" s="91" t="s">
        <v>1190</v>
      </c>
      <c r="D190" s="93">
        <v>236</v>
      </c>
      <c r="E190" s="4" t="s">
        <v>88</v>
      </c>
      <c r="F190" s="4" t="s">
        <v>89</v>
      </c>
      <c r="G190" s="47" t="s">
        <v>1968</v>
      </c>
      <c r="H190" s="4">
        <v>2011</v>
      </c>
      <c r="I190" s="4" t="s">
        <v>441</v>
      </c>
      <c r="J190" s="4" t="s">
        <v>51</v>
      </c>
      <c r="K190" s="4">
        <v>2</v>
      </c>
      <c r="L190" s="4">
        <v>2</v>
      </c>
      <c r="M190" s="4" t="s">
        <v>35</v>
      </c>
      <c r="N190" s="67" t="s">
        <v>470</v>
      </c>
      <c r="O190" s="4" t="s">
        <v>795</v>
      </c>
      <c r="P190" s="4" t="s">
        <v>794</v>
      </c>
      <c r="Q190" s="51">
        <v>36</v>
      </c>
      <c r="R190" s="4" t="s">
        <v>36</v>
      </c>
      <c r="S190" s="67" t="s">
        <v>796</v>
      </c>
      <c r="T190" s="11" t="s">
        <v>40</v>
      </c>
      <c r="U190" s="11" t="s">
        <v>465</v>
      </c>
      <c r="V190" s="67" t="s">
        <v>799</v>
      </c>
      <c r="W190" s="11" t="s">
        <v>798</v>
      </c>
      <c r="X190" s="11" t="s">
        <v>670</v>
      </c>
      <c r="Y190" s="11"/>
    </row>
    <row r="191" spans="1:25">
      <c r="A191" s="95" t="s">
        <v>290</v>
      </c>
      <c r="B191" s="99">
        <v>190</v>
      </c>
      <c r="C191" s="91" t="s">
        <v>1190</v>
      </c>
      <c r="D191" s="93">
        <v>237</v>
      </c>
      <c r="E191" s="4" t="s">
        <v>128</v>
      </c>
      <c r="F191" s="4" t="s">
        <v>62</v>
      </c>
      <c r="G191" s="47" t="s">
        <v>1969</v>
      </c>
      <c r="H191" s="4">
        <v>2013</v>
      </c>
      <c r="I191" s="4" t="s">
        <v>802</v>
      </c>
      <c r="J191" s="4" t="s">
        <v>230</v>
      </c>
      <c r="K191" s="4">
        <v>32</v>
      </c>
      <c r="L191" s="4">
        <v>32</v>
      </c>
      <c r="M191" s="4" t="s">
        <v>43</v>
      </c>
      <c r="N191" s="67" t="s">
        <v>470</v>
      </c>
      <c r="O191" s="4" t="s">
        <v>90</v>
      </c>
      <c r="P191" s="4" t="s">
        <v>801</v>
      </c>
      <c r="Q191" s="51">
        <v>23</v>
      </c>
      <c r="R191" s="4" t="s">
        <v>1538</v>
      </c>
      <c r="S191" s="67" t="s">
        <v>1578</v>
      </c>
      <c r="T191" s="11" t="s">
        <v>40</v>
      </c>
      <c r="U191" s="11" t="s">
        <v>447</v>
      </c>
      <c r="V191" s="67" t="s">
        <v>803</v>
      </c>
      <c r="W191" s="11" t="s">
        <v>1577</v>
      </c>
      <c r="X191" s="11" t="s">
        <v>670</v>
      </c>
      <c r="Y191" s="11"/>
    </row>
    <row r="192" spans="1:25">
      <c r="A192" s="95" t="s">
        <v>291</v>
      </c>
      <c r="B192" s="98">
        <v>191</v>
      </c>
      <c r="C192" s="91" t="s">
        <v>1446</v>
      </c>
      <c r="D192" s="93">
        <v>238</v>
      </c>
      <c r="E192" s="4" t="s">
        <v>91</v>
      </c>
      <c r="F192" s="4" t="s">
        <v>62</v>
      </c>
      <c r="G192" s="47" t="s">
        <v>1970</v>
      </c>
      <c r="H192" s="4">
        <v>2012</v>
      </c>
      <c r="I192" s="4" t="s">
        <v>61</v>
      </c>
      <c r="J192" s="4" t="s">
        <v>61</v>
      </c>
      <c r="K192" s="4">
        <v>106</v>
      </c>
      <c r="L192" s="4">
        <v>106</v>
      </c>
      <c r="M192" s="4" t="s">
        <v>35</v>
      </c>
      <c r="N192" s="67" t="s">
        <v>470</v>
      </c>
      <c r="O192" s="4" t="s">
        <v>92</v>
      </c>
      <c r="P192" s="4" t="s">
        <v>806</v>
      </c>
      <c r="Q192" s="51">
        <v>82</v>
      </c>
      <c r="R192" s="4" t="s">
        <v>36</v>
      </c>
      <c r="S192" s="67" t="s">
        <v>1579</v>
      </c>
      <c r="T192" s="11" t="s">
        <v>40</v>
      </c>
      <c r="U192" s="11" t="s">
        <v>459</v>
      </c>
      <c r="V192" s="67" t="s">
        <v>1025</v>
      </c>
      <c r="W192" s="11" t="s">
        <v>808</v>
      </c>
      <c r="X192" s="11" t="s">
        <v>807</v>
      </c>
      <c r="Y192" s="11"/>
    </row>
    <row r="193" spans="1:25">
      <c r="A193" s="95" t="s">
        <v>292</v>
      </c>
      <c r="B193" s="99">
        <v>192</v>
      </c>
      <c r="C193" s="91" t="s">
        <v>1190</v>
      </c>
      <c r="D193" s="93">
        <v>239</v>
      </c>
      <c r="E193" s="4" t="s">
        <v>93</v>
      </c>
      <c r="F193" s="4" t="s">
        <v>94</v>
      </c>
      <c r="G193" s="47" t="s">
        <v>1971</v>
      </c>
      <c r="H193" s="4">
        <v>2012</v>
      </c>
      <c r="I193" s="4" t="s">
        <v>45</v>
      </c>
      <c r="J193" s="4" t="s">
        <v>45</v>
      </c>
      <c r="K193" s="4">
        <v>51</v>
      </c>
      <c r="L193" s="4">
        <v>51</v>
      </c>
      <c r="M193" s="4" t="s">
        <v>35</v>
      </c>
      <c r="N193" s="67" t="s">
        <v>470</v>
      </c>
      <c r="O193" s="4" t="s">
        <v>810</v>
      </c>
      <c r="P193" s="4" t="s">
        <v>809</v>
      </c>
      <c r="Q193" s="51">
        <f>2006-1986</f>
        <v>20</v>
      </c>
      <c r="R193" s="4" t="s">
        <v>36</v>
      </c>
      <c r="S193" s="67" t="s">
        <v>1025</v>
      </c>
      <c r="T193" s="11" t="s">
        <v>40</v>
      </c>
      <c r="U193" s="11" t="s">
        <v>459</v>
      </c>
      <c r="V193" s="67" t="s">
        <v>1025</v>
      </c>
      <c r="W193" s="11" t="s">
        <v>811</v>
      </c>
      <c r="X193" s="11" t="s">
        <v>670</v>
      </c>
      <c r="Y193" s="11"/>
    </row>
    <row r="194" spans="1:25">
      <c r="A194" s="95" t="s">
        <v>1594</v>
      </c>
      <c r="B194" s="98">
        <v>193</v>
      </c>
      <c r="C194" s="91" t="s">
        <v>1190</v>
      </c>
      <c r="D194" s="93">
        <v>240</v>
      </c>
      <c r="E194" s="4" t="s">
        <v>1587</v>
      </c>
      <c r="F194" s="4" t="s">
        <v>1588</v>
      </c>
      <c r="G194" s="47" t="s">
        <v>1972</v>
      </c>
      <c r="H194" s="4">
        <v>2008</v>
      </c>
      <c r="I194" s="4" t="s">
        <v>441</v>
      </c>
      <c r="J194" s="4" t="s">
        <v>51</v>
      </c>
      <c r="K194" s="4">
        <v>2</v>
      </c>
      <c r="L194" s="4">
        <v>2</v>
      </c>
      <c r="M194" s="4" t="s">
        <v>35</v>
      </c>
      <c r="N194" s="67" t="s">
        <v>470</v>
      </c>
      <c r="O194" s="4" t="s">
        <v>1603</v>
      </c>
      <c r="P194" s="4" t="s">
        <v>1589</v>
      </c>
      <c r="Q194" s="51" t="s">
        <v>1593</v>
      </c>
      <c r="R194" s="13" t="s">
        <v>1591</v>
      </c>
      <c r="S194" s="67"/>
      <c r="T194" s="11" t="s">
        <v>193</v>
      </c>
      <c r="U194" s="11" t="s">
        <v>1136</v>
      </c>
      <c r="V194" s="67" t="s">
        <v>1025</v>
      </c>
      <c r="W194" s="11" t="s">
        <v>932</v>
      </c>
      <c r="X194" s="11" t="s">
        <v>670</v>
      </c>
      <c r="Y194" s="11"/>
    </row>
    <row r="195" spans="1:25">
      <c r="A195" s="95" t="s">
        <v>284</v>
      </c>
      <c r="B195" s="99">
        <v>194</v>
      </c>
      <c r="C195" s="91" t="s">
        <v>1190</v>
      </c>
      <c r="D195" s="93">
        <v>241</v>
      </c>
      <c r="E195" s="4" t="s">
        <v>95</v>
      </c>
      <c r="F195" s="4" t="s">
        <v>203</v>
      </c>
      <c r="G195" s="47" t="s">
        <v>1973</v>
      </c>
      <c r="H195" s="4">
        <v>2010</v>
      </c>
      <c r="I195" s="4" t="s">
        <v>96</v>
      </c>
      <c r="J195" s="4" t="s">
        <v>96</v>
      </c>
      <c r="K195" s="4">
        <v>61</v>
      </c>
      <c r="L195" s="4">
        <v>61</v>
      </c>
      <c r="M195" s="4" t="s">
        <v>35</v>
      </c>
      <c r="N195" s="67" t="s">
        <v>470</v>
      </c>
      <c r="O195" s="4" t="s">
        <v>97</v>
      </c>
      <c r="P195" s="4" t="s">
        <v>814</v>
      </c>
      <c r="Q195" s="51">
        <f>2004-1993</f>
        <v>11</v>
      </c>
      <c r="R195" s="4" t="s">
        <v>451</v>
      </c>
      <c r="S195" s="67" t="s">
        <v>815</v>
      </c>
      <c r="T195" s="11" t="s">
        <v>40</v>
      </c>
      <c r="U195" s="11" t="s">
        <v>648</v>
      </c>
      <c r="V195" s="67" t="s">
        <v>762</v>
      </c>
      <c r="W195" s="11" t="s">
        <v>816</v>
      </c>
      <c r="X195" s="11" t="s">
        <v>670</v>
      </c>
      <c r="Y195" s="11"/>
    </row>
    <row r="196" spans="1:25">
      <c r="A196" s="95" t="s">
        <v>293</v>
      </c>
      <c r="B196" s="98">
        <v>195</v>
      </c>
      <c r="C196" s="91" t="s">
        <v>1025</v>
      </c>
      <c r="D196" s="93">
        <v>242</v>
      </c>
      <c r="E196" s="4" t="s">
        <v>813</v>
      </c>
      <c r="F196" s="4" t="s">
        <v>98</v>
      </c>
      <c r="G196" s="47" t="s">
        <v>1974</v>
      </c>
      <c r="H196" s="4">
        <v>2011</v>
      </c>
      <c r="I196" s="4" t="s">
        <v>45</v>
      </c>
      <c r="J196" s="4" t="s">
        <v>45</v>
      </c>
      <c r="K196" s="4">
        <v>95</v>
      </c>
      <c r="L196" s="4">
        <v>95</v>
      </c>
      <c r="M196" s="4" t="s">
        <v>43</v>
      </c>
      <c r="N196" s="67" t="s">
        <v>470</v>
      </c>
      <c r="O196" s="4" t="s">
        <v>99</v>
      </c>
      <c r="P196" s="4" t="s">
        <v>819</v>
      </c>
      <c r="Q196" s="51">
        <f>2004-1999</f>
        <v>5</v>
      </c>
      <c r="R196" s="4" t="s">
        <v>36</v>
      </c>
      <c r="S196" s="67" t="s">
        <v>818</v>
      </c>
      <c r="T196" s="11" t="s">
        <v>40</v>
      </c>
      <c r="U196" s="11" t="s">
        <v>459</v>
      </c>
      <c r="V196" s="67" t="s">
        <v>812</v>
      </c>
      <c r="W196" s="11" t="s">
        <v>1611</v>
      </c>
      <c r="X196" s="11" t="s">
        <v>670</v>
      </c>
      <c r="Y196" s="11"/>
    </row>
    <row r="197" spans="1:25">
      <c r="A197" s="95" t="s">
        <v>395</v>
      </c>
      <c r="B197" s="99">
        <v>196</v>
      </c>
      <c r="C197" s="91" t="s">
        <v>1190</v>
      </c>
      <c r="D197" s="93">
        <v>243</v>
      </c>
      <c r="E197" s="4" t="s">
        <v>1613</v>
      </c>
      <c r="F197" s="4" t="s">
        <v>1612</v>
      </c>
      <c r="G197" s="47" t="s">
        <v>1975</v>
      </c>
      <c r="H197" s="4">
        <v>2007</v>
      </c>
      <c r="I197" s="4" t="s">
        <v>230</v>
      </c>
      <c r="J197" s="4" t="s">
        <v>230</v>
      </c>
      <c r="K197" s="4">
        <v>2</v>
      </c>
      <c r="L197" s="4">
        <v>2</v>
      </c>
      <c r="M197" s="4" t="s">
        <v>43</v>
      </c>
      <c r="N197" s="67" t="s">
        <v>470</v>
      </c>
      <c r="O197" s="4" t="s">
        <v>232</v>
      </c>
      <c r="P197" s="4" t="s">
        <v>1438</v>
      </c>
      <c r="Q197" s="51">
        <v>25</v>
      </c>
      <c r="R197" s="4" t="s">
        <v>131</v>
      </c>
      <c r="S197" s="67" t="s">
        <v>1025</v>
      </c>
      <c r="T197" s="11" t="s">
        <v>86</v>
      </c>
      <c r="U197" s="11" t="s">
        <v>648</v>
      </c>
      <c r="V197" s="67" t="s">
        <v>812</v>
      </c>
      <c r="W197" s="11" t="s">
        <v>1440</v>
      </c>
      <c r="X197" s="11" t="s">
        <v>670</v>
      </c>
      <c r="Y197" s="11"/>
    </row>
    <row r="198" spans="1:25">
      <c r="A198" s="95" t="s">
        <v>273</v>
      </c>
      <c r="B198" s="98">
        <v>197</v>
      </c>
      <c r="C198" s="91" t="s">
        <v>1190</v>
      </c>
      <c r="D198" s="93">
        <v>244</v>
      </c>
      <c r="E198" s="4" t="s">
        <v>102</v>
      </c>
      <c r="F198" s="4" t="s">
        <v>38</v>
      </c>
      <c r="G198" s="47" t="s">
        <v>1976</v>
      </c>
      <c r="H198" s="4">
        <v>2007</v>
      </c>
      <c r="I198" s="17" t="s">
        <v>50</v>
      </c>
      <c r="J198" s="4" t="s">
        <v>50</v>
      </c>
      <c r="K198" s="4">
        <v>107</v>
      </c>
      <c r="L198" s="4">
        <v>107</v>
      </c>
      <c r="M198" s="4" t="s">
        <v>35</v>
      </c>
      <c r="N198" s="67" t="s">
        <v>470</v>
      </c>
      <c r="O198" s="4" t="s">
        <v>132</v>
      </c>
      <c r="P198" s="4" t="s">
        <v>821</v>
      </c>
      <c r="Q198" s="51">
        <f>2004-1967</f>
        <v>37</v>
      </c>
      <c r="R198" s="11" t="s">
        <v>451</v>
      </c>
      <c r="S198" s="67" t="s">
        <v>820</v>
      </c>
      <c r="T198" s="11" t="s">
        <v>40</v>
      </c>
      <c r="U198" s="11" t="s">
        <v>448</v>
      </c>
      <c r="V198" s="67" t="s">
        <v>735</v>
      </c>
      <c r="W198" s="11" t="s">
        <v>822</v>
      </c>
      <c r="X198" s="11" t="s">
        <v>670</v>
      </c>
      <c r="Y198" s="11"/>
    </row>
    <row r="199" spans="1:25">
      <c r="A199" s="95" t="s">
        <v>294</v>
      </c>
      <c r="B199" s="99">
        <v>198</v>
      </c>
      <c r="C199" s="91" t="s">
        <v>1190</v>
      </c>
      <c r="D199" s="93">
        <v>245</v>
      </c>
      <c r="E199" s="4" t="s">
        <v>103</v>
      </c>
      <c r="F199" s="4" t="s">
        <v>104</v>
      </c>
      <c r="G199" s="47" t="s">
        <v>1977</v>
      </c>
      <c r="H199" s="4">
        <v>1992</v>
      </c>
      <c r="I199" s="17" t="s">
        <v>61</v>
      </c>
      <c r="J199" s="4" t="s">
        <v>61</v>
      </c>
      <c r="K199" s="4">
        <v>4</v>
      </c>
      <c r="L199" s="4">
        <v>4</v>
      </c>
      <c r="M199" s="4" t="s">
        <v>43</v>
      </c>
      <c r="N199" s="67" t="s">
        <v>1468</v>
      </c>
      <c r="O199" s="4" t="s">
        <v>105</v>
      </c>
      <c r="P199" s="4" t="s">
        <v>1615</v>
      </c>
      <c r="Q199" s="51">
        <f>1990-1860</f>
        <v>130</v>
      </c>
      <c r="R199" s="4" t="s">
        <v>36</v>
      </c>
      <c r="S199" s="67" t="s">
        <v>106</v>
      </c>
      <c r="T199" s="11" t="s">
        <v>40</v>
      </c>
      <c r="U199" s="11" t="s">
        <v>447</v>
      </c>
      <c r="V199" s="67" t="s">
        <v>824</v>
      </c>
      <c r="W199" s="11" t="s">
        <v>1590</v>
      </c>
      <c r="X199" s="11" t="s">
        <v>675</v>
      </c>
      <c r="Y199" s="11"/>
    </row>
    <row r="200" spans="1:25">
      <c r="A200" s="95" t="s">
        <v>280</v>
      </c>
      <c r="B200" s="98">
        <v>199</v>
      </c>
      <c r="C200" s="91" t="s">
        <v>1190</v>
      </c>
      <c r="D200" s="93">
        <v>246</v>
      </c>
      <c r="E200" s="4" t="s">
        <v>1616</v>
      </c>
      <c r="F200" s="4" t="s">
        <v>239</v>
      </c>
      <c r="G200" s="47" t="s">
        <v>1978</v>
      </c>
      <c r="H200" s="4">
        <v>2015</v>
      </c>
      <c r="I200" s="4" t="s">
        <v>1617</v>
      </c>
      <c r="J200" s="4" t="s">
        <v>51</v>
      </c>
      <c r="K200" s="4">
        <v>23</v>
      </c>
      <c r="L200" s="4">
        <v>23</v>
      </c>
      <c r="M200" s="4" t="s">
        <v>43</v>
      </c>
      <c r="N200" s="67" t="s">
        <v>470</v>
      </c>
      <c r="O200" s="4" t="s">
        <v>68</v>
      </c>
      <c r="P200" s="4" t="s">
        <v>1145</v>
      </c>
      <c r="Q200" s="51">
        <v>20</v>
      </c>
      <c r="R200" s="4" t="s">
        <v>631</v>
      </c>
      <c r="S200" s="67" t="s">
        <v>130</v>
      </c>
      <c r="T200" s="4" t="s">
        <v>40</v>
      </c>
      <c r="U200" s="4" t="s">
        <v>447</v>
      </c>
      <c r="V200" s="67" t="s">
        <v>1619</v>
      </c>
      <c r="W200" s="4" t="s">
        <v>1621</v>
      </c>
      <c r="X200" s="4" t="s">
        <v>670</v>
      </c>
      <c r="Y200" s="11"/>
    </row>
    <row r="201" spans="1:25">
      <c r="A201" s="95" t="s">
        <v>295</v>
      </c>
      <c r="B201" s="99">
        <v>200</v>
      </c>
      <c r="C201" s="91" t="s">
        <v>1190</v>
      </c>
      <c r="D201" s="93">
        <v>247</v>
      </c>
      <c r="E201" s="4" t="s">
        <v>107</v>
      </c>
      <c r="F201" s="4" t="s">
        <v>78</v>
      </c>
      <c r="G201" s="47" t="s">
        <v>1979</v>
      </c>
      <c r="H201" s="4">
        <v>2004</v>
      </c>
      <c r="I201" s="17" t="s">
        <v>61</v>
      </c>
      <c r="J201" s="4" t="s">
        <v>61</v>
      </c>
      <c r="K201" s="4">
        <v>7</v>
      </c>
      <c r="L201" s="4">
        <v>7</v>
      </c>
      <c r="M201" s="4" t="s">
        <v>35</v>
      </c>
      <c r="N201" s="67" t="s">
        <v>1467</v>
      </c>
      <c r="O201" s="4" t="s">
        <v>134</v>
      </c>
      <c r="P201" s="4" t="s">
        <v>825</v>
      </c>
      <c r="Q201" s="51">
        <f>2002-1989</f>
        <v>13</v>
      </c>
      <c r="R201" s="4" t="s">
        <v>1623</v>
      </c>
      <c r="S201" s="67" t="s">
        <v>1025</v>
      </c>
      <c r="T201" s="11" t="s">
        <v>40</v>
      </c>
      <c r="U201" s="11" t="s">
        <v>459</v>
      </c>
      <c r="V201" s="67" t="s">
        <v>812</v>
      </c>
      <c r="W201" s="11" t="s">
        <v>843</v>
      </c>
      <c r="X201" s="11" t="s">
        <v>675</v>
      </c>
      <c r="Y201" s="11"/>
    </row>
    <row r="202" spans="1:25">
      <c r="A202" s="95" t="s">
        <v>285</v>
      </c>
      <c r="B202" s="98">
        <v>201</v>
      </c>
      <c r="C202" s="91" t="s">
        <v>1190</v>
      </c>
      <c r="D202" s="93">
        <v>248</v>
      </c>
      <c r="E202" s="4" t="s">
        <v>110</v>
      </c>
      <c r="F202" s="4" t="s">
        <v>38</v>
      </c>
      <c r="G202" s="47" t="s">
        <v>1980</v>
      </c>
      <c r="H202" s="4">
        <v>2009</v>
      </c>
      <c r="I202" s="17" t="s">
        <v>61</v>
      </c>
      <c r="J202" s="4" t="s">
        <v>61</v>
      </c>
      <c r="K202" s="4">
        <v>70</v>
      </c>
      <c r="L202" s="4">
        <v>70</v>
      </c>
      <c r="M202" s="4" t="s">
        <v>35</v>
      </c>
      <c r="N202" s="67" t="s">
        <v>470</v>
      </c>
      <c r="O202" s="4" t="s">
        <v>109</v>
      </c>
      <c r="P202" s="4" t="s">
        <v>848</v>
      </c>
      <c r="Q202" s="51">
        <f>2002-1954</f>
        <v>48</v>
      </c>
      <c r="R202" s="4" t="s">
        <v>131</v>
      </c>
      <c r="S202" s="67" t="s">
        <v>1025</v>
      </c>
      <c r="T202" s="11" t="s">
        <v>40</v>
      </c>
      <c r="U202" s="11" t="s">
        <v>459</v>
      </c>
      <c r="V202" s="67" t="s">
        <v>846</v>
      </c>
      <c r="W202" s="11" t="s">
        <v>849</v>
      </c>
      <c r="X202" s="11" t="s">
        <v>675</v>
      </c>
      <c r="Y202" s="5"/>
    </row>
    <row r="203" spans="1:25">
      <c r="A203" s="95" t="s">
        <v>296</v>
      </c>
      <c r="B203" s="99">
        <v>202</v>
      </c>
      <c r="C203" s="91" t="s">
        <v>1190</v>
      </c>
      <c r="D203" s="93">
        <v>249</v>
      </c>
      <c r="E203" s="4" t="s">
        <v>111</v>
      </c>
      <c r="F203" s="4" t="s">
        <v>74</v>
      </c>
      <c r="G203" s="47" t="s">
        <v>1981</v>
      </c>
      <c r="H203" s="4">
        <v>2004</v>
      </c>
      <c r="I203" s="17" t="s">
        <v>704</v>
      </c>
      <c r="J203" s="17" t="s">
        <v>704</v>
      </c>
      <c r="K203" s="4">
        <v>113</v>
      </c>
      <c r="L203" s="4">
        <v>113</v>
      </c>
      <c r="M203" s="4" t="s">
        <v>43</v>
      </c>
      <c r="N203" s="67" t="s">
        <v>470</v>
      </c>
      <c r="O203" s="4" t="s">
        <v>101</v>
      </c>
      <c r="P203" s="4" t="s">
        <v>827</v>
      </c>
      <c r="Q203" s="51">
        <f>2002-1958</f>
        <v>44</v>
      </c>
      <c r="R203" s="4" t="s">
        <v>131</v>
      </c>
      <c r="S203" s="67" t="s">
        <v>1025</v>
      </c>
      <c r="T203" s="11" t="s">
        <v>86</v>
      </c>
      <c r="U203" s="11" t="s">
        <v>850</v>
      </c>
      <c r="V203" s="67" t="s">
        <v>852</v>
      </c>
      <c r="W203" s="11" t="s">
        <v>851</v>
      </c>
      <c r="X203" s="11" t="s">
        <v>670</v>
      </c>
      <c r="Y203" s="5"/>
    </row>
    <row r="204" spans="1:25">
      <c r="A204" s="95" t="s">
        <v>395</v>
      </c>
      <c r="B204" s="98">
        <v>203</v>
      </c>
      <c r="C204" s="91" t="s">
        <v>1190</v>
      </c>
      <c r="D204" s="93">
        <v>250</v>
      </c>
      <c r="E204" s="4" t="s">
        <v>112</v>
      </c>
      <c r="F204" s="11" t="s">
        <v>113</v>
      </c>
      <c r="G204" s="47" t="s">
        <v>1982</v>
      </c>
      <c r="H204" s="4">
        <v>2004</v>
      </c>
      <c r="I204" s="4" t="s">
        <v>114</v>
      </c>
      <c r="J204" s="4" t="s">
        <v>114</v>
      </c>
      <c r="K204" s="4">
        <v>12</v>
      </c>
      <c r="L204" s="4">
        <v>12</v>
      </c>
      <c r="M204" s="11" t="s">
        <v>43</v>
      </c>
      <c r="N204" s="67" t="s">
        <v>470</v>
      </c>
      <c r="O204" s="4" t="s">
        <v>394</v>
      </c>
      <c r="P204" s="11" t="s">
        <v>828</v>
      </c>
      <c r="Q204" s="51">
        <f>2004-1925</f>
        <v>79</v>
      </c>
      <c r="R204" s="11" t="s">
        <v>131</v>
      </c>
      <c r="S204" s="67" t="s">
        <v>1025</v>
      </c>
      <c r="T204" s="11" t="s">
        <v>86</v>
      </c>
      <c r="U204" s="11" t="s">
        <v>448</v>
      </c>
      <c r="V204" s="67" t="s">
        <v>1025</v>
      </c>
      <c r="W204" s="11" t="s">
        <v>729</v>
      </c>
      <c r="X204" s="11" t="s">
        <v>670</v>
      </c>
      <c r="Y204" s="5"/>
    </row>
    <row r="205" spans="1:25">
      <c r="A205" s="95" t="s">
        <v>297</v>
      </c>
      <c r="B205" s="99">
        <v>204</v>
      </c>
      <c r="C205" s="91" t="s">
        <v>1190</v>
      </c>
      <c r="D205" s="93">
        <v>251</v>
      </c>
      <c r="E205" s="4" t="s">
        <v>115</v>
      </c>
      <c r="F205" s="11" t="s">
        <v>38</v>
      </c>
      <c r="G205" s="47" t="s">
        <v>1983</v>
      </c>
      <c r="H205" s="4">
        <v>2004</v>
      </c>
      <c r="I205" s="11" t="s">
        <v>114</v>
      </c>
      <c r="J205" s="4" t="s">
        <v>114</v>
      </c>
      <c r="K205" s="4">
        <v>2</v>
      </c>
      <c r="L205" s="4">
        <v>2</v>
      </c>
      <c r="M205" s="11" t="s">
        <v>43</v>
      </c>
      <c r="N205" s="67" t="s">
        <v>470</v>
      </c>
      <c r="O205" s="4" t="s">
        <v>116</v>
      </c>
      <c r="P205" s="11" t="s">
        <v>829</v>
      </c>
      <c r="Q205" s="51">
        <f>2003-1990</f>
        <v>13</v>
      </c>
      <c r="R205" s="11" t="s">
        <v>131</v>
      </c>
      <c r="S205" s="67" t="s">
        <v>1025</v>
      </c>
      <c r="T205" s="11" t="s">
        <v>86</v>
      </c>
      <c r="U205" s="11" t="s">
        <v>448</v>
      </c>
      <c r="V205" s="67" t="s">
        <v>1025</v>
      </c>
      <c r="W205" s="11" t="s">
        <v>729</v>
      </c>
      <c r="X205" s="11" t="s">
        <v>670</v>
      </c>
      <c r="Y205" s="5"/>
    </row>
    <row r="206" spans="1:25">
      <c r="A206" s="95" t="s">
        <v>298</v>
      </c>
      <c r="B206" s="98">
        <v>205</v>
      </c>
      <c r="C206" s="91" t="s">
        <v>1190</v>
      </c>
      <c r="D206" s="93">
        <v>252</v>
      </c>
      <c r="E206" s="4" t="s">
        <v>117</v>
      </c>
      <c r="F206" s="11" t="s">
        <v>38</v>
      </c>
      <c r="G206" s="47" t="s">
        <v>1984</v>
      </c>
      <c r="H206" s="4">
        <v>2003</v>
      </c>
      <c r="I206" s="11" t="s">
        <v>333</v>
      </c>
      <c r="J206" s="4" t="s">
        <v>61</v>
      </c>
      <c r="K206" s="4">
        <v>3</v>
      </c>
      <c r="L206" s="4">
        <v>6</v>
      </c>
      <c r="M206" s="11" t="s">
        <v>35</v>
      </c>
      <c r="N206" s="67" t="s">
        <v>470</v>
      </c>
      <c r="O206" s="4" t="s">
        <v>138</v>
      </c>
      <c r="P206" s="11" t="s">
        <v>830</v>
      </c>
      <c r="Q206" s="51">
        <f>2003-1945</f>
        <v>58</v>
      </c>
      <c r="R206" s="11" t="s">
        <v>36</v>
      </c>
      <c r="S206" s="67" t="s">
        <v>854</v>
      </c>
      <c r="T206" s="11" t="s">
        <v>40</v>
      </c>
      <c r="U206" s="11" t="s">
        <v>564</v>
      </c>
      <c r="V206" s="67" t="s">
        <v>855</v>
      </c>
      <c r="W206" s="11" t="s">
        <v>856</v>
      </c>
      <c r="X206" s="11" t="s">
        <v>675</v>
      </c>
      <c r="Y206" s="5"/>
    </row>
    <row r="207" spans="1:25">
      <c r="A207" s="95" t="s">
        <v>288</v>
      </c>
      <c r="B207" s="99">
        <v>206</v>
      </c>
      <c r="C207" s="91" t="s">
        <v>1190</v>
      </c>
      <c r="D207" s="93">
        <v>253</v>
      </c>
      <c r="E207" s="4" t="s">
        <v>87</v>
      </c>
      <c r="F207" s="4" t="s">
        <v>78</v>
      </c>
      <c r="G207" s="47" t="s">
        <v>1967</v>
      </c>
      <c r="H207" s="4">
        <v>2012</v>
      </c>
      <c r="I207" s="4" t="s">
        <v>61</v>
      </c>
      <c r="J207" s="4" t="s">
        <v>61</v>
      </c>
      <c r="K207" s="4">
        <v>69</v>
      </c>
      <c r="L207" s="4">
        <v>69</v>
      </c>
      <c r="M207" s="4" t="s">
        <v>35</v>
      </c>
      <c r="N207" s="67" t="s">
        <v>470</v>
      </c>
      <c r="O207" s="4" t="s">
        <v>790</v>
      </c>
      <c r="P207" s="4" t="s">
        <v>789</v>
      </c>
      <c r="Q207" s="51">
        <v>8</v>
      </c>
      <c r="R207" s="4" t="s">
        <v>63</v>
      </c>
      <c r="S207" s="67" t="s">
        <v>792</v>
      </c>
      <c r="T207" s="11" t="s">
        <v>40</v>
      </c>
      <c r="U207" s="11" t="s">
        <v>465</v>
      </c>
      <c r="V207" s="67" t="s">
        <v>800</v>
      </c>
      <c r="W207" s="11" t="s">
        <v>793</v>
      </c>
      <c r="X207" s="11" t="s">
        <v>675</v>
      </c>
      <c r="Y207" s="11"/>
    </row>
    <row r="208" spans="1:25">
      <c r="A208" s="95" t="s">
        <v>299</v>
      </c>
      <c r="B208" s="98">
        <v>207</v>
      </c>
      <c r="C208" s="91" t="s">
        <v>1190</v>
      </c>
      <c r="D208" s="93">
        <v>253</v>
      </c>
      <c r="E208" s="4" t="s">
        <v>118</v>
      </c>
      <c r="F208" s="11" t="s">
        <v>38</v>
      </c>
      <c r="G208" s="47" t="s">
        <v>1985</v>
      </c>
      <c r="H208" s="4">
        <v>2009</v>
      </c>
      <c r="I208" s="11" t="s">
        <v>45</v>
      </c>
      <c r="J208" s="4" t="s">
        <v>45</v>
      </c>
      <c r="K208" s="4">
        <v>129</v>
      </c>
      <c r="L208" s="4">
        <v>129</v>
      </c>
      <c r="M208" s="11" t="s">
        <v>43</v>
      </c>
      <c r="N208" s="67" t="s">
        <v>1467</v>
      </c>
      <c r="O208" s="4" t="s">
        <v>119</v>
      </c>
      <c r="P208" s="11" t="s">
        <v>831</v>
      </c>
      <c r="Q208" s="51">
        <f>2002-1982</f>
        <v>20</v>
      </c>
      <c r="R208" s="11" t="s">
        <v>857</v>
      </c>
      <c r="S208" s="67" t="s">
        <v>1640</v>
      </c>
      <c r="T208" s="11" t="s">
        <v>40</v>
      </c>
      <c r="U208" s="11" t="s">
        <v>459</v>
      </c>
      <c r="V208" s="67" t="s">
        <v>858</v>
      </c>
      <c r="W208" s="11" t="s">
        <v>1641</v>
      </c>
      <c r="X208" s="11" t="s">
        <v>670</v>
      </c>
      <c r="Y208" s="5"/>
    </row>
    <row r="209" spans="1:25" s="5" customFormat="1">
      <c r="A209" s="95" t="s">
        <v>300</v>
      </c>
      <c r="B209" s="98">
        <v>208</v>
      </c>
      <c r="C209" s="91" t="s">
        <v>1190</v>
      </c>
      <c r="D209" s="93">
        <v>254</v>
      </c>
      <c r="E209" s="4" t="s">
        <v>120</v>
      </c>
      <c r="F209" s="11" t="s">
        <v>121</v>
      </c>
      <c r="G209" s="47" t="s">
        <v>1986</v>
      </c>
      <c r="H209" s="4">
        <v>2011</v>
      </c>
      <c r="I209" s="11" t="s">
        <v>122</v>
      </c>
      <c r="J209" s="4" t="s">
        <v>122</v>
      </c>
      <c r="K209" s="4">
        <v>9</v>
      </c>
      <c r="L209" s="4">
        <v>9</v>
      </c>
      <c r="M209" s="11" t="s">
        <v>43</v>
      </c>
      <c r="N209" s="67" t="s">
        <v>1469</v>
      </c>
      <c r="O209" s="4" t="s">
        <v>140</v>
      </c>
      <c r="P209" s="11" t="s">
        <v>832</v>
      </c>
      <c r="Q209" s="51">
        <f>2004-1930</f>
        <v>74</v>
      </c>
      <c r="R209" s="11" t="s">
        <v>131</v>
      </c>
      <c r="S209" s="67" t="s">
        <v>1643</v>
      </c>
      <c r="T209" s="11" t="s">
        <v>86</v>
      </c>
      <c r="U209" s="11" t="s">
        <v>435</v>
      </c>
      <c r="V209" s="67" t="s">
        <v>1642</v>
      </c>
      <c r="W209" s="11" t="s">
        <v>859</v>
      </c>
      <c r="X209" s="11" t="s">
        <v>670</v>
      </c>
    </row>
    <row r="210" spans="1:25" s="5" customFormat="1">
      <c r="A210" s="95" t="s">
        <v>431</v>
      </c>
      <c r="B210" s="99">
        <v>209</v>
      </c>
      <c r="C210" s="91" t="s">
        <v>1190</v>
      </c>
      <c r="D210" s="93">
        <v>255</v>
      </c>
      <c r="E210" s="4" t="s">
        <v>123</v>
      </c>
      <c r="F210" s="11" t="s">
        <v>42</v>
      </c>
      <c r="G210" s="47" t="s">
        <v>1987</v>
      </c>
      <c r="H210" s="4">
        <v>2011</v>
      </c>
      <c r="I210" s="11" t="s">
        <v>332</v>
      </c>
      <c r="J210" s="4" t="s">
        <v>230</v>
      </c>
      <c r="K210" s="4">
        <v>13</v>
      </c>
      <c r="L210" s="4">
        <v>13</v>
      </c>
      <c r="M210" s="11" t="s">
        <v>141</v>
      </c>
      <c r="N210" s="67"/>
      <c r="O210" s="4" t="s">
        <v>141</v>
      </c>
      <c r="P210" s="11" t="s">
        <v>833</v>
      </c>
      <c r="Q210" s="51">
        <f>2000-1960</f>
        <v>40</v>
      </c>
      <c r="R210" s="11" t="s">
        <v>131</v>
      </c>
      <c r="S210" s="67" t="s">
        <v>432</v>
      </c>
      <c r="T210" s="11" t="s">
        <v>86</v>
      </c>
      <c r="U210" s="11" t="s">
        <v>860</v>
      </c>
      <c r="V210" s="67" t="s">
        <v>130</v>
      </c>
      <c r="W210" s="6" t="s">
        <v>861</v>
      </c>
      <c r="X210" s="11" t="s">
        <v>670</v>
      </c>
    </row>
    <row r="211" spans="1:25">
      <c r="A211" s="95" t="s">
        <v>301</v>
      </c>
      <c r="B211" s="98">
        <v>210</v>
      </c>
      <c r="C211" s="91" t="s">
        <v>1190</v>
      </c>
      <c r="D211" s="93">
        <v>256</v>
      </c>
      <c r="E211" s="4" t="s">
        <v>143</v>
      </c>
      <c r="F211" s="11" t="s">
        <v>56</v>
      </c>
      <c r="G211" s="47" t="s">
        <v>1988</v>
      </c>
      <c r="H211" s="4">
        <v>2013</v>
      </c>
      <c r="I211" s="11" t="s">
        <v>142</v>
      </c>
      <c r="J211" s="4" t="s">
        <v>51</v>
      </c>
      <c r="K211" s="4">
        <v>49</v>
      </c>
      <c r="L211" s="4">
        <v>49</v>
      </c>
      <c r="M211" s="11" t="s">
        <v>35</v>
      </c>
      <c r="N211" s="67" t="s">
        <v>470</v>
      </c>
      <c r="O211" s="4" t="s">
        <v>862</v>
      </c>
      <c r="P211" s="11" t="s">
        <v>834</v>
      </c>
      <c r="Q211" s="51" t="s">
        <v>1581</v>
      </c>
      <c r="R211" s="11" t="s">
        <v>36</v>
      </c>
      <c r="S211" s="67" t="s">
        <v>144</v>
      </c>
      <c r="T211" s="11" t="s">
        <v>40</v>
      </c>
      <c r="U211" s="11" t="s">
        <v>447</v>
      </c>
      <c r="V211" s="67" t="s">
        <v>863</v>
      </c>
      <c r="W211" s="11" t="s">
        <v>1644</v>
      </c>
      <c r="X211" s="11" t="s">
        <v>670</v>
      </c>
    </row>
    <row r="212" spans="1:25">
      <c r="A212" s="95" t="s">
        <v>302</v>
      </c>
      <c r="B212" s="99">
        <v>211</v>
      </c>
      <c r="C212" s="91" t="s">
        <v>1190</v>
      </c>
      <c r="D212" s="93">
        <v>257</v>
      </c>
      <c r="E212" s="4" t="s">
        <v>147</v>
      </c>
      <c r="F212" s="11" t="s">
        <v>148</v>
      </c>
      <c r="G212" s="47" t="s">
        <v>1990</v>
      </c>
      <c r="H212" s="4">
        <v>2004</v>
      </c>
      <c r="I212" s="11" t="s">
        <v>45</v>
      </c>
      <c r="J212" s="4" t="s">
        <v>45</v>
      </c>
      <c r="K212" s="4">
        <v>150</v>
      </c>
      <c r="L212" s="4">
        <v>150</v>
      </c>
      <c r="M212" s="11" t="s">
        <v>43</v>
      </c>
      <c r="N212" s="67" t="s">
        <v>470</v>
      </c>
      <c r="O212" s="4" t="s">
        <v>149</v>
      </c>
      <c r="P212" s="11" t="s">
        <v>836</v>
      </c>
      <c r="Q212" s="51">
        <f>1987-1976</f>
        <v>11</v>
      </c>
      <c r="R212" s="11" t="s">
        <v>131</v>
      </c>
      <c r="S212" s="67" t="s">
        <v>150</v>
      </c>
      <c r="T212" s="11" t="s">
        <v>40</v>
      </c>
      <c r="U212" s="11" t="s">
        <v>459</v>
      </c>
      <c r="V212" s="67" t="s">
        <v>130</v>
      </c>
      <c r="W212" s="11" t="s">
        <v>1645</v>
      </c>
      <c r="X212" s="11" t="s">
        <v>670</v>
      </c>
    </row>
    <row r="213" spans="1:25">
      <c r="A213" s="95" t="s">
        <v>287</v>
      </c>
      <c r="B213" s="98">
        <v>212</v>
      </c>
      <c r="C213" s="91" t="s">
        <v>1025</v>
      </c>
      <c r="D213" s="93">
        <v>258</v>
      </c>
      <c r="E213" s="4" t="s">
        <v>151</v>
      </c>
      <c r="F213" s="11" t="s">
        <v>42</v>
      </c>
      <c r="G213" s="47" t="s">
        <v>1991</v>
      </c>
      <c r="H213" s="4">
        <v>2010</v>
      </c>
      <c r="I213" s="11" t="s">
        <v>50</v>
      </c>
      <c r="J213" s="4" t="s">
        <v>469</v>
      </c>
      <c r="K213" s="4">
        <v>159</v>
      </c>
      <c r="L213" s="4">
        <v>159</v>
      </c>
      <c r="M213" s="11" t="s">
        <v>35</v>
      </c>
      <c r="N213" s="67" t="s">
        <v>1467</v>
      </c>
      <c r="O213" s="4" t="s">
        <v>126</v>
      </c>
      <c r="P213" s="11" t="s">
        <v>837</v>
      </c>
      <c r="Q213" s="51">
        <f>1986-1974</f>
        <v>12</v>
      </c>
      <c r="R213" s="11" t="s">
        <v>36</v>
      </c>
      <c r="S213" s="67" t="s">
        <v>152</v>
      </c>
      <c r="T213" s="11" t="s">
        <v>40</v>
      </c>
      <c r="U213" s="11" t="s">
        <v>448</v>
      </c>
      <c r="V213" s="67" t="s">
        <v>130</v>
      </c>
      <c r="W213" s="11" t="s">
        <v>865</v>
      </c>
      <c r="X213" s="11" t="s">
        <v>670</v>
      </c>
    </row>
    <row r="214" spans="1:25">
      <c r="A214" s="95" t="s">
        <v>303</v>
      </c>
      <c r="B214" s="99">
        <v>213</v>
      </c>
      <c r="C214" s="91" t="s">
        <v>1190</v>
      </c>
      <c r="D214" s="93">
        <v>259</v>
      </c>
      <c r="E214" s="4" t="s">
        <v>153</v>
      </c>
      <c r="F214" s="11" t="s">
        <v>154</v>
      </c>
      <c r="G214" s="47" t="s">
        <v>1992</v>
      </c>
      <c r="H214" s="4">
        <v>2010</v>
      </c>
      <c r="I214" s="11" t="s">
        <v>146</v>
      </c>
      <c r="J214" s="4" t="s">
        <v>146</v>
      </c>
      <c r="K214" s="4">
        <v>125</v>
      </c>
      <c r="L214" s="4">
        <v>125</v>
      </c>
      <c r="M214" s="11" t="s">
        <v>43</v>
      </c>
      <c r="N214" s="67" t="s">
        <v>470</v>
      </c>
      <c r="O214" s="4" t="s">
        <v>155</v>
      </c>
      <c r="P214" s="11" t="s">
        <v>838</v>
      </c>
      <c r="Q214" s="51">
        <f>2006-1912</f>
        <v>94</v>
      </c>
      <c r="R214" s="11" t="s">
        <v>63</v>
      </c>
      <c r="S214" s="67" t="s">
        <v>489</v>
      </c>
      <c r="T214" s="11" t="s">
        <v>40</v>
      </c>
      <c r="U214" s="11" t="s">
        <v>867</v>
      </c>
      <c r="V214" s="67" t="s">
        <v>130</v>
      </c>
      <c r="W214" s="11" t="s">
        <v>868</v>
      </c>
      <c r="X214" s="11" t="s">
        <v>675</v>
      </c>
    </row>
    <row r="215" spans="1:25">
      <c r="A215" s="95" t="s">
        <v>275</v>
      </c>
      <c r="B215" s="98">
        <v>214</v>
      </c>
      <c r="C215" s="91" t="s">
        <v>1190</v>
      </c>
      <c r="D215" s="93">
        <v>260</v>
      </c>
      <c r="E215" s="4" t="s">
        <v>156</v>
      </c>
      <c r="F215" s="11" t="s">
        <v>157</v>
      </c>
      <c r="G215" s="47" t="s">
        <v>1993</v>
      </c>
      <c r="H215" s="4">
        <v>2010</v>
      </c>
      <c r="I215" s="11" t="s">
        <v>45</v>
      </c>
      <c r="J215" s="4" t="s">
        <v>45</v>
      </c>
      <c r="K215" s="4">
        <v>28</v>
      </c>
      <c r="L215" s="4">
        <v>28</v>
      </c>
      <c r="M215" s="11" t="s">
        <v>43</v>
      </c>
      <c r="N215" s="67" t="s">
        <v>470</v>
      </c>
      <c r="O215" s="4" t="s">
        <v>57</v>
      </c>
      <c r="P215" s="11" t="s">
        <v>839</v>
      </c>
      <c r="Q215" s="51">
        <f>2002-1987</f>
        <v>15</v>
      </c>
      <c r="R215" s="11" t="s">
        <v>131</v>
      </c>
      <c r="S215" s="67" t="s">
        <v>130</v>
      </c>
      <c r="T215" s="11" t="s">
        <v>40</v>
      </c>
      <c r="U215" s="11" t="s">
        <v>459</v>
      </c>
      <c r="V215" s="67" t="s">
        <v>1646</v>
      </c>
      <c r="W215" s="11" t="s">
        <v>870</v>
      </c>
      <c r="X215" s="11" t="s">
        <v>670</v>
      </c>
    </row>
    <row r="216" spans="1:25">
      <c r="A216" s="95" t="s">
        <v>280</v>
      </c>
      <c r="B216" s="99">
        <v>215</v>
      </c>
      <c r="C216" s="91" t="s">
        <v>1190</v>
      </c>
      <c r="D216" s="93">
        <v>261</v>
      </c>
      <c r="E216" s="4" t="s">
        <v>168</v>
      </c>
      <c r="F216" s="4" t="s">
        <v>169</v>
      </c>
      <c r="G216" s="47" t="s">
        <v>1997</v>
      </c>
      <c r="H216" s="4">
        <v>2005</v>
      </c>
      <c r="I216" s="11" t="s">
        <v>331</v>
      </c>
      <c r="J216" s="4" t="s">
        <v>51</v>
      </c>
      <c r="K216" s="4">
        <v>37</v>
      </c>
      <c r="L216" s="4">
        <v>37</v>
      </c>
      <c r="M216" s="11" t="s">
        <v>43</v>
      </c>
      <c r="N216" s="67" t="s">
        <v>470</v>
      </c>
      <c r="O216" s="4" t="s">
        <v>68</v>
      </c>
      <c r="P216" s="11" t="s">
        <v>876</v>
      </c>
      <c r="Q216" s="51">
        <f>1990-1965</f>
        <v>25</v>
      </c>
      <c r="R216" s="11" t="s">
        <v>131</v>
      </c>
      <c r="S216" s="67" t="s">
        <v>875</v>
      </c>
      <c r="T216" s="11" t="s">
        <v>40</v>
      </c>
      <c r="U216" s="11" t="s">
        <v>447</v>
      </c>
      <c r="V216" s="67" t="s">
        <v>130</v>
      </c>
      <c r="W216" s="11" t="s">
        <v>1645</v>
      </c>
      <c r="X216" s="11" t="s">
        <v>670</v>
      </c>
    </row>
    <row r="217" spans="1:25" s="94" customFormat="1">
      <c r="A217" s="95" t="s">
        <v>305</v>
      </c>
      <c r="B217" s="98">
        <v>216</v>
      </c>
      <c r="C217" s="91" t="s">
        <v>1190</v>
      </c>
      <c r="D217" s="93">
        <v>262</v>
      </c>
      <c r="E217" s="4" t="s">
        <v>882</v>
      </c>
      <c r="F217" s="4" t="s">
        <v>71</v>
      </c>
      <c r="G217" s="47" t="s">
        <v>1998</v>
      </c>
      <c r="H217" s="4">
        <v>1995</v>
      </c>
      <c r="I217" s="11" t="s">
        <v>170</v>
      </c>
      <c r="J217" s="4" t="s">
        <v>884</v>
      </c>
      <c r="K217" s="4">
        <v>45</v>
      </c>
      <c r="L217" s="4" t="s">
        <v>885</v>
      </c>
      <c r="M217" s="11" t="s">
        <v>35</v>
      </c>
      <c r="N217" s="67" t="s">
        <v>1467</v>
      </c>
      <c r="O217" s="4" t="s">
        <v>80</v>
      </c>
      <c r="P217" s="11" t="s">
        <v>881</v>
      </c>
      <c r="Q217" s="51">
        <f>1993-1931</f>
        <v>62</v>
      </c>
      <c r="R217" s="11" t="s">
        <v>835</v>
      </c>
      <c r="S217" s="67" t="s">
        <v>130</v>
      </c>
      <c r="T217" s="11" t="s">
        <v>86</v>
      </c>
      <c r="U217" s="11" t="s">
        <v>880</v>
      </c>
      <c r="V217" s="67" t="s">
        <v>878</v>
      </c>
      <c r="W217" s="11" t="s">
        <v>883</v>
      </c>
      <c r="X217" s="11" t="s">
        <v>670</v>
      </c>
      <c r="Y217"/>
    </row>
    <row r="218" spans="1:25">
      <c r="A218" s="95" t="s">
        <v>307</v>
      </c>
      <c r="B218" s="99">
        <v>217</v>
      </c>
      <c r="C218" s="91" t="s">
        <v>1025</v>
      </c>
      <c r="D218" s="93">
        <v>263</v>
      </c>
      <c r="E218" s="4" t="s">
        <v>173</v>
      </c>
      <c r="F218" s="4" t="s">
        <v>34</v>
      </c>
      <c r="G218" s="47" t="s">
        <v>2000</v>
      </c>
      <c r="H218" s="4">
        <v>1996</v>
      </c>
      <c r="I218" s="11" t="s">
        <v>50</v>
      </c>
      <c r="J218" s="4" t="s">
        <v>51</v>
      </c>
      <c r="K218" s="4">
        <v>151</v>
      </c>
      <c r="L218" s="4">
        <v>151</v>
      </c>
      <c r="M218" s="11" t="s">
        <v>43</v>
      </c>
      <c r="N218" s="67" t="s">
        <v>1467</v>
      </c>
      <c r="O218" s="4" t="s">
        <v>888</v>
      </c>
      <c r="P218" s="11" t="s">
        <v>887</v>
      </c>
      <c r="Q218" s="51">
        <f>1996-1992</f>
        <v>4</v>
      </c>
      <c r="R218" s="11" t="s">
        <v>174</v>
      </c>
      <c r="S218" s="67" t="s">
        <v>892</v>
      </c>
      <c r="T218" s="11" t="s">
        <v>40</v>
      </c>
      <c r="U218" s="11" t="s">
        <v>889</v>
      </c>
      <c r="V218" s="67" t="s">
        <v>130</v>
      </c>
      <c r="W218" s="11" t="s">
        <v>893</v>
      </c>
      <c r="X218" s="11" t="s">
        <v>670</v>
      </c>
    </row>
    <row r="219" spans="1:25">
      <c r="A219" s="95" t="s">
        <v>308</v>
      </c>
      <c r="B219" s="98">
        <v>218</v>
      </c>
      <c r="C219" s="91" t="s">
        <v>1190</v>
      </c>
      <c r="D219" s="93">
        <v>264</v>
      </c>
      <c r="E219" s="4" t="s">
        <v>176</v>
      </c>
      <c r="F219" s="4" t="s">
        <v>177</v>
      </c>
      <c r="G219" s="47" t="s">
        <v>2002</v>
      </c>
      <c r="H219" s="4">
        <v>2007</v>
      </c>
      <c r="I219" s="11" t="s">
        <v>96</v>
      </c>
      <c r="J219" s="4" t="s">
        <v>96</v>
      </c>
      <c r="K219" s="4">
        <v>56</v>
      </c>
      <c r="L219" s="4">
        <v>56</v>
      </c>
      <c r="M219" s="11" t="s">
        <v>43</v>
      </c>
      <c r="N219" s="67" t="s">
        <v>1467</v>
      </c>
      <c r="O219" s="4" t="s">
        <v>178</v>
      </c>
      <c r="P219" s="11" t="s">
        <v>899</v>
      </c>
      <c r="Q219" s="51">
        <v>31</v>
      </c>
      <c r="R219" s="11" t="s">
        <v>131</v>
      </c>
      <c r="S219" s="67" t="s">
        <v>179</v>
      </c>
      <c r="T219" s="11" t="s">
        <v>40</v>
      </c>
      <c r="U219" s="11" t="s">
        <v>898</v>
      </c>
      <c r="V219" s="67" t="s">
        <v>901</v>
      </c>
      <c r="W219" s="11" t="s">
        <v>900</v>
      </c>
      <c r="X219" s="11" t="s">
        <v>670</v>
      </c>
      <c r="Y219" s="16"/>
    </row>
    <row r="220" spans="1:25">
      <c r="A220" s="95" t="s">
        <v>309</v>
      </c>
      <c r="B220" s="99">
        <v>219</v>
      </c>
      <c r="C220" s="91" t="s">
        <v>1025</v>
      </c>
      <c r="D220" s="93">
        <v>265</v>
      </c>
      <c r="E220" s="4" t="s">
        <v>180</v>
      </c>
      <c r="F220" s="4" t="s">
        <v>181</v>
      </c>
      <c r="G220" s="47" t="s">
        <v>2003</v>
      </c>
      <c r="H220" s="4">
        <v>2012</v>
      </c>
      <c r="I220" s="11" t="s">
        <v>45</v>
      </c>
      <c r="J220" s="4" t="s">
        <v>45</v>
      </c>
      <c r="K220" s="4">
        <v>107</v>
      </c>
      <c r="L220" s="4">
        <v>107</v>
      </c>
      <c r="M220" s="11" t="s">
        <v>43</v>
      </c>
      <c r="N220" s="67" t="s">
        <v>1467</v>
      </c>
      <c r="O220" s="4" t="s">
        <v>182</v>
      </c>
      <c r="P220" s="11" t="s">
        <v>902</v>
      </c>
      <c r="Q220" s="51">
        <f>2010-1966</f>
        <v>44</v>
      </c>
      <c r="R220" s="11" t="s">
        <v>131</v>
      </c>
      <c r="S220" s="67" t="s">
        <v>183</v>
      </c>
      <c r="T220" s="11" t="s">
        <v>40</v>
      </c>
      <c r="U220" s="11" t="s">
        <v>903</v>
      </c>
      <c r="V220" s="67" t="s">
        <v>130</v>
      </c>
      <c r="W220" s="11" t="s">
        <v>904</v>
      </c>
      <c r="X220" s="11" t="s">
        <v>670</v>
      </c>
    </row>
    <row r="221" spans="1:25">
      <c r="A221" s="95" t="s">
        <v>395</v>
      </c>
      <c r="B221" s="98">
        <v>220</v>
      </c>
      <c r="C221" s="91" t="s">
        <v>1190</v>
      </c>
      <c r="D221" s="93">
        <v>266</v>
      </c>
      <c r="E221" s="4" t="s">
        <v>184</v>
      </c>
      <c r="F221" s="4" t="s">
        <v>71</v>
      </c>
      <c r="G221" s="47" t="s">
        <v>2004</v>
      </c>
      <c r="H221" s="4">
        <v>2005</v>
      </c>
      <c r="I221" s="11" t="s">
        <v>905</v>
      </c>
      <c r="J221" s="4" t="s">
        <v>230</v>
      </c>
      <c r="K221" s="4">
        <v>36</v>
      </c>
      <c r="L221" s="4">
        <v>36</v>
      </c>
      <c r="M221" s="11" t="s">
        <v>43</v>
      </c>
      <c r="N221" s="67" t="s">
        <v>470</v>
      </c>
      <c r="O221" s="4" t="s">
        <v>116</v>
      </c>
      <c r="P221" s="11" t="s">
        <v>906</v>
      </c>
      <c r="Q221" s="51">
        <f>2001-1977</f>
        <v>24</v>
      </c>
      <c r="R221" s="11" t="s">
        <v>185</v>
      </c>
      <c r="S221" s="67" t="s">
        <v>186</v>
      </c>
      <c r="T221" s="11" t="s">
        <v>86</v>
      </c>
      <c r="U221" s="11" t="s">
        <v>907</v>
      </c>
      <c r="V221" s="67" t="s">
        <v>908</v>
      </c>
      <c r="W221" s="11" t="s">
        <v>909</v>
      </c>
      <c r="X221" s="11" t="s">
        <v>670</v>
      </c>
    </row>
    <row r="222" spans="1:25">
      <c r="A222" s="95" t="s">
        <v>286</v>
      </c>
      <c r="B222" s="99">
        <v>221</v>
      </c>
      <c r="C222" s="91" t="s">
        <v>1190</v>
      </c>
      <c r="D222" s="93">
        <v>267</v>
      </c>
      <c r="E222" s="4" t="s">
        <v>187</v>
      </c>
      <c r="F222" s="4" t="s">
        <v>42</v>
      </c>
      <c r="G222" s="47" t="s">
        <v>2005</v>
      </c>
      <c r="H222" s="4">
        <v>2008</v>
      </c>
      <c r="I222" s="11" t="s">
        <v>61</v>
      </c>
      <c r="J222" s="4" t="s">
        <v>61</v>
      </c>
      <c r="K222" s="4">
        <v>10</v>
      </c>
      <c r="L222" s="4">
        <v>10</v>
      </c>
      <c r="M222" s="11" t="s">
        <v>35</v>
      </c>
      <c r="N222" s="67" t="s">
        <v>1467</v>
      </c>
      <c r="O222" s="4" t="s">
        <v>80</v>
      </c>
      <c r="P222" s="11" t="s">
        <v>910</v>
      </c>
      <c r="Q222" s="51">
        <f>2006-1977</f>
        <v>29</v>
      </c>
      <c r="R222" s="11" t="s">
        <v>188</v>
      </c>
      <c r="S222" s="67" t="s">
        <v>256</v>
      </c>
      <c r="T222" s="11" t="s">
        <v>193</v>
      </c>
      <c r="U222" s="11" t="s">
        <v>911</v>
      </c>
      <c r="V222" s="67" t="s">
        <v>812</v>
      </c>
      <c r="W222" s="11" t="s">
        <v>912</v>
      </c>
      <c r="X222" s="11" t="s">
        <v>807</v>
      </c>
    </row>
    <row r="223" spans="1:25">
      <c r="A223" s="95" t="s">
        <v>280</v>
      </c>
      <c r="B223" s="98">
        <v>222</v>
      </c>
      <c r="C223" s="91" t="s">
        <v>1190</v>
      </c>
      <c r="D223" s="93">
        <v>268</v>
      </c>
      <c r="E223" s="4" t="s">
        <v>192</v>
      </c>
      <c r="F223" s="11" t="s">
        <v>38</v>
      </c>
      <c r="G223" s="47" t="s">
        <v>2007</v>
      </c>
      <c r="H223" s="4">
        <v>2006</v>
      </c>
      <c r="I223" s="11" t="s">
        <v>330</v>
      </c>
      <c r="J223" s="11" t="s">
        <v>1652</v>
      </c>
      <c r="K223" s="4">
        <v>329</v>
      </c>
      <c r="L223" s="4" t="s">
        <v>1651</v>
      </c>
      <c r="M223" s="11" t="s">
        <v>43</v>
      </c>
      <c r="N223" s="67" t="s">
        <v>470</v>
      </c>
      <c r="O223" s="4" t="s">
        <v>68</v>
      </c>
      <c r="P223" s="11" t="s">
        <v>916</v>
      </c>
      <c r="Q223" s="51">
        <f>2001-1966</f>
        <v>35</v>
      </c>
      <c r="R223" s="11" t="s">
        <v>174</v>
      </c>
      <c r="S223" s="67" t="s">
        <v>920</v>
      </c>
      <c r="T223" s="11" t="s">
        <v>193</v>
      </c>
      <c r="U223" s="11" t="s">
        <v>448</v>
      </c>
      <c r="V223" s="67" t="s">
        <v>915</v>
      </c>
      <c r="W223" s="11" t="s">
        <v>918</v>
      </c>
      <c r="X223" s="11" t="s">
        <v>670</v>
      </c>
    </row>
    <row r="224" spans="1:25">
      <c r="A224" s="95" t="s">
        <v>302</v>
      </c>
      <c r="B224" s="99">
        <v>223</v>
      </c>
      <c r="C224" s="91" t="s">
        <v>1190</v>
      </c>
      <c r="D224" s="93">
        <v>269</v>
      </c>
      <c r="E224" s="4" t="s">
        <v>194</v>
      </c>
      <c r="F224" s="11" t="s">
        <v>38</v>
      </c>
      <c r="G224" s="47" t="s">
        <v>2008</v>
      </c>
      <c r="H224" s="4">
        <v>2009</v>
      </c>
      <c r="I224" s="11" t="s">
        <v>50</v>
      </c>
      <c r="J224" s="4" t="s">
        <v>51</v>
      </c>
      <c r="K224" s="4">
        <v>48</v>
      </c>
      <c r="L224" s="4">
        <v>48</v>
      </c>
      <c r="M224" s="11" t="s">
        <v>43</v>
      </c>
      <c r="N224" s="67" t="s">
        <v>470</v>
      </c>
      <c r="O224" s="4" t="s">
        <v>149</v>
      </c>
      <c r="P224" s="11" t="s">
        <v>917</v>
      </c>
      <c r="Q224" s="51">
        <f>2002-1994</f>
        <v>8</v>
      </c>
      <c r="R224" s="11" t="s">
        <v>131</v>
      </c>
      <c r="S224" s="67" t="s">
        <v>195</v>
      </c>
      <c r="T224" s="11" t="s">
        <v>40</v>
      </c>
      <c r="U224" s="11" t="s">
        <v>459</v>
      </c>
      <c r="V224" s="67" t="s">
        <v>1655</v>
      </c>
      <c r="W224" s="11" t="s">
        <v>1654</v>
      </c>
      <c r="X224" s="11" t="s">
        <v>670</v>
      </c>
    </row>
    <row r="225" spans="1:32">
      <c r="A225" s="95" t="s">
        <v>1177</v>
      </c>
      <c r="B225" s="98">
        <v>224</v>
      </c>
      <c r="C225" s="91" t="s">
        <v>1190</v>
      </c>
      <c r="D225" s="93">
        <v>270</v>
      </c>
      <c r="E225" s="4" t="s">
        <v>1171</v>
      </c>
      <c r="F225" s="11" t="s">
        <v>100</v>
      </c>
      <c r="G225" s="47" t="s">
        <v>2009</v>
      </c>
      <c r="H225" s="4">
        <v>2011</v>
      </c>
      <c r="I225" s="11" t="s">
        <v>45</v>
      </c>
      <c r="J225" s="4" t="s">
        <v>45</v>
      </c>
      <c r="K225" s="4">
        <v>23</v>
      </c>
      <c r="L225" s="4">
        <v>23</v>
      </c>
      <c r="M225" s="11" t="s">
        <v>43</v>
      </c>
      <c r="N225" s="67" t="s">
        <v>470</v>
      </c>
      <c r="O225" s="4" t="s">
        <v>90</v>
      </c>
      <c r="P225" s="11" t="s">
        <v>1172</v>
      </c>
      <c r="Q225" s="51">
        <f>2002-1976</f>
        <v>26</v>
      </c>
      <c r="R225" s="11" t="s">
        <v>131</v>
      </c>
      <c r="S225" s="67" t="s">
        <v>1173</v>
      </c>
      <c r="T225" s="11" t="s">
        <v>193</v>
      </c>
      <c r="U225" s="11" t="s">
        <v>447</v>
      </c>
      <c r="V225" s="67" t="s">
        <v>1656</v>
      </c>
      <c r="W225" s="11" t="s">
        <v>913</v>
      </c>
      <c r="X225" s="11" t="s">
        <v>670</v>
      </c>
      <c r="Y225" s="5"/>
    </row>
    <row r="226" spans="1:32">
      <c r="A226" s="95" t="s">
        <v>308</v>
      </c>
      <c r="B226" s="99">
        <v>225</v>
      </c>
      <c r="C226" s="91" t="s">
        <v>1190</v>
      </c>
      <c r="D226" s="93">
        <v>271</v>
      </c>
      <c r="E226" s="4" t="s">
        <v>919</v>
      </c>
      <c r="F226" s="45" t="s">
        <v>196</v>
      </c>
      <c r="G226" s="47" t="s">
        <v>2010</v>
      </c>
      <c r="H226" s="44">
        <v>2003</v>
      </c>
      <c r="I226" s="45" t="s">
        <v>96</v>
      </c>
      <c r="J226" s="44" t="s">
        <v>96</v>
      </c>
      <c r="K226" s="44">
        <v>5</v>
      </c>
      <c r="L226" s="44">
        <v>5</v>
      </c>
      <c r="M226" s="45" t="s">
        <v>43</v>
      </c>
      <c r="N226" s="69" t="s">
        <v>1467</v>
      </c>
      <c r="O226" s="44" t="s">
        <v>197</v>
      </c>
      <c r="P226" s="45" t="s">
        <v>922</v>
      </c>
      <c r="Q226" s="51">
        <v>20</v>
      </c>
      <c r="R226" s="45" t="s">
        <v>131</v>
      </c>
      <c r="S226" s="69" t="s">
        <v>198</v>
      </c>
      <c r="T226" s="45" t="s">
        <v>40</v>
      </c>
      <c r="U226" s="45" t="s">
        <v>921</v>
      </c>
      <c r="V226" s="67" t="s">
        <v>130</v>
      </c>
      <c r="W226" s="45" t="s">
        <v>1356</v>
      </c>
      <c r="X226" s="45" t="s">
        <v>670</v>
      </c>
      <c r="Y226" s="46"/>
    </row>
    <row r="227" spans="1:32">
      <c r="A227" s="95" t="s">
        <v>310</v>
      </c>
      <c r="B227" s="98">
        <v>226</v>
      </c>
      <c r="C227" s="91" t="s">
        <v>1190</v>
      </c>
      <c r="D227" s="93">
        <v>272</v>
      </c>
      <c r="E227" s="4" t="s">
        <v>199</v>
      </c>
      <c r="F227" s="11" t="s">
        <v>38</v>
      </c>
      <c r="G227" s="47" t="s">
        <v>1355</v>
      </c>
      <c r="H227" s="4">
        <v>2007</v>
      </c>
      <c r="I227" s="11" t="s">
        <v>689</v>
      </c>
      <c r="J227" s="4" t="s">
        <v>689</v>
      </c>
      <c r="K227" s="4">
        <v>39</v>
      </c>
      <c r="L227" s="4">
        <v>39</v>
      </c>
      <c r="M227" s="11" t="s">
        <v>43</v>
      </c>
      <c r="N227" s="67" t="s">
        <v>470</v>
      </c>
      <c r="O227" s="4" t="s">
        <v>200</v>
      </c>
      <c r="P227" s="11" t="s">
        <v>923</v>
      </c>
      <c r="Q227" s="51">
        <f>2001-1950</f>
        <v>51</v>
      </c>
      <c r="R227" s="11" t="s">
        <v>1658</v>
      </c>
      <c r="S227" s="67" t="s">
        <v>201</v>
      </c>
      <c r="T227" s="11" t="s">
        <v>86</v>
      </c>
      <c r="U227" s="11" t="s">
        <v>447</v>
      </c>
      <c r="V227" s="67" t="s">
        <v>1657</v>
      </c>
      <c r="W227" s="11" t="s">
        <v>701</v>
      </c>
      <c r="X227" s="11" t="s">
        <v>675</v>
      </c>
      <c r="Y227" s="5"/>
    </row>
    <row r="228" spans="1:32">
      <c r="A228" s="95" t="s">
        <v>311</v>
      </c>
      <c r="B228" s="99">
        <v>227</v>
      </c>
      <c r="C228" s="91" t="s">
        <v>1190</v>
      </c>
      <c r="D228" s="93">
        <v>273</v>
      </c>
      <c r="E228" s="4" t="s">
        <v>202</v>
      </c>
      <c r="F228" s="11" t="s">
        <v>203</v>
      </c>
      <c r="G228" s="47" t="s">
        <v>2011</v>
      </c>
      <c r="H228" s="4">
        <v>2005</v>
      </c>
      <c r="I228" s="11" t="s">
        <v>329</v>
      </c>
      <c r="J228" s="4" t="s">
        <v>925</v>
      </c>
      <c r="K228" s="4">
        <v>10</v>
      </c>
      <c r="L228" s="4">
        <v>10</v>
      </c>
      <c r="M228" s="11" t="s">
        <v>43</v>
      </c>
      <c r="N228" s="67" t="s">
        <v>1464</v>
      </c>
      <c r="O228" s="4" t="s">
        <v>204</v>
      </c>
      <c r="P228" s="11" t="s">
        <v>926</v>
      </c>
      <c r="Q228" s="51">
        <f>2000-1955</f>
        <v>45</v>
      </c>
      <c r="R228" s="11" t="s">
        <v>131</v>
      </c>
      <c r="S228" s="70" t="s">
        <v>130</v>
      </c>
      <c r="T228" s="11" t="s">
        <v>86</v>
      </c>
      <c r="U228" s="11" t="s">
        <v>924</v>
      </c>
      <c r="V228" s="67" t="s">
        <v>130</v>
      </c>
      <c r="W228" s="11" t="s">
        <v>927</v>
      </c>
      <c r="X228" s="11" t="s">
        <v>670</v>
      </c>
    </row>
    <row r="229" spans="1:32">
      <c r="A229" s="95" t="s">
        <v>312</v>
      </c>
      <c r="B229" s="98">
        <v>228</v>
      </c>
      <c r="C229" s="91" t="s">
        <v>1190</v>
      </c>
      <c r="D229" s="93">
        <v>274</v>
      </c>
      <c r="E229" s="4" t="s">
        <v>205</v>
      </c>
      <c r="F229" s="11" t="s">
        <v>177</v>
      </c>
      <c r="G229" s="47" t="s">
        <v>2193</v>
      </c>
      <c r="H229" s="4">
        <v>2011</v>
      </c>
      <c r="I229" s="11" t="s">
        <v>207</v>
      </c>
      <c r="J229" s="4" t="s">
        <v>207</v>
      </c>
      <c r="K229" s="4">
        <v>30</v>
      </c>
      <c r="L229" s="4">
        <v>30</v>
      </c>
      <c r="M229" s="11" t="s">
        <v>43</v>
      </c>
      <c r="N229" s="67" t="s">
        <v>470</v>
      </c>
      <c r="O229" s="4" t="s">
        <v>206</v>
      </c>
      <c r="P229" s="11" t="s">
        <v>928</v>
      </c>
      <c r="Q229" s="51">
        <v>35</v>
      </c>
      <c r="R229" s="11" t="s">
        <v>131</v>
      </c>
      <c r="S229" s="67" t="s">
        <v>208</v>
      </c>
      <c r="T229" s="11" t="s">
        <v>40</v>
      </c>
      <c r="U229" s="11" t="s">
        <v>447</v>
      </c>
      <c r="V229" s="67" t="s">
        <v>130</v>
      </c>
      <c r="W229" s="11" t="s">
        <v>1659</v>
      </c>
      <c r="X229" s="11" t="s">
        <v>670</v>
      </c>
    </row>
    <row r="230" spans="1:32">
      <c r="A230" s="95" t="s">
        <v>313</v>
      </c>
      <c r="B230" s="99">
        <v>229</v>
      </c>
      <c r="C230" s="91" t="s">
        <v>1190</v>
      </c>
      <c r="D230" s="93">
        <v>275</v>
      </c>
      <c r="E230" s="4" t="s">
        <v>209</v>
      </c>
      <c r="F230" s="11" t="s">
        <v>62</v>
      </c>
      <c r="G230" s="47" t="s">
        <v>2013</v>
      </c>
      <c r="H230" s="4">
        <v>2013</v>
      </c>
      <c r="I230" s="11" t="s">
        <v>212</v>
      </c>
      <c r="J230" s="4" t="s">
        <v>146</v>
      </c>
      <c r="K230" s="4">
        <v>33</v>
      </c>
      <c r="L230" s="4">
        <v>33</v>
      </c>
      <c r="M230" s="11" t="s">
        <v>43</v>
      </c>
      <c r="N230" s="67" t="s">
        <v>1467</v>
      </c>
      <c r="O230" s="11" t="s">
        <v>210</v>
      </c>
      <c r="P230" s="11" t="s">
        <v>931</v>
      </c>
      <c r="Q230" s="51">
        <f>2008-1966</f>
        <v>42</v>
      </c>
      <c r="R230" s="11" t="s">
        <v>36</v>
      </c>
      <c r="S230" s="67" t="s">
        <v>211</v>
      </c>
      <c r="T230" s="11" t="s">
        <v>193</v>
      </c>
      <c r="U230" s="11" t="s">
        <v>435</v>
      </c>
      <c r="V230" s="67" t="s">
        <v>933</v>
      </c>
      <c r="W230" s="11" t="s">
        <v>932</v>
      </c>
      <c r="X230" s="11" t="s">
        <v>675</v>
      </c>
    </row>
    <row r="231" spans="1:32">
      <c r="A231" s="95" t="s">
        <v>314</v>
      </c>
      <c r="B231" s="98">
        <v>230</v>
      </c>
      <c r="C231" s="91" t="s">
        <v>1025</v>
      </c>
      <c r="D231" s="93">
        <v>276</v>
      </c>
      <c r="E231" s="4" t="s">
        <v>219</v>
      </c>
      <c r="F231" s="11" t="s">
        <v>160</v>
      </c>
      <c r="G231" s="47" t="s">
        <v>2015</v>
      </c>
      <c r="H231" s="4">
        <v>2012</v>
      </c>
      <c r="I231" s="4" t="s">
        <v>342</v>
      </c>
      <c r="J231" s="4" t="s">
        <v>939</v>
      </c>
      <c r="K231" s="4" t="s">
        <v>339</v>
      </c>
      <c r="L231" s="4" t="s">
        <v>339</v>
      </c>
      <c r="M231" s="11" t="s">
        <v>83</v>
      </c>
      <c r="N231" s="67" t="s">
        <v>470</v>
      </c>
      <c r="O231" s="11" t="s">
        <v>218</v>
      </c>
      <c r="P231" s="11" t="s">
        <v>938</v>
      </c>
      <c r="Q231" s="51">
        <f>2008-1990</f>
        <v>18</v>
      </c>
      <c r="R231" s="11" t="s">
        <v>131</v>
      </c>
      <c r="S231" s="70" t="s">
        <v>217</v>
      </c>
      <c r="T231" s="11" t="s">
        <v>40</v>
      </c>
      <c r="U231" s="11" t="s">
        <v>648</v>
      </c>
      <c r="V231" s="67" t="s">
        <v>130</v>
      </c>
      <c r="W231" s="11" t="s">
        <v>913</v>
      </c>
      <c r="X231" s="11" t="s">
        <v>670</v>
      </c>
    </row>
    <row r="232" spans="1:32">
      <c r="A232" s="95" t="s">
        <v>290</v>
      </c>
      <c r="B232" s="98">
        <v>231</v>
      </c>
      <c r="C232" s="91" t="s">
        <v>1190</v>
      </c>
      <c r="D232" s="93">
        <v>277</v>
      </c>
      <c r="E232" s="4" t="s">
        <v>220</v>
      </c>
      <c r="F232" s="11" t="s">
        <v>78</v>
      </c>
      <c r="G232" s="47" t="s">
        <v>2016</v>
      </c>
      <c r="H232" s="4">
        <v>2013</v>
      </c>
      <c r="I232" s="4" t="s">
        <v>61</v>
      </c>
      <c r="J232" s="4" t="s">
        <v>61</v>
      </c>
      <c r="K232" s="4">
        <v>175</v>
      </c>
      <c r="L232" s="4">
        <v>175</v>
      </c>
      <c r="M232" s="11" t="s">
        <v>43</v>
      </c>
      <c r="N232" s="67" t="s">
        <v>470</v>
      </c>
      <c r="O232" s="11" t="s">
        <v>221</v>
      </c>
      <c r="P232" s="11" t="s">
        <v>940</v>
      </c>
      <c r="Q232" s="51">
        <f>1990-1980</f>
        <v>10</v>
      </c>
      <c r="R232" s="11" t="s">
        <v>36</v>
      </c>
      <c r="S232" s="70" t="s">
        <v>222</v>
      </c>
      <c r="T232" s="11" t="s">
        <v>40</v>
      </c>
      <c r="U232" s="11" t="s">
        <v>448</v>
      </c>
      <c r="V232" s="67" t="s">
        <v>824</v>
      </c>
      <c r="W232" s="11" t="s">
        <v>746</v>
      </c>
      <c r="X232" s="11" t="s">
        <v>675</v>
      </c>
    </row>
    <row r="233" spans="1:32">
      <c r="A233" s="95" t="s">
        <v>315</v>
      </c>
      <c r="B233" s="99">
        <v>232</v>
      </c>
      <c r="C233" s="91" t="s">
        <v>1190</v>
      </c>
      <c r="D233" s="93">
        <v>278</v>
      </c>
      <c r="E233" s="4" t="s">
        <v>223</v>
      </c>
      <c r="F233" s="11" t="s">
        <v>723</v>
      </c>
      <c r="G233" s="47" t="s">
        <v>2017</v>
      </c>
      <c r="H233" s="4">
        <v>2008</v>
      </c>
      <c r="I233" s="4" t="s">
        <v>61</v>
      </c>
      <c r="J233" s="4" t="s">
        <v>61</v>
      </c>
      <c r="K233" s="4">
        <v>6</v>
      </c>
      <c r="L233" s="4">
        <v>6</v>
      </c>
      <c r="M233" s="11" t="s">
        <v>35</v>
      </c>
      <c r="N233" s="67" t="s">
        <v>1467</v>
      </c>
      <c r="O233" s="11" t="s">
        <v>224</v>
      </c>
      <c r="P233" s="11" t="s">
        <v>943</v>
      </c>
      <c r="Q233" s="51">
        <f>2004-1964</f>
        <v>40</v>
      </c>
      <c r="R233" s="11" t="s">
        <v>36</v>
      </c>
      <c r="S233" s="67" t="s">
        <v>942</v>
      </c>
      <c r="T233" s="11" t="s">
        <v>40</v>
      </c>
      <c r="U233" s="11" t="s">
        <v>459</v>
      </c>
      <c r="V233" s="67" t="s">
        <v>901</v>
      </c>
      <c r="W233" s="11" t="s">
        <v>944</v>
      </c>
      <c r="X233" s="11" t="s">
        <v>807</v>
      </c>
    </row>
    <row r="234" spans="1:32">
      <c r="A234" s="95" t="s">
        <v>316</v>
      </c>
      <c r="B234" s="98">
        <v>233</v>
      </c>
      <c r="C234" s="91" t="s">
        <v>1190</v>
      </c>
      <c r="D234" s="93">
        <v>279</v>
      </c>
      <c r="E234" s="4" t="s">
        <v>227</v>
      </c>
      <c r="F234" s="11" t="s">
        <v>56</v>
      </c>
      <c r="G234" s="47" t="s">
        <v>2018</v>
      </c>
      <c r="H234" s="4">
        <v>2010</v>
      </c>
      <c r="I234" s="4" t="s">
        <v>441</v>
      </c>
      <c r="J234" s="4" t="s">
        <v>51</v>
      </c>
      <c r="K234" s="4">
        <v>208</v>
      </c>
      <c r="L234" s="4">
        <v>208</v>
      </c>
      <c r="M234" s="11" t="s">
        <v>43</v>
      </c>
      <c r="N234" s="67" t="s">
        <v>1466</v>
      </c>
      <c r="O234" s="11" t="s">
        <v>226</v>
      </c>
      <c r="P234" s="11" t="s">
        <v>732</v>
      </c>
      <c r="Q234" s="51">
        <f>2007-1965</f>
        <v>42</v>
      </c>
      <c r="R234" s="11" t="s">
        <v>36</v>
      </c>
      <c r="S234" s="67" t="s">
        <v>228</v>
      </c>
      <c r="T234" s="11" t="s">
        <v>40</v>
      </c>
      <c r="U234" s="11" t="s">
        <v>435</v>
      </c>
      <c r="V234" s="67" t="s">
        <v>946</v>
      </c>
      <c r="W234" s="11" t="s">
        <v>945</v>
      </c>
      <c r="X234" s="11" t="s">
        <v>670</v>
      </c>
    </row>
    <row r="235" spans="1:32">
      <c r="A235" s="95" t="s">
        <v>395</v>
      </c>
      <c r="B235" s="99">
        <v>234</v>
      </c>
      <c r="C235" s="91" t="s">
        <v>1190</v>
      </c>
      <c r="D235" s="93">
        <v>280</v>
      </c>
      <c r="E235" s="4" t="s">
        <v>229</v>
      </c>
      <c r="F235" s="11" t="s">
        <v>231</v>
      </c>
      <c r="G235" s="47" t="s">
        <v>2019</v>
      </c>
      <c r="H235" s="4">
        <v>2012</v>
      </c>
      <c r="I235" s="4" t="s">
        <v>230</v>
      </c>
      <c r="J235" s="4" t="s">
        <v>230</v>
      </c>
      <c r="K235" s="4">
        <v>2</v>
      </c>
      <c r="L235" s="4">
        <v>2</v>
      </c>
      <c r="M235" s="11" t="s">
        <v>43</v>
      </c>
      <c r="N235" s="67" t="s">
        <v>470</v>
      </c>
      <c r="O235" s="11" t="s">
        <v>232</v>
      </c>
      <c r="P235" s="11" t="s">
        <v>947</v>
      </c>
      <c r="Q235" s="51">
        <f>2007-1995</f>
        <v>12</v>
      </c>
      <c r="R235" s="11" t="s">
        <v>131</v>
      </c>
      <c r="S235" s="70" t="s">
        <v>130</v>
      </c>
      <c r="T235" s="11" t="s">
        <v>86</v>
      </c>
      <c r="U235" s="11" t="s">
        <v>907</v>
      </c>
      <c r="V235" s="67" t="s">
        <v>130</v>
      </c>
      <c r="W235" s="11" t="s">
        <v>949</v>
      </c>
      <c r="X235" s="11" t="s">
        <v>670</v>
      </c>
    </row>
    <row r="236" spans="1:32">
      <c r="A236" s="95" t="s">
        <v>317</v>
      </c>
      <c r="B236" s="98">
        <v>235</v>
      </c>
      <c r="C236" s="91" t="s">
        <v>1190</v>
      </c>
      <c r="D236" s="93">
        <v>281</v>
      </c>
      <c r="E236" s="4" t="s">
        <v>233</v>
      </c>
      <c r="F236" s="11" t="s">
        <v>64</v>
      </c>
      <c r="G236" s="47" t="s">
        <v>2020</v>
      </c>
      <c r="H236" s="4">
        <v>2014</v>
      </c>
      <c r="I236" s="4" t="s">
        <v>951</v>
      </c>
      <c r="J236" s="4" t="s">
        <v>230</v>
      </c>
      <c r="K236" s="4">
        <v>13</v>
      </c>
      <c r="L236" s="4">
        <v>13</v>
      </c>
      <c r="M236" s="11" t="s">
        <v>43</v>
      </c>
      <c r="N236" s="67" t="s">
        <v>1467</v>
      </c>
      <c r="O236" s="11" t="s">
        <v>236</v>
      </c>
      <c r="P236" s="11" t="s">
        <v>950</v>
      </c>
      <c r="Q236" s="51">
        <f>1983-1957</f>
        <v>26</v>
      </c>
      <c r="R236" s="11" t="s">
        <v>131</v>
      </c>
      <c r="S236" s="67" t="s">
        <v>234</v>
      </c>
      <c r="T236" s="11" t="s">
        <v>40</v>
      </c>
      <c r="U236" s="11" t="s">
        <v>459</v>
      </c>
      <c r="V236" s="67" t="s">
        <v>953</v>
      </c>
      <c r="W236" s="11" t="s">
        <v>952</v>
      </c>
      <c r="X236" s="11" t="s">
        <v>670</v>
      </c>
    </row>
    <row r="237" spans="1:32">
      <c r="A237" s="95" t="s">
        <v>318</v>
      </c>
      <c r="B237" s="99">
        <v>236</v>
      </c>
      <c r="C237" s="91" t="s">
        <v>1190</v>
      </c>
      <c r="D237" s="93">
        <v>282</v>
      </c>
      <c r="E237" s="4" t="s">
        <v>235</v>
      </c>
      <c r="F237" s="11" t="s">
        <v>160</v>
      </c>
      <c r="G237" s="47" t="s">
        <v>2021</v>
      </c>
      <c r="H237" s="4">
        <v>2013</v>
      </c>
      <c r="I237" s="4" t="s">
        <v>50</v>
      </c>
      <c r="J237" s="4" t="s">
        <v>51</v>
      </c>
      <c r="K237" s="4">
        <v>100</v>
      </c>
      <c r="L237" s="4">
        <v>100</v>
      </c>
      <c r="M237" s="11" t="s">
        <v>43</v>
      </c>
      <c r="N237" s="67" t="s">
        <v>1467</v>
      </c>
      <c r="O237" s="11" t="s">
        <v>237</v>
      </c>
      <c r="P237" s="11" t="s">
        <v>954</v>
      </c>
      <c r="Q237" s="51">
        <f>2010-1992</f>
        <v>18</v>
      </c>
      <c r="R237" s="11" t="s">
        <v>131</v>
      </c>
      <c r="S237" s="70" t="s">
        <v>130</v>
      </c>
      <c r="T237" s="11" t="s">
        <v>40</v>
      </c>
      <c r="U237" s="11" t="s">
        <v>459</v>
      </c>
      <c r="V237" s="67" t="s">
        <v>130</v>
      </c>
      <c r="W237" s="11" t="s">
        <v>1670</v>
      </c>
      <c r="X237" s="11" t="s">
        <v>670</v>
      </c>
    </row>
    <row r="238" spans="1:32">
      <c r="A238" s="95" t="s">
        <v>302</v>
      </c>
      <c r="B238" s="98">
        <v>237</v>
      </c>
      <c r="C238" s="91" t="s">
        <v>1190</v>
      </c>
      <c r="D238" s="93">
        <v>283</v>
      </c>
      <c r="E238" s="4" t="s">
        <v>238</v>
      </c>
      <c r="F238" s="11" t="s">
        <v>239</v>
      </c>
      <c r="G238" s="47" t="s">
        <v>2022</v>
      </c>
      <c r="H238" s="4">
        <v>2012</v>
      </c>
      <c r="I238" s="4" t="s">
        <v>96</v>
      </c>
      <c r="J238" s="4" t="s">
        <v>96</v>
      </c>
      <c r="K238" s="4">
        <v>148</v>
      </c>
      <c r="L238" s="4">
        <v>148</v>
      </c>
      <c r="M238" s="11" t="s">
        <v>43</v>
      </c>
      <c r="N238" s="67" t="s">
        <v>470</v>
      </c>
      <c r="O238" s="11" t="s">
        <v>149</v>
      </c>
      <c r="P238" s="11" t="s">
        <v>958</v>
      </c>
      <c r="Q238" s="51">
        <f>2006-1974</f>
        <v>32</v>
      </c>
      <c r="R238" s="11" t="s">
        <v>131</v>
      </c>
      <c r="S238" s="67" t="s">
        <v>955</v>
      </c>
      <c r="T238" s="11" t="s">
        <v>40</v>
      </c>
      <c r="U238" s="11" t="s">
        <v>459</v>
      </c>
      <c r="V238" s="67" t="s">
        <v>130</v>
      </c>
      <c r="W238" s="11" t="s">
        <v>956</v>
      </c>
      <c r="X238" s="11" t="s">
        <v>957</v>
      </c>
      <c r="Z238" s="4"/>
      <c r="AA238" s="4"/>
      <c r="AB238" s="4"/>
      <c r="AC238" s="4"/>
      <c r="AD238" s="4"/>
      <c r="AE238" s="4"/>
      <c r="AF238" s="4"/>
    </row>
    <row r="239" spans="1:32">
      <c r="A239" s="95" t="s">
        <v>275</v>
      </c>
      <c r="B239" s="99">
        <v>238</v>
      </c>
      <c r="C239" s="91" t="s">
        <v>1190</v>
      </c>
      <c r="D239" s="93">
        <v>284</v>
      </c>
      <c r="E239" s="4" t="s">
        <v>1447</v>
      </c>
      <c r="F239" s="11" t="s">
        <v>1448</v>
      </c>
      <c r="G239" s="47" t="s">
        <v>2023</v>
      </c>
      <c r="H239" s="4">
        <v>2008</v>
      </c>
      <c r="I239" s="4" t="s">
        <v>51</v>
      </c>
      <c r="J239" s="4" t="s">
        <v>51</v>
      </c>
      <c r="K239" s="4">
        <v>2</v>
      </c>
      <c r="L239" s="4">
        <v>2</v>
      </c>
      <c r="M239" s="11" t="s">
        <v>261</v>
      </c>
      <c r="N239" s="67" t="s">
        <v>470</v>
      </c>
      <c r="O239" s="11" t="s">
        <v>57</v>
      </c>
      <c r="P239" s="11" t="s">
        <v>1449</v>
      </c>
      <c r="Q239" s="51">
        <v>9</v>
      </c>
      <c r="R239" s="11" t="s">
        <v>131</v>
      </c>
      <c r="S239" s="67" t="s">
        <v>241</v>
      </c>
      <c r="T239" s="11" t="s">
        <v>40</v>
      </c>
      <c r="U239" s="11" t="s">
        <v>459</v>
      </c>
      <c r="V239" s="67" t="s">
        <v>1294</v>
      </c>
      <c r="W239" s="11" t="s">
        <v>729</v>
      </c>
      <c r="X239" s="11" t="s">
        <v>670</v>
      </c>
      <c r="Y239" s="5"/>
    </row>
    <row r="240" spans="1:32">
      <c r="A240" s="95" t="s">
        <v>293</v>
      </c>
      <c r="B240" s="98">
        <v>239</v>
      </c>
      <c r="C240" s="91" t="s">
        <v>1190</v>
      </c>
      <c r="D240" s="93">
        <v>285</v>
      </c>
      <c r="E240" s="4" t="s">
        <v>960</v>
      </c>
      <c r="F240" s="11" t="s">
        <v>64</v>
      </c>
      <c r="G240" s="47" t="s">
        <v>2024</v>
      </c>
      <c r="H240" s="4">
        <v>2009</v>
      </c>
      <c r="I240" s="4" t="s">
        <v>61</v>
      </c>
      <c r="J240" s="4" t="s">
        <v>61</v>
      </c>
      <c r="K240" s="4">
        <v>61</v>
      </c>
      <c r="L240" s="4">
        <v>61</v>
      </c>
      <c r="M240" s="11" t="s">
        <v>43</v>
      </c>
      <c r="N240" s="67" t="s">
        <v>470</v>
      </c>
      <c r="O240" s="11" t="s">
        <v>242</v>
      </c>
      <c r="P240" s="11" t="s">
        <v>961</v>
      </c>
      <c r="Q240" s="51">
        <f>1980-1880</f>
        <v>100</v>
      </c>
      <c r="R240" s="11" t="s">
        <v>63</v>
      </c>
      <c r="S240" s="67" t="s">
        <v>962</v>
      </c>
      <c r="T240" s="11" t="s">
        <v>40</v>
      </c>
      <c r="U240" s="11" t="s">
        <v>935</v>
      </c>
      <c r="V240" s="67" t="s">
        <v>965</v>
      </c>
      <c r="W240" s="11" t="s">
        <v>963</v>
      </c>
      <c r="X240" s="11" t="s">
        <v>675</v>
      </c>
    </row>
    <row r="241" spans="1:24" s="11" customFormat="1" ht="12">
      <c r="A241" s="72" t="s">
        <v>285</v>
      </c>
      <c r="B241" s="99">
        <v>240</v>
      </c>
      <c r="C241" s="91" t="s">
        <v>1190</v>
      </c>
      <c r="D241" s="93">
        <v>286</v>
      </c>
      <c r="E241" s="4" t="s">
        <v>108</v>
      </c>
      <c r="F241" s="4" t="s">
        <v>78</v>
      </c>
      <c r="G241" s="47" t="s">
        <v>2210</v>
      </c>
      <c r="H241" s="4">
        <v>2005</v>
      </c>
      <c r="I241" s="17" t="s">
        <v>61</v>
      </c>
      <c r="J241" s="4" t="s">
        <v>61</v>
      </c>
      <c r="K241" s="4">
        <v>24</v>
      </c>
      <c r="L241" s="4">
        <v>24</v>
      </c>
      <c r="M241" s="4" t="s">
        <v>35</v>
      </c>
      <c r="N241" s="67" t="s">
        <v>470</v>
      </c>
      <c r="O241" s="4" t="s">
        <v>109</v>
      </c>
      <c r="P241" s="4" t="s">
        <v>826</v>
      </c>
      <c r="Q241" s="51">
        <f>2003-1912</f>
        <v>91</v>
      </c>
      <c r="R241" s="4" t="s">
        <v>451</v>
      </c>
      <c r="S241" s="67" t="s">
        <v>135</v>
      </c>
      <c r="T241" s="11" t="s">
        <v>40</v>
      </c>
      <c r="U241" s="11" t="s">
        <v>844</v>
      </c>
      <c r="V241" s="67" t="s">
        <v>1025</v>
      </c>
      <c r="W241" s="11" t="s">
        <v>845</v>
      </c>
      <c r="X241" s="11" t="s">
        <v>675</v>
      </c>
    </row>
    <row r="242" spans="1:24">
      <c r="D242" s="1"/>
      <c r="E242" s="4"/>
      <c r="G242" s="47"/>
    </row>
    <row r="243" spans="1:24">
      <c r="D243" s="1"/>
      <c r="E243" s="1"/>
      <c r="G243" s="47"/>
    </row>
    <row r="244" spans="1:24">
      <c r="D244" s="1"/>
      <c r="E244" s="1"/>
      <c r="G244" s="47"/>
    </row>
    <row r="245" spans="1:24">
      <c r="D245" s="1"/>
      <c r="E245" s="1"/>
      <c r="G245" s="47"/>
    </row>
    <row r="246" spans="1:24">
      <c r="D246" s="1"/>
      <c r="E246" s="1"/>
      <c r="G246" s="47"/>
    </row>
    <row r="247" spans="1:24">
      <c r="D247" s="1"/>
      <c r="E247" s="1"/>
      <c r="G247" s="47"/>
    </row>
    <row r="248" spans="1:24">
      <c r="D248" s="1"/>
      <c r="E248" s="1"/>
      <c r="G248" s="47"/>
    </row>
    <row r="249" spans="1:24">
      <c r="D249" s="1"/>
      <c r="E249" s="1"/>
      <c r="G249" s="47"/>
    </row>
    <row r="250" spans="1:24">
      <c r="D250" s="1"/>
      <c r="E250" s="1"/>
      <c r="G250" s="47"/>
    </row>
    <row r="251" spans="1:24">
      <c r="D251" s="1"/>
      <c r="E251" s="1"/>
      <c r="G251" s="47"/>
    </row>
    <row r="252" spans="1:24">
      <c r="D252" s="1"/>
      <c r="E252" s="1"/>
      <c r="G252" s="47"/>
    </row>
    <row r="253" spans="1:24">
      <c r="D253" s="1"/>
      <c r="E253" s="1"/>
      <c r="G253" s="47"/>
    </row>
    <row r="254" spans="1:24">
      <c r="D254" s="1"/>
      <c r="E254" s="1"/>
      <c r="G254" s="47"/>
    </row>
    <row r="255" spans="1:24">
      <c r="D255" s="1"/>
      <c r="E255" s="1"/>
      <c r="G255" s="47"/>
    </row>
    <row r="256" spans="1:24">
      <c r="D256" s="1"/>
      <c r="E256" s="1"/>
      <c r="G256" s="47"/>
    </row>
    <row r="257" spans="4:7">
      <c r="D257" s="1"/>
      <c r="E257" s="1"/>
      <c r="G257" s="47"/>
    </row>
    <row r="258" spans="4:7">
      <c r="D258" s="1"/>
      <c r="E258" s="1"/>
      <c r="G258" s="47"/>
    </row>
    <row r="259" spans="4:7">
      <c r="D259" s="1"/>
      <c r="E259" s="1"/>
      <c r="G259" s="47"/>
    </row>
    <row r="260" spans="4:7">
      <c r="D260" s="1"/>
      <c r="E260" s="1"/>
      <c r="G260" s="47"/>
    </row>
    <row r="261" spans="4:7">
      <c r="D261" s="1"/>
      <c r="E261" s="1"/>
      <c r="G261" s="47"/>
    </row>
    <row r="262" spans="4:7">
      <c r="D262" s="1"/>
      <c r="E262" s="1"/>
      <c r="G262" s="47"/>
    </row>
    <row r="263" spans="4:7">
      <c r="D263" s="1"/>
      <c r="E263" s="1"/>
      <c r="G263" s="47"/>
    </row>
    <row r="264" spans="4:7">
      <c r="D264" s="1"/>
      <c r="E264" s="1"/>
      <c r="G264" s="47"/>
    </row>
    <row r="265" spans="4:7">
      <c r="D265" s="1"/>
      <c r="E265" s="1"/>
      <c r="G265" s="47"/>
    </row>
    <row r="266" spans="4:7">
      <c r="D266" s="1"/>
      <c r="E266" s="1"/>
      <c r="G266" s="47"/>
    </row>
    <row r="267" spans="4:7">
      <c r="D267" s="1"/>
      <c r="E267" s="1"/>
      <c r="G267" s="47"/>
    </row>
    <row r="268" spans="4:7">
      <c r="D268" s="1"/>
      <c r="E268" s="1"/>
      <c r="G268" s="47"/>
    </row>
    <row r="269" spans="4:7">
      <c r="D269" s="1"/>
      <c r="E269" s="1"/>
      <c r="G269" s="47"/>
    </row>
    <row r="270" spans="4:7">
      <c r="D270" s="1"/>
      <c r="E270" s="1"/>
      <c r="G270" s="47"/>
    </row>
    <row r="271" spans="4:7">
      <c r="D271" s="1"/>
      <c r="E271" s="1"/>
      <c r="G271" s="47"/>
    </row>
    <row r="272" spans="4:7">
      <c r="D272" s="1"/>
      <c r="E272" s="1"/>
      <c r="G272" s="47"/>
    </row>
    <row r="273" spans="4:7">
      <c r="D273" s="1"/>
      <c r="E273" s="1"/>
      <c r="G273" s="47"/>
    </row>
    <row r="274" spans="4:7">
      <c r="D274" s="1"/>
      <c r="E274" s="1"/>
      <c r="G274" s="47"/>
    </row>
    <row r="275" spans="4:7">
      <c r="D275" s="1"/>
      <c r="E275" s="1"/>
      <c r="G275" s="47"/>
    </row>
    <row r="276" spans="4:7">
      <c r="D276" s="1"/>
      <c r="E276" s="1"/>
      <c r="G276" s="47"/>
    </row>
    <row r="277" spans="4:7">
      <c r="D277" s="1"/>
      <c r="E277" s="1"/>
      <c r="G277" s="47"/>
    </row>
    <row r="278" spans="4:7">
      <c r="D278" s="1"/>
      <c r="E278" s="1"/>
      <c r="G278" s="47"/>
    </row>
    <row r="279" spans="4:7">
      <c r="D279" s="1"/>
      <c r="E279" s="1"/>
      <c r="G279" s="47"/>
    </row>
    <row r="280" spans="4:7">
      <c r="D280" s="1"/>
      <c r="E280" s="1"/>
      <c r="G280" s="47"/>
    </row>
    <row r="281" spans="4:7">
      <c r="D281" s="1"/>
      <c r="E281" s="1"/>
      <c r="G281" s="47"/>
    </row>
    <row r="282" spans="4:7">
      <c r="D282" s="1"/>
      <c r="E282" s="1"/>
      <c r="G282" s="47"/>
    </row>
    <row r="283" spans="4:7">
      <c r="D283" s="1"/>
      <c r="E283" s="1"/>
      <c r="G283" s="47"/>
    </row>
    <row r="284" spans="4:7">
      <c r="D284" s="1"/>
      <c r="E284" s="1"/>
      <c r="G284" s="47"/>
    </row>
    <row r="285" spans="4:7">
      <c r="D285" s="1"/>
      <c r="E285" s="1"/>
      <c r="G285" s="47"/>
    </row>
    <row r="286" spans="4:7">
      <c r="D286" s="1"/>
      <c r="E286" s="1"/>
      <c r="G286" s="47"/>
    </row>
    <row r="287" spans="4:7">
      <c r="D287" s="1"/>
      <c r="E287" s="1"/>
      <c r="G287" s="47"/>
    </row>
    <row r="288" spans="4:7">
      <c r="D288" s="1"/>
      <c r="E288" s="1"/>
      <c r="G288" s="47"/>
    </row>
    <row r="289" spans="4:7">
      <c r="D289" s="1"/>
      <c r="E289" s="1"/>
      <c r="G289" s="47"/>
    </row>
    <row r="290" spans="4:7">
      <c r="D290" s="1"/>
      <c r="E290" s="1"/>
      <c r="G290" s="47"/>
    </row>
    <row r="291" spans="4:7">
      <c r="D291" s="1"/>
      <c r="E291" s="1"/>
      <c r="G291" s="47"/>
    </row>
    <row r="292" spans="4:7">
      <c r="D292" s="1"/>
      <c r="E292" s="1"/>
      <c r="G292" s="47"/>
    </row>
    <row r="293" spans="4:7">
      <c r="D293" s="1"/>
      <c r="E293" s="1"/>
      <c r="G293" s="47"/>
    </row>
    <row r="294" spans="4:7">
      <c r="D294" s="1"/>
      <c r="E294" s="1"/>
      <c r="G294" s="47"/>
    </row>
    <row r="295" spans="4:7">
      <c r="D295" s="1"/>
      <c r="E295" s="1"/>
      <c r="G295" s="47"/>
    </row>
    <row r="296" spans="4:7">
      <c r="D296" s="1"/>
      <c r="E296" s="1"/>
      <c r="G296" s="47"/>
    </row>
    <row r="297" spans="4:7">
      <c r="D297" s="1"/>
      <c r="E297" s="1"/>
      <c r="G297" s="47"/>
    </row>
    <row r="298" spans="4:7">
      <c r="D298" s="1"/>
      <c r="E298" s="1"/>
      <c r="G298" s="47"/>
    </row>
    <row r="299" spans="4:7">
      <c r="D299" s="1"/>
      <c r="E299" s="1"/>
      <c r="G299" s="47"/>
    </row>
    <row r="300" spans="4:7">
      <c r="D300" s="1"/>
      <c r="E300" s="1"/>
      <c r="G300" s="47"/>
    </row>
    <row r="301" spans="4:7">
      <c r="D301" s="1"/>
      <c r="E301" s="1"/>
      <c r="G301" s="47"/>
    </row>
    <row r="302" spans="4:7">
      <c r="D302" s="1"/>
      <c r="E302" s="1"/>
      <c r="G302" s="47"/>
    </row>
    <row r="303" spans="4:7">
      <c r="D303" s="1"/>
      <c r="E303" s="1"/>
      <c r="G303" s="47"/>
    </row>
    <row r="304" spans="4:7">
      <c r="D304" s="1"/>
      <c r="E304" s="1"/>
      <c r="G304" s="47"/>
    </row>
    <row r="305" spans="4:7">
      <c r="D305" s="1"/>
      <c r="E305" s="1"/>
      <c r="G305" s="47"/>
    </row>
    <row r="306" spans="4:7">
      <c r="D306" s="1"/>
      <c r="E306" s="1"/>
      <c r="G306" s="47"/>
    </row>
    <row r="307" spans="4:7">
      <c r="D307" s="1"/>
      <c r="E307" s="1"/>
      <c r="G307" s="47"/>
    </row>
    <row r="308" spans="4:7">
      <c r="D308" s="1"/>
      <c r="E308" s="1"/>
      <c r="G308" s="47"/>
    </row>
    <row r="309" spans="4:7">
      <c r="D309" s="1"/>
      <c r="E309" s="1"/>
      <c r="G309" s="47"/>
    </row>
    <row r="310" spans="4:7">
      <c r="D310" s="1"/>
      <c r="E310" s="1"/>
      <c r="G310" s="47"/>
    </row>
    <row r="311" spans="4:7">
      <c r="D311" s="1"/>
      <c r="E311" s="1"/>
      <c r="G311" s="47"/>
    </row>
    <row r="312" spans="4:7">
      <c r="D312" s="1"/>
      <c r="E312" s="1"/>
      <c r="G312" s="47"/>
    </row>
    <row r="313" spans="4:7">
      <c r="D313" s="1"/>
      <c r="E313" s="1"/>
      <c r="G313" s="47"/>
    </row>
    <row r="314" spans="4:7">
      <c r="D314" s="1"/>
      <c r="E314" s="1"/>
      <c r="G314" s="47"/>
    </row>
    <row r="315" spans="4:7">
      <c r="D315" s="1"/>
      <c r="E315" s="1"/>
      <c r="G315" s="47"/>
    </row>
    <row r="316" spans="4:7">
      <c r="D316" s="1"/>
      <c r="E316" s="1"/>
      <c r="G316" s="47"/>
    </row>
    <row r="317" spans="4:7">
      <c r="D317" s="1"/>
      <c r="E317" s="1"/>
      <c r="G317" s="47"/>
    </row>
    <row r="318" spans="4:7">
      <c r="D318" s="1"/>
      <c r="E318" s="1"/>
      <c r="G318" s="47"/>
    </row>
    <row r="319" spans="4:7">
      <c r="D319" s="1"/>
      <c r="E319" s="1"/>
      <c r="G319" s="47"/>
    </row>
    <row r="320" spans="4:7">
      <c r="D320" s="1"/>
      <c r="E320" s="1"/>
      <c r="G320" s="47"/>
    </row>
    <row r="321" spans="4:7">
      <c r="D321" s="1"/>
      <c r="E321" s="1"/>
      <c r="G321" s="47"/>
    </row>
    <row r="322" spans="4:7">
      <c r="D322" s="1"/>
      <c r="E322" s="1"/>
      <c r="G322" s="47"/>
    </row>
    <row r="323" spans="4:7">
      <c r="D323" s="1"/>
      <c r="E323" s="1"/>
      <c r="G323" s="47"/>
    </row>
    <row r="324" spans="4:7">
      <c r="D324" s="1"/>
      <c r="E324" s="1"/>
      <c r="G324" s="47"/>
    </row>
    <row r="325" spans="4:7">
      <c r="D325" s="1"/>
      <c r="E325" s="1"/>
      <c r="G325" s="47"/>
    </row>
    <row r="326" spans="4:7">
      <c r="D326" s="1"/>
      <c r="E326" s="1"/>
      <c r="G326" s="47"/>
    </row>
    <row r="327" spans="4:7">
      <c r="D327" s="1"/>
      <c r="E327" s="1"/>
      <c r="G327" s="47"/>
    </row>
    <row r="328" spans="4:7">
      <c r="D328" s="1"/>
      <c r="E328" s="1"/>
      <c r="G328" s="47"/>
    </row>
    <row r="329" spans="4:7">
      <c r="D329" s="1"/>
      <c r="E329" s="1"/>
      <c r="G329" s="47"/>
    </row>
    <row r="330" spans="4:7">
      <c r="D330" s="1"/>
      <c r="E330" s="1"/>
    </row>
    <row r="331" spans="4:7">
      <c r="D331" s="1"/>
      <c r="E331" s="1"/>
    </row>
    <row r="332" spans="4:7">
      <c r="D332" s="1"/>
      <c r="E332" s="1"/>
    </row>
    <row r="333" spans="4:7">
      <c r="D333" s="1"/>
      <c r="E333" s="1"/>
    </row>
    <row r="334" spans="4:7">
      <c r="D334" s="1"/>
      <c r="E334" s="1"/>
    </row>
    <row r="335" spans="4:7">
      <c r="D335" s="1"/>
      <c r="E335" s="1"/>
    </row>
    <row r="336" spans="4:7">
      <c r="D336" s="1"/>
      <c r="E336" s="1"/>
    </row>
    <row r="337" spans="4:5">
      <c r="D337" s="1"/>
      <c r="E337" s="1"/>
    </row>
    <row r="338" spans="4:5">
      <c r="D338" s="1"/>
      <c r="E338" s="1"/>
    </row>
    <row r="339" spans="4:5">
      <c r="D339" s="1"/>
      <c r="E339" s="1"/>
    </row>
    <row r="340" spans="4:5">
      <c r="D340" s="1"/>
      <c r="E340" s="1"/>
    </row>
    <row r="341" spans="4:5">
      <c r="D341" s="1"/>
      <c r="E341" s="1"/>
    </row>
    <row r="342" spans="4:5">
      <c r="D342" s="1"/>
      <c r="E342" s="1"/>
    </row>
    <row r="343" spans="4:5">
      <c r="D343" s="1"/>
      <c r="E343" s="1"/>
    </row>
    <row r="344" spans="4:5">
      <c r="D344" s="1"/>
      <c r="E344" s="1"/>
    </row>
    <row r="345" spans="4:5">
      <c r="D345" s="1"/>
      <c r="E345" s="1"/>
    </row>
    <row r="346" spans="4:5">
      <c r="D346" s="1"/>
      <c r="E346" s="1"/>
    </row>
    <row r="347" spans="4:5">
      <c r="D347" s="1"/>
      <c r="E347" s="1"/>
    </row>
    <row r="348" spans="4:5">
      <c r="D348" s="1"/>
      <c r="E348" s="1"/>
    </row>
    <row r="349" spans="4:5">
      <c r="D349" s="1"/>
      <c r="E349" s="1"/>
    </row>
    <row r="350" spans="4:5">
      <c r="D350" s="1"/>
      <c r="E350" s="1"/>
    </row>
    <row r="351" spans="4:5">
      <c r="D351" s="1"/>
      <c r="E351" s="1"/>
    </row>
    <row r="352" spans="4:5">
      <c r="D352" s="1"/>
      <c r="E352" s="1"/>
    </row>
    <row r="353" spans="4:5">
      <c r="D353" s="1"/>
      <c r="E353" s="1"/>
    </row>
    <row r="354" spans="4:5">
      <c r="D354" s="1"/>
      <c r="E354" s="1"/>
    </row>
    <row r="355" spans="4:5">
      <c r="D355" s="1"/>
      <c r="E355" s="1"/>
    </row>
    <row r="356" spans="4:5">
      <c r="D356" s="1"/>
      <c r="E356" s="1"/>
    </row>
    <row r="357" spans="4:5">
      <c r="D357" s="1"/>
      <c r="E357" s="1"/>
    </row>
    <row r="358" spans="4:5">
      <c r="D358" s="1"/>
      <c r="E358" s="1"/>
    </row>
    <row r="359" spans="4:5">
      <c r="D359" s="1"/>
      <c r="E359" s="1"/>
    </row>
    <row r="360" spans="4:5">
      <c r="D360" s="1"/>
      <c r="E360" s="1"/>
    </row>
    <row r="361" spans="4:5">
      <c r="D361" s="1"/>
      <c r="E361" s="1"/>
    </row>
    <row r="362" spans="4:5">
      <c r="D362" s="1"/>
      <c r="E362" s="1"/>
    </row>
    <row r="363" spans="4:5">
      <c r="D363" s="1"/>
      <c r="E363" s="1"/>
    </row>
    <row r="364" spans="4:5">
      <c r="D364" s="1"/>
      <c r="E364" s="1"/>
    </row>
    <row r="365" spans="4:5">
      <c r="D365" s="1"/>
      <c r="E365" s="1"/>
    </row>
    <row r="366" spans="4:5">
      <c r="D366" s="1"/>
      <c r="E366" s="1"/>
    </row>
    <row r="367" spans="4:5">
      <c r="D367" s="1"/>
      <c r="E367" s="1"/>
    </row>
    <row r="368" spans="4:5">
      <c r="D368" s="1"/>
      <c r="E368" s="1"/>
    </row>
    <row r="369" spans="4:5">
      <c r="D369" s="1"/>
      <c r="E369" s="1"/>
    </row>
    <row r="370" spans="4:5">
      <c r="D370" s="1"/>
      <c r="E370" s="1"/>
    </row>
    <row r="371" spans="4:5">
      <c r="D371" s="1"/>
      <c r="E371" s="1"/>
    </row>
    <row r="372" spans="4:5">
      <c r="D372" s="1"/>
      <c r="E372" s="1"/>
    </row>
    <row r="373" spans="4:5">
      <c r="D373" s="1"/>
      <c r="E373" s="1"/>
    </row>
    <row r="374" spans="4:5">
      <c r="D374" s="1"/>
      <c r="E374" s="1"/>
    </row>
    <row r="375" spans="4:5">
      <c r="D375" s="1"/>
      <c r="E375" s="1"/>
    </row>
    <row r="376" spans="4:5">
      <c r="D376" s="1"/>
      <c r="E376" s="1"/>
    </row>
    <row r="377" spans="4:5">
      <c r="D377" s="1"/>
      <c r="E377" s="1"/>
    </row>
    <row r="378" spans="4:5">
      <c r="D378" s="1"/>
      <c r="E378" s="1"/>
    </row>
    <row r="379" spans="4:5">
      <c r="D379" s="1"/>
      <c r="E379" s="1"/>
    </row>
    <row r="380" spans="4:5">
      <c r="D380" s="1"/>
      <c r="E380" s="1"/>
    </row>
    <row r="381" spans="4:5">
      <c r="D381" s="1"/>
      <c r="E381" s="1"/>
    </row>
    <row r="382" spans="4:5">
      <c r="D382" s="1"/>
      <c r="E382" s="1"/>
    </row>
    <row r="383" spans="4:5">
      <c r="D383" s="1"/>
      <c r="E383" s="1"/>
    </row>
    <row r="384" spans="4:5">
      <c r="D384" s="1"/>
      <c r="E384" s="1"/>
    </row>
    <row r="385" spans="4:5">
      <c r="D385" s="1"/>
      <c r="E385" s="1"/>
    </row>
    <row r="386" spans="4:5">
      <c r="D386" s="1"/>
      <c r="E386" s="1"/>
    </row>
    <row r="387" spans="4:5">
      <c r="D387" s="1"/>
      <c r="E387" s="1"/>
    </row>
    <row r="388" spans="4:5">
      <c r="D388" s="1"/>
      <c r="E388" s="1"/>
    </row>
    <row r="389" spans="4:5">
      <c r="D389" s="1"/>
      <c r="E389" s="1"/>
    </row>
    <row r="390" spans="4:5">
      <c r="D390" s="1"/>
      <c r="E390" s="1"/>
    </row>
    <row r="391" spans="4:5">
      <c r="D391" s="1"/>
      <c r="E391" s="1"/>
    </row>
    <row r="392" spans="4:5">
      <c r="D392" s="1"/>
      <c r="E392" s="1"/>
    </row>
    <row r="393" spans="4:5">
      <c r="D393" s="1"/>
      <c r="E393" s="1"/>
    </row>
    <row r="394" spans="4:5">
      <c r="D394" s="1"/>
      <c r="E394" s="1"/>
    </row>
    <row r="395" spans="4:5">
      <c r="D395" s="1"/>
      <c r="E395" s="1"/>
    </row>
    <row r="396" spans="4:5">
      <c r="D396" s="1"/>
      <c r="E396" s="1"/>
    </row>
    <row r="397" spans="4:5">
      <c r="D397" s="1"/>
      <c r="E397" s="1"/>
    </row>
    <row r="398" spans="4:5">
      <c r="D398" s="1"/>
      <c r="E398" s="1"/>
    </row>
    <row r="399" spans="4:5">
      <c r="D399" s="1"/>
      <c r="E399" s="1"/>
    </row>
    <row r="400" spans="4:5">
      <c r="D400" s="1"/>
      <c r="E400" s="1"/>
    </row>
    <row r="401" spans="4:5">
      <c r="D401" s="1"/>
      <c r="E401" s="1"/>
    </row>
    <row r="402" spans="4:5">
      <c r="D402" s="1"/>
      <c r="E402" s="1"/>
    </row>
    <row r="403" spans="4:5">
      <c r="D403" s="1"/>
      <c r="E403" s="1"/>
    </row>
    <row r="404" spans="4:5">
      <c r="D404" s="1"/>
      <c r="E404" s="1"/>
    </row>
    <row r="405" spans="4:5">
      <c r="D405" s="1"/>
      <c r="E405" s="1"/>
    </row>
    <row r="406" spans="4:5">
      <c r="D406" s="1"/>
      <c r="E406" s="1"/>
    </row>
    <row r="407" spans="4:5">
      <c r="D407" s="1"/>
      <c r="E407" s="1"/>
    </row>
    <row r="408" spans="4:5">
      <c r="D408" s="1"/>
      <c r="E408" s="1"/>
    </row>
    <row r="409" spans="4:5">
      <c r="D409" s="1"/>
      <c r="E409" s="1"/>
    </row>
    <row r="410" spans="4:5">
      <c r="D410" s="1"/>
      <c r="E410" s="1"/>
    </row>
    <row r="411" spans="4:5">
      <c r="D411" s="1"/>
      <c r="E411" s="1"/>
    </row>
    <row r="412" spans="4:5">
      <c r="D412" s="1"/>
      <c r="E412" s="1"/>
    </row>
    <row r="413" spans="4:5">
      <c r="D413" s="1"/>
      <c r="E413" s="1"/>
    </row>
    <row r="414" spans="4:5">
      <c r="D414" s="1"/>
      <c r="E414" s="1"/>
    </row>
    <row r="415" spans="4:5">
      <c r="D415" s="1"/>
      <c r="E415" s="1"/>
    </row>
    <row r="416" spans="4:5">
      <c r="D416" s="1"/>
      <c r="E416" s="1"/>
    </row>
    <row r="417" spans="4:5">
      <c r="D417" s="1"/>
      <c r="E417" s="1"/>
    </row>
    <row r="418" spans="4:5">
      <c r="D418" s="1"/>
      <c r="E418" s="1"/>
    </row>
    <row r="419" spans="4:5">
      <c r="D419" s="1"/>
      <c r="E419" s="1"/>
    </row>
    <row r="420" spans="4:5">
      <c r="D420" s="1"/>
      <c r="E420" s="1"/>
    </row>
    <row r="421" spans="4:5">
      <c r="D421" s="1"/>
      <c r="E421" s="1"/>
    </row>
    <row r="422" spans="4:5">
      <c r="D422" s="1"/>
      <c r="E422" s="1"/>
    </row>
    <row r="423" spans="4:5">
      <c r="D423" s="1"/>
      <c r="E423" s="1"/>
    </row>
    <row r="424" spans="4:5">
      <c r="D424" s="1"/>
      <c r="E424" s="1"/>
    </row>
    <row r="425" spans="4:5">
      <c r="D425" s="1"/>
      <c r="E425" s="1"/>
    </row>
    <row r="426" spans="4:5">
      <c r="D426" s="1"/>
      <c r="E426" s="1"/>
    </row>
    <row r="427" spans="4:5">
      <c r="D427" s="1"/>
      <c r="E427" s="1"/>
    </row>
    <row r="428" spans="4:5">
      <c r="D428" s="1"/>
      <c r="E428" s="1"/>
    </row>
    <row r="429" spans="4:5">
      <c r="D429" s="1"/>
      <c r="E429" s="1"/>
    </row>
    <row r="430" spans="4:5">
      <c r="D430" s="1"/>
      <c r="E430" s="1"/>
    </row>
    <row r="431" spans="4:5">
      <c r="D431" s="1"/>
      <c r="E431" s="1"/>
    </row>
    <row r="432" spans="4:5">
      <c r="D432" s="1"/>
      <c r="E432" s="1"/>
    </row>
    <row r="433" spans="4:5">
      <c r="D433" s="1"/>
      <c r="E433" s="1"/>
    </row>
    <row r="434" spans="4:5">
      <c r="D434" s="1"/>
      <c r="E434" s="1"/>
    </row>
    <row r="435" spans="4:5">
      <c r="D435" s="1"/>
      <c r="E435" s="1"/>
    </row>
    <row r="436" spans="4:5">
      <c r="D436" s="1"/>
      <c r="E436" s="1"/>
    </row>
    <row r="437" spans="4:5">
      <c r="D437" s="1"/>
      <c r="E437" s="1"/>
    </row>
    <row r="438" spans="4:5">
      <c r="D438" s="1"/>
      <c r="E438" s="1"/>
    </row>
    <row r="439" spans="4:5">
      <c r="D439" s="1"/>
      <c r="E439" s="1"/>
    </row>
    <row r="440" spans="4:5">
      <c r="D440" s="1"/>
      <c r="E440" s="1"/>
    </row>
    <row r="441" spans="4:5">
      <c r="D441" s="1"/>
      <c r="E441" s="1"/>
    </row>
    <row r="442" spans="4:5">
      <c r="D442" s="1"/>
      <c r="E442" s="1"/>
    </row>
    <row r="443" spans="4:5">
      <c r="D443" s="1"/>
      <c r="E443" s="1"/>
    </row>
    <row r="444" spans="4:5">
      <c r="D444" s="1"/>
      <c r="E444" s="1"/>
    </row>
    <row r="445" spans="4:5">
      <c r="D445" s="1"/>
      <c r="E445" s="1"/>
    </row>
    <row r="446" spans="4:5">
      <c r="D446" s="1"/>
      <c r="E446" s="1"/>
    </row>
    <row r="447" spans="4:5">
      <c r="D447" s="1"/>
      <c r="E447" s="1"/>
    </row>
    <row r="448" spans="4:5">
      <c r="D448" s="1"/>
      <c r="E448" s="1"/>
    </row>
    <row r="449" spans="4:5">
      <c r="D449" s="1"/>
      <c r="E449" s="1"/>
    </row>
    <row r="450" spans="4:5">
      <c r="D450" s="1"/>
      <c r="E450" s="1"/>
    </row>
    <row r="451" spans="4:5">
      <c r="D451" s="1"/>
      <c r="E451" s="1"/>
    </row>
    <row r="452" spans="4:5">
      <c r="D452" s="1"/>
      <c r="E452" s="1"/>
    </row>
    <row r="453" spans="4:5">
      <c r="D453" s="1"/>
      <c r="E453" s="1"/>
    </row>
    <row r="454" spans="4:5">
      <c r="D454" s="1"/>
      <c r="E454" s="1"/>
    </row>
    <row r="455" spans="4:5">
      <c r="D455" s="1"/>
      <c r="E455" s="1"/>
    </row>
    <row r="456" spans="4:5">
      <c r="D456" s="1"/>
      <c r="E456" s="1"/>
    </row>
  </sheetData>
  <sortState ref="A2:Y457">
    <sortCondition ref="D1"/>
  </sortState>
  <conditionalFormatting sqref="E228">
    <cfRule type="duplicateValues" dxfId="8" priority="9"/>
  </conditionalFormatting>
  <conditionalFormatting sqref="E229">
    <cfRule type="duplicateValues" dxfId="7" priority="8"/>
  </conditionalFormatting>
  <conditionalFormatting sqref="E230">
    <cfRule type="duplicateValues" dxfId="6" priority="7"/>
  </conditionalFormatting>
  <conditionalFormatting sqref="E231">
    <cfRule type="duplicateValues" dxfId="5" priority="6"/>
  </conditionalFormatting>
  <conditionalFormatting sqref="E238 E193:E227 E1:E191 E241:E1048576">
    <cfRule type="duplicateValues" dxfId="4" priority="27"/>
  </conditionalFormatting>
  <conditionalFormatting sqref="E1:E239 E241:E1048576">
    <cfRule type="duplicateValues" dxfId="3" priority="4"/>
  </conditionalFormatting>
  <conditionalFormatting sqref="E239">
    <cfRule type="duplicateValues" dxfId="2" priority="3"/>
  </conditionalFormatting>
  <conditionalFormatting sqref="E240">
    <cfRule type="duplicateValues" dxfId="1" priority="2"/>
  </conditionalFormatting>
  <conditionalFormatting sqref="E240">
    <cfRule type="duplicateValues" dxfId="0" priority="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Z242"/>
  <sheetViews>
    <sheetView zoomScaleNormal="100" workbookViewId="0">
      <pane xSplit="2" ySplit="3" topLeftCell="C229" activePane="bottomRight" state="frozen"/>
      <selection pane="topRight" activeCell="B1" sqref="B1"/>
      <selection pane="bottomLeft" activeCell="A3" sqref="A3"/>
      <selection pane="bottomRight" activeCell="C247" sqref="C247"/>
    </sheetView>
  </sheetViews>
  <sheetFormatPr defaultColWidth="11.42578125" defaultRowHeight="15"/>
  <cols>
    <col min="1" max="1" width="3.5703125" bestFit="1" customWidth="1"/>
    <col min="2" max="2" width="5.42578125" style="8" customWidth="1"/>
    <col min="3" max="3" width="20.28515625" customWidth="1"/>
    <col min="4" max="4" width="4.7109375" customWidth="1"/>
    <col min="5" max="5" width="6.85546875" customWidth="1"/>
    <col min="6" max="6" width="4.140625" customWidth="1"/>
    <col min="7" max="7" width="6.42578125" customWidth="1"/>
    <col min="8" max="8" width="4.7109375" customWidth="1"/>
    <col min="9" max="9" width="6.140625" style="5" customWidth="1"/>
    <col min="10" max="10" width="9.28515625" style="3" customWidth="1"/>
    <col min="11" max="11" width="13" style="57" customWidth="1"/>
    <col min="12" max="12" width="5.7109375" customWidth="1"/>
    <col min="13" max="13" width="7.85546875" customWidth="1"/>
    <col min="14" max="14" width="5.42578125" customWidth="1"/>
    <col min="15" max="15" width="10.140625" customWidth="1"/>
    <col min="16" max="16" width="5.85546875" customWidth="1"/>
    <col min="17" max="17" width="6.7109375" customWidth="1"/>
    <col min="18" max="18" width="9.28515625" customWidth="1"/>
    <col min="19" max="19" width="7.42578125" customWidth="1"/>
    <col min="20" max="20" width="6" customWidth="1"/>
    <col min="21" max="21" width="10.28515625" style="3" customWidth="1"/>
    <col min="22" max="22" width="14" style="43" customWidth="1"/>
    <col min="23" max="23" width="36" style="3" customWidth="1"/>
    <col min="24" max="24" width="44.7109375" customWidth="1"/>
  </cols>
  <sheetData>
    <row r="1" spans="1:26" ht="18.75">
      <c r="A1" s="96" t="s">
        <v>1174</v>
      </c>
      <c r="B1" s="77" t="s">
        <v>0</v>
      </c>
      <c r="C1" s="83" t="s">
        <v>1</v>
      </c>
      <c r="D1" s="79" t="s">
        <v>2</v>
      </c>
      <c r="E1" s="79"/>
      <c r="F1" s="80" t="s">
        <v>3</v>
      </c>
      <c r="G1" s="80"/>
      <c r="H1" s="81" t="s">
        <v>4</v>
      </c>
      <c r="I1" s="81"/>
      <c r="J1" s="82" t="s">
        <v>2172</v>
      </c>
      <c r="K1" s="86" t="s">
        <v>715</v>
      </c>
      <c r="L1" s="78" t="s">
        <v>6</v>
      </c>
      <c r="M1" s="78"/>
      <c r="N1" s="78"/>
      <c r="O1" s="78"/>
      <c r="P1" s="84" t="s">
        <v>3</v>
      </c>
      <c r="Q1" s="84"/>
      <c r="R1" s="84"/>
      <c r="S1" s="84"/>
      <c r="T1" s="84"/>
      <c r="U1" s="85" t="s">
        <v>354</v>
      </c>
      <c r="V1" s="88" t="s">
        <v>1339</v>
      </c>
      <c r="W1" s="87" t="s">
        <v>1218</v>
      </c>
      <c r="X1" s="76" t="s">
        <v>355</v>
      </c>
      <c r="Y1" s="75"/>
    </row>
    <row r="2" spans="1:26" ht="21">
      <c r="A2" s="96"/>
      <c r="B2" s="77"/>
      <c r="C2" s="83"/>
      <c r="D2" s="18">
        <v>1</v>
      </c>
      <c r="E2" s="18">
        <v>2</v>
      </c>
      <c r="F2" s="19">
        <v>3</v>
      </c>
      <c r="G2" s="19">
        <v>4</v>
      </c>
      <c r="H2" s="20">
        <v>5</v>
      </c>
      <c r="I2" s="20">
        <v>6</v>
      </c>
      <c r="J2" s="82"/>
      <c r="K2" s="86"/>
      <c r="L2" s="21" t="s">
        <v>348</v>
      </c>
      <c r="M2" s="22" t="s">
        <v>349</v>
      </c>
      <c r="N2" s="25" t="s">
        <v>417</v>
      </c>
      <c r="O2" s="22" t="s">
        <v>350</v>
      </c>
      <c r="P2" s="23" t="s">
        <v>351</v>
      </c>
      <c r="Q2" s="24" t="s">
        <v>362</v>
      </c>
      <c r="R2" s="24" t="s">
        <v>626</v>
      </c>
      <c r="S2" s="23" t="s">
        <v>352</v>
      </c>
      <c r="T2" s="24" t="s">
        <v>353</v>
      </c>
      <c r="U2" s="85"/>
      <c r="V2" s="88"/>
      <c r="W2" s="87"/>
      <c r="X2" s="76"/>
      <c r="Y2" s="75"/>
    </row>
    <row r="3" spans="1:26">
      <c r="A3" s="100">
        <v>1</v>
      </c>
      <c r="B3" s="93">
        <v>6</v>
      </c>
      <c r="C3" s="47" t="s">
        <v>1946</v>
      </c>
      <c r="D3" s="38">
        <v>0</v>
      </c>
      <c r="E3" s="38">
        <v>0</v>
      </c>
      <c r="F3" s="38">
        <v>1</v>
      </c>
      <c r="G3" s="38">
        <v>0</v>
      </c>
      <c r="H3" s="38">
        <v>0</v>
      </c>
      <c r="I3" s="38">
        <v>1</v>
      </c>
      <c r="J3" s="58">
        <f t="shared" ref="J3" si="0">SUM(D3:I3)</f>
        <v>2</v>
      </c>
      <c r="K3" s="7" t="s">
        <v>8</v>
      </c>
      <c r="L3" s="30" t="s">
        <v>1174</v>
      </c>
      <c r="M3" s="30" t="s">
        <v>1174</v>
      </c>
      <c r="N3" s="31" t="s">
        <v>1175</v>
      </c>
      <c r="O3" s="31" t="s">
        <v>1175</v>
      </c>
      <c r="P3" s="30" t="s">
        <v>1174</v>
      </c>
      <c r="Q3" s="30" t="s">
        <v>1174</v>
      </c>
      <c r="R3" s="31" t="s">
        <v>1175</v>
      </c>
      <c r="S3" s="30" t="s">
        <v>1174</v>
      </c>
      <c r="T3" s="30" t="s">
        <v>1174</v>
      </c>
      <c r="U3" s="30" t="s">
        <v>1174</v>
      </c>
      <c r="V3" s="59" t="s">
        <v>1174</v>
      </c>
      <c r="W3" s="2" t="s">
        <v>1196</v>
      </c>
      <c r="X3" s="2" t="s">
        <v>1197</v>
      </c>
      <c r="Y3" s="9" t="s">
        <v>670</v>
      </c>
    </row>
    <row r="4" spans="1:26">
      <c r="A4" s="100">
        <v>2</v>
      </c>
      <c r="B4" s="93">
        <v>4</v>
      </c>
      <c r="C4" s="47" t="s">
        <v>1995</v>
      </c>
      <c r="D4" s="38">
        <v>0</v>
      </c>
      <c r="E4" s="38">
        <v>0</v>
      </c>
      <c r="F4" s="38">
        <v>0</v>
      </c>
      <c r="G4" s="38">
        <v>0</v>
      </c>
      <c r="H4" s="38">
        <v>0</v>
      </c>
      <c r="I4" s="38">
        <v>1</v>
      </c>
      <c r="J4" s="58">
        <f>SUM(D4:I4)</f>
        <v>1</v>
      </c>
      <c r="K4" s="7" t="s">
        <v>1025</v>
      </c>
      <c r="L4" s="31" t="s">
        <v>1175</v>
      </c>
      <c r="M4" s="30" t="s">
        <v>1174</v>
      </c>
      <c r="N4" s="30" t="s">
        <v>1174</v>
      </c>
      <c r="O4" s="30" t="s">
        <v>1174</v>
      </c>
      <c r="P4" s="30" t="s">
        <v>1174</v>
      </c>
      <c r="Q4" s="30" t="s">
        <v>1174</v>
      </c>
      <c r="R4" s="30" t="s">
        <v>1174</v>
      </c>
      <c r="S4" s="30" t="s">
        <v>1174</v>
      </c>
      <c r="T4" s="30" t="s">
        <v>1174</v>
      </c>
      <c r="U4" s="30" t="s">
        <v>1174</v>
      </c>
      <c r="V4" s="59" t="s">
        <v>1174</v>
      </c>
      <c r="W4" s="64" t="s">
        <v>1025</v>
      </c>
      <c r="X4" s="7" t="s">
        <v>16</v>
      </c>
      <c r="Y4" s="11" t="s">
        <v>670</v>
      </c>
    </row>
    <row r="5" spans="1:26">
      <c r="A5" s="100">
        <v>3</v>
      </c>
      <c r="B5" s="93">
        <v>5</v>
      </c>
      <c r="C5" s="47" t="s">
        <v>1996</v>
      </c>
      <c r="D5" s="38">
        <v>0</v>
      </c>
      <c r="E5" s="38">
        <v>0</v>
      </c>
      <c r="F5" s="38">
        <v>0</v>
      </c>
      <c r="G5" s="38">
        <v>0</v>
      </c>
      <c r="H5" s="38">
        <v>0</v>
      </c>
      <c r="I5" s="38">
        <v>1</v>
      </c>
      <c r="J5" s="58">
        <f>SUM(D5:I5)</f>
        <v>1</v>
      </c>
      <c r="K5" s="7" t="s">
        <v>1025</v>
      </c>
      <c r="L5" s="31" t="s">
        <v>1175</v>
      </c>
      <c r="M5" s="30" t="s">
        <v>1174</v>
      </c>
      <c r="N5" s="30" t="s">
        <v>1174</v>
      </c>
      <c r="O5" s="30" t="s">
        <v>1174</v>
      </c>
      <c r="P5" s="30" t="s">
        <v>1174</v>
      </c>
      <c r="Q5" s="30" t="s">
        <v>1174</v>
      </c>
      <c r="R5" s="30" t="s">
        <v>1174</v>
      </c>
      <c r="S5" s="30" t="s">
        <v>1174</v>
      </c>
      <c r="T5" s="30" t="s">
        <v>1174</v>
      </c>
      <c r="U5" s="30" t="s">
        <v>1174</v>
      </c>
      <c r="V5" s="59" t="s">
        <v>1174</v>
      </c>
      <c r="W5" s="64" t="s">
        <v>1025</v>
      </c>
      <c r="X5" s="7" t="s">
        <v>16</v>
      </c>
      <c r="Y5" s="11" t="s">
        <v>670</v>
      </c>
    </row>
    <row r="6" spans="1:26">
      <c r="A6" s="100">
        <v>4</v>
      </c>
      <c r="B6" s="93">
        <v>7</v>
      </c>
      <c r="C6" s="47" t="s">
        <v>2006</v>
      </c>
      <c r="D6" s="38">
        <v>0</v>
      </c>
      <c r="E6" s="38">
        <v>0</v>
      </c>
      <c r="F6" s="38">
        <v>0</v>
      </c>
      <c r="G6" s="38">
        <v>0</v>
      </c>
      <c r="H6" s="38">
        <v>0</v>
      </c>
      <c r="I6" s="38">
        <v>1</v>
      </c>
      <c r="J6" s="58">
        <f>SUM(D6:I6)</f>
        <v>1</v>
      </c>
      <c r="K6" s="7" t="s">
        <v>1025</v>
      </c>
      <c r="L6" s="31" t="s">
        <v>1175</v>
      </c>
      <c r="M6" s="30" t="s">
        <v>1174</v>
      </c>
      <c r="N6" s="30" t="s">
        <v>1174</v>
      </c>
      <c r="O6" s="30" t="s">
        <v>1174</v>
      </c>
      <c r="P6" s="30" t="s">
        <v>1174</v>
      </c>
      <c r="Q6" s="30" t="s">
        <v>1174</v>
      </c>
      <c r="R6" s="30" t="s">
        <v>1174</v>
      </c>
      <c r="S6" s="30" t="s">
        <v>1174</v>
      </c>
      <c r="T6" s="30" t="s">
        <v>1174</v>
      </c>
      <c r="U6" s="30" t="s">
        <v>1174</v>
      </c>
      <c r="V6" s="59" t="s">
        <v>1174</v>
      </c>
      <c r="W6" s="15" t="s">
        <v>9</v>
      </c>
      <c r="X6" s="7" t="s">
        <v>16</v>
      </c>
      <c r="Y6" s="11" t="s">
        <v>670</v>
      </c>
    </row>
    <row r="7" spans="1:26">
      <c r="A7" s="100">
        <v>5</v>
      </c>
      <c r="B7" s="93">
        <v>8</v>
      </c>
      <c r="C7" s="47" t="s">
        <v>2055</v>
      </c>
      <c r="D7" s="38">
        <v>0</v>
      </c>
      <c r="E7" s="38">
        <v>1</v>
      </c>
      <c r="F7" s="38">
        <v>1</v>
      </c>
      <c r="G7" s="38">
        <v>0</v>
      </c>
      <c r="H7" s="38">
        <v>0</v>
      </c>
      <c r="I7" s="38">
        <v>1</v>
      </c>
      <c r="J7" s="58">
        <f>SUM(D7:I7)</f>
        <v>3</v>
      </c>
      <c r="K7" s="29" t="s">
        <v>1119</v>
      </c>
      <c r="L7" s="30" t="s">
        <v>1174</v>
      </c>
      <c r="M7" s="30" t="s">
        <v>1174</v>
      </c>
      <c r="N7" s="31" t="s">
        <v>1175</v>
      </c>
      <c r="O7" s="30" t="s">
        <v>1174</v>
      </c>
      <c r="P7" s="30" t="s">
        <v>1174</v>
      </c>
      <c r="Q7" s="30" t="s">
        <v>1174</v>
      </c>
      <c r="R7" s="30" t="s">
        <v>1174</v>
      </c>
      <c r="S7" s="30" t="s">
        <v>1174</v>
      </c>
      <c r="T7" s="30" t="s">
        <v>1174</v>
      </c>
      <c r="U7" s="32" t="s">
        <v>1175</v>
      </c>
      <c r="V7" s="59" t="s">
        <v>1174</v>
      </c>
      <c r="W7" s="29" t="s">
        <v>929</v>
      </c>
      <c r="X7" s="7" t="s">
        <v>1120</v>
      </c>
      <c r="Y7" s="11" t="s">
        <v>670</v>
      </c>
    </row>
    <row r="8" spans="1:26">
      <c r="A8" s="100">
        <v>6</v>
      </c>
      <c r="B8" s="93">
        <v>9</v>
      </c>
      <c r="C8" s="47" t="s">
        <v>2014</v>
      </c>
      <c r="D8" s="38">
        <v>0</v>
      </c>
      <c r="E8" s="38">
        <v>0</v>
      </c>
      <c r="F8" s="38">
        <v>1</v>
      </c>
      <c r="G8" s="38">
        <v>0</v>
      </c>
      <c r="H8" s="38">
        <v>1</v>
      </c>
      <c r="I8" s="38">
        <v>1</v>
      </c>
      <c r="J8" s="58">
        <f>SUM(D8:I8)</f>
        <v>3</v>
      </c>
      <c r="K8" s="29" t="s">
        <v>937</v>
      </c>
      <c r="L8" s="31" t="s">
        <v>1175</v>
      </c>
      <c r="M8" s="30" t="s">
        <v>1174</v>
      </c>
      <c r="N8" s="30" t="s">
        <v>1174</v>
      </c>
      <c r="O8" s="30" t="s">
        <v>1174</v>
      </c>
      <c r="P8" s="30" t="s">
        <v>1174</v>
      </c>
      <c r="Q8" s="30" t="s">
        <v>1174</v>
      </c>
      <c r="R8" s="31" t="s">
        <v>1175</v>
      </c>
      <c r="S8" s="30" t="s">
        <v>1174</v>
      </c>
      <c r="T8" s="30" t="s">
        <v>1174</v>
      </c>
      <c r="U8" s="30" t="s">
        <v>1174</v>
      </c>
      <c r="V8" s="59" t="s">
        <v>1174</v>
      </c>
      <c r="W8" s="29" t="s">
        <v>929</v>
      </c>
      <c r="X8" s="7" t="s">
        <v>936</v>
      </c>
      <c r="Y8" s="9" t="s">
        <v>670</v>
      </c>
    </row>
    <row r="9" spans="1:26" s="5" customFormat="1">
      <c r="A9" s="100">
        <v>7</v>
      </c>
      <c r="B9" s="93">
        <v>10</v>
      </c>
      <c r="C9" s="47" t="s">
        <v>1994</v>
      </c>
      <c r="D9" s="38">
        <v>1</v>
      </c>
      <c r="E9" s="38">
        <v>0</v>
      </c>
      <c r="F9" s="38">
        <v>1</v>
      </c>
      <c r="G9" s="38">
        <v>0</v>
      </c>
      <c r="H9" s="38">
        <v>1</v>
      </c>
      <c r="I9" s="38">
        <v>1</v>
      </c>
      <c r="J9" s="58">
        <f>SUM(D9:I9)</f>
        <v>4</v>
      </c>
      <c r="K9" s="7" t="s">
        <v>17</v>
      </c>
      <c r="L9" s="31" t="s">
        <v>1175</v>
      </c>
      <c r="M9" s="31" t="s">
        <v>1175</v>
      </c>
      <c r="N9" s="30" t="s">
        <v>1174</v>
      </c>
      <c r="O9" s="30" t="s">
        <v>1174</v>
      </c>
      <c r="P9" s="30" t="s">
        <v>1174</v>
      </c>
      <c r="Q9" s="30" t="s">
        <v>1174</v>
      </c>
      <c r="R9" s="30" t="s">
        <v>1174</v>
      </c>
      <c r="S9" s="30" t="s">
        <v>1174</v>
      </c>
      <c r="T9" s="30" t="s">
        <v>1174</v>
      </c>
      <c r="U9" s="30" t="s">
        <v>1174</v>
      </c>
      <c r="V9" s="59" t="s">
        <v>1174</v>
      </c>
      <c r="W9" s="15" t="s">
        <v>774</v>
      </c>
      <c r="X9" s="7" t="s">
        <v>163</v>
      </c>
      <c r="Y9" s="11" t="s">
        <v>670</v>
      </c>
      <c r="Z9"/>
    </row>
    <row r="10" spans="1:26">
      <c r="A10" s="100">
        <v>8</v>
      </c>
      <c r="B10" s="93">
        <v>11</v>
      </c>
      <c r="C10" s="47" t="s">
        <v>1957</v>
      </c>
      <c r="D10" s="38">
        <v>0</v>
      </c>
      <c r="E10" s="38">
        <v>0</v>
      </c>
      <c r="F10" s="38">
        <v>1</v>
      </c>
      <c r="G10" s="38">
        <v>0</v>
      </c>
      <c r="H10" s="38">
        <v>1</v>
      </c>
      <c r="I10" s="38">
        <v>1</v>
      </c>
      <c r="J10" s="58">
        <f>SUM(D10:I10)</f>
        <v>3</v>
      </c>
      <c r="K10" s="7" t="s">
        <v>1509</v>
      </c>
      <c r="L10" s="31" t="s">
        <v>1175</v>
      </c>
      <c r="M10" s="30" t="s">
        <v>1174</v>
      </c>
      <c r="N10" s="31" t="s">
        <v>1175</v>
      </c>
      <c r="O10" s="30" t="s">
        <v>1174</v>
      </c>
      <c r="P10" s="30" t="s">
        <v>1174</v>
      </c>
      <c r="Q10" s="31" t="s">
        <v>1175</v>
      </c>
      <c r="R10" s="30" t="s">
        <v>1174</v>
      </c>
      <c r="S10" s="30" t="s">
        <v>1174</v>
      </c>
      <c r="T10" s="30" t="s">
        <v>1174</v>
      </c>
      <c r="U10" s="30" t="s">
        <v>1174</v>
      </c>
      <c r="V10" s="60" t="s">
        <v>1174</v>
      </c>
      <c r="W10" s="2" t="s">
        <v>9</v>
      </c>
      <c r="X10" s="7" t="s">
        <v>1510</v>
      </c>
      <c r="Y10" s="11" t="s">
        <v>670</v>
      </c>
      <c r="Z10" s="5"/>
    </row>
    <row r="11" spans="1:26" s="5" customFormat="1">
      <c r="A11" s="100">
        <v>9</v>
      </c>
      <c r="B11" s="93">
        <v>12</v>
      </c>
      <c r="C11" s="47" t="s">
        <v>1965</v>
      </c>
      <c r="D11" s="38">
        <v>0</v>
      </c>
      <c r="E11" s="38">
        <v>0</v>
      </c>
      <c r="F11" s="38">
        <v>1</v>
      </c>
      <c r="G11" s="38">
        <v>1</v>
      </c>
      <c r="H11" s="38">
        <v>1</v>
      </c>
      <c r="I11" s="38">
        <v>1</v>
      </c>
      <c r="J11" s="58">
        <f>SUM(D11:I11)</f>
        <v>4</v>
      </c>
      <c r="K11" s="7" t="s">
        <v>781</v>
      </c>
      <c r="L11" s="30" t="s">
        <v>1174</v>
      </c>
      <c r="M11" s="30" t="s">
        <v>1174</v>
      </c>
      <c r="N11" s="31" t="s">
        <v>1175</v>
      </c>
      <c r="O11" s="30" t="s">
        <v>1174</v>
      </c>
      <c r="P11" s="30" t="s">
        <v>1174</v>
      </c>
      <c r="Q11" s="30" t="s">
        <v>1174</v>
      </c>
      <c r="R11" s="31" t="s">
        <v>1175</v>
      </c>
      <c r="S11" s="30" t="s">
        <v>1174</v>
      </c>
      <c r="T11" s="30" t="s">
        <v>1174</v>
      </c>
      <c r="U11" s="32" t="s">
        <v>1175</v>
      </c>
      <c r="V11" s="61" t="s">
        <v>1378</v>
      </c>
      <c r="W11" s="7" t="s">
        <v>774</v>
      </c>
      <c r="X11" s="7" t="s">
        <v>784</v>
      </c>
      <c r="Y11" s="11" t="s">
        <v>670</v>
      </c>
      <c r="Z11"/>
    </row>
    <row r="12" spans="1:26">
      <c r="A12" s="100">
        <v>10</v>
      </c>
      <c r="B12" s="93">
        <v>13</v>
      </c>
      <c r="C12" s="47" t="s">
        <v>1964</v>
      </c>
      <c r="D12" s="38">
        <v>0</v>
      </c>
      <c r="E12" s="38">
        <v>0</v>
      </c>
      <c r="F12" s="38">
        <v>1</v>
      </c>
      <c r="G12" s="38">
        <v>1</v>
      </c>
      <c r="H12" s="38">
        <v>1</v>
      </c>
      <c r="I12" s="38">
        <v>1</v>
      </c>
      <c r="J12" s="58">
        <f>SUM(D12:I12)</f>
        <v>4</v>
      </c>
      <c r="K12" s="7" t="s">
        <v>776</v>
      </c>
      <c r="L12" s="30" t="s">
        <v>1174</v>
      </c>
      <c r="M12" s="30" t="s">
        <v>1174</v>
      </c>
      <c r="N12" s="31" t="s">
        <v>1175</v>
      </c>
      <c r="O12" s="30" t="s">
        <v>1174</v>
      </c>
      <c r="P12" s="30" t="s">
        <v>1174</v>
      </c>
      <c r="Q12" s="30" t="s">
        <v>1174</v>
      </c>
      <c r="R12" s="31" t="s">
        <v>1175</v>
      </c>
      <c r="S12" s="30" t="s">
        <v>1174</v>
      </c>
      <c r="T12" s="30" t="s">
        <v>1174</v>
      </c>
      <c r="U12" s="30" t="s">
        <v>1174</v>
      </c>
      <c r="V12" s="60" t="s">
        <v>1174</v>
      </c>
      <c r="W12" s="7" t="s">
        <v>774</v>
      </c>
      <c r="X12" s="7" t="s">
        <v>780</v>
      </c>
      <c r="Y12" s="11" t="s">
        <v>675</v>
      </c>
    </row>
    <row r="13" spans="1:26">
      <c r="A13" s="100">
        <v>11</v>
      </c>
      <c r="B13" s="93">
        <v>14</v>
      </c>
      <c r="C13" s="47" t="s">
        <v>2001</v>
      </c>
      <c r="D13" s="38">
        <v>0</v>
      </c>
      <c r="E13" s="38">
        <v>0</v>
      </c>
      <c r="F13" s="38">
        <v>1</v>
      </c>
      <c r="G13" s="38">
        <v>0</v>
      </c>
      <c r="H13" s="38">
        <v>0</v>
      </c>
      <c r="I13" s="38">
        <v>1</v>
      </c>
      <c r="J13" s="58">
        <f>SUM(D13:I13)</f>
        <v>2</v>
      </c>
      <c r="K13" s="7" t="s">
        <v>894</v>
      </c>
      <c r="L13" s="31" t="s">
        <v>1175</v>
      </c>
      <c r="M13" s="30" t="s">
        <v>1174</v>
      </c>
      <c r="N13" s="31" t="s">
        <v>1175</v>
      </c>
      <c r="O13" s="31" t="s">
        <v>1175</v>
      </c>
      <c r="P13" s="30" t="s">
        <v>1174</v>
      </c>
      <c r="Q13" s="31" t="s">
        <v>1175</v>
      </c>
      <c r="R13" s="31" t="s">
        <v>1175</v>
      </c>
      <c r="S13" s="30" t="s">
        <v>1174</v>
      </c>
      <c r="T13" s="30" t="s">
        <v>1174</v>
      </c>
      <c r="U13" s="30" t="s">
        <v>1174</v>
      </c>
      <c r="V13" s="59" t="s">
        <v>1174</v>
      </c>
      <c r="W13" s="15" t="s">
        <v>9</v>
      </c>
      <c r="X13" s="7" t="s">
        <v>897</v>
      </c>
      <c r="Y13" s="11" t="s">
        <v>670</v>
      </c>
    </row>
    <row r="14" spans="1:26">
      <c r="A14" s="100">
        <v>12</v>
      </c>
      <c r="B14" s="93">
        <v>16</v>
      </c>
      <c r="C14" s="47" t="s">
        <v>1999</v>
      </c>
      <c r="D14" s="38">
        <v>0</v>
      </c>
      <c r="E14" s="38">
        <v>0</v>
      </c>
      <c r="F14" s="38">
        <v>1</v>
      </c>
      <c r="G14" s="38">
        <v>0</v>
      </c>
      <c r="H14" s="38">
        <v>1</v>
      </c>
      <c r="I14" s="38">
        <v>1</v>
      </c>
      <c r="J14" s="58">
        <f>SUM(D14:I14)</f>
        <v>3</v>
      </c>
      <c r="K14" s="7" t="s">
        <v>1647</v>
      </c>
      <c r="L14" s="31" t="s">
        <v>1175</v>
      </c>
      <c r="M14" s="30" t="s">
        <v>1174</v>
      </c>
      <c r="N14" s="30" t="s">
        <v>1174</v>
      </c>
      <c r="O14" s="31" t="s">
        <v>1175</v>
      </c>
      <c r="P14" s="30" t="s">
        <v>1174</v>
      </c>
      <c r="Q14" s="31" t="s">
        <v>1175</v>
      </c>
      <c r="R14" s="30" t="s">
        <v>1174</v>
      </c>
      <c r="S14" s="31" t="s">
        <v>1175</v>
      </c>
      <c r="T14" s="31" t="s">
        <v>1175</v>
      </c>
      <c r="U14" s="32" t="s">
        <v>1175</v>
      </c>
      <c r="V14" s="61" t="s">
        <v>1547</v>
      </c>
      <c r="W14" s="15" t="s">
        <v>9</v>
      </c>
      <c r="X14" s="7" t="s">
        <v>891</v>
      </c>
      <c r="Y14" s="11" t="s">
        <v>670</v>
      </c>
    </row>
    <row r="15" spans="1:26" s="5" customFormat="1">
      <c r="A15" s="100">
        <v>13</v>
      </c>
      <c r="B15" s="93">
        <v>21</v>
      </c>
      <c r="C15" s="47" t="s">
        <v>2060</v>
      </c>
      <c r="D15" s="38">
        <v>1</v>
      </c>
      <c r="E15" s="38">
        <v>0</v>
      </c>
      <c r="F15" s="38">
        <v>0</v>
      </c>
      <c r="G15" s="38">
        <v>0</v>
      </c>
      <c r="H15" s="38">
        <v>0</v>
      </c>
      <c r="I15" s="38">
        <v>1</v>
      </c>
      <c r="J15" s="58">
        <f>SUM(D15:I15)</f>
        <v>2</v>
      </c>
      <c r="K15" s="27" t="s">
        <v>1125</v>
      </c>
      <c r="L15" s="31" t="s">
        <v>1175</v>
      </c>
      <c r="M15" s="31" t="s">
        <v>1175</v>
      </c>
      <c r="N15" s="30" t="s">
        <v>1174</v>
      </c>
      <c r="O15" s="30" t="s">
        <v>1174</v>
      </c>
      <c r="P15" s="30" t="s">
        <v>1174</v>
      </c>
      <c r="Q15" s="30" t="s">
        <v>1174</v>
      </c>
      <c r="R15" s="30" t="s">
        <v>1174</v>
      </c>
      <c r="S15" s="30" t="s">
        <v>1174</v>
      </c>
      <c r="T15" s="30" t="s">
        <v>1174</v>
      </c>
      <c r="U15" s="30" t="s">
        <v>1174</v>
      </c>
      <c r="V15" s="59" t="s">
        <v>1174</v>
      </c>
      <c r="W15" s="29" t="s">
        <v>1025</v>
      </c>
      <c r="X15"/>
      <c r="Y15" s="11" t="s">
        <v>670</v>
      </c>
      <c r="Z15"/>
    </row>
    <row r="16" spans="1:26" s="5" customFormat="1">
      <c r="A16" s="100">
        <v>14</v>
      </c>
      <c r="B16" s="93">
        <v>22</v>
      </c>
      <c r="C16" s="47" t="s">
        <v>2115</v>
      </c>
      <c r="D16" s="38">
        <v>1</v>
      </c>
      <c r="E16" s="38">
        <v>0</v>
      </c>
      <c r="F16" s="38">
        <v>0</v>
      </c>
      <c r="G16" s="38">
        <v>0</v>
      </c>
      <c r="H16" s="38">
        <v>0</v>
      </c>
      <c r="I16" s="38">
        <v>1</v>
      </c>
      <c r="J16" s="58">
        <f>SUM(D16:I16)</f>
        <v>2</v>
      </c>
      <c r="K16" s="7" t="s">
        <v>1025</v>
      </c>
      <c r="L16" s="31" t="s">
        <v>1175</v>
      </c>
      <c r="M16" s="31" t="s">
        <v>1175</v>
      </c>
      <c r="N16" s="30" t="s">
        <v>1174</v>
      </c>
      <c r="O16" s="30" t="s">
        <v>1174</v>
      </c>
      <c r="P16" s="30" t="s">
        <v>1174</v>
      </c>
      <c r="Q16" s="30" t="s">
        <v>1174</v>
      </c>
      <c r="R16" s="30" t="s">
        <v>1174</v>
      </c>
      <c r="S16" s="30" t="s">
        <v>1174</v>
      </c>
      <c r="T16" s="30" t="s">
        <v>1174</v>
      </c>
      <c r="U16" s="30" t="s">
        <v>1174</v>
      </c>
      <c r="V16" s="59" t="s">
        <v>1174</v>
      </c>
      <c r="W16" s="29" t="s">
        <v>1025</v>
      </c>
      <c r="X16"/>
      <c r="Y16" s="9" t="s">
        <v>670</v>
      </c>
      <c r="Z16"/>
    </row>
    <row r="17" spans="1:26" s="5" customFormat="1">
      <c r="A17" s="100">
        <v>15</v>
      </c>
      <c r="B17" s="93">
        <v>23</v>
      </c>
      <c r="C17" s="47" t="s">
        <v>2035</v>
      </c>
      <c r="D17" s="38">
        <v>1</v>
      </c>
      <c r="E17" s="38">
        <v>0</v>
      </c>
      <c r="F17" s="38">
        <v>1</v>
      </c>
      <c r="G17" s="38">
        <v>1</v>
      </c>
      <c r="H17" s="38">
        <v>1</v>
      </c>
      <c r="I17" s="38">
        <v>1</v>
      </c>
      <c r="J17" s="58">
        <f>SUM(D17:I17)</f>
        <v>5</v>
      </c>
      <c r="K17" s="29" t="s">
        <v>1000</v>
      </c>
      <c r="L17" s="31" t="s">
        <v>1175</v>
      </c>
      <c r="M17" s="31" t="s">
        <v>1175</v>
      </c>
      <c r="N17" s="30" t="s">
        <v>1174</v>
      </c>
      <c r="O17" s="31" t="s">
        <v>1175</v>
      </c>
      <c r="P17" s="30" t="s">
        <v>1174</v>
      </c>
      <c r="Q17" s="30" t="s">
        <v>1174</v>
      </c>
      <c r="R17" s="30" t="s">
        <v>1174</v>
      </c>
      <c r="S17" s="30" t="s">
        <v>1174</v>
      </c>
      <c r="T17" s="30" t="s">
        <v>1174</v>
      </c>
      <c r="U17" s="30" t="s">
        <v>1174</v>
      </c>
      <c r="V17" s="59" t="s">
        <v>1174</v>
      </c>
      <c r="W17" s="29" t="s">
        <v>9</v>
      </c>
      <c r="X17" s="7" t="s">
        <v>1614</v>
      </c>
      <c r="Y17" s="9" t="s">
        <v>670</v>
      </c>
      <c r="Z17"/>
    </row>
    <row r="18" spans="1:26">
      <c r="A18" s="100">
        <v>16</v>
      </c>
      <c r="B18" s="93">
        <v>24</v>
      </c>
      <c r="C18" s="47" t="s">
        <v>2085</v>
      </c>
      <c r="D18" s="38">
        <v>0</v>
      </c>
      <c r="E18" s="38">
        <v>1</v>
      </c>
      <c r="F18" s="38">
        <v>1</v>
      </c>
      <c r="G18" s="38">
        <v>0</v>
      </c>
      <c r="H18" s="38">
        <v>1</v>
      </c>
      <c r="I18" s="38">
        <v>1</v>
      </c>
      <c r="J18" s="58">
        <f>SUM(D18:I18)</f>
        <v>4</v>
      </c>
      <c r="K18" s="29" t="s">
        <v>1118</v>
      </c>
      <c r="L18" s="30" t="s">
        <v>1174</v>
      </c>
      <c r="M18" s="30" t="s">
        <v>1174</v>
      </c>
      <c r="N18" s="31" t="s">
        <v>1175</v>
      </c>
      <c r="O18" s="30" t="s">
        <v>1174</v>
      </c>
      <c r="P18" s="31" t="s">
        <v>1175</v>
      </c>
      <c r="Q18" s="30"/>
      <c r="R18" s="31" t="s">
        <v>1175</v>
      </c>
      <c r="S18" s="31" t="s">
        <v>1175</v>
      </c>
      <c r="T18" s="31" t="s">
        <v>1175</v>
      </c>
      <c r="U18" s="30" t="s">
        <v>1174</v>
      </c>
      <c r="V18" s="59" t="s">
        <v>1174</v>
      </c>
      <c r="W18" s="29" t="s">
        <v>1025</v>
      </c>
      <c r="X18" s="15"/>
      <c r="Y18" s="11" t="s">
        <v>675</v>
      </c>
    </row>
    <row r="19" spans="1:26">
      <c r="A19" s="100">
        <v>17</v>
      </c>
      <c r="B19" s="93">
        <v>25</v>
      </c>
      <c r="C19" s="47" t="s">
        <v>2135</v>
      </c>
      <c r="D19" s="38">
        <v>0</v>
      </c>
      <c r="E19" s="38">
        <v>1</v>
      </c>
      <c r="F19" s="38">
        <v>1</v>
      </c>
      <c r="G19" s="38">
        <v>1</v>
      </c>
      <c r="H19" s="38">
        <v>1</v>
      </c>
      <c r="I19" s="38">
        <v>1</v>
      </c>
      <c r="J19" s="58">
        <f>SUM(D19:I19)</f>
        <v>5</v>
      </c>
      <c r="K19" s="29" t="s">
        <v>1689</v>
      </c>
      <c r="L19" s="31" t="s">
        <v>1175</v>
      </c>
      <c r="M19" s="30" t="s">
        <v>1174</v>
      </c>
      <c r="N19" s="30" t="s">
        <v>1174</v>
      </c>
      <c r="O19" s="30" t="s">
        <v>1174</v>
      </c>
      <c r="P19" s="30" t="s">
        <v>1174</v>
      </c>
      <c r="Q19" s="30" t="s">
        <v>1174</v>
      </c>
      <c r="R19" s="31" t="s">
        <v>1175</v>
      </c>
      <c r="S19" s="30" t="s">
        <v>1174</v>
      </c>
      <c r="T19" s="30" t="s">
        <v>1174</v>
      </c>
      <c r="U19" s="30" t="s">
        <v>1174</v>
      </c>
      <c r="V19" s="59" t="s">
        <v>1174</v>
      </c>
      <c r="W19" s="29" t="s">
        <v>1515</v>
      </c>
      <c r="X19" s="15" t="s">
        <v>674</v>
      </c>
      <c r="Y19" s="11" t="s">
        <v>675</v>
      </c>
    </row>
    <row r="20" spans="1:26">
      <c r="A20" s="100">
        <v>18</v>
      </c>
      <c r="B20" s="93">
        <v>26</v>
      </c>
      <c r="C20" s="47" t="s">
        <v>2182</v>
      </c>
      <c r="D20" s="38">
        <v>0</v>
      </c>
      <c r="E20" s="38">
        <v>1</v>
      </c>
      <c r="F20" s="38">
        <v>1</v>
      </c>
      <c r="G20" s="38">
        <v>1</v>
      </c>
      <c r="H20" s="38">
        <v>1</v>
      </c>
      <c r="I20" s="38">
        <v>1</v>
      </c>
      <c r="J20" s="58">
        <f>SUM(D20:I20)</f>
        <v>5</v>
      </c>
      <c r="K20" s="29" t="s">
        <v>2188</v>
      </c>
      <c r="L20" s="31" t="s">
        <v>1175</v>
      </c>
      <c r="M20" s="30" t="s">
        <v>1174</v>
      </c>
      <c r="N20" s="30" t="s">
        <v>1174</v>
      </c>
      <c r="O20" s="30" t="s">
        <v>1174</v>
      </c>
      <c r="P20" s="31" t="s">
        <v>1175</v>
      </c>
      <c r="Q20" s="30" t="s">
        <v>1174</v>
      </c>
      <c r="R20" s="31" t="s">
        <v>1175</v>
      </c>
      <c r="S20" s="30" t="s">
        <v>1174</v>
      </c>
      <c r="T20" s="30" t="s">
        <v>1174</v>
      </c>
      <c r="U20" s="30" t="s">
        <v>1174</v>
      </c>
      <c r="V20" s="59" t="s">
        <v>1174</v>
      </c>
      <c r="W20" s="29" t="s">
        <v>2189</v>
      </c>
      <c r="X20" s="15" t="s">
        <v>2190</v>
      </c>
      <c r="Y20" s="9" t="s">
        <v>957</v>
      </c>
    </row>
    <row r="21" spans="1:26">
      <c r="A21" s="100">
        <v>19</v>
      </c>
      <c r="B21" s="93">
        <v>27</v>
      </c>
      <c r="C21" s="47" t="s">
        <v>2030</v>
      </c>
      <c r="D21" s="38">
        <v>0</v>
      </c>
      <c r="E21" s="38">
        <v>0</v>
      </c>
      <c r="F21" s="38">
        <v>0</v>
      </c>
      <c r="G21" s="38">
        <v>0</v>
      </c>
      <c r="H21" s="38">
        <v>1</v>
      </c>
      <c r="I21" s="38">
        <v>1</v>
      </c>
      <c r="J21" s="58">
        <f>SUM(D21:I21)</f>
        <v>2</v>
      </c>
      <c r="K21" s="7" t="s">
        <v>1025</v>
      </c>
      <c r="L21" s="31" t="s">
        <v>1175</v>
      </c>
      <c r="M21" s="30" t="s">
        <v>1174</v>
      </c>
      <c r="N21" s="30" t="s">
        <v>1174</v>
      </c>
      <c r="O21" s="30" t="s">
        <v>1174</v>
      </c>
      <c r="P21" s="30" t="s">
        <v>1174</v>
      </c>
      <c r="Q21" s="30" t="s">
        <v>1174</v>
      </c>
      <c r="R21" s="30" t="s">
        <v>1174</v>
      </c>
      <c r="S21" s="30" t="s">
        <v>1174</v>
      </c>
      <c r="T21" s="30" t="s">
        <v>1174</v>
      </c>
      <c r="U21" s="30" t="s">
        <v>1174</v>
      </c>
      <c r="V21" s="59" t="s">
        <v>1174</v>
      </c>
      <c r="W21" s="7" t="s">
        <v>1025</v>
      </c>
      <c r="X21" s="7" t="s">
        <v>257</v>
      </c>
      <c r="Y21" s="9" t="s">
        <v>675</v>
      </c>
    </row>
    <row r="22" spans="1:26">
      <c r="A22" s="100">
        <v>20</v>
      </c>
      <c r="B22" s="93">
        <v>28</v>
      </c>
      <c r="C22" s="47" t="s">
        <v>2057</v>
      </c>
      <c r="D22" s="38">
        <v>1</v>
      </c>
      <c r="E22" s="38">
        <v>0</v>
      </c>
      <c r="F22" s="38">
        <v>0</v>
      </c>
      <c r="G22" s="38">
        <v>0</v>
      </c>
      <c r="H22" s="38">
        <v>1</v>
      </c>
      <c r="I22" s="38">
        <v>1</v>
      </c>
      <c r="J22" s="58">
        <f>SUM(D22:I22)</f>
        <v>3</v>
      </c>
      <c r="K22" s="7" t="s">
        <v>1025</v>
      </c>
      <c r="L22" s="31" t="s">
        <v>1175</v>
      </c>
      <c r="M22" s="31" t="s">
        <v>1175</v>
      </c>
      <c r="N22" s="30" t="s">
        <v>1174</v>
      </c>
      <c r="O22" s="30" t="s">
        <v>1174</v>
      </c>
      <c r="P22" s="30" t="s">
        <v>1174</v>
      </c>
      <c r="Q22" s="30" t="s">
        <v>1174</v>
      </c>
      <c r="R22" s="30" t="s">
        <v>1174</v>
      </c>
      <c r="S22" s="30" t="s">
        <v>1174</v>
      </c>
      <c r="T22" s="30" t="s">
        <v>1174</v>
      </c>
      <c r="U22" s="30" t="s">
        <v>1174</v>
      </c>
      <c r="V22" s="59" t="s">
        <v>1174</v>
      </c>
      <c r="W22" s="29" t="s">
        <v>1025</v>
      </c>
      <c r="Y22" s="11" t="s">
        <v>675</v>
      </c>
    </row>
    <row r="23" spans="1:26" ht="16.5" customHeight="1">
      <c r="A23" s="100">
        <v>21</v>
      </c>
      <c r="B23" s="93">
        <v>29</v>
      </c>
      <c r="C23" s="47" t="s">
        <v>2125</v>
      </c>
      <c r="D23" s="38">
        <v>1</v>
      </c>
      <c r="E23" s="38">
        <v>0</v>
      </c>
      <c r="F23" s="38">
        <v>1</v>
      </c>
      <c r="G23" s="38">
        <v>0</v>
      </c>
      <c r="H23" s="38">
        <v>1</v>
      </c>
      <c r="I23" s="38">
        <v>1</v>
      </c>
      <c r="J23" s="58">
        <f>SUM(D23:I23)</f>
        <v>4</v>
      </c>
      <c r="K23" s="29" t="s">
        <v>1275</v>
      </c>
      <c r="L23" s="30" t="s">
        <v>1174</v>
      </c>
      <c r="M23" s="30" t="s">
        <v>1174</v>
      </c>
      <c r="N23" s="31" t="s">
        <v>1175</v>
      </c>
      <c r="O23" s="31" t="s">
        <v>1175</v>
      </c>
      <c r="P23" s="30" t="s">
        <v>1174</v>
      </c>
      <c r="Q23" s="30" t="s">
        <v>1174</v>
      </c>
      <c r="R23" s="30" t="s">
        <v>1174</v>
      </c>
      <c r="S23" s="30" t="s">
        <v>1174</v>
      </c>
      <c r="T23" s="30" t="s">
        <v>1174</v>
      </c>
      <c r="U23" s="31" t="s">
        <v>1175</v>
      </c>
      <c r="V23" s="63" t="s">
        <v>1766</v>
      </c>
      <c r="W23" s="29" t="s">
        <v>1273</v>
      </c>
      <c r="X23" s="15" t="s">
        <v>1280</v>
      </c>
      <c r="Y23" s="11" t="s">
        <v>675</v>
      </c>
    </row>
    <row r="24" spans="1:26">
      <c r="A24" s="100">
        <v>22</v>
      </c>
      <c r="B24" s="93">
        <v>30</v>
      </c>
      <c r="C24" s="47" t="s">
        <v>1338</v>
      </c>
      <c r="D24" s="38">
        <v>1</v>
      </c>
      <c r="E24" s="38">
        <v>0</v>
      </c>
      <c r="F24" s="38">
        <v>1</v>
      </c>
      <c r="G24" s="38">
        <v>1</v>
      </c>
      <c r="H24" s="38">
        <v>1</v>
      </c>
      <c r="I24" s="38">
        <v>1</v>
      </c>
      <c r="J24" s="58">
        <f>SUM(D24:I24)</f>
        <v>5</v>
      </c>
      <c r="K24" s="29" t="s">
        <v>1207</v>
      </c>
      <c r="L24" s="38" t="s">
        <v>1175</v>
      </c>
      <c r="M24" s="38" t="s">
        <v>1175</v>
      </c>
      <c r="N24" s="39" t="s">
        <v>1174</v>
      </c>
      <c r="O24" s="38" t="s">
        <v>1175</v>
      </c>
      <c r="P24" s="39" t="s">
        <v>1174</v>
      </c>
      <c r="Q24" s="38" t="s">
        <v>1175</v>
      </c>
      <c r="R24" s="38" t="s">
        <v>1175</v>
      </c>
      <c r="S24" s="39" t="s">
        <v>1174</v>
      </c>
      <c r="T24" s="39" t="s">
        <v>1174</v>
      </c>
      <c r="U24" s="38" t="s">
        <v>1175</v>
      </c>
      <c r="V24" s="62" t="s">
        <v>1340</v>
      </c>
      <c r="W24" s="29" t="s">
        <v>774</v>
      </c>
      <c r="X24" s="29" t="s">
        <v>1341</v>
      </c>
      <c r="Y24" s="11" t="s">
        <v>675</v>
      </c>
      <c r="Z24" s="5"/>
    </row>
    <row r="25" spans="1:26" ht="15.75" customHeight="1">
      <c r="A25" s="100">
        <v>23</v>
      </c>
      <c r="B25" s="93">
        <v>31</v>
      </c>
      <c r="C25" s="47" t="s">
        <v>2080</v>
      </c>
      <c r="D25" s="38">
        <v>0</v>
      </c>
      <c r="E25" s="38">
        <v>0</v>
      </c>
      <c r="F25" s="38">
        <v>1</v>
      </c>
      <c r="G25" s="38">
        <v>0</v>
      </c>
      <c r="H25" s="38">
        <v>1</v>
      </c>
      <c r="I25" s="38">
        <v>1</v>
      </c>
      <c r="J25" s="58">
        <f>SUM(D25:I25)</f>
        <v>3</v>
      </c>
      <c r="K25" s="29" t="s">
        <v>1116</v>
      </c>
      <c r="L25" s="30" t="s">
        <v>1174</v>
      </c>
      <c r="M25" s="30" t="s">
        <v>1174</v>
      </c>
      <c r="N25" s="31" t="s">
        <v>1175</v>
      </c>
      <c r="O25" s="30" t="s">
        <v>1174</v>
      </c>
      <c r="P25" s="30" t="s">
        <v>1174</v>
      </c>
      <c r="Q25" s="30" t="s">
        <v>1174</v>
      </c>
      <c r="R25" s="31" t="s">
        <v>1175</v>
      </c>
      <c r="S25" s="30" t="s">
        <v>1174</v>
      </c>
      <c r="T25" s="30" t="s">
        <v>1174</v>
      </c>
      <c r="U25" s="30" t="s">
        <v>1174</v>
      </c>
      <c r="V25" s="59" t="s">
        <v>1174</v>
      </c>
      <c r="W25" s="29" t="s">
        <v>1025</v>
      </c>
      <c r="X25" s="15" t="s">
        <v>11</v>
      </c>
      <c r="Y25" s="11" t="s">
        <v>670</v>
      </c>
    </row>
    <row r="26" spans="1:26">
      <c r="A26" s="100">
        <v>24</v>
      </c>
      <c r="B26" s="93">
        <v>32</v>
      </c>
      <c r="C26" s="47" t="s">
        <v>2081</v>
      </c>
      <c r="D26" s="38">
        <v>0</v>
      </c>
      <c r="E26" s="38">
        <v>0</v>
      </c>
      <c r="F26" s="38">
        <v>1</v>
      </c>
      <c r="G26" s="38">
        <v>0</v>
      </c>
      <c r="H26" s="38">
        <v>1</v>
      </c>
      <c r="I26" s="38">
        <v>1</v>
      </c>
      <c r="J26" s="58">
        <f>SUM(D26:I26)</f>
        <v>3</v>
      </c>
      <c r="K26" s="29" t="s">
        <v>1117</v>
      </c>
      <c r="L26" s="30" t="s">
        <v>1174</v>
      </c>
      <c r="M26" s="30" t="s">
        <v>1174</v>
      </c>
      <c r="N26" s="31" t="s">
        <v>1175</v>
      </c>
      <c r="O26" s="30" t="s">
        <v>1174</v>
      </c>
      <c r="P26" s="30" t="s">
        <v>1174</v>
      </c>
      <c r="Q26" s="30" t="s">
        <v>1174</v>
      </c>
      <c r="R26" s="30" t="s">
        <v>1174</v>
      </c>
      <c r="S26" s="30" t="s">
        <v>1174</v>
      </c>
      <c r="T26" s="30" t="s">
        <v>1174</v>
      </c>
      <c r="U26" s="32" t="s">
        <v>1175</v>
      </c>
      <c r="V26" s="59" t="s">
        <v>1174</v>
      </c>
      <c r="W26" s="29" t="s">
        <v>1025</v>
      </c>
      <c r="Y26" s="11" t="s">
        <v>670</v>
      </c>
    </row>
    <row r="27" spans="1:26">
      <c r="A27" s="100">
        <v>25</v>
      </c>
      <c r="B27" s="93">
        <v>33</v>
      </c>
      <c r="C27" s="47" t="s">
        <v>1966</v>
      </c>
      <c r="D27" s="38">
        <v>1</v>
      </c>
      <c r="E27" s="38">
        <v>0</v>
      </c>
      <c r="F27" s="38">
        <v>0</v>
      </c>
      <c r="G27" s="38">
        <v>0</v>
      </c>
      <c r="H27" s="38">
        <v>1</v>
      </c>
      <c r="I27" s="38">
        <v>1</v>
      </c>
      <c r="J27" s="58">
        <f>SUM(D27:I27)</f>
        <v>3</v>
      </c>
      <c r="K27" s="7" t="s">
        <v>17</v>
      </c>
      <c r="L27" s="31" t="s">
        <v>1175</v>
      </c>
      <c r="M27" s="31" t="s">
        <v>1175</v>
      </c>
      <c r="N27" s="31" t="s">
        <v>1175</v>
      </c>
      <c r="O27" s="30" t="s">
        <v>1174</v>
      </c>
      <c r="P27" s="30" t="s">
        <v>1174</v>
      </c>
      <c r="Q27" s="30" t="s">
        <v>1174</v>
      </c>
      <c r="R27" s="30" t="s">
        <v>1174</v>
      </c>
      <c r="S27" s="30" t="s">
        <v>1174</v>
      </c>
      <c r="T27" s="30" t="s">
        <v>1174</v>
      </c>
      <c r="U27" s="30" t="s">
        <v>1174</v>
      </c>
      <c r="V27" s="59" t="s">
        <v>1174</v>
      </c>
      <c r="W27" s="7" t="s">
        <v>9</v>
      </c>
      <c r="X27" s="7" t="s">
        <v>786</v>
      </c>
      <c r="Y27" s="11" t="s">
        <v>670</v>
      </c>
    </row>
    <row r="28" spans="1:26">
      <c r="A28" s="100">
        <v>26</v>
      </c>
      <c r="B28" s="93">
        <v>34</v>
      </c>
      <c r="C28" s="47" t="s">
        <v>1989</v>
      </c>
      <c r="D28" s="38">
        <v>1</v>
      </c>
      <c r="E28" s="38">
        <v>0</v>
      </c>
      <c r="F28" s="38">
        <v>1</v>
      </c>
      <c r="G28" s="38">
        <v>0</v>
      </c>
      <c r="H28" s="38">
        <v>1</v>
      </c>
      <c r="I28" s="38">
        <v>1</v>
      </c>
      <c r="J28" s="58">
        <f>SUM(D28:I28)</f>
        <v>4</v>
      </c>
      <c r="K28" s="7" t="s">
        <v>1162</v>
      </c>
      <c r="L28" s="31" t="s">
        <v>1175</v>
      </c>
      <c r="M28" s="31" t="s">
        <v>1175</v>
      </c>
      <c r="N28" s="30" t="s">
        <v>1174</v>
      </c>
      <c r="O28" s="30" t="s">
        <v>1174</v>
      </c>
      <c r="P28" s="30" t="s">
        <v>1174</v>
      </c>
      <c r="Q28" s="30" t="s">
        <v>1174</v>
      </c>
      <c r="R28" s="31" t="s">
        <v>1175</v>
      </c>
      <c r="S28" s="30" t="s">
        <v>1174</v>
      </c>
      <c r="T28" s="30" t="s">
        <v>1174</v>
      </c>
      <c r="U28" s="30" t="s">
        <v>1174</v>
      </c>
      <c r="V28" s="59" t="s">
        <v>1174</v>
      </c>
      <c r="W28" s="7" t="s">
        <v>774</v>
      </c>
      <c r="X28" s="7" t="s">
        <v>674</v>
      </c>
      <c r="Y28" s="11" t="s">
        <v>957</v>
      </c>
      <c r="Z28" s="5"/>
    </row>
    <row r="29" spans="1:26">
      <c r="A29" s="100">
        <v>27</v>
      </c>
      <c r="B29" s="93">
        <v>35</v>
      </c>
      <c r="C29" s="47" t="s">
        <v>2082</v>
      </c>
      <c r="D29" s="38">
        <v>1</v>
      </c>
      <c r="E29" s="38">
        <v>0</v>
      </c>
      <c r="F29" s="38">
        <v>1</v>
      </c>
      <c r="G29" s="38">
        <v>0</v>
      </c>
      <c r="H29" s="38">
        <v>1</v>
      </c>
      <c r="I29" s="38">
        <v>1</v>
      </c>
      <c r="J29" s="58">
        <f>SUM(D29:I29)</f>
        <v>4</v>
      </c>
      <c r="K29" s="7" t="s">
        <v>1025</v>
      </c>
      <c r="L29" s="31" t="s">
        <v>1175</v>
      </c>
      <c r="M29" s="31" t="s">
        <v>1175</v>
      </c>
      <c r="N29" s="30" t="s">
        <v>1174</v>
      </c>
      <c r="O29" s="30" t="s">
        <v>1174</v>
      </c>
      <c r="P29" s="30" t="s">
        <v>1174</v>
      </c>
      <c r="Q29" s="30" t="s">
        <v>1174</v>
      </c>
      <c r="R29" s="30" t="s">
        <v>1174</v>
      </c>
      <c r="S29" s="30" t="s">
        <v>1174</v>
      </c>
      <c r="T29" s="30" t="s">
        <v>1174</v>
      </c>
      <c r="U29" s="30" t="s">
        <v>1174</v>
      </c>
      <c r="V29" s="59" t="s">
        <v>1174</v>
      </c>
      <c r="W29" s="29" t="s">
        <v>1025</v>
      </c>
      <c r="Y29" s="11" t="s">
        <v>670</v>
      </c>
    </row>
    <row r="30" spans="1:26" ht="15" customHeight="1">
      <c r="A30" s="100">
        <v>28</v>
      </c>
      <c r="B30" s="93">
        <v>36</v>
      </c>
      <c r="C30" s="47" t="s">
        <v>2096</v>
      </c>
      <c r="D30" s="38">
        <v>1</v>
      </c>
      <c r="E30" s="38">
        <v>0</v>
      </c>
      <c r="F30" s="38">
        <v>1</v>
      </c>
      <c r="G30" s="38">
        <v>0</v>
      </c>
      <c r="H30" s="38">
        <v>1</v>
      </c>
      <c r="I30" s="38">
        <v>1</v>
      </c>
      <c r="J30" s="58">
        <f>SUM(D30:I30)</f>
        <v>4</v>
      </c>
      <c r="K30" s="7" t="s">
        <v>1025</v>
      </c>
      <c r="L30" s="31" t="s">
        <v>1175</v>
      </c>
      <c r="M30" s="31" t="s">
        <v>1175</v>
      </c>
      <c r="N30" s="30" t="s">
        <v>1174</v>
      </c>
      <c r="O30" s="30" t="s">
        <v>1174</v>
      </c>
      <c r="P30" s="30" t="s">
        <v>1174</v>
      </c>
      <c r="Q30" s="30" t="s">
        <v>1174</v>
      </c>
      <c r="R30" s="31" t="s">
        <v>1175</v>
      </c>
      <c r="S30" s="30" t="s">
        <v>1174</v>
      </c>
      <c r="T30" s="30" t="s">
        <v>1174</v>
      </c>
      <c r="U30" s="30" t="s">
        <v>1174</v>
      </c>
      <c r="V30" s="59" t="s">
        <v>1174</v>
      </c>
      <c r="W30" s="29" t="s">
        <v>1025</v>
      </c>
      <c r="X30" s="15" t="s">
        <v>16</v>
      </c>
      <c r="Y30" s="11" t="s">
        <v>670</v>
      </c>
    </row>
    <row r="31" spans="1:26" s="5" customFormat="1">
      <c r="A31" s="100">
        <v>29</v>
      </c>
      <c r="B31" s="93">
        <v>44</v>
      </c>
      <c r="C31" s="47" t="s">
        <v>1948</v>
      </c>
      <c r="D31" s="38">
        <v>0</v>
      </c>
      <c r="E31" s="38">
        <v>0</v>
      </c>
      <c r="F31" s="38">
        <v>1</v>
      </c>
      <c r="G31" s="38">
        <v>0</v>
      </c>
      <c r="H31" s="38">
        <v>1</v>
      </c>
      <c r="I31" s="38">
        <v>1</v>
      </c>
      <c r="J31" s="58">
        <f>SUM(D31:I31)</f>
        <v>3</v>
      </c>
      <c r="K31" s="7" t="s">
        <v>1212</v>
      </c>
      <c r="L31" s="30" t="s">
        <v>1174</v>
      </c>
      <c r="M31" s="30" t="s">
        <v>1174</v>
      </c>
      <c r="N31" s="31" t="s">
        <v>1175</v>
      </c>
      <c r="O31" s="31" t="s">
        <v>1175</v>
      </c>
      <c r="P31" s="30" t="s">
        <v>1174</v>
      </c>
      <c r="Q31" s="30" t="s">
        <v>1174</v>
      </c>
      <c r="R31" s="30" t="s">
        <v>1174</v>
      </c>
      <c r="S31" s="30" t="s">
        <v>1174</v>
      </c>
      <c r="T31" s="30" t="s">
        <v>1174</v>
      </c>
      <c r="U31" s="30" t="s">
        <v>1174</v>
      </c>
      <c r="V31" s="59" t="s">
        <v>1174</v>
      </c>
      <c r="W31" s="2" t="s">
        <v>9</v>
      </c>
      <c r="X31" s="2" t="s">
        <v>738</v>
      </c>
      <c r="Y31" s="9" t="s">
        <v>670</v>
      </c>
      <c r="Z31"/>
    </row>
    <row r="32" spans="1:26">
      <c r="A32" s="100">
        <v>30</v>
      </c>
      <c r="B32" s="93">
        <v>49</v>
      </c>
      <c r="C32" s="47" t="s">
        <v>2121</v>
      </c>
      <c r="D32" s="38">
        <v>0</v>
      </c>
      <c r="E32" s="38">
        <v>0</v>
      </c>
      <c r="F32" s="38">
        <v>1</v>
      </c>
      <c r="G32" s="38">
        <v>1</v>
      </c>
      <c r="H32" s="38">
        <v>1</v>
      </c>
      <c r="I32" s="38">
        <v>1</v>
      </c>
      <c r="J32" s="58">
        <f>SUM(D32:I32)</f>
        <v>4</v>
      </c>
      <c r="K32" s="29" t="s">
        <v>1297</v>
      </c>
      <c r="L32" s="39" t="s">
        <v>1174</v>
      </c>
      <c r="M32" s="39" t="s">
        <v>1174</v>
      </c>
      <c r="N32" s="39" t="s">
        <v>1174</v>
      </c>
      <c r="O32" s="39" t="s">
        <v>1174</v>
      </c>
      <c r="P32" s="38" t="s">
        <v>1175</v>
      </c>
      <c r="Q32" s="39" t="s">
        <v>1174</v>
      </c>
      <c r="R32" s="38" t="s">
        <v>1175</v>
      </c>
      <c r="S32" s="39" t="s">
        <v>1174</v>
      </c>
      <c r="T32" s="39" t="s">
        <v>1174</v>
      </c>
      <c r="U32" s="38" t="s">
        <v>1175</v>
      </c>
      <c r="V32" s="62" t="s">
        <v>1764</v>
      </c>
      <c r="W32" s="29" t="s">
        <v>1295</v>
      </c>
      <c r="X32" s="29" t="s">
        <v>1296</v>
      </c>
      <c r="Y32" s="11" t="s">
        <v>670</v>
      </c>
      <c r="Z32" s="5"/>
    </row>
    <row r="33" spans="1:26">
      <c r="A33" s="100">
        <v>31</v>
      </c>
      <c r="B33" s="93">
        <v>62</v>
      </c>
      <c r="C33" s="47" t="s">
        <v>1949</v>
      </c>
      <c r="D33" s="38">
        <v>0</v>
      </c>
      <c r="E33" s="38">
        <v>0</v>
      </c>
      <c r="F33" s="38">
        <v>0</v>
      </c>
      <c r="G33" s="38">
        <v>0</v>
      </c>
      <c r="H33" s="38">
        <v>1</v>
      </c>
      <c r="I33" s="38">
        <v>1</v>
      </c>
      <c r="J33" s="58">
        <f>SUM(D33:I33)</f>
        <v>2</v>
      </c>
      <c r="K33" s="7" t="s">
        <v>1214</v>
      </c>
      <c r="L33" s="30" t="s">
        <v>1174</v>
      </c>
      <c r="M33" s="30" t="s">
        <v>1174</v>
      </c>
      <c r="N33" s="31" t="s">
        <v>1175</v>
      </c>
      <c r="O33" s="31" t="s">
        <v>1175</v>
      </c>
      <c r="P33" s="30" t="s">
        <v>1174</v>
      </c>
      <c r="Q33" s="30" t="s">
        <v>1174</v>
      </c>
      <c r="R33" s="30" t="s">
        <v>1174</v>
      </c>
      <c r="S33" s="30" t="s">
        <v>1174</v>
      </c>
      <c r="T33" s="30" t="s">
        <v>1174</v>
      </c>
      <c r="U33" s="30" t="s">
        <v>1174</v>
      </c>
      <c r="V33" s="59" t="s">
        <v>1174</v>
      </c>
      <c r="W33" s="7" t="s">
        <v>9</v>
      </c>
      <c r="X33" s="7" t="s">
        <v>1215</v>
      </c>
      <c r="Y33" s="11" t="s">
        <v>675</v>
      </c>
      <c r="Z33" s="5"/>
    </row>
    <row r="34" spans="1:26" s="5" customFormat="1">
      <c r="A34" s="100">
        <v>32</v>
      </c>
      <c r="B34" s="93">
        <v>72</v>
      </c>
      <c r="C34" s="47" t="s">
        <v>2124</v>
      </c>
      <c r="D34" s="38">
        <v>0</v>
      </c>
      <c r="E34" s="38">
        <v>0</v>
      </c>
      <c r="F34" s="38">
        <v>1</v>
      </c>
      <c r="G34" s="38">
        <v>1</v>
      </c>
      <c r="H34" s="38">
        <v>1</v>
      </c>
      <c r="I34" s="38">
        <v>0</v>
      </c>
      <c r="J34" s="58">
        <f>SUM(D34:I34)</f>
        <v>3</v>
      </c>
      <c r="K34" s="29" t="s">
        <v>1267</v>
      </c>
      <c r="L34" s="39" t="s">
        <v>1174</v>
      </c>
      <c r="M34" s="39" t="s">
        <v>1174</v>
      </c>
      <c r="N34" s="38" t="s">
        <v>1175</v>
      </c>
      <c r="O34" s="39" t="s">
        <v>1174</v>
      </c>
      <c r="P34" s="38" t="s">
        <v>1175</v>
      </c>
      <c r="Q34" s="39" t="s">
        <v>1174</v>
      </c>
      <c r="R34" s="39" t="s">
        <v>1174</v>
      </c>
      <c r="S34" s="39" t="s">
        <v>1174</v>
      </c>
      <c r="T34" s="39" t="s">
        <v>1174</v>
      </c>
      <c r="U34" s="39" t="s">
        <v>1174</v>
      </c>
      <c r="V34" s="60" t="s">
        <v>1174</v>
      </c>
      <c r="W34" s="29" t="s">
        <v>1268</v>
      </c>
      <c r="X34" s="29" t="s">
        <v>1266</v>
      </c>
      <c r="Y34" s="11" t="s">
        <v>675</v>
      </c>
    </row>
    <row r="35" spans="1:26">
      <c r="A35" s="100">
        <v>33</v>
      </c>
      <c r="B35" s="93">
        <v>78</v>
      </c>
      <c r="C35" s="47" t="s">
        <v>2025</v>
      </c>
      <c r="D35" s="38">
        <v>0</v>
      </c>
      <c r="E35" s="38">
        <v>0</v>
      </c>
      <c r="F35" s="38">
        <v>1</v>
      </c>
      <c r="G35" s="38">
        <v>0</v>
      </c>
      <c r="H35" s="38">
        <v>0</v>
      </c>
      <c r="I35" s="38">
        <v>1</v>
      </c>
      <c r="J35" s="58">
        <f>SUM(D35:I35)</f>
        <v>2</v>
      </c>
      <c r="K35" s="29" t="s">
        <v>972</v>
      </c>
      <c r="L35" s="31" t="s">
        <v>1175</v>
      </c>
      <c r="M35" s="30" t="s">
        <v>1174</v>
      </c>
      <c r="N35" s="30" t="s">
        <v>1174</v>
      </c>
      <c r="O35" s="30" t="s">
        <v>1174</v>
      </c>
      <c r="P35" s="30" t="s">
        <v>1174</v>
      </c>
      <c r="Q35" s="30" t="s">
        <v>1174</v>
      </c>
      <c r="R35" s="30" t="s">
        <v>1174</v>
      </c>
      <c r="S35" s="30" t="s">
        <v>1174</v>
      </c>
      <c r="T35" s="30" t="s">
        <v>1174</v>
      </c>
      <c r="U35" s="32" t="s">
        <v>1175</v>
      </c>
      <c r="V35" s="61" t="s">
        <v>1667</v>
      </c>
      <c r="W35" s="29" t="s">
        <v>9</v>
      </c>
      <c r="X35" s="7" t="s">
        <v>16</v>
      </c>
      <c r="Y35" s="9" t="s">
        <v>670</v>
      </c>
    </row>
    <row r="36" spans="1:26">
      <c r="A36" s="100">
        <v>34</v>
      </c>
      <c r="B36" s="93">
        <v>79</v>
      </c>
      <c r="C36" s="47" t="s">
        <v>2026</v>
      </c>
      <c r="D36" s="38">
        <v>0</v>
      </c>
      <c r="E36" s="38">
        <v>0</v>
      </c>
      <c r="F36" s="38">
        <v>1</v>
      </c>
      <c r="G36" s="38">
        <v>1</v>
      </c>
      <c r="H36" s="38">
        <v>0</v>
      </c>
      <c r="I36" s="38">
        <v>1</v>
      </c>
      <c r="J36" s="58">
        <f>SUM(D36:I36)</f>
        <v>3</v>
      </c>
      <c r="K36" s="29" t="s">
        <v>974</v>
      </c>
      <c r="L36" s="31" t="s">
        <v>1175</v>
      </c>
      <c r="M36" s="30" t="s">
        <v>1174</v>
      </c>
      <c r="N36" s="30" t="s">
        <v>1174</v>
      </c>
      <c r="O36" s="31" t="s">
        <v>1175</v>
      </c>
      <c r="P36" s="30" t="s">
        <v>1174</v>
      </c>
      <c r="Q36" s="30" t="s">
        <v>1174</v>
      </c>
      <c r="R36" s="30" t="s">
        <v>1174</v>
      </c>
      <c r="S36" s="30" t="s">
        <v>1174</v>
      </c>
      <c r="T36" s="30" t="s">
        <v>1174</v>
      </c>
      <c r="U36" s="30" t="s">
        <v>1174</v>
      </c>
      <c r="V36" s="59" t="s">
        <v>1174</v>
      </c>
      <c r="W36" s="29" t="s">
        <v>136</v>
      </c>
      <c r="X36" s="7" t="s">
        <v>1665</v>
      </c>
      <c r="Y36" s="9" t="s">
        <v>670</v>
      </c>
    </row>
    <row r="37" spans="1:26">
      <c r="A37" s="100">
        <v>35</v>
      </c>
      <c r="B37" s="93">
        <v>80</v>
      </c>
      <c r="C37" s="47" t="s">
        <v>2027</v>
      </c>
      <c r="D37" s="38">
        <v>0</v>
      </c>
      <c r="E37" s="38">
        <v>0</v>
      </c>
      <c r="F37" s="38">
        <v>1</v>
      </c>
      <c r="G37" s="38">
        <v>0</v>
      </c>
      <c r="H37" s="38">
        <v>1</v>
      </c>
      <c r="I37" s="38">
        <v>1</v>
      </c>
      <c r="J37" s="58">
        <f>SUM(D37:I37)</f>
        <v>3</v>
      </c>
      <c r="K37" s="29" t="s">
        <v>978</v>
      </c>
      <c r="L37" s="31" t="s">
        <v>1175</v>
      </c>
      <c r="M37" s="30" t="s">
        <v>1174</v>
      </c>
      <c r="N37" s="30" t="s">
        <v>1174</v>
      </c>
      <c r="O37" s="31" t="s">
        <v>1175</v>
      </c>
      <c r="P37" s="30" t="s">
        <v>1174</v>
      </c>
      <c r="Q37" s="30" t="s">
        <v>1174</v>
      </c>
      <c r="R37" s="30" t="s">
        <v>1174</v>
      </c>
      <c r="S37" s="30" t="s">
        <v>1174</v>
      </c>
      <c r="T37" s="30" t="s">
        <v>1174</v>
      </c>
      <c r="U37" s="30" t="s">
        <v>1174</v>
      </c>
      <c r="V37" s="59" t="s">
        <v>1174</v>
      </c>
      <c r="W37" s="29" t="s">
        <v>929</v>
      </c>
      <c r="X37" s="7" t="s">
        <v>979</v>
      </c>
      <c r="Y37" s="9" t="s">
        <v>670</v>
      </c>
    </row>
    <row r="38" spans="1:26">
      <c r="A38" s="100">
        <v>36</v>
      </c>
      <c r="B38" s="93">
        <v>81</v>
      </c>
      <c r="C38" s="47" t="s">
        <v>2028</v>
      </c>
      <c r="D38" s="38">
        <v>0</v>
      </c>
      <c r="E38" s="38">
        <v>0</v>
      </c>
      <c r="F38" s="38">
        <v>0</v>
      </c>
      <c r="G38" s="38">
        <v>0</v>
      </c>
      <c r="H38" s="38">
        <v>1</v>
      </c>
      <c r="I38" s="38">
        <v>1</v>
      </c>
      <c r="J38" s="58">
        <f>SUM(D38:I38)</f>
        <v>2</v>
      </c>
      <c r="K38" s="7" t="s">
        <v>1025</v>
      </c>
      <c r="L38" s="30" t="s">
        <v>1174</v>
      </c>
      <c r="M38" s="30" t="s">
        <v>1174</v>
      </c>
      <c r="N38" s="31" t="s">
        <v>1175</v>
      </c>
      <c r="O38" s="31" t="s">
        <v>1175</v>
      </c>
      <c r="P38" s="30" t="s">
        <v>1174</v>
      </c>
      <c r="Q38" s="30" t="s">
        <v>1174</v>
      </c>
      <c r="R38" s="30" t="s">
        <v>1174</v>
      </c>
      <c r="S38" s="30" t="s">
        <v>1174</v>
      </c>
      <c r="T38" s="30" t="s">
        <v>1174</v>
      </c>
      <c r="U38" s="30" t="s">
        <v>1174</v>
      </c>
      <c r="V38" s="59" t="s">
        <v>1174</v>
      </c>
      <c r="W38" s="7" t="s">
        <v>1025</v>
      </c>
      <c r="X38" s="7"/>
      <c r="Y38" s="9" t="s">
        <v>670</v>
      </c>
    </row>
    <row r="39" spans="1:26">
      <c r="A39" s="100">
        <v>37</v>
      </c>
      <c r="B39" s="93">
        <v>82</v>
      </c>
      <c r="C39" s="47" t="s">
        <v>2029</v>
      </c>
      <c r="D39" s="38">
        <v>0</v>
      </c>
      <c r="E39" s="38">
        <v>0</v>
      </c>
      <c r="F39" s="38">
        <v>1</v>
      </c>
      <c r="G39" s="38">
        <v>0</v>
      </c>
      <c r="H39" s="38">
        <v>1</v>
      </c>
      <c r="I39" s="38">
        <v>1</v>
      </c>
      <c r="J39" s="58">
        <f>SUM(D39:I39)</f>
        <v>3</v>
      </c>
      <c r="K39" s="27" t="s">
        <v>984</v>
      </c>
      <c r="L39" s="30" t="s">
        <v>1174</v>
      </c>
      <c r="M39" s="30" t="s">
        <v>1174</v>
      </c>
      <c r="N39" s="31" t="s">
        <v>1175</v>
      </c>
      <c r="O39" s="30" t="s">
        <v>1174</v>
      </c>
      <c r="P39" s="30" t="s">
        <v>1174</v>
      </c>
      <c r="Q39" s="30" t="s">
        <v>1174</v>
      </c>
      <c r="R39" s="31" t="s">
        <v>1175</v>
      </c>
      <c r="S39" s="30" t="s">
        <v>1174</v>
      </c>
      <c r="T39" s="30" t="s">
        <v>1174</v>
      </c>
      <c r="U39" s="30" t="s">
        <v>1174</v>
      </c>
      <c r="V39" s="59" t="s">
        <v>1174</v>
      </c>
      <c r="W39" s="29" t="s">
        <v>9</v>
      </c>
      <c r="X39" s="7" t="s">
        <v>254</v>
      </c>
      <c r="Y39" s="9" t="s">
        <v>670</v>
      </c>
    </row>
    <row r="40" spans="1:26">
      <c r="A40" s="100">
        <v>38</v>
      </c>
      <c r="B40" s="93">
        <v>83</v>
      </c>
      <c r="C40" s="47" t="s">
        <v>2031</v>
      </c>
      <c r="D40" s="38">
        <v>0</v>
      </c>
      <c r="E40" s="38">
        <v>0</v>
      </c>
      <c r="F40" s="38">
        <v>0</v>
      </c>
      <c r="G40" s="38">
        <v>0</v>
      </c>
      <c r="H40" s="38">
        <v>1</v>
      </c>
      <c r="I40" s="38">
        <v>1</v>
      </c>
      <c r="J40" s="58">
        <f>SUM(D40:I40)</f>
        <v>2</v>
      </c>
      <c r="K40" s="7" t="s">
        <v>1025</v>
      </c>
      <c r="L40" s="30" t="s">
        <v>1174</v>
      </c>
      <c r="M40" s="30" t="s">
        <v>1174</v>
      </c>
      <c r="N40" s="31" t="s">
        <v>1175</v>
      </c>
      <c r="O40" s="30" t="s">
        <v>1174</v>
      </c>
      <c r="P40" s="30" t="s">
        <v>1174</v>
      </c>
      <c r="Q40" s="30" t="s">
        <v>1174</v>
      </c>
      <c r="R40" s="30" t="s">
        <v>1174</v>
      </c>
      <c r="S40" s="30" t="s">
        <v>1174</v>
      </c>
      <c r="T40" s="30" t="s">
        <v>1174</v>
      </c>
      <c r="U40" s="30" t="s">
        <v>1174</v>
      </c>
      <c r="V40" s="59" t="s">
        <v>1174</v>
      </c>
      <c r="W40" s="29" t="s">
        <v>929</v>
      </c>
      <c r="X40" s="7" t="s">
        <v>16</v>
      </c>
      <c r="Y40" s="9" t="s">
        <v>675</v>
      </c>
    </row>
    <row r="41" spans="1:26">
      <c r="A41" s="100">
        <v>39</v>
      </c>
      <c r="B41" s="93">
        <v>84</v>
      </c>
      <c r="C41" s="47" t="s">
        <v>2032</v>
      </c>
      <c r="D41" s="38">
        <v>0</v>
      </c>
      <c r="E41" s="38">
        <v>0</v>
      </c>
      <c r="F41" s="38">
        <v>0</v>
      </c>
      <c r="G41" s="38">
        <v>0</v>
      </c>
      <c r="H41" s="38">
        <v>1</v>
      </c>
      <c r="I41" s="38">
        <v>1</v>
      </c>
      <c r="J41" s="58">
        <f>SUM(D41:I41)</f>
        <v>2</v>
      </c>
      <c r="K41" s="7" t="s">
        <v>1025</v>
      </c>
      <c r="L41" s="31" t="s">
        <v>1175</v>
      </c>
      <c r="M41" s="30" t="s">
        <v>1174</v>
      </c>
      <c r="N41" s="30" t="s">
        <v>1174</v>
      </c>
      <c r="O41" s="30" t="s">
        <v>1174</v>
      </c>
      <c r="P41" s="30" t="s">
        <v>1174</v>
      </c>
      <c r="Q41" s="30" t="s">
        <v>1174</v>
      </c>
      <c r="R41" s="30" t="s">
        <v>1174</v>
      </c>
      <c r="S41" s="30" t="s">
        <v>1174</v>
      </c>
      <c r="T41" s="30" t="s">
        <v>1174</v>
      </c>
      <c r="U41" s="30" t="s">
        <v>1174</v>
      </c>
      <c r="V41" s="59" t="s">
        <v>1174</v>
      </c>
      <c r="W41" s="29" t="s">
        <v>9</v>
      </c>
      <c r="X41" s="7" t="s">
        <v>728</v>
      </c>
      <c r="Y41" s="11" t="s">
        <v>670</v>
      </c>
      <c r="Z41" s="5"/>
    </row>
    <row r="42" spans="1:26">
      <c r="A42" s="100">
        <v>40</v>
      </c>
      <c r="B42" s="93">
        <v>85</v>
      </c>
      <c r="C42" s="47" t="s">
        <v>2033</v>
      </c>
      <c r="D42" s="38">
        <v>0</v>
      </c>
      <c r="E42" s="38">
        <v>0</v>
      </c>
      <c r="F42" s="38">
        <v>0</v>
      </c>
      <c r="G42" s="38">
        <v>0</v>
      </c>
      <c r="H42" s="38">
        <v>1</v>
      </c>
      <c r="I42" s="38">
        <v>1</v>
      </c>
      <c r="J42" s="58">
        <f>SUM(D42:I42)</f>
        <v>2</v>
      </c>
      <c r="K42" s="7" t="s">
        <v>1025</v>
      </c>
      <c r="L42" s="31" t="s">
        <v>1175</v>
      </c>
      <c r="M42" s="30" t="s">
        <v>1174</v>
      </c>
      <c r="N42" s="30" t="s">
        <v>1174</v>
      </c>
      <c r="O42" s="31" t="s">
        <v>1175</v>
      </c>
      <c r="P42" s="30" t="s">
        <v>1174</v>
      </c>
      <c r="Q42" s="30" t="s">
        <v>1174</v>
      </c>
      <c r="R42" s="30" t="s">
        <v>1174</v>
      </c>
      <c r="S42" s="30" t="s">
        <v>1174</v>
      </c>
      <c r="T42" s="30" t="s">
        <v>1174</v>
      </c>
      <c r="U42" s="30" t="s">
        <v>1174</v>
      </c>
      <c r="V42" s="59" t="s">
        <v>1174</v>
      </c>
      <c r="W42" s="29" t="s">
        <v>9</v>
      </c>
      <c r="X42" s="7" t="s">
        <v>16</v>
      </c>
      <c r="Y42" s="9" t="s">
        <v>670</v>
      </c>
    </row>
    <row r="43" spans="1:26">
      <c r="A43" s="100">
        <v>41</v>
      </c>
      <c r="B43" s="93">
        <v>86</v>
      </c>
      <c r="C43" s="47" t="s">
        <v>2034</v>
      </c>
      <c r="D43" s="38">
        <v>1</v>
      </c>
      <c r="E43" s="38">
        <v>0</v>
      </c>
      <c r="F43" s="38">
        <v>0</v>
      </c>
      <c r="G43" s="38">
        <v>0</v>
      </c>
      <c r="H43" s="38">
        <v>0</v>
      </c>
      <c r="I43" s="38">
        <v>1</v>
      </c>
      <c r="J43" s="58">
        <f>SUM(D43:I43)</f>
        <v>2</v>
      </c>
      <c r="K43" s="7" t="s">
        <v>1025</v>
      </c>
      <c r="L43" s="31" t="s">
        <v>1175</v>
      </c>
      <c r="M43" s="31" t="s">
        <v>1175</v>
      </c>
      <c r="N43" s="31" t="s">
        <v>1175</v>
      </c>
      <c r="O43" s="30" t="s">
        <v>1174</v>
      </c>
      <c r="P43" s="30" t="s">
        <v>1174</v>
      </c>
      <c r="Q43" s="30" t="s">
        <v>1174</v>
      </c>
      <c r="R43" s="30" t="s">
        <v>1174</v>
      </c>
      <c r="S43" s="30" t="s">
        <v>1174</v>
      </c>
      <c r="T43" s="30" t="s">
        <v>1174</v>
      </c>
      <c r="U43" s="30" t="s">
        <v>1174</v>
      </c>
      <c r="V43" s="59" t="s">
        <v>1174</v>
      </c>
      <c r="W43" s="29" t="s">
        <v>9</v>
      </c>
      <c r="X43" s="7" t="s">
        <v>268</v>
      </c>
      <c r="Y43" s="9" t="s">
        <v>670</v>
      </c>
    </row>
    <row r="44" spans="1:26">
      <c r="A44" s="100">
        <v>42</v>
      </c>
      <c r="B44" s="93">
        <v>87</v>
      </c>
      <c r="C44" s="47" t="s">
        <v>2036</v>
      </c>
      <c r="D44" s="38">
        <v>0</v>
      </c>
      <c r="E44" s="38">
        <v>0</v>
      </c>
      <c r="F44" s="38">
        <v>0</v>
      </c>
      <c r="G44" s="38">
        <v>0</v>
      </c>
      <c r="H44" s="38">
        <v>1</v>
      </c>
      <c r="I44" s="38">
        <v>1</v>
      </c>
      <c r="J44" s="58">
        <f>SUM(D44:I44)</f>
        <v>2</v>
      </c>
      <c r="K44" s="7" t="s">
        <v>1025</v>
      </c>
      <c r="L44" s="30" t="s">
        <v>1174</v>
      </c>
      <c r="M44" s="30" t="s">
        <v>1174</v>
      </c>
      <c r="N44" s="30" t="s">
        <v>1174</v>
      </c>
      <c r="O44" s="31" t="s">
        <v>1175</v>
      </c>
      <c r="P44" s="30" t="s">
        <v>1174</v>
      </c>
      <c r="Q44" s="30" t="s">
        <v>1174</v>
      </c>
      <c r="R44" s="30" t="s">
        <v>1174</v>
      </c>
      <c r="S44" s="30" t="s">
        <v>1174</v>
      </c>
      <c r="T44" s="30" t="s">
        <v>1174</v>
      </c>
      <c r="U44" s="30" t="s">
        <v>1174</v>
      </c>
      <c r="V44" s="59" t="s">
        <v>1174</v>
      </c>
      <c r="W44" s="29" t="s">
        <v>9</v>
      </c>
      <c r="X44" s="7" t="s">
        <v>1004</v>
      </c>
      <c r="Y44" s="9" t="s">
        <v>670</v>
      </c>
    </row>
    <row r="45" spans="1:26">
      <c r="A45" s="100">
        <v>43</v>
      </c>
      <c r="B45" s="93">
        <v>88</v>
      </c>
      <c r="C45" s="47" t="s">
        <v>2037</v>
      </c>
      <c r="D45" s="38">
        <v>0</v>
      </c>
      <c r="E45" s="38">
        <v>0</v>
      </c>
      <c r="F45" s="38">
        <v>1</v>
      </c>
      <c r="G45" s="38">
        <v>1</v>
      </c>
      <c r="H45" s="38">
        <v>1</v>
      </c>
      <c r="I45" s="38">
        <v>1</v>
      </c>
      <c r="J45" s="58">
        <f>SUM(D45:I45)</f>
        <v>4</v>
      </c>
      <c r="K45" s="29" t="s">
        <v>894</v>
      </c>
      <c r="L45" s="31" t="s">
        <v>1175</v>
      </c>
      <c r="M45" s="30" t="s">
        <v>1174</v>
      </c>
      <c r="N45" s="31" t="s">
        <v>1175</v>
      </c>
      <c r="O45" s="30" t="s">
        <v>1174</v>
      </c>
      <c r="P45" s="30" t="s">
        <v>1174</v>
      </c>
      <c r="Q45" s="30" t="s">
        <v>1174</v>
      </c>
      <c r="R45" s="30" t="s">
        <v>1174</v>
      </c>
      <c r="S45" s="30" t="s">
        <v>1174</v>
      </c>
      <c r="T45" s="30" t="s">
        <v>1174</v>
      </c>
      <c r="U45" s="30" t="s">
        <v>1174</v>
      </c>
      <c r="V45" s="59" t="s">
        <v>1174</v>
      </c>
      <c r="W45" s="29" t="s">
        <v>9</v>
      </c>
      <c r="X45" s="7" t="s">
        <v>16</v>
      </c>
      <c r="Y45" s="9" t="s">
        <v>670</v>
      </c>
    </row>
    <row r="46" spans="1:26">
      <c r="A46" s="100">
        <v>44</v>
      </c>
      <c r="B46" s="93">
        <v>89</v>
      </c>
      <c r="C46" s="47" t="s">
        <v>2038</v>
      </c>
      <c r="D46" s="38">
        <v>0</v>
      </c>
      <c r="E46" s="38">
        <v>0</v>
      </c>
      <c r="F46" s="38">
        <v>1</v>
      </c>
      <c r="G46" s="38">
        <v>1</v>
      </c>
      <c r="H46" s="38">
        <v>1</v>
      </c>
      <c r="I46" s="38">
        <v>1</v>
      </c>
      <c r="J46" s="58">
        <f>SUM(D46:I46)</f>
        <v>4</v>
      </c>
      <c r="K46" s="29" t="s">
        <v>1010</v>
      </c>
      <c r="L46" s="30" t="s">
        <v>1174</v>
      </c>
      <c r="M46" s="30" t="s">
        <v>1174</v>
      </c>
      <c r="N46" s="31" t="s">
        <v>1175</v>
      </c>
      <c r="O46" s="30" t="s">
        <v>1174</v>
      </c>
      <c r="P46" s="30" t="s">
        <v>1174</v>
      </c>
      <c r="Q46" s="30" t="s">
        <v>1174</v>
      </c>
      <c r="R46" s="31" t="s">
        <v>1175</v>
      </c>
      <c r="S46" s="30" t="s">
        <v>1174</v>
      </c>
      <c r="T46" s="30" t="s">
        <v>1174</v>
      </c>
      <c r="U46" s="32" t="s">
        <v>1175</v>
      </c>
      <c r="V46" s="61" t="s">
        <v>1668</v>
      </c>
      <c r="W46" s="29" t="s">
        <v>970</v>
      </c>
      <c r="X46" s="7" t="s">
        <v>16</v>
      </c>
      <c r="Y46" s="9" t="s">
        <v>675</v>
      </c>
    </row>
    <row r="47" spans="1:26">
      <c r="A47" s="100">
        <v>45</v>
      </c>
      <c r="B47" s="93">
        <v>90</v>
      </c>
      <c r="C47" s="47" t="s">
        <v>2039</v>
      </c>
      <c r="D47" s="38">
        <v>0</v>
      </c>
      <c r="E47" s="38">
        <v>0</v>
      </c>
      <c r="F47" s="38">
        <v>0</v>
      </c>
      <c r="G47" s="38">
        <v>0</v>
      </c>
      <c r="H47" s="38">
        <v>1</v>
      </c>
      <c r="I47" s="38">
        <v>1</v>
      </c>
      <c r="J47" s="58">
        <f>SUM(D47:I47)</f>
        <v>2</v>
      </c>
      <c r="K47" s="7" t="s">
        <v>1025</v>
      </c>
      <c r="L47" s="30" t="s">
        <v>1174</v>
      </c>
      <c r="M47" s="30" t="s">
        <v>1174</v>
      </c>
      <c r="N47" s="31" t="s">
        <v>1175</v>
      </c>
      <c r="O47" s="31" t="s">
        <v>1175</v>
      </c>
      <c r="P47" s="30" t="s">
        <v>1174</v>
      </c>
      <c r="Q47" s="30" t="s">
        <v>1174</v>
      </c>
      <c r="R47" s="30" t="s">
        <v>1174</v>
      </c>
      <c r="S47" s="30" t="s">
        <v>1174</v>
      </c>
      <c r="T47" s="30" t="s">
        <v>1174</v>
      </c>
      <c r="U47" s="30" t="s">
        <v>1174</v>
      </c>
      <c r="V47" s="59" t="s">
        <v>1174</v>
      </c>
      <c r="W47" s="29" t="s">
        <v>970</v>
      </c>
      <c r="X47" s="7" t="s">
        <v>366</v>
      </c>
      <c r="Y47" s="11" t="s">
        <v>675</v>
      </c>
    </row>
    <row r="48" spans="1:26">
      <c r="A48" s="100">
        <v>46</v>
      </c>
      <c r="B48" s="93">
        <v>91</v>
      </c>
      <c r="C48" s="47" t="s">
        <v>2040</v>
      </c>
      <c r="D48" s="38">
        <v>0</v>
      </c>
      <c r="E48" s="38">
        <v>0</v>
      </c>
      <c r="F48" s="38">
        <v>0</v>
      </c>
      <c r="G48" s="38">
        <v>0</v>
      </c>
      <c r="H48" s="38">
        <v>1</v>
      </c>
      <c r="I48" s="38">
        <v>1</v>
      </c>
      <c r="J48" s="58">
        <f>SUM(D48:I48)</f>
        <v>2</v>
      </c>
      <c r="K48" s="7" t="s">
        <v>1025</v>
      </c>
      <c r="L48" s="30" t="s">
        <v>1174</v>
      </c>
      <c r="M48" s="30" t="s">
        <v>1174</v>
      </c>
      <c r="N48" s="31" t="s">
        <v>1175</v>
      </c>
      <c r="O48" s="30" t="s">
        <v>1174</v>
      </c>
      <c r="P48" s="30" t="s">
        <v>1174</v>
      </c>
      <c r="Q48" s="30" t="s">
        <v>1174</v>
      </c>
      <c r="R48" s="30" t="s">
        <v>1174</v>
      </c>
      <c r="S48" s="30" t="s">
        <v>1174</v>
      </c>
      <c r="T48" s="30" t="s">
        <v>1174</v>
      </c>
      <c r="U48" s="30" t="s">
        <v>1174</v>
      </c>
      <c r="V48" s="59" t="s">
        <v>1174</v>
      </c>
      <c r="W48" s="7" t="s">
        <v>1025</v>
      </c>
      <c r="X48" s="7" t="s">
        <v>372</v>
      </c>
      <c r="Y48" s="11" t="s">
        <v>675</v>
      </c>
      <c r="Z48" s="5"/>
    </row>
    <row r="49" spans="1:26" s="5" customFormat="1">
      <c r="A49" s="100">
        <v>47</v>
      </c>
      <c r="B49" s="93">
        <v>92</v>
      </c>
      <c r="C49" s="47" t="s">
        <v>2041</v>
      </c>
      <c r="D49" s="38">
        <v>0</v>
      </c>
      <c r="E49" s="38">
        <v>0</v>
      </c>
      <c r="F49" s="38">
        <v>0</v>
      </c>
      <c r="G49" s="38">
        <v>0</v>
      </c>
      <c r="H49" s="38">
        <v>1</v>
      </c>
      <c r="I49" s="38">
        <v>1</v>
      </c>
      <c r="J49" s="58">
        <f>SUM(D49:I49)</f>
        <v>2</v>
      </c>
      <c r="K49" s="7" t="s">
        <v>1025</v>
      </c>
      <c r="L49" s="31" t="s">
        <v>1175</v>
      </c>
      <c r="M49" s="30" t="s">
        <v>1174</v>
      </c>
      <c r="N49" s="31" t="s">
        <v>1175</v>
      </c>
      <c r="O49" s="30" t="s">
        <v>1174</v>
      </c>
      <c r="P49" s="30" t="s">
        <v>1174</v>
      </c>
      <c r="Q49" s="30" t="s">
        <v>1174</v>
      </c>
      <c r="R49" s="30" t="s">
        <v>1174</v>
      </c>
      <c r="S49" s="30" t="s">
        <v>1174</v>
      </c>
      <c r="T49" s="30" t="s">
        <v>1174</v>
      </c>
      <c r="U49" s="32" t="s">
        <v>1175</v>
      </c>
      <c r="V49" s="61" t="s">
        <v>1671</v>
      </c>
      <c r="W49" s="7" t="s">
        <v>1025</v>
      </c>
      <c r="X49" s="7" t="s">
        <v>375</v>
      </c>
      <c r="Y49" s="11" t="s">
        <v>670</v>
      </c>
      <c r="Z49"/>
    </row>
    <row r="50" spans="1:26">
      <c r="A50" s="100">
        <v>48</v>
      </c>
      <c r="B50" s="93">
        <v>93</v>
      </c>
      <c r="C50" s="47" t="s">
        <v>2042</v>
      </c>
      <c r="D50" s="38">
        <v>0</v>
      </c>
      <c r="E50" s="38">
        <v>0</v>
      </c>
      <c r="F50" s="38">
        <v>0</v>
      </c>
      <c r="G50" s="38">
        <v>0</v>
      </c>
      <c r="H50" s="38">
        <v>1</v>
      </c>
      <c r="I50" s="38">
        <v>1</v>
      </c>
      <c r="J50" s="58">
        <f>SUM(D50:I50)</f>
        <v>2</v>
      </c>
      <c r="K50" s="7" t="s">
        <v>1025</v>
      </c>
      <c r="L50" s="30" t="s">
        <v>1174</v>
      </c>
      <c r="M50" s="30" t="s">
        <v>1174</v>
      </c>
      <c r="N50" s="31" t="s">
        <v>1175</v>
      </c>
      <c r="O50" s="31" t="s">
        <v>1175</v>
      </c>
      <c r="P50" s="30" t="s">
        <v>1174</v>
      </c>
      <c r="Q50" s="30" t="s">
        <v>1174</v>
      </c>
      <c r="R50" s="30" t="s">
        <v>1174</v>
      </c>
      <c r="S50" s="30" t="s">
        <v>1174</v>
      </c>
      <c r="T50" s="30" t="s">
        <v>1174</v>
      </c>
      <c r="U50" s="32" t="s">
        <v>1176</v>
      </c>
      <c r="V50" s="61" t="s">
        <v>1672</v>
      </c>
      <c r="W50" s="29" t="s">
        <v>970</v>
      </c>
      <c r="X50" s="7" t="s">
        <v>409</v>
      </c>
      <c r="Y50" s="11" t="s">
        <v>957</v>
      </c>
      <c r="Z50" s="5"/>
    </row>
    <row r="51" spans="1:26">
      <c r="A51" s="100">
        <v>49</v>
      </c>
      <c r="B51" s="93">
        <v>94</v>
      </c>
      <c r="C51" s="47" t="s">
        <v>2043</v>
      </c>
      <c r="D51" s="38">
        <v>0</v>
      </c>
      <c r="E51" s="38">
        <v>0</v>
      </c>
      <c r="F51" s="38">
        <v>0</v>
      </c>
      <c r="G51" s="38">
        <v>0</v>
      </c>
      <c r="H51" s="38">
        <v>1</v>
      </c>
      <c r="I51" s="38">
        <v>1</v>
      </c>
      <c r="J51" s="58">
        <f>SUM(D51:I51)</f>
        <v>2</v>
      </c>
      <c r="K51" s="7" t="s">
        <v>1025</v>
      </c>
      <c r="L51" s="30" t="s">
        <v>1174</v>
      </c>
      <c r="M51" s="30" t="s">
        <v>1174</v>
      </c>
      <c r="N51" s="31" t="s">
        <v>1175</v>
      </c>
      <c r="O51" s="30" t="s">
        <v>1174</v>
      </c>
      <c r="P51" s="30" t="s">
        <v>1174</v>
      </c>
      <c r="Q51" s="30" t="s">
        <v>1174</v>
      </c>
      <c r="R51" s="30" t="s">
        <v>1174</v>
      </c>
      <c r="S51" s="30" t="s">
        <v>1174</v>
      </c>
      <c r="T51" s="30" t="s">
        <v>1174</v>
      </c>
      <c r="U51" s="30" t="s">
        <v>1174</v>
      </c>
      <c r="V51" s="59" t="s">
        <v>1174</v>
      </c>
      <c r="W51" s="29" t="s">
        <v>9</v>
      </c>
      <c r="X51" s="7" t="s">
        <v>1098</v>
      </c>
      <c r="Y51" s="11" t="s">
        <v>675</v>
      </c>
    </row>
    <row r="52" spans="1:26">
      <c r="A52" s="100">
        <v>50</v>
      </c>
      <c r="B52" s="93">
        <v>95</v>
      </c>
      <c r="C52" s="47" t="s">
        <v>2044</v>
      </c>
      <c r="D52" s="38">
        <v>0</v>
      </c>
      <c r="E52" s="38">
        <v>0</v>
      </c>
      <c r="F52" s="38">
        <v>0</v>
      </c>
      <c r="G52" s="38">
        <v>0</v>
      </c>
      <c r="H52" s="38">
        <v>0</v>
      </c>
      <c r="I52" s="38">
        <v>1</v>
      </c>
      <c r="J52" s="58">
        <f>SUM(D52:I52)</f>
        <v>1</v>
      </c>
      <c r="K52" s="7" t="s">
        <v>1025</v>
      </c>
      <c r="L52" s="31" t="s">
        <v>1175</v>
      </c>
      <c r="M52" s="30" t="s">
        <v>1174</v>
      </c>
      <c r="N52" s="30" t="s">
        <v>1174</v>
      </c>
      <c r="O52" s="30" t="s">
        <v>1174</v>
      </c>
      <c r="P52" s="30" t="s">
        <v>1174</v>
      </c>
      <c r="Q52" s="30" t="s">
        <v>1174</v>
      </c>
      <c r="R52" s="30" t="s">
        <v>1174</v>
      </c>
      <c r="S52" s="30" t="s">
        <v>1174</v>
      </c>
      <c r="T52" s="30" t="s">
        <v>1174</v>
      </c>
      <c r="U52" s="30" t="s">
        <v>1174</v>
      </c>
      <c r="V52" s="59" t="s">
        <v>1174</v>
      </c>
      <c r="W52" s="29" t="s">
        <v>9</v>
      </c>
      <c r="X52" s="7" t="s">
        <v>9</v>
      </c>
      <c r="Y52" s="11" t="s">
        <v>670</v>
      </c>
    </row>
    <row r="53" spans="1:26">
      <c r="A53" s="100">
        <v>51</v>
      </c>
      <c r="B53" s="93">
        <v>96</v>
      </c>
      <c r="C53" s="47" t="s">
        <v>2045</v>
      </c>
      <c r="D53" s="38">
        <v>0</v>
      </c>
      <c r="E53" s="38">
        <v>0</v>
      </c>
      <c r="F53" s="38">
        <v>1</v>
      </c>
      <c r="G53" s="38">
        <v>0</v>
      </c>
      <c r="H53" s="38">
        <v>1</v>
      </c>
      <c r="I53" s="38">
        <v>1</v>
      </c>
      <c r="J53" s="58">
        <f>SUM(D53:I53)</f>
        <v>3</v>
      </c>
      <c r="K53" s="29" t="s">
        <v>1100</v>
      </c>
      <c r="L53" s="31" t="s">
        <v>1175</v>
      </c>
      <c r="M53" s="30" t="s">
        <v>1174</v>
      </c>
      <c r="N53" s="30" t="s">
        <v>1174</v>
      </c>
      <c r="O53" s="30" t="s">
        <v>1174</v>
      </c>
      <c r="P53" s="30" t="s">
        <v>1174</v>
      </c>
      <c r="Q53" s="30" t="s">
        <v>1174</v>
      </c>
      <c r="R53" s="30" t="s">
        <v>1174</v>
      </c>
      <c r="S53" s="30" t="s">
        <v>1174</v>
      </c>
      <c r="T53" s="30" t="s">
        <v>1174</v>
      </c>
      <c r="U53" s="30" t="s">
        <v>1174</v>
      </c>
      <c r="V53" s="59" t="s">
        <v>1174</v>
      </c>
      <c r="W53" s="29" t="s">
        <v>9</v>
      </c>
      <c r="X53" s="7" t="s">
        <v>389</v>
      </c>
      <c r="Y53" s="11" t="s">
        <v>670</v>
      </c>
    </row>
    <row r="54" spans="1:26">
      <c r="A54" s="100">
        <v>52</v>
      </c>
      <c r="B54" s="93">
        <v>97</v>
      </c>
      <c r="C54" s="47" t="s">
        <v>2046</v>
      </c>
      <c r="D54" s="38">
        <v>0</v>
      </c>
      <c r="E54" s="38">
        <v>0</v>
      </c>
      <c r="F54" s="38">
        <v>0</v>
      </c>
      <c r="G54" s="38">
        <v>0</v>
      </c>
      <c r="H54" s="38">
        <v>0</v>
      </c>
      <c r="I54" s="38">
        <v>1</v>
      </c>
      <c r="J54" s="58">
        <f>SUM(D54:I54)</f>
        <v>1</v>
      </c>
      <c r="K54" s="7" t="s">
        <v>1025</v>
      </c>
      <c r="L54" s="31" t="s">
        <v>1175</v>
      </c>
      <c r="M54" s="30" t="s">
        <v>1174</v>
      </c>
      <c r="N54" s="30" t="s">
        <v>1174</v>
      </c>
      <c r="O54" s="31" t="s">
        <v>1175</v>
      </c>
      <c r="P54" s="30" t="s">
        <v>1174</v>
      </c>
      <c r="Q54" s="30" t="s">
        <v>1174</v>
      </c>
      <c r="R54" s="30" t="s">
        <v>1174</v>
      </c>
      <c r="S54" s="30" t="s">
        <v>1174</v>
      </c>
      <c r="T54" s="30" t="s">
        <v>1174</v>
      </c>
      <c r="U54" s="30" t="s">
        <v>1174</v>
      </c>
      <c r="V54" s="59" t="s">
        <v>1174</v>
      </c>
      <c r="W54" s="29" t="s">
        <v>9</v>
      </c>
      <c r="X54" s="7" t="s">
        <v>396</v>
      </c>
      <c r="Y54" s="11" t="s">
        <v>670</v>
      </c>
    </row>
    <row r="55" spans="1:26">
      <c r="A55" s="100">
        <v>53</v>
      </c>
      <c r="B55" s="93">
        <v>98</v>
      </c>
      <c r="C55" s="47" t="s">
        <v>2047</v>
      </c>
      <c r="D55" s="38">
        <v>0</v>
      </c>
      <c r="E55" s="38">
        <v>0</v>
      </c>
      <c r="F55" s="38">
        <v>0</v>
      </c>
      <c r="G55" s="38">
        <v>0</v>
      </c>
      <c r="H55" s="38">
        <v>1</v>
      </c>
      <c r="I55" s="38">
        <v>1</v>
      </c>
      <c r="J55" s="58">
        <f>SUM(D55:I55)</f>
        <v>2</v>
      </c>
      <c r="K55" s="7" t="s">
        <v>1025</v>
      </c>
      <c r="L55" s="31" t="s">
        <v>1175</v>
      </c>
      <c r="M55" s="30" t="s">
        <v>1174</v>
      </c>
      <c r="N55" s="30" t="s">
        <v>1174</v>
      </c>
      <c r="O55" s="31" t="s">
        <v>1175</v>
      </c>
      <c r="P55" s="30" t="s">
        <v>1174</v>
      </c>
      <c r="Q55" s="30" t="s">
        <v>1174</v>
      </c>
      <c r="R55" s="30" t="s">
        <v>1174</v>
      </c>
      <c r="S55" s="30" t="s">
        <v>1174</v>
      </c>
      <c r="T55" s="30" t="s">
        <v>1174</v>
      </c>
      <c r="U55" s="30" t="s">
        <v>1174</v>
      </c>
      <c r="V55" s="59" t="s">
        <v>1174</v>
      </c>
      <c r="W55" s="29" t="s">
        <v>1025</v>
      </c>
      <c r="X55" s="7" t="s">
        <v>400</v>
      </c>
      <c r="Y55" s="11" t="s">
        <v>670</v>
      </c>
    </row>
    <row r="56" spans="1:26">
      <c r="A56" s="100">
        <v>54</v>
      </c>
      <c r="B56" s="93">
        <v>99</v>
      </c>
      <c r="C56" s="47" t="s">
        <v>2048</v>
      </c>
      <c r="D56" s="38">
        <v>0</v>
      </c>
      <c r="E56" s="38">
        <v>0</v>
      </c>
      <c r="F56" s="38">
        <v>1</v>
      </c>
      <c r="G56" s="38">
        <v>1</v>
      </c>
      <c r="H56" s="38">
        <v>1</v>
      </c>
      <c r="I56" s="38">
        <v>1</v>
      </c>
      <c r="J56" s="58">
        <f>SUM(D56:I56)</f>
        <v>4</v>
      </c>
      <c r="K56" s="29" t="s">
        <v>781</v>
      </c>
      <c r="L56" s="31" t="s">
        <v>1175</v>
      </c>
      <c r="M56" s="30" t="s">
        <v>1174</v>
      </c>
      <c r="N56" s="30" t="s">
        <v>1174</v>
      </c>
      <c r="O56" s="30" t="s">
        <v>1174</v>
      </c>
      <c r="P56" s="30" t="s">
        <v>1174</v>
      </c>
      <c r="Q56" s="30" t="s">
        <v>1174</v>
      </c>
      <c r="R56" s="31" t="s">
        <v>1175</v>
      </c>
      <c r="S56" s="30" t="s">
        <v>1174</v>
      </c>
      <c r="T56" s="30" t="s">
        <v>1174</v>
      </c>
      <c r="U56" s="32" t="s">
        <v>1175</v>
      </c>
      <c r="V56" s="61" t="s">
        <v>2196</v>
      </c>
      <c r="W56" s="29" t="s">
        <v>774</v>
      </c>
      <c r="X56" s="7" t="s">
        <v>1106</v>
      </c>
      <c r="Y56" s="11" t="s">
        <v>807</v>
      </c>
    </row>
    <row r="57" spans="1:26">
      <c r="A57" s="100">
        <v>55</v>
      </c>
      <c r="B57" s="93">
        <v>100</v>
      </c>
      <c r="C57" s="47" t="s">
        <v>2049</v>
      </c>
      <c r="D57" s="38">
        <v>0</v>
      </c>
      <c r="E57" s="38">
        <v>0</v>
      </c>
      <c r="F57" s="38">
        <v>0</v>
      </c>
      <c r="G57" s="38">
        <v>0</v>
      </c>
      <c r="H57" s="38">
        <v>0</v>
      </c>
      <c r="I57" s="38">
        <v>1</v>
      </c>
      <c r="J57" s="58">
        <f>SUM(D57:I57)</f>
        <v>1</v>
      </c>
      <c r="K57" s="27" t="s">
        <v>1108</v>
      </c>
      <c r="L57" s="31" t="s">
        <v>1175</v>
      </c>
      <c r="M57" s="30" t="s">
        <v>1174</v>
      </c>
      <c r="N57" s="30" t="s">
        <v>1174</v>
      </c>
      <c r="O57" s="30" t="s">
        <v>1174</v>
      </c>
      <c r="P57" s="30" t="s">
        <v>1174</v>
      </c>
      <c r="Q57" s="30" t="s">
        <v>1174</v>
      </c>
      <c r="R57" s="30" t="s">
        <v>1174</v>
      </c>
      <c r="S57" s="30" t="s">
        <v>1174</v>
      </c>
      <c r="T57" s="30" t="s">
        <v>1174</v>
      </c>
      <c r="U57" s="30" t="s">
        <v>1174</v>
      </c>
      <c r="V57" s="59" t="s">
        <v>1174</v>
      </c>
      <c r="W57" s="29" t="s">
        <v>1025</v>
      </c>
      <c r="X57" s="7" t="s">
        <v>409</v>
      </c>
      <c r="Y57" s="11" t="s">
        <v>670</v>
      </c>
    </row>
    <row r="58" spans="1:26">
      <c r="A58" s="100">
        <v>56</v>
      </c>
      <c r="B58" s="93">
        <v>101</v>
      </c>
      <c r="C58" s="47" t="s">
        <v>2050</v>
      </c>
      <c r="D58" s="38">
        <v>0</v>
      </c>
      <c r="E58" s="38">
        <v>0</v>
      </c>
      <c r="F58" s="38">
        <v>0</v>
      </c>
      <c r="G58" s="38">
        <v>0</v>
      </c>
      <c r="H58" s="38">
        <v>1</v>
      </c>
      <c r="I58" s="38">
        <v>1</v>
      </c>
      <c r="J58" s="58">
        <f>SUM(D58:I58)</f>
        <v>2</v>
      </c>
      <c r="K58" s="7" t="s">
        <v>1025</v>
      </c>
      <c r="L58" s="30" t="s">
        <v>1174</v>
      </c>
      <c r="M58" s="30" t="s">
        <v>1174</v>
      </c>
      <c r="N58" s="31" t="s">
        <v>1175</v>
      </c>
      <c r="O58" s="30" t="s">
        <v>1174</v>
      </c>
      <c r="P58" s="30" t="s">
        <v>1174</v>
      </c>
      <c r="Q58" s="30" t="s">
        <v>1174</v>
      </c>
      <c r="R58" s="31" t="s">
        <v>1175</v>
      </c>
      <c r="S58" s="30" t="s">
        <v>1174</v>
      </c>
      <c r="T58" s="30" t="s">
        <v>1174</v>
      </c>
      <c r="U58" s="30" t="s">
        <v>1174</v>
      </c>
      <c r="V58" s="59" t="s">
        <v>1174</v>
      </c>
      <c r="W58" s="29" t="s">
        <v>9</v>
      </c>
      <c r="X58" s="7" t="s">
        <v>16</v>
      </c>
      <c r="Y58" s="11" t="s">
        <v>675</v>
      </c>
    </row>
    <row r="59" spans="1:26">
      <c r="A59" s="100">
        <v>57</v>
      </c>
      <c r="B59" s="93">
        <v>102</v>
      </c>
      <c r="C59" s="47" t="s">
        <v>2051</v>
      </c>
      <c r="D59" s="38">
        <v>0</v>
      </c>
      <c r="E59" s="38">
        <v>0</v>
      </c>
      <c r="F59" s="38">
        <v>0</v>
      </c>
      <c r="G59" s="38">
        <v>0</v>
      </c>
      <c r="H59" s="38">
        <v>1</v>
      </c>
      <c r="I59" s="38">
        <v>1</v>
      </c>
      <c r="J59" s="58">
        <f>SUM(D59:I59)</f>
        <v>2</v>
      </c>
      <c r="K59" s="7" t="s">
        <v>1025</v>
      </c>
      <c r="L59" s="31" t="s">
        <v>1175</v>
      </c>
      <c r="M59" s="30" t="s">
        <v>1174</v>
      </c>
      <c r="N59" s="31" t="s">
        <v>1175</v>
      </c>
      <c r="O59" s="31" t="s">
        <v>1175</v>
      </c>
      <c r="P59" s="30" t="s">
        <v>1174</v>
      </c>
      <c r="Q59" s="30" t="s">
        <v>1174</v>
      </c>
      <c r="R59" s="31" t="s">
        <v>1175</v>
      </c>
      <c r="S59" s="30" t="s">
        <v>1174</v>
      </c>
      <c r="T59" s="30" t="s">
        <v>1174</v>
      </c>
      <c r="U59" s="30" t="s">
        <v>1174</v>
      </c>
      <c r="V59" s="59" t="s">
        <v>1174</v>
      </c>
      <c r="W59" s="29" t="s">
        <v>9</v>
      </c>
      <c r="X59" s="7" t="s">
        <v>674</v>
      </c>
      <c r="Y59" s="11" t="s">
        <v>957</v>
      </c>
    </row>
    <row r="60" spans="1:26">
      <c r="A60" s="100">
        <v>58</v>
      </c>
      <c r="B60" s="93">
        <v>103</v>
      </c>
      <c r="C60" s="47" t="s">
        <v>2052</v>
      </c>
      <c r="D60" s="38">
        <v>1</v>
      </c>
      <c r="E60" s="38">
        <v>0</v>
      </c>
      <c r="F60" s="38">
        <v>1</v>
      </c>
      <c r="G60" s="38">
        <v>0</v>
      </c>
      <c r="H60" s="38">
        <v>1</v>
      </c>
      <c r="I60" s="38">
        <v>1</v>
      </c>
      <c r="J60" s="58">
        <f>SUM(D60:I60)</f>
        <v>4</v>
      </c>
      <c r="K60" s="29" t="s">
        <v>1110</v>
      </c>
      <c r="L60" s="31" t="s">
        <v>1175</v>
      </c>
      <c r="M60" s="31" t="s">
        <v>1175</v>
      </c>
      <c r="N60" s="31" t="s">
        <v>1175</v>
      </c>
      <c r="O60" s="30" t="s">
        <v>1174</v>
      </c>
      <c r="P60" s="30" t="s">
        <v>1174</v>
      </c>
      <c r="Q60" s="30" t="s">
        <v>1174</v>
      </c>
      <c r="R60" s="30" t="s">
        <v>1174</v>
      </c>
      <c r="S60" s="30" t="s">
        <v>1174</v>
      </c>
      <c r="T60" s="30" t="s">
        <v>1174</v>
      </c>
      <c r="U60" s="30" t="s">
        <v>1174</v>
      </c>
      <c r="V60" s="59" t="s">
        <v>1174</v>
      </c>
      <c r="W60" s="29" t="s">
        <v>9</v>
      </c>
      <c r="X60" s="7" t="s">
        <v>420</v>
      </c>
      <c r="Y60" s="11" t="s">
        <v>670</v>
      </c>
    </row>
    <row r="61" spans="1:26">
      <c r="A61" s="100">
        <v>59</v>
      </c>
      <c r="B61" s="93">
        <v>104</v>
      </c>
      <c r="C61" s="47" t="s">
        <v>2053</v>
      </c>
      <c r="D61" s="38">
        <v>0</v>
      </c>
      <c r="E61" s="38">
        <v>0</v>
      </c>
      <c r="F61" s="38">
        <v>0</v>
      </c>
      <c r="G61" s="38">
        <v>0</v>
      </c>
      <c r="H61" s="38">
        <v>1</v>
      </c>
      <c r="I61" s="38">
        <v>1</v>
      </c>
      <c r="J61" s="58">
        <f>SUM(D61:I61)</f>
        <v>2</v>
      </c>
      <c r="K61" s="7" t="s">
        <v>1025</v>
      </c>
      <c r="L61" s="31" t="s">
        <v>1175</v>
      </c>
      <c r="M61" s="30" t="s">
        <v>1174</v>
      </c>
      <c r="N61" s="30" t="s">
        <v>1174</v>
      </c>
      <c r="O61" s="31" t="s">
        <v>1175</v>
      </c>
      <c r="P61" s="30" t="s">
        <v>1174</v>
      </c>
      <c r="Q61" s="30" t="s">
        <v>1174</v>
      </c>
      <c r="R61" s="30" t="s">
        <v>1174</v>
      </c>
      <c r="S61" s="30" t="s">
        <v>1174</v>
      </c>
      <c r="T61" s="30" t="s">
        <v>1174</v>
      </c>
      <c r="U61" s="30" t="s">
        <v>1174</v>
      </c>
      <c r="V61" s="59" t="s">
        <v>1174</v>
      </c>
      <c r="W61" s="29" t="s">
        <v>9</v>
      </c>
      <c r="X61" s="7" t="s">
        <v>136</v>
      </c>
      <c r="Y61" s="11" t="s">
        <v>670</v>
      </c>
    </row>
    <row r="62" spans="1:26">
      <c r="A62" s="100">
        <v>60</v>
      </c>
      <c r="B62" s="93">
        <v>105</v>
      </c>
      <c r="C62" s="47" t="s">
        <v>2054</v>
      </c>
      <c r="D62" s="38">
        <v>0</v>
      </c>
      <c r="E62" s="38">
        <v>0</v>
      </c>
      <c r="F62" s="38">
        <v>0</v>
      </c>
      <c r="G62" s="38">
        <v>0</v>
      </c>
      <c r="H62" s="38">
        <v>0</v>
      </c>
      <c r="I62" s="38">
        <v>1</v>
      </c>
      <c r="J62" s="58">
        <f>SUM(D62:I62)</f>
        <v>1</v>
      </c>
      <c r="K62" s="7" t="s">
        <v>1025</v>
      </c>
      <c r="L62" s="30" t="s">
        <v>1174</v>
      </c>
      <c r="M62" s="30" t="s">
        <v>1174</v>
      </c>
      <c r="N62" s="31" t="s">
        <v>1175</v>
      </c>
      <c r="O62" s="31" t="s">
        <v>1175</v>
      </c>
      <c r="P62" s="30" t="s">
        <v>1174</v>
      </c>
      <c r="Q62" s="30" t="s">
        <v>1174</v>
      </c>
      <c r="R62" s="30" t="s">
        <v>1174</v>
      </c>
      <c r="S62" s="30" t="s">
        <v>1174</v>
      </c>
      <c r="T62" s="30" t="s">
        <v>1174</v>
      </c>
      <c r="U62" s="30" t="s">
        <v>1174</v>
      </c>
      <c r="V62" s="59" t="s">
        <v>1174</v>
      </c>
      <c r="W62" s="29" t="s">
        <v>929</v>
      </c>
      <c r="X62" s="7" t="s">
        <v>428</v>
      </c>
      <c r="Y62" s="11" t="s">
        <v>670</v>
      </c>
    </row>
    <row r="63" spans="1:26">
      <c r="A63" s="100">
        <v>61</v>
      </c>
      <c r="B63" s="93">
        <v>106</v>
      </c>
      <c r="C63" s="47" t="s">
        <v>2056</v>
      </c>
      <c r="D63" s="38">
        <v>0</v>
      </c>
      <c r="E63" s="38">
        <v>0</v>
      </c>
      <c r="F63" s="38">
        <v>0</v>
      </c>
      <c r="G63" s="38">
        <v>0</v>
      </c>
      <c r="H63" s="38">
        <v>0</v>
      </c>
      <c r="I63" s="38">
        <v>1</v>
      </c>
      <c r="J63" s="58">
        <f>SUM(D63:I63)</f>
        <v>1</v>
      </c>
      <c r="K63" s="7" t="s">
        <v>1025</v>
      </c>
      <c r="L63" s="31" t="s">
        <v>1175</v>
      </c>
      <c r="M63" s="30" t="s">
        <v>1174</v>
      </c>
      <c r="N63" s="30" t="s">
        <v>1174</v>
      </c>
      <c r="O63" s="30" t="s">
        <v>1174</v>
      </c>
      <c r="P63" s="30" t="s">
        <v>1174</v>
      </c>
      <c r="Q63" s="30" t="s">
        <v>1174</v>
      </c>
      <c r="R63" s="30" t="s">
        <v>1174</v>
      </c>
      <c r="S63" s="30" t="s">
        <v>1174</v>
      </c>
      <c r="T63" s="30" t="s">
        <v>1174</v>
      </c>
      <c r="U63" s="30" t="s">
        <v>1174</v>
      </c>
      <c r="V63" s="59" t="s">
        <v>1174</v>
      </c>
      <c r="W63" s="29" t="s">
        <v>9</v>
      </c>
      <c r="X63" s="7" t="s">
        <v>16</v>
      </c>
      <c r="Y63" s="11" t="s">
        <v>670</v>
      </c>
    </row>
    <row r="64" spans="1:26">
      <c r="A64" s="100">
        <v>62</v>
      </c>
      <c r="B64" s="93">
        <v>107</v>
      </c>
      <c r="C64" s="47" t="s">
        <v>2058</v>
      </c>
      <c r="D64" s="38">
        <v>0</v>
      </c>
      <c r="E64" s="38">
        <v>0</v>
      </c>
      <c r="F64" s="38">
        <v>0</v>
      </c>
      <c r="G64" s="38">
        <v>0</v>
      </c>
      <c r="H64" s="38">
        <v>1</v>
      </c>
      <c r="I64" s="38">
        <v>1</v>
      </c>
      <c r="J64" s="58">
        <f>SUM(D64:I64)</f>
        <v>2</v>
      </c>
      <c r="K64" s="7" t="s">
        <v>1025</v>
      </c>
      <c r="L64" s="31" t="s">
        <v>1175</v>
      </c>
      <c r="M64" s="30" t="s">
        <v>1174</v>
      </c>
      <c r="N64" s="31" t="s">
        <v>1175</v>
      </c>
      <c r="O64" s="30" t="s">
        <v>1174</v>
      </c>
      <c r="P64" s="30" t="s">
        <v>1174</v>
      </c>
      <c r="Q64" s="30" t="s">
        <v>1174</v>
      </c>
      <c r="R64" s="30" t="s">
        <v>1174</v>
      </c>
      <c r="S64" s="30" t="s">
        <v>1174</v>
      </c>
      <c r="T64" s="30" t="s">
        <v>1174</v>
      </c>
      <c r="U64" s="30" t="s">
        <v>1174</v>
      </c>
      <c r="V64" s="59" t="s">
        <v>1174</v>
      </c>
      <c r="W64" s="29" t="s">
        <v>1025</v>
      </c>
      <c r="Y64" s="11" t="s">
        <v>670</v>
      </c>
    </row>
    <row r="65" spans="1:26">
      <c r="A65" s="100">
        <v>63</v>
      </c>
      <c r="B65" s="93">
        <v>108</v>
      </c>
      <c r="C65" s="47" t="s">
        <v>2059</v>
      </c>
      <c r="D65" s="38">
        <v>0</v>
      </c>
      <c r="E65" s="38">
        <v>0</v>
      </c>
      <c r="F65" s="38">
        <v>0</v>
      </c>
      <c r="G65" s="38">
        <v>0</v>
      </c>
      <c r="H65" s="38">
        <v>1</v>
      </c>
      <c r="I65" s="38">
        <v>1</v>
      </c>
      <c r="J65" s="58">
        <f>SUM(D65:I65)</f>
        <v>2</v>
      </c>
      <c r="K65" s="7" t="s">
        <v>1025</v>
      </c>
      <c r="L65" s="30" t="s">
        <v>1174</v>
      </c>
      <c r="M65" s="30" t="s">
        <v>1174</v>
      </c>
      <c r="N65" s="31" t="s">
        <v>1175</v>
      </c>
      <c r="O65" s="30" t="s">
        <v>1174</v>
      </c>
      <c r="P65" s="30" t="s">
        <v>1174</v>
      </c>
      <c r="Q65" s="30" t="s">
        <v>1174</v>
      </c>
      <c r="R65" s="30" t="s">
        <v>1174</v>
      </c>
      <c r="S65" s="30" t="s">
        <v>1174</v>
      </c>
      <c r="T65" s="30" t="s">
        <v>1174</v>
      </c>
      <c r="U65" s="32" t="s">
        <v>1175</v>
      </c>
      <c r="V65" s="61" t="s">
        <v>2195</v>
      </c>
      <c r="W65" s="29" t="s">
        <v>1025</v>
      </c>
      <c r="X65" s="15" t="s">
        <v>16</v>
      </c>
      <c r="Y65" s="11" t="s">
        <v>670</v>
      </c>
    </row>
    <row r="66" spans="1:26">
      <c r="A66" s="100">
        <v>64</v>
      </c>
      <c r="B66" s="93">
        <v>109</v>
      </c>
      <c r="C66" s="47" t="s">
        <v>2061</v>
      </c>
      <c r="D66" s="38">
        <v>0</v>
      </c>
      <c r="E66" s="38">
        <v>0</v>
      </c>
      <c r="F66" s="38">
        <v>0</v>
      </c>
      <c r="G66" s="38">
        <v>0</v>
      </c>
      <c r="H66" s="38">
        <v>1</v>
      </c>
      <c r="I66" s="38">
        <v>1</v>
      </c>
      <c r="J66" s="58">
        <f>SUM(D66:I66)</f>
        <v>2</v>
      </c>
      <c r="K66" s="7" t="s">
        <v>1025</v>
      </c>
      <c r="L66" s="31" t="s">
        <v>1175</v>
      </c>
      <c r="M66" s="30" t="s">
        <v>1174</v>
      </c>
      <c r="N66" s="30" t="s">
        <v>1174</v>
      </c>
      <c r="O66" s="30" t="s">
        <v>1174</v>
      </c>
      <c r="P66" s="30" t="s">
        <v>1174</v>
      </c>
      <c r="Q66" s="30" t="s">
        <v>1174</v>
      </c>
      <c r="R66" s="30" t="s">
        <v>1174</v>
      </c>
      <c r="S66" s="30" t="s">
        <v>1174</v>
      </c>
      <c r="T66" s="30" t="s">
        <v>1174</v>
      </c>
      <c r="U66" s="32" t="s">
        <v>1175</v>
      </c>
      <c r="V66" s="61" t="s">
        <v>2197</v>
      </c>
      <c r="W66" s="29" t="s">
        <v>1025</v>
      </c>
      <c r="X66" s="15" t="s">
        <v>16</v>
      </c>
      <c r="Y66" s="11" t="s">
        <v>670</v>
      </c>
    </row>
    <row r="67" spans="1:26">
      <c r="A67" s="100">
        <v>65</v>
      </c>
      <c r="B67" s="93">
        <v>110</v>
      </c>
      <c r="C67" s="47" t="s">
        <v>2062</v>
      </c>
      <c r="D67" s="38">
        <v>0</v>
      </c>
      <c r="E67" s="38">
        <v>0</v>
      </c>
      <c r="F67" s="38">
        <v>0</v>
      </c>
      <c r="G67" s="38">
        <v>0</v>
      </c>
      <c r="H67" s="38">
        <v>1</v>
      </c>
      <c r="I67" s="38">
        <v>1</v>
      </c>
      <c r="J67" s="58">
        <f>SUM(D67:I67)</f>
        <v>2</v>
      </c>
      <c r="K67" s="7" t="s">
        <v>1025</v>
      </c>
      <c r="L67" s="31" t="s">
        <v>1175</v>
      </c>
      <c r="M67" s="30" t="s">
        <v>1174</v>
      </c>
      <c r="N67" s="30" t="s">
        <v>1174</v>
      </c>
      <c r="O67" s="30" t="s">
        <v>1174</v>
      </c>
      <c r="P67" s="30" t="s">
        <v>1174</v>
      </c>
      <c r="Q67" s="30" t="s">
        <v>1174</v>
      </c>
      <c r="R67" s="30" t="s">
        <v>1174</v>
      </c>
      <c r="S67" s="30" t="s">
        <v>1174</v>
      </c>
      <c r="T67" s="30" t="s">
        <v>1174</v>
      </c>
      <c r="U67" s="30" t="s">
        <v>1174</v>
      </c>
      <c r="V67" s="59" t="s">
        <v>1174</v>
      </c>
      <c r="W67" s="29" t="s">
        <v>1025</v>
      </c>
      <c r="X67" s="15" t="s">
        <v>16</v>
      </c>
      <c r="Y67" s="11" t="s">
        <v>670</v>
      </c>
    </row>
    <row r="68" spans="1:26">
      <c r="A68" s="100">
        <v>66</v>
      </c>
      <c r="B68" s="93">
        <v>111</v>
      </c>
      <c r="C68" s="47" t="s">
        <v>2063</v>
      </c>
      <c r="D68" s="38">
        <v>0</v>
      </c>
      <c r="E68" s="38">
        <v>0</v>
      </c>
      <c r="F68" s="38">
        <v>0</v>
      </c>
      <c r="G68" s="38">
        <v>0</v>
      </c>
      <c r="H68" s="38">
        <v>1</v>
      </c>
      <c r="I68" s="38">
        <v>1</v>
      </c>
      <c r="J68" s="58">
        <f>SUM(D68:I68)</f>
        <v>2</v>
      </c>
      <c r="K68" s="7" t="s">
        <v>1025</v>
      </c>
      <c r="L68" s="31" t="s">
        <v>1175</v>
      </c>
      <c r="M68" s="30" t="s">
        <v>1174</v>
      </c>
      <c r="N68" s="30" t="s">
        <v>1174</v>
      </c>
      <c r="O68" s="30" t="s">
        <v>1174</v>
      </c>
      <c r="P68" s="30" t="s">
        <v>1174</v>
      </c>
      <c r="Q68" s="31" t="s">
        <v>1175</v>
      </c>
      <c r="R68" s="30" t="s">
        <v>1174</v>
      </c>
      <c r="S68" s="30" t="s">
        <v>1174</v>
      </c>
      <c r="T68" s="30" t="s">
        <v>1174</v>
      </c>
      <c r="U68" s="32" t="s">
        <v>1175</v>
      </c>
      <c r="V68" s="61" t="s">
        <v>2198</v>
      </c>
      <c r="W68" s="29" t="s">
        <v>1025</v>
      </c>
      <c r="X68" s="14"/>
      <c r="Y68" s="11" t="s">
        <v>670</v>
      </c>
    </row>
    <row r="69" spans="1:26" s="5" customFormat="1">
      <c r="A69" s="100">
        <v>67</v>
      </c>
      <c r="B69" s="93">
        <v>112</v>
      </c>
      <c r="C69" s="47" t="s">
        <v>2064</v>
      </c>
      <c r="D69" s="38">
        <v>0</v>
      </c>
      <c r="E69" s="38">
        <v>0</v>
      </c>
      <c r="F69" s="38">
        <v>0</v>
      </c>
      <c r="G69" s="38">
        <v>0</v>
      </c>
      <c r="H69" s="38">
        <v>1</v>
      </c>
      <c r="I69" s="38">
        <v>1</v>
      </c>
      <c r="J69" s="58">
        <f>SUM(D69:I69)</f>
        <v>2</v>
      </c>
      <c r="K69" s="7" t="s">
        <v>1025</v>
      </c>
      <c r="L69" s="31" t="s">
        <v>1175</v>
      </c>
      <c r="M69" s="30" t="s">
        <v>1174</v>
      </c>
      <c r="N69" s="30" t="s">
        <v>1174</v>
      </c>
      <c r="O69" s="30" t="s">
        <v>1174</v>
      </c>
      <c r="P69" s="30" t="s">
        <v>1174</v>
      </c>
      <c r="Q69" s="30" t="s">
        <v>1174</v>
      </c>
      <c r="R69" s="30" t="s">
        <v>1174</v>
      </c>
      <c r="S69" s="30" t="s">
        <v>1174</v>
      </c>
      <c r="T69" s="30" t="s">
        <v>1174</v>
      </c>
      <c r="U69" s="30" t="s">
        <v>1174</v>
      </c>
      <c r="V69" s="59" t="s">
        <v>1174</v>
      </c>
      <c r="W69" s="29" t="s">
        <v>1025</v>
      </c>
      <c r="X69"/>
      <c r="Y69" s="11" t="s">
        <v>670</v>
      </c>
      <c r="Z69"/>
    </row>
    <row r="70" spans="1:26">
      <c r="A70" s="100">
        <v>68</v>
      </c>
      <c r="B70" s="93">
        <v>113</v>
      </c>
      <c r="C70" s="47" t="s">
        <v>2065</v>
      </c>
      <c r="D70" s="38">
        <v>0</v>
      </c>
      <c r="E70" s="38">
        <v>0</v>
      </c>
      <c r="F70" s="38">
        <v>0</v>
      </c>
      <c r="G70" s="38">
        <v>0</v>
      </c>
      <c r="H70" s="38">
        <v>1</v>
      </c>
      <c r="I70" s="38">
        <v>1</v>
      </c>
      <c r="J70" s="58">
        <f>SUM(D70:I70)</f>
        <v>2</v>
      </c>
      <c r="K70" s="7" t="s">
        <v>1025</v>
      </c>
      <c r="L70" s="31" t="s">
        <v>1175</v>
      </c>
      <c r="M70" s="30" t="s">
        <v>1174</v>
      </c>
      <c r="N70" s="30" t="s">
        <v>1174</v>
      </c>
      <c r="O70" s="30" t="s">
        <v>1174</v>
      </c>
      <c r="P70" s="30" t="s">
        <v>1174</v>
      </c>
      <c r="Q70" s="30" t="s">
        <v>1174</v>
      </c>
      <c r="R70" s="30" t="s">
        <v>1174</v>
      </c>
      <c r="S70" s="30" t="s">
        <v>1174</v>
      </c>
      <c r="T70" s="30" t="s">
        <v>1174</v>
      </c>
      <c r="U70" s="32" t="s">
        <v>1175</v>
      </c>
      <c r="V70" s="61" t="s">
        <v>2199</v>
      </c>
      <c r="W70" s="29" t="s">
        <v>1025</v>
      </c>
      <c r="X70" s="15" t="s">
        <v>16</v>
      </c>
      <c r="Y70" s="11" t="s">
        <v>670</v>
      </c>
    </row>
    <row r="71" spans="1:26" s="5" customFormat="1">
      <c r="A71" s="100">
        <v>69</v>
      </c>
      <c r="B71" s="93">
        <v>114</v>
      </c>
      <c r="C71" s="47" t="s">
        <v>2066</v>
      </c>
      <c r="D71" s="38">
        <v>0</v>
      </c>
      <c r="E71" s="38">
        <v>0</v>
      </c>
      <c r="F71" s="38">
        <v>0</v>
      </c>
      <c r="G71" s="38">
        <v>0</v>
      </c>
      <c r="H71" s="38">
        <v>1</v>
      </c>
      <c r="I71" s="38">
        <v>1</v>
      </c>
      <c r="J71" s="58">
        <f>SUM(D71:I71)</f>
        <v>2</v>
      </c>
      <c r="K71" s="7" t="s">
        <v>1025</v>
      </c>
      <c r="L71" s="30" t="s">
        <v>1174</v>
      </c>
      <c r="M71" s="30" t="s">
        <v>1174</v>
      </c>
      <c r="N71" s="31" t="s">
        <v>1175</v>
      </c>
      <c r="O71" s="30" t="s">
        <v>1174</v>
      </c>
      <c r="P71" s="30" t="s">
        <v>1174</v>
      </c>
      <c r="Q71" s="30" t="s">
        <v>1174</v>
      </c>
      <c r="R71" s="30" t="s">
        <v>1174</v>
      </c>
      <c r="S71" s="30" t="s">
        <v>1174</v>
      </c>
      <c r="T71" s="30" t="s">
        <v>1174</v>
      </c>
      <c r="U71" s="30" t="s">
        <v>1174</v>
      </c>
      <c r="V71" s="59" t="s">
        <v>1174</v>
      </c>
      <c r="W71" s="29" t="s">
        <v>1025</v>
      </c>
      <c r="X71" s="15" t="s">
        <v>16</v>
      </c>
      <c r="Y71" s="11" t="s">
        <v>670</v>
      </c>
      <c r="Z71"/>
    </row>
    <row r="72" spans="1:26">
      <c r="A72" s="100">
        <v>70</v>
      </c>
      <c r="B72" s="93">
        <v>115</v>
      </c>
      <c r="C72" s="47" t="s">
        <v>2067</v>
      </c>
      <c r="D72" s="38">
        <v>1</v>
      </c>
      <c r="E72" s="38">
        <v>0</v>
      </c>
      <c r="F72" s="38">
        <v>0</v>
      </c>
      <c r="G72" s="38">
        <v>0</v>
      </c>
      <c r="H72" s="38">
        <v>1</v>
      </c>
      <c r="I72" s="38">
        <v>1</v>
      </c>
      <c r="J72" s="58">
        <f>SUM(D72:I72)</f>
        <v>3</v>
      </c>
      <c r="K72" s="7" t="s">
        <v>1025</v>
      </c>
      <c r="L72" s="31" t="s">
        <v>1175</v>
      </c>
      <c r="M72" s="31" t="s">
        <v>1175</v>
      </c>
      <c r="N72" s="31" t="s">
        <v>1175</v>
      </c>
      <c r="O72" s="31" t="s">
        <v>1175</v>
      </c>
      <c r="P72" s="30" t="s">
        <v>1174</v>
      </c>
      <c r="Q72" s="30" t="s">
        <v>1174</v>
      </c>
      <c r="R72" s="30" t="s">
        <v>1174</v>
      </c>
      <c r="S72" s="30" t="s">
        <v>1174</v>
      </c>
      <c r="T72" s="30" t="s">
        <v>1174</v>
      </c>
      <c r="U72" s="30" t="s">
        <v>1174</v>
      </c>
      <c r="V72" s="59" t="s">
        <v>1174</v>
      </c>
      <c r="W72" s="29" t="s">
        <v>1025</v>
      </c>
      <c r="Y72" s="11" t="s">
        <v>670</v>
      </c>
    </row>
    <row r="73" spans="1:26">
      <c r="A73" s="100">
        <v>71</v>
      </c>
      <c r="B73" s="93">
        <v>116</v>
      </c>
      <c r="C73" s="47" t="s">
        <v>2068</v>
      </c>
      <c r="D73" s="38">
        <v>0</v>
      </c>
      <c r="E73" s="38">
        <v>0</v>
      </c>
      <c r="F73" s="38">
        <v>0</v>
      </c>
      <c r="G73" s="38">
        <v>0</v>
      </c>
      <c r="H73" s="38">
        <v>0</v>
      </c>
      <c r="I73" s="38">
        <v>1</v>
      </c>
      <c r="J73" s="58">
        <f>SUM(D73:I73)</f>
        <v>1</v>
      </c>
      <c r="K73" s="7" t="s">
        <v>1025</v>
      </c>
      <c r="L73" s="31" t="s">
        <v>1175</v>
      </c>
      <c r="M73" s="30" t="s">
        <v>1174</v>
      </c>
      <c r="N73" s="30" t="s">
        <v>1174</v>
      </c>
      <c r="O73" s="31" t="s">
        <v>1175</v>
      </c>
      <c r="P73" s="30" t="s">
        <v>1174</v>
      </c>
      <c r="Q73" s="31" t="s">
        <v>1175</v>
      </c>
      <c r="R73" s="30" t="s">
        <v>1174</v>
      </c>
      <c r="S73" s="30" t="s">
        <v>1174</v>
      </c>
      <c r="T73" s="30" t="s">
        <v>1174</v>
      </c>
      <c r="U73" s="30" t="s">
        <v>1174</v>
      </c>
      <c r="V73" s="59" t="s">
        <v>1174</v>
      </c>
      <c r="W73" s="29" t="s">
        <v>1025</v>
      </c>
      <c r="X73" s="15" t="s">
        <v>503</v>
      </c>
      <c r="Y73" s="11" t="s">
        <v>670</v>
      </c>
    </row>
    <row r="74" spans="1:26">
      <c r="A74" s="100">
        <v>72</v>
      </c>
      <c r="B74" s="93">
        <v>117</v>
      </c>
      <c r="C74" s="47" t="s">
        <v>2069</v>
      </c>
      <c r="D74" s="38">
        <v>0</v>
      </c>
      <c r="E74" s="38">
        <v>0</v>
      </c>
      <c r="F74" s="38">
        <v>0</v>
      </c>
      <c r="G74" s="38">
        <v>0</v>
      </c>
      <c r="H74" s="38">
        <v>0</v>
      </c>
      <c r="I74" s="38">
        <v>1</v>
      </c>
      <c r="J74" s="58">
        <f>SUM(D74:I74)</f>
        <v>1</v>
      </c>
      <c r="K74" s="7" t="s">
        <v>1025</v>
      </c>
      <c r="L74" s="31" t="s">
        <v>1175</v>
      </c>
      <c r="M74" s="30" t="s">
        <v>1174</v>
      </c>
      <c r="N74" s="30" t="s">
        <v>1174</v>
      </c>
      <c r="O74" s="30" t="s">
        <v>1174</v>
      </c>
      <c r="P74" s="30" t="s">
        <v>1174</v>
      </c>
      <c r="Q74" s="30" t="s">
        <v>1174</v>
      </c>
      <c r="R74" s="30" t="s">
        <v>1174</v>
      </c>
      <c r="S74" s="30" t="s">
        <v>1174</v>
      </c>
      <c r="T74" s="30" t="s">
        <v>1174</v>
      </c>
      <c r="U74" s="30" t="s">
        <v>1174</v>
      </c>
      <c r="V74" s="59" t="s">
        <v>1174</v>
      </c>
      <c r="W74" s="29" t="s">
        <v>1025</v>
      </c>
      <c r="Y74" s="11" t="s">
        <v>670</v>
      </c>
    </row>
    <row r="75" spans="1:26">
      <c r="A75" s="100">
        <v>73</v>
      </c>
      <c r="B75" s="93">
        <v>118</v>
      </c>
      <c r="C75" s="47" t="s">
        <v>2070</v>
      </c>
      <c r="D75" s="38">
        <v>1</v>
      </c>
      <c r="E75" s="38">
        <v>0</v>
      </c>
      <c r="F75" s="38">
        <v>0</v>
      </c>
      <c r="G75" s="38">
        <v>0</v>
      </c>
      <c r="H75" s="38">
        <v>0</v>
      </c>
      <c r="I75" s="38">
        <v>1</v>
      </c>
      <c r="J75" s="58">
        <f>SUM(D75:I75)</f>
        <v>2</v>
      </c>
      <c r="K75" s="7" t="s">
        <v>1025</v>
      </c>
      <c r="L75" s="31" t="s">
        <v>1175</v>
      </c>
      <c r="M75" s="31" t="s">
        <v>1175</v>
      </c>
      <c r="N75" s="31" t="s">
        <v>1175</v>
      </c>
      <c r="O75" s="30" t="s">
        <v>1174</v>
      </c>
      <c r="P75" s="30" t="s">
        <v>1174</v>
      </c>
      <c r="Q75" s="30" t="s">
        <v>1174</v>
      </c>
      <c r="R75" s="30" t="s">
        <v>1174</v>
      </c>
      <c r="S75" s="30" t="s">
        <v>1174</v>
      </c>
      <c r="T75" s="30" t="s">
        <v>1174</v>
      </c>
      <c r="U75" s="30" t="s">
        <v>1174</v>
      </c>
      <c r="V75" s="59" t="s">
        <v>1174</v>
      </c>
      <c r="W75" s="29" t="s">
        <v>1025</v>
      </c>
      <c r="Y75" s="11" t="s">
        <v>670</v>
      </c>
    </row>
    <row r="76" spans="1:26">
      <c r="A76" s="100">
        <v>74</v>
      </c>
      <c r="B76" s="93">
        <v>119</v>
      </c>
      <c r="C76" s="47" t="s">
        <v>2071</v>
      </c>
      <c r="D76" s="38">
        <v>0</v>
      </c>
      <c r="E76" s="38">
        <v>0</v>
      </c>
      <c r="F76" s="38">
        <v>0</v>
      </c>
      <c r="G76" s="38">
        <v>0</v>
      </c>
      <c r="H76" s="38">
        <v>1</v>
      </c>
      <c r="I76" s="38">
        <v>1</v>
      </c>
      <c r="J76" s="58">
        <f>SUM(D76:I76)</f>
        <v>2</v>
      </c>
      <c r="K76" s="7" t="s">
        <v>1025</v>
      </c>
      <c r="L76" s="31" t="s">
        <v>1175</v>
      </c>
      <c r="M76" s="30" t="s">
        <v>1174</v>
      </c>
      <c r="N76" s="30" t="s">
        <v>1174</v>
      </c>
      <c r="O76" s="30" t="s">
        <v>1174</v>
      </c>
      <c r="P76" s="30" t="s">
        <v>1174</v>
      </c>
      <c r="Q76" s="30" t="s">
        <v>1174</v>
      </c>
      <c r="R76" s="30" t="s">
        <v>1174</v>
      </c>
      <c r="S76" s="30" t="s">
        <v>1174</v>
      </c>
      <c r="T76" s="30" t="s">
        <v>1174</v>
      </c>
      <c r="U76" s="30" t="s">
        <v>1174</v>
      </c>
      <c r="V76" s="59" t="s">
        <v>1174</v>
      </c>
      <c r="W76" s="29" t="s">
        <v>1025</v>
      </c>
      <c r="X76" s="15" t="s">
        <v>523</v>
      </c>
      <c r="Y76" s="11" t="s">
        <v>670</v>
      </c>
    </row>
    <row r="77" spans="1:26">
      <c r="A77" s="100">
        <v>75</v>
      </c>
      <c r="B77" s="93">
        <v>120</v>
      </c>
      <c r="C77" s="47" t="s">
        <v>2072</v>
      </c>
      <c r="D77" s="38">
        <v>0</v>
      </c>
      <c r="E77" s="38">
        <v>0</v>
      </c>
      <c r="F77" s="38">
        <v>1</v>
      </c>
      <c r="G77" s="38">
        <v>1</v>
      </c>
      <c r="H77" s="38">
        <v>0</v>
      </c>
      <c r="I77" s="38">
        <v>1</v>
      </c>
      <c r="J77" s="58">
        <f>SUM(D77:I77)</f>
        <v>3</v>
      </c>
      <c r="K77" s="29" t="s">
        <v>1674</v>
      </c>
      <c r="L77" s="31" t="s">
        <v>1175</v>
      </c>
      <c r="M77" s="30" t="s">
        <v>1174</v>
      </c>
      <c r="N77" s="30" t="s">
        <v>1174</v>
      </c>
      <c r="O77" s="30" t="s">
        <v>1174</v>
      </c>
      <c r="P77" s="31" t="s">
        <v>1175</v>
      </c>
      <c r="Q77" s="30" t="s">
        <v>1174</v>
      </c>
      <c r="R77" s="30" t="s">
        <v>1174</v>
      </c>
      <c r="S77" s="30" t="s">
        <v>1174</v>
      </c>
      <c r="T77" s="30" t="s">
        <v>1174</v>
      </c>
      <c r="U77" s="30" t="s">
        <v>1174</v>
      </c>
      <c r="V77" s="59" t="s">
        <v>1174</v>
      </c>
      <c r="W77" s="29" t="s">
        <v>9</v>
      </c>
      <c r="X77" s="15" t="s">
        <v>527</v>
      </c>
      <c r="Y77" s="11" t="s">
        <v>675</v>
      </c>
    </row>
    <row r="78" spans="1:26">
      <c r="A78" s="100">
        <v>76</v>
      </c>
      <c r="B78" s="93">
        <v>121</v>
      </c>
      <c r="C78" s="47" t="s">
        <v>2073</v>
      </c>
      <c r="D78" s="38">
        <v>0</v>
      </c>
      <c r="E78" s="38">
        <v>0</v>
      </c>
      <c r="F78" s="38">
        <v>0</v>
      </c>
      <c r="G78" s="38">
        <v>0</v>
      </c>
      <c r="H78" s="38">
        <v>1</v>
      </c>
      <c r="I78" s="38">
        <v>1</v>
      </c>
      <c r="J78" s="58">
        <f>SUM(D78:I78)</f>
        <v>2</v>
      </c>
      <c r="K78" s="7" t="s">
        <v>1025</v>
      </c>
      <c r="L78" s="30" t="s">
        <v>1174</v>
      </c>
      <c r="M78" s="31" t="s">
        <v>1175</v>
      </c>
      <c r="N78" s="30" t="s">
        <v>1174</v>
      </c>
      <c r="O78" s="30" t="s">
        <v>1174</v>
      </c>
      <c r="P78" s="30" t="s">
        <v>1174</v>
      </c>
      <c r="Q78" s="30" t="s">
        <v>1174</v>
      </c>
      <c r="R78" s="30" t="s">
        <v>1174</v>
      </c>
      <c r="S78" s="30" t="s">
        <v>1174</v>
      </c>
      <c r="T78" s="30" t="s">
        <v>1174</v>
      </c>
      <c r="U78" s="30" t="s">
        <v>1174</v>
      </c>
      <c r="V78" s="59" t="s">
        <v>1174</v>
      </c>
      <c r="W78" s="29" t="s">
        <v>1025</v>
      </c>
      <c r="X78" s="15" t="s">
        <v>533</v>
      </c>
      <c r="Y78" s="11" t="s">
        <v>670</v>
      </c>
    </row>
    <row r="79" spans="1:26">
      <c r="A79" s="100">
        <v>77</v>
      </c>
      <c r="B79" s="93">
        <v>122</v>
      </c>
      <c r="C79" s="47" t="s">
        <v>2074</v>
      </c>
      <c r="D79" s="38">
        <v>0</v>
      </c>
      <c r="E79" s="38">
        <v>0</v>
      </c>
      <c r="F79" s="38">
        <v>0</v>
      </c>
      <c r="G79" s="38">
        <v>0</v>
      </c>
      <c r="H79" s="38">
        <v>1</v>
      </c>
      <c r="I79" s="38">
        <v>1</v>
      </c>
      <c r="J79" s="58">
        <f>SUM(D79:I79)</f>
        <v>2</v>
      </c>
      <c r="K79" s="7" t="s">
        <v>1025</v>
      </c>
      <c r="L79" s="31" t="s">
        <v>1175</v>
      </c>
      <c r="M79" s="30" t="s">
        <v>1174</v>
      </c>
      <c r="N79" s="30" t="s">
        <v>1174</v>
      </c>
      <c r="O79" s="30" t="s">
        <v>1174</v>
      </c>
      <c r="P79" s="30" t="s">
        <v>1174</v>
      </c>
      <c r="Q79" s="30" t="s">
        <v>1174</v>
      </c>
      <c r="R79" s="30" t="s">
        <v>1174</v>
      </c>
      <c r="S79" s="30" t="s">
        <v>1174</v>
      </c>
      <c r="T79" s="30" t="s">
        <v>1174</v>
      </c>
      <c r="U79" s="30" t="s">
        <v>1174</v>
      </c>
      <c r="V79" s="59" t="s">
        <v>1174</v>
      </c>
      <c r="W79" s="29" t="s">
        <v>1025</v>
      </c>
      <c r="Y79" s="11" t="s">
        <v>670</v>
      </c>
    </row>
    <row r="80" spans="1:26">
      <c r="A80" s="100">
        <v>78</v>
      </c>
      <c r="B80" s="93">
        <v>123</v>
      </c>
      <c r="C80" s="47" t="s">
        <v>2075</v>
      </c>
      <c r="D80" s="38">
        <v>0</v>
      </c>
      <c r="E80" s="38">
        <v>0</v>
      </c>
      <c r="F80" s="38">
        <v>0</v>
      </c>
      <c r="G80" s="38">
        <v>0</v>
      </c>
      <c r="H80" s="38">
        <v>1</v>
      </c>
      <c r="I80" s="38">
        <v>1</v>
      </c>
      <c r="J80" s="58">
        <f>SUM(D80:I80)</f>
        <v>2</v>
      </c>
      <c r="K80" s="7" t="s">
        <v>1025</v>
      </c>
      <c r="L80" s="31" t="s">
        <v>1175</v>
      </c>
      <c r="M80" s="30" t="s">
        <v>1174</v>
      </c>
      <c r="N80" s="30" t="s">
        <v>1174</v>
      </c>
      <c r="O80" s="30" t="s">
        <v>1174</v>
      </c>
      <c r="P80" s="30" t="s">
        <v>1174</v>
      </c>
      <c r="Q80" s="30" t="s">
        <v>1174</v>
      </c>
      <c r="R80" s="30" t="s">
        <v>1174</v>
      </c>
      <c r="S80" s="30" t="s">
        <v>1174</v>
      </c>
      <c r="T80" s="30" t="s">
        <v>1174</v>
      </c>
      <c r="U80" s="30" t="s">
        <v>1174</v>
      </c>
      <c r="V80" s="59" t="s">
        <v>1174</v>
      </c>
      <c r="W80" s="29" t="s">
        <v>1025</v>
      </c>
      <c r="Y80" s="11" t="s">
        <v>670</v>
      </c>
    </row>
    <row r="81" spans="1:26">
      <c r="A81" s="100">
        <v>79</v>
      </c>
      <c r="B81" s="93">
        <v>124</v>
      </c>
      <c r="C81" s="47" t="s">
        <v>2076</v>
      </c>
      <c r="D81" s="38">
        <v>0</v>
      </c>
      <c r="E81" s="38">
        <v>0</v>
      </c>
      <c r="F81" s="38">
        <v>0</v>
      </c>
      <c r="G81" s="38">
        <v>0</v>
      </c>
      <c r="H81" s="38">
        <v>1</v>
      </c>
      <c r="I81" s="38">
        <v>1</v>
      </c>
      <c r="J81" s="58">
        <f>SUM(D81:I81)</f>
        <v>2</v>
      </c>
      <c r="K81" s="7" t="s">
        <v>1025</v>
      </c>
      <c r="L81" s="31" t="s">
        <v>1175</v>
      </c>
      <c r="M81" s="30" t="s">
        <v>1174</v>
      </c>
      <c r="N81" s="30" t="s">
        <v>1174</v>
      </c>
      <c r="O81" s="31" t="s">
        <v>1175</v>
      </c>
      <c r="P81" s="30" t="s">
        <v>1174</v>
      </c>
      <c r="Q81" s="30" t="s">
        <v>1174</v>
      </c>
      <c r="R81" s="30" t="s">
        <v>1174</v>
      </c>
      <c r="S81" s="30" t="s">
        <v>1174</v>
      </c>
      <c r="T81" s="30" t="s">
        <v>1174</v>
      </c>
      <c r="U81" s="30" t="s">
        <v>1174</v>
      </c>
      <c r="V81" s="59" t="s">
        <v>1174</v>
      </c>
      <c r="W81" s="29" t="s">
        <v>136</v>
      </c>
      <c r="X81" s="29" t="s">
        <v>674</v>
      </c>
      <c r="Y81" s="11" t="s">
        <v>670</v>
      </c>
      <c r="Z81" s="5"/>
    </row>
    <row r="82" spans="1:26">
      <c r="A82" s="100">
        <v>80</v>
      </c>
      <c r="B82" s="93">
        <v>125</v>
      </c>
      <c r="C82" s="47" t="s">
        <v>2077</v>
      </c>
      <c r="D82" s="38">
        <v>0</v>
      </c>
      <c r="E82" s="38">
        <v>0</v>
      </c>
      <c r="F82" s="38">
        <v>0</v>
      </c>
      <c r="G82" s="38">
        <v>0</v>
      </c>
      <c r="H82" s="38">
        <v>1</v>
      </c>
      <c r="I82" s="38">
        <v>1</v>
      </c>
      <c r="J82" s="58">
        <f>SUM(D82:I82)</f>
        <v>2</v>
      </c>
      <c r="K82" s="7" t="s">
        <v>1025</v>
      </c>
      <c r="L82" s="31" t="s">
        <v>1175</v>
      </c>
      <c r="M82" s="30" t="s">
        <v>1174</v>
      </c>
      <c r="N82" s="30" t="s">
        <v>1174</v>
      </c>
      <c r="O82" s="30" t="s">
        <v>1174</v>
      </c>
      <c r="P82" s="30" t="s">
        <v>1174</v>
      </c>
      <c r="Q82" s="30" t="s">
        <v>1174</v>
      </c>
      <c r="R82" s="30" t="s">
        <v>1174</v>
      </c>
      <c r="S82" s="30" t="s">
        <v>1174</v>
      </c>
      <c r="T82" s="30" t="s">
        <v>1174</v>
      </c>
      <c r="U82" s="30" t="s">
        <v>1174</v>
      </c>
      <c r="V82" s="59" t="s">
        <v>1174</v>
      </c>
      <c r="W82" s="29" t="s">
        <v>1025</v>
      </c>
      <c r="X82" s="15" t="s">
        <v>136</v>
      </c>
      <c r="Y82" s="11" t="s">
        <v>670</v>
      </c>
    </row>
    <row r="83" spans="1:26">
      <c r="A83" s="100">
        <v>81</v>
      </c>
      <c r="B83" s="93">
        <v>126</v>
      </c>
      <c r="C83" s="47" t="s">
        <v>2078</v>
      </c>
      <c r="D83" s="38">
        <v>0</v>
      </c>
      <c r="E83" s="38">
        <v>0</v>
      </c>
      <c r="F83" s="38">
        <v>0</v>
      </c>
      <c r="G83" s="38">
        <v>0</v>
      </c>
      <c r="H83" s="38">
        <v>1</v>
      </c>
      <c r="I83" s="38">
        <v>1</v>
      </c>
      <c r="J83" s="58">
        <f>SUM(D83:I83)</f>
        <v>2</v>
      </c>
      <c r="K83" s="7" t="s">
        <v>1025</v>
      </c>
      <c r="L83" s="31" t="s">
        <v>1175</v>
      </c>
      <c r="M83" s="30" t="s">
        <v>1174</v>
      </c>
      <c r="N83" s="30" t="s">
        <v>1174</v>
      </c>
      <c r="O83" s="31" t="s">
        <v>1175</v>
      </c>
      <c r="P83" s="30" t="s">
        <v>1174</v>
      </c>
      <c r="Q83" s="30" t="s">
        <v>1174</v>
      </c>
      <c r="R83" s="30" t="s">
        <v>1174</v>
      </c>
      <c r="S83" s="30" t="s">
        <v>1174</v>
      </c>
      <c r="T83" s="30" t="s">
        <v>1174</v>
      </c>
      <c r="U83" s="30" t="s">
        <v>1174</v>
      </c>
      <c r="V83" s="59" t="s">
        <v>1174</v>
      </c>
      <c r="W83" s="29" t="s">
        <v>1025</v>
      </c>
      <c r="Y83" s="11" t="s">
        <v>670</v>
      </c>
    </row>
    <row r="84" spans="1:26" s="5" customFormat="1">
      <c r="A84" s="100">
        <v>82</v>
      </c>
      <c r="B84" s="93">
        <v>127</v>
      </c>
      <c r="C84" s="47" t="s">
        <v>2079</v>
      </c>
      <c r="D84" s="38">
        <v>0</v>
      </c>
      <c r="E84" s="38">
        <v>0</v>
      </c>
      <c r="F84" s="38">
        <v>1</v>
      </c>
      <c r="G84" s="38">
        <v>0</v>
      </c>
      <c r="H84" s="38">
        <v>0</v>
      </c>
      <c r="I84" s="38">
        <v>1</v>
      </c>
      <c r="J84" s="58">
        <f>SUM(D84:I84)</f>
        <v>2</v>
      </c>
      <c r="K84" s="7" t="s">
        <v>1025</v>
      </c>
      <c r="L84" s="31" t="s">
        <v>1175</v>
      </c>
      <c r="M84" s="30" t="s">
        <v>1174</v>
      </c>
      <c r="N84" s="30" t="s">
        <v>1174</v>
      </c>
      <c r="O84" s="31" t="s">
        <v>1175</v>
      </c>
      <c r="P84" s="30" t="s">
        <v>1174</v>
      </c>
      <c r="Q84" s="30" t="s">
        <v>1174</v>
      </c>
      <c r="R84" s="30" t="s">
        <v>1174</v>
      </c>
      <c r="S84" s="30" t="s">
        <v>1174</v>
      </c>
      <c r="T84" s="30" t="s">
        <v>1174</v>
      </c>
      <c r="U84" s="30" t="s">
        <v>1174</v>
      </c>
      <c r="V84" s="59" t="s">
        <v>1174</v>
      </c>
      <c r="W84" s="29" t="s">
        <v>1025</v>
      </c>
      <c r="X84" s="15" t="s">
        <v>562</v>
      </c>
      <c r="Y84" s="11" t="s">
        <v>670</v>
      </c>
      <c r="Z84"/>
    </row>
    <row r="85" spans="1:26">
      <c r="A85" s="100">
        <v>83</v>
      </c>
      <c r="B85" s="93">
        <v>128</v>
      </c>
      <c r="C85" s="47" t="s">
        <v>2083</v>
      </c>
      <c r="D85" s="38">
        <v>0</v>
      </c>
      <c r="E85" s="38">
        <v>0</v>
      </c>
      <c r="F85" s="38">
        <v>0</v>
      </c>
      <c r="G85" s="38">
        <v>0</v>
      </c>
      <c r="H85" s="38">
        <v>1</v>
      </c>
      <c r="I85" s="38">
        <v>1</v>
      </c>
      <c r="J85" s="58">
        <f>SUM(D85:I85)</f>
        <v>2</v>
      </c>
      <c r="K85" s="7" t="s">
        <v>1025</v>
      </c>
      <c r="L85" s="31" t="s">
        <v>1175</v>
      </c>
      <c r="M85" s="30" t="s">
        <v>1174</v>
      </c>
      <c r="N85" s="30" t="s">
        <v>1174</v>
      </c>
      <c r="O85" s="31" t="s">
        <v>1175</v>
      </c>
      <c r="P85" s="30" t="s">
        <v>1174</v>
      </c>
      <c r="Q85" s="30" t="s">
        <v>1174</v>
      </c>
      <c r="R85" s="30" t="s">
        <v>1174</v>
      </c>
      <c r="S85" s="30" t="s">
        <v>1174</v>
      </c>
      <c r="T85" s="30" t="s">
        <v>1174</v>
      </c>
      <c r="U85" s="30" t="s">
        <v>1174</v>
      </c>
      <c r="V85" s="59" t="s">
        <v>1174</v>
      </c>
      <c r="W85" s="29" t="s">
        <v>1025</v>
      </c>
      <c r="X85" s="15" t="s">
        <v>409</v>
      </c>
      <c r="Y85" s="11" t="s">
        <v>670</v>
      </c>
    </row>
    <row r="86" spans="1:26">
      <c r="A86" s="100">
        <v>84</v>
      </c>
      <c r="B86" s="93">
        <v>129</v>
      </c>
      <c r="C86" s="47" t="s">
        <v>2084</v>
      </c>
      <c r="D86" s="38">
        <v>0</v>
      </c>
      <c r="E86" s="38">
        <v>0</v>
      </c>
      <c r="F86" s="38">
        <v>0</v>
      </c>
      <c r="G86" s="38">
        <v>0</v>
      </c>
      <c r="H86" s="38">
        <v>1</v>
      </c>
      <c r="I86" s="38">
        <v>1</v>
      </c>
      <c r="J86" s="58">
        <f>SUM(D86:I86)</f>
        <v>2</v>
      </c>
      <c r="K86" s="7" t="s">
        <v>1025</v>
      </c>
      <c r="L86" s="38" t="s">
        <v>1175</v>
      </c>
      <c r="M86" s="39" t="s">
        <v>1174</v>
      </c>
      <c r="N86" s="39" t="s">
        <v>1174</v>
      </c>
      <c r="O86" s="39" t="s">
        <v>1174</v>
      </c>
      <c r="P86" s="39" t="s">
        <v>1174</v>
      </c>
      <c r="Q86" s="38" t="s">
        <v>1175</v>
      </c>
      <c r="R86" s="39" t="s">
        <v>1174</v>
      </c>
      <c r="S86" s="39" t="s">
        <v>1174</v>
      </c>
      <c r="T86" s="39" t="s">
        <v>1174</v>
      </c>
      <c r="U86" s="39" t="s">
        <v>1174</v>
      </c>
      <c r="V86" s="59" t="s">
        <v>1174</v>
      </c>
      <c r="W86" s="29" t="s">
        <v>9</v>
      </c>
      <c r="X86" s="29" t="s">
        <v>9</v>
      </c>
      <c r="Y86" s="11" t="s">
        <v>670</v>
      </c>
      <c r="Z86" s="5"/>
    </row>
    <row r="87" spans="1:26">
      <c r="A87" s="100">
        <v>85</v>
      </c>
      <c r="B87" s="93">
        <v>130</v>
      </c>
      <c r="C87" s="47" t="s">
        <v>2086</v>
      </c>
      <c r="D87" s="38">
        <v>0</v>
      </c>
      <c r="E87" s="38">
        <v>0</v>
      </c>
      <c r="F87" s="38">
        <v>0</v>
      </c>
      <c r="G87" s="38">
        <v>0</v>
      </c>
      <c r="H87" s="38">
        <v>0</v>
      </c>
      <c r="I87" s="38">
        <v>1</v>
      </c>
      <c r="J87" s="58">
        <f>SUM(D87:I87)</f>
        <v>1</v>
      </c>
      <c r="K87" s="7" t="s">
        <v>1025</v>
      </c>
      <c r="L87" s="31" t="s">
        <v>1175</v>
      </c>
      <c r="M87" s="30" t="s">
        <v>1174</v>
      </c>
      <c r="N87" s="30" t="s">
        <v>1174</v>
      </c>
      <c r="O87" s="31" t="s">
        <v>1175</v>
      </c>
      <c r="P87" s="30" t="s">
        <v>1174</v>
      </c>
      <c r="Q87" s="30" t="s">
        <v>1174</v>
      </c>
      <c r="R87" s="30" t="s">
        <v>1174</v>
      </c>
      <c r="S87" s="30" t="s">
        <v>1174</v>
      </c>
      <c r="T87" s="30" t="s">
        <v>1174</v>
      </c>
      <c r="U87" s="30" t="s">
        <v>1174</v>
      </c>
      <c r="V87" s="59" t="s">
        <v>1174</v>
      </c>
      <c r="W87" s="29" t="s">
        <v>1025</v>
      </c>
      <c r="X87" s="15" t="s">
        <v>15</v>
      </c>
      <c r="Y87" s="11" t="s">
        <v>670</v>
      </c>
    </row>
    <row r="88" spans="1:26">
      <c r="A88" s="100">
        <v>86</v>
      </c>
      <c r="B88" s="93">
        <v>131</v>
      </c>
      <c r="C88" s="47" t="s">
        <v>2087</v>
      </c>
      <c r="D88" s="38">
        <v>0</v>
      </c>
      <c r="E88" s="38">
        <v>0</v>
      </c>
      <c r="F88" s="38">
        <v>0</v>
      </c>
      <c r="G88" s="38">
        <v>0</v>
      </c>
      <c r="H88" s="38">
        <v>1</v>
      </c>
      <c r="I88" s="38">
        <v>1</v>
      </c>
      <c r="J88" s="58">
        <f>SUM(D88:I88)</f>
        <v>2</v>
      </c>
      <c r="K88" s="7" t="s">
        <v>1025</v>
      </c>
      <c r="L88" s="31" t="s">
        <v>1175</v>
      </c>
      <c r="M88" s="30" t="s">
        <v>1174</v>
      </c>
      <c r="N88" s="30" t="s">
        <v>1174</v>
      </c>
      <c r="O88" s="31" t="s">
        <v>1175</v>
      </c>
      <c r="P88" s="30" t="s">
        <v>1174</v>
      </c>
      <c r="Q88" s="30" t="s">
        <v>1174</v>
      </c>
      <c r="R88" s="30" t="s">
        <v>1174</v>
      </c>
      <c r="S88" s="30" t="s">
        <v>1174</v>
      </c>
      <c r="T88" s="30" t="s">
        <v>1174</v>
      </c>
      <c r="U88" s="32" t="s">
        <v>1176</v>
      </c>
      <c r="V88" s="61" t="s">
        <v>2200</v>
      </c>
      <c r="W88" s="29" t="s">
        <v>1025</v>
      </c>
      <c r="X88" s="15" t="s">
        <v>16</v>
      </c>
      <c r="Y88" s="11" t="s">
        <v>670</v>
      </c>
    </row>
    <row r="89" spans="1:26">
      <c r="A89" s="100">
        <v>87</v>
      </c>
      <c r="B89" s="93">
        <v>132</v>
      </c>
      <c r="C89" s="47" t="s">
        <v>2088</v>
      </c>
      <c r="D89" s="38">
        <v>0</v>
      </c>
      <c r="E89" s="38">
        <v>0</v>
      </c>
      <c r="F89" s="38">
        <v>0</v>
      </c>
      <c r="G89" s="38">
        <v>0</v>
      </c>
      <c r="H89" s="38">
        <v>1</v>
      </c>
      <c r="I89" s="38">
        <v>1</v>
      </c>
      <c r="J89" s="58">
        <f>SUM(D89:I89)</f>
        <v>2</v>
      </c>
      <c r="K89" s="7" t="s">
        <v>1025</v>
      </c>
      <c r="L89" s="31" t="s">
        <v>1175</v>
      </c>
      <c r="M89" s="30" t="s">
        <v>1174</v>
      </c>
      <c r="N89" s="30" t="s">
        <v>1174</v>
      </c>
      <c r="O89" s="31" t="s">
        <v>1175</v>
      </c>
      <c r="P89" s="30" t="s">
        <v>1174</v>
      </c>
      <c r="Q89" s="30" t="s">
        <v>1174</v>
      </c>
      <c r="R89" s="30" t="s">
        <v>1174</v>
      </c>
      <c r="S89" s="30" t="s">
        <v>1174</v>
      </c>
      <c r="T89" s="30" t="s">
        <v>1174</v>
      </c>
      <c r="U89" s="32" t="s">
        <v>1176</v>
      </c>
      <c r="V89" s="61" t="s">
        <v>2201</v>
      </c>
      <c r="W89" s="29" t="s">
        <v>1025</v>
      </c>
      <c r="X89" s="15" t="s">
        <v>16</v>
      </c>
      <c r="Y89" s="11" t="s">
        <v>670</v>
      </c>
    </row>
    <row r="90" spans="1:26">
      <c r="A90" s="100">
        <v>88</v>
      </c>
      <c r="B90" s="93">
        <v>133</v>
      </c>
      <c r="C90" s="47" t="s">
        <v>2089</v>
      </c>
      <c r="D90" s="38">
        <v>0</v>
      </c>
      <c r="E90" s="38">
        <v>0</v>
      </c>
      <c r="F90" s="38">
        <v>0</v>
      </c>
      <c r="G90" s="38">
        <v>0</v>
      </c>
      <c r="H90" s="38">
        <v>1</v>
      </c>
      <c r="I90" s="38">
        <v>1</v>
      </c>
      <c r="J90" s="58">
        <f>SUM(D90:I90)</f>
        <v>2</v>
      </c>
      <c r="K90" s="7" t="s">
        <v>1025</v>
      </c>
      <c r="L90" s="31" t="s">
        <v>1175</v>
      </c>
      <c r="M90" s="30" t="s">
        <v>1174</v>
      </c>
      <c r="N90" s="30" t="s">
        <v>1174</v>
      </c>
      <c r="O90" s="31" t="s">
        <v>1175</v>
      </c>
      <c r="P90" s="30" t="s">
        <v>1174</v>
      </c>
      <c r="Q90" s="30" t="s">
        <v>1174</v>
      </c>
      <c r="R90" s="30" t="s">
        <v>1174</v>
      </c>
      <c r="S90" s="30" t="s">
        <v>1174</v>
      </c>
      <c r="T90" s="30" t="s">
        <v>1174</v>
      </c>
      <c r="U90" s="30" t="s">
        <v>1174</v>
      </c>
      <c r="V90" s="59" t="s">
        <v>1174</v>
      </c>
      <c r="W90" s="29" t="s">
        <v>1025</v>
      </c>
      <c r="X90" s="15" t="s">
        <v>595</v>
      </c>
      <c r="Y90" s="11" t="s">
        <v>670</v>
      </c>
    </row>
    <row r="91" spans="1:26">
      <c r="A91" s="100">
        <v>89</v>
      </c>
      <c r="B91" s="93">
        <v>134</v>
      </c>
      <c r="C91" s="47" t="s">
        <v>2090</v>
      </c>
      <c r="D91" s="38">
        <v>0</v>
      </c>
      <c r="E91" s="38">
        <v>0</v>
      </c>
      <c r="F91" s="38">
        <v>0</v>
      </c>
      <c r="G91" s="38">
        <v>0</v>
      </c>
      <c r="H91" s="38">
        <v>0</v>
      </c>
      <c r="I91" s="38">
        <v>1</v>
      </c>
      <c r="J91" s="58">
        <f>SUM(D91:I91)</f>
        <v>1</v>
      </c>
      <c r="K91" s="7" t="s">
        <v>1025</v>
      </c>
      <c r="L91" s="31" t="s">
        <v>1175</v>
      </c>
      <c r="M91" s="30" t="s">
        <v>1174</v>
      </c>
      <c r="N91" s="30" t="s">
        <v>1174</v>
      </c>
      <c r="O91" s="30" t="s">
        <v>1174</v>
      </c>
      <c r="P91" s="30" t="s">
        <v>1174</v>
      </c>
      <c r="Q91" s="30" t="s">
        <v>1174</v>
      </c>
      <c r="R91" s="30" t="s">
        <v>1174</v>
      </c>
      <c r="S91" s="30" t="s">
        <v>1174</v>
      </c>
      <c r="T91" s="30" t="s">
        <v>1174</v>
      </c>
      <c r="U91" s="30" t="s">
        <v>1174</v>
      </c>
      <c r="V91" s="59" t="s">
        <v>1174</v>
      </c>
      <c r="W91" s="29" t="s">
        <v>1025</v>
      </c>
      <c r="X91" s="15" t="s">
        <v>16</v>
      </c>
      <c r="Y91" s="11" t="s">
        <v>670</v>
      </c>
    </row>
    <row r="92" spans="1:26">
      <c r="A92" s="100">
        <v>90</v>
      </c>
      <c r="B92" s="93">
        <v>135</v>
      </c>
      <c r="C92" s="47" t="s">
        <v>2091</v>
      </c>
      <c r="D92" s="38">
        <v>1</v>
      </c>
      <c r="E92" s="38">
        <v>0</v>
      </c>
      <c r="F92" s="38">
        <v>0</v>
      </c>
      <c r="G92" s="38">
        <v>0</v>
      </c>
      <c r="H92" s="38">
        <v>1</v>
      </c>
      <c r="I92" s="38">
        <v>1</v>
      </c>
      <c r="J92" s="58">
        <f>SUM(D92:I92)</f>
        <v>3</v>
      </c>
      <c r="K92" s="7" t="s">
        <v>1025</v>
      </c>
      <c r="L92" s="31" t="s">
        <v>1175</v>
      </c>
      <c r="M92" s="31" t="s">
        <v>1175</v>
      </c>
      <c r="N92" s="30" t="s">
        <v>1174</v>
      </c>
      <c r="O92" s="31" t="s">
        <v>1175</v>
      </c>
      <c r="P92" s="30" t="s">
        <v>1174</v>
      </c>
      <c r="Q92" s="30" t="s">
        <v>1174</v>
      </c>
      <c r="R92" s="30" t="s">
        <v>1174</v>
      </c>
      <c r="S92" s="30" t="s">
        <v>1174</v>
      </c>
      <c r="T92" s="30" t="s">
        <v>1174</v>
      </c>
      <c r="U92" s="32" t="s">
        <v>1175</v>
      </c>
      <c r="V92" s="61" t="s">
        <v>2202</v>
      </c>
      <c r="W92" s="29" t="s">
        <v>1025</v>
      </c>
      <c r="X92" s="15" t="s">
        <v>605</v>
      </c>
      <c r="Y92" s="11" t="s">
        <v>670</v>
      </c>
    </row>
    <row r="93" spans="1:26" s="5" customFormat="1">
      <c r="A93" s="100">
        <v>91</v>
      </c>
      <c r="B93" s="93">
        <v>136</v>
      </c>
      <c r="C93" s="47" t="s">
        <v>2092</v>
      </c>
      <c r="D93" s="38">
        <v>0</v>
      </c>
      <c r="E93" s="38">
        <v>0</v>
      </c>
      <c r="F93" s="38">
        <v>1</v>
      </c>
      <c r="G93" s="38">
        <v>0</v>
      </c>
      <c r="H93" s="38">
        <v>1</v>
      </c>
      <c r="I93" s="38">
        <v>1</v>
      </c>
      <c r="J93" s="58">
        <f>SUM(D93:I93)</f>
        <v>3</v>
      </c>
      <c r="K93" s="55" t="s">
        <v>1357</v>
      </c>
      <c r="L93" s="31" t="s">
        <v>1175</v>
      </c>
      <c r="M93" s="30" t="s">
        <v>1174</v>
      </c>
      <c r="N93" s="30" t="s">
        <v>1174</v>
      </c>
      <c r="O93" s="30" t="s">
        <v>1174</v>
      </c>
      <c r="P93" s="30" t="s">
        <v>1174</v>
      </c>
      <c r="Q93" s="30" t="s">
        <v>1174</v>
      </c>
      <c r="R93" s="30" t="s">
        <v>1174</v>
      </c>
      <c r="S93" s="30" t="s">
        <v>1174</v>
      </c>
      <c r="T93" s="30" t="s">
        <v>1174</v>
      </c>
      <c r="U93" s="30" t="s">
        <v>1174</v>
      </c>
      <c r="V93" s="59" t="s">
        <v>1174</v>
      </c>
      <c r="W93" s="29" t="s">
        <v>1025</v>
      </c>
      <c r="X93" s="15" t="s">
        <v>136</v>
      </c>
      <c r="Y93" s="11" t="s">
        <v>670</v>
      </c>
      <c r="Z93"/>
    </row>
    <row r="94" spans="1:26">
      <c r="A94" s="100">
        <v>92</v>
      </c>
      <c r="B94" s="93">
        <v>137</v>
      </c>
      <c r="C94" s="47" t="s">
        <v>2093</v>
      </c>
      <c r="D94" s="38">
        <v>0</v>
      </c>
      <c r="E94" s="38">
        <v>0</v>
      </c>
      <c r="F94" s="38">
        <v>0</v>
      </c>
      <c r="G94" s="38">
        <v>0</v>
      </c>
      <c r="H94" s="38">
        <v>0</v>
      </c>
      <c r="I94" s="38">
        <v>1</v>
      </c>
      <c r="J94" s="58">
        <f>SUM(D94:I94)</f>
        <v>1</v>
      </c>
      <c r="K94" s="7" t="s">
        <v>1025</v>
      </c>
      <c r="L94" s="31" t="s">
        <v>1175</v>
      </c>
      <c r="M94" s="30" t="s">
        <v>1174</v>
      </c>
      <c r="N94" s="30" t="s">
        <v>1174</v>
      </c>
      <c r="O94" s="30" t="s">
        <v>1174</v>
      </c>
      <c r="P94" s="30" t="s">
        <v>1174</v>
      </c>
      <c r="Q94" s="30" t="s">
        <v>1174</v>
      </c>
      <c r="R94" s="30" t="s">
        <v>1174</v>
      </c>
      <c r="S94" s="30" t="s">
        <v>1174</v>
      </c>
      <c r="T94" s="30" t="s">
        <v>1174</v>
      </c>
      <c r="U94" s="30" t="s">
        <v>1174</v>
      </c>
      <c r="V94" s="59" t="s">
        <v>1174</v>
      </c>
      <c r="W94" s="29" t="s">
        <v>1025</v>
      </c>
      <c r="X94" s="15" t="s">
        <v>613</v>
      </c>
      <c r="Y94" s="11" t="s">
        <v>670</v>
      </c>
    </row>
    <row r="95" spans="1:26">
      <c r="A95" s="100">
        <v>93</v>
      </c>
      <c r="B95" s="93">
        <v>138</v>
      </c>
      <c r="C95" s="47" t="s">
        <v>2094</v>
      </c>
      <c r="D95" s="38">
        <v>0</v>
      </c>
      <c r="E95" s="38">
        <v>0</v>
      </c>
      <c r="F95" s="38">
        <v>1</v>
      </c>
      <c r="G95" s="38">
        <v>1</v>
      </c>
      <c r="H95" s="38">
        <v>1</v>
      </c>
      <c r="I95" s="38">
        <v>1</v>
      </c>
      <c r="J95" s="58">
        <f>SUM(D95:I95)</f>
        <v>4</v>
      </c>
      <c r="K95" s="7" t="s">
        <v>2209</v>
      </c>
      <c r="L95" s="31" t="s">
        <v>1175</v>
      </c>
      <c r="M95" s="30" t="s">
        <v>1174</v>
      </c>
      <c r="N95" s="30" t="s">
        <v>1174</v>
      </c>
      <c r="O95" s="31" t="s">
        <v>1175</v>
      </c>
      <c r="P95" s="30" t="s">
        <v>1174</v>
      </c>
      <c r="Q95" s="31" t="s">
        <v>1175</v>
      </c>
      <c r="R95" s="30" t="s">
        <v>1174</v>
      </c>
      <c r="S95" s="30" t="s">
        <v>1174</v>
      </c>
      <c r="T95" s="30" t="s">
        <v>1174</v>
      </c>
      <c r="U95" s="32" t="s">
        <v>1175</v>
      </c>
      <c r="V95" s="61" t="s">
        <v>2203</v>
      </c>
      <c r="W95" s="29" t="s">
        <v>1025</v>
      </c>
      <c r="X95" s="15" t="s">
        <v>618</v>
      </c>
      <c r="Y95" s="11" t="s">
        <v>670</v>
      </c>
    </row>
    <row r="96" spans="1:26">
      <c r="A96" s="100">
        <v>94</v>
      </c>
      <c r="B96" s="93">
        <v>139</v>
      </c>
      <c r="C96" s="47" t="s">
        <v>2095</v>
      </c>
      <c r="D96" s="38">
        <v>1</v>
      </c>
      <c r="E96" s="38">
        <v>0</v>
      </c>
      <c r="F96" s="38">
        <v>0</v>
      </c>
      <c r="G96" s="38">
        <v>0</v>
      </c>
      <c r="H96" s="38">
        <v>0</v>
      </c>
      <c r="I96" s="38">
        <v>1</v>
      </c>
      <c r="J96" s="58">
        <f>SUM(D96:I96)</f>
        <v>2</v>
      </c>
      <c r="K96" s="7" t="s">
        <v>1025</v>
      </c>
      <c r="L96" s="31" t="s">
        <v>1175</v>
      </c>
      <c r="M96" s="31" t="s">
        <v>1175</v>
      </c>
      <c r="N96" s="30" t="s">
        <v>1174</v>
      </c>
      <c r="O96" s="30" t="s">
        <v>1174</v>
      </c>
      <c r="P96" s="30" t="s">
        <v>1174</v>
      </c>
      <c r="Q96" s="30" t="s">
        <v>1174</v>
      </c>
      <c r="R96" s="30" t="s">
        <v>1174</v>
      </c>
      <c r="S96" s="30" t="s">
        <v>1174</v>
      </c>
      <c r="T96" s="30" t="s">
        <v>1174</v>
      </c>
      <c r="U96" s="32" t="s">
        <v>1175</v>
      </c>
      <c r="V96" s="61" t="s">
        <v>2204</v>
      </c>
      <c r="W96" s="29" t="s">
        <v>1025</v>
      </c>
      <c r="X96" s="15" t="s">
        <v>622</v>
      </c>
      <c r="Y96" s="11" t="s">
        <v>670</v>
      </c>
    </row>
    <row r="97" spans="1:26">
      <c r="A97" s="100">
        <v>95</v>
      </c>
      <c r="B97" s="93">
        <v>140</v>
      </c>
      <c r="C97" s="47" t="s">
        <v>2097</v>
      </c>
      <c r="D97" s="38">
        <v>1</v>
      </c>
      <c r="E97" s="38">
        <v>0</v>
      </c>
      <c r="F97" s="38">
        <v>1</v>
      </c>
      <c r="G97" s="38">
        <v>0</v>
      </c>
      <c r="H97" s="38">
        <v>1</v>
      </c>
      <c r="I97" s="38">
        <v>1</v>
      </c>
      <c r="J97" s="58">
        <f>SUM(D97:I97)</f>
        <v>4</v>
      </c>
      <c r="K97" s="7" t="s">
        <v>1025</v>
      </c>
      <c r="L97" s="31" t="s">
        <v>1175</v>
      </c>
      <c r="M97" s="31" t="s">
        <v>1175</v>
      </c>
      <c r="N97" s="31" t="s">
        <v>1175</v>
      </c>
      <c r="O97" s="31" t="s">
        <v>1175</v>
      </c>
      <c r="P97" s="30" t="s">
        <v>1174</v>
      </c>
      <c r="Q97" s="30" t="s">
        <v>1174</v>
      </c>
      <c r="R97" s="31" t="s">
        <v>1175</v>
      </c>
      <c r="S97" s="30" t="s">
        <v>1174</v>
      </c>
      <c r="T97" s="30" t="s">
        <v>1174</v>
      </c>
      <c r="U97" s="30" t="s">
        <v>1174</v>
      </c>
      <c r="V97" s="59" t="s">
        <v>1174</v>
      </c>
      <c r="W97" s="29" t="s">
        <v>1025</v>
      </c>
      <c r="X97" s="15" t="s">
        <v>9</v>
      </c>
      <c r="Y97" s="11" t="s">
        <v>670</v>
      </c>
    </row>
    <row r="98" spans="1:26">
      <c r="A98" s="100">
        <v>96</v>
      </c>
      <c r="B98" s="93">
        <v>141</v>
      </c>
      <c r="C98" s="47" t="s">
        <v>2098</v>
      </c>
      <c r="D98" s="38">
        <v>1</v>
      </c>
      <c r="E98" s="38">
        <v>0</v>
      </c>
      <c r="F98" s="38">
        <v>1</v>
      </c>
      <c r="G98" s="38">
        <v>0</v>
      </c>
      <c r="H98" s="38">
        <v>0</v>
      </c>
      <c r="I98" s="38">
        <v>1</v>
      </c>
      <c r="J98" s="58">
        <f>SUM(D98:I98)</f>
        <v>3</v>
      </c>
      <c r="K98" s="7" t="s">
        <v>1025</v>
      </c>
      <c r="L98" s="31" t="s">
        <v>1175</v>
      </c>
      <c r="M98" s="31" t="s">
        <v>1175</v>
      </c>
      <c r="N98" s="30" t="s">
        <v>1174</v>
      </c>
      <c r="O98" s="31" t="s">
        <v>1175</v>
      </c>
      <c r="P98" s="30" t="s">
        <v>1174</v>
      </c>
      <c r="Q98" s="30" t="s">
        <v>1174</v>
      </c>
      <c r="R98" s="31" t="s">
        <v>1175</v>
      </c>
      <c r="S98" s="30" t="s">
        <v>1174</v>
      </c>
      <c r="T98" s="30" t="s">
        <v>1174</v>
      </c>
      <c r="U98" s="32" t="s">
        <v>1175</v>
      </c>
      <c r="V98" s="59" t="s">
        <v>1174</v>
      </c>
      <c r="W98" s="29" t="s">
        <v>1025</v>
      </c>
      <c r="X98" s="15" t="s">
        <v>15</v>
      </c>
      <c r="Y98" s="9" t="s">
        <v>675</v>
      </c>
    </row>
    <row r="99" spans="1:26">
      <c r="A99" s="100">
        <v>97</v>
      </c>
      <c r="B99" s="93">
        <v>142</v>
      </c>
      <c r="C99" s="47" t="s">
        <v>2099</v>
      </c>
      <c r="D99" s="38">
        <v>0</v>
      </c>
      <c r="E99" s="38">
        <v>0</v>
      </c>
      <c r="F99" s="38">
        <v>1</v>
      </c>
      <c r="G99" s="38">
        <v>1</v>
      </c>
      <c r="H99" s="38">
        <v>0</v>
      </c>
      <c r="I99" s="38">
        <v>1</v>
      </c>
      <c r="J99" s="58">
        <f>SUM(D99:I99)</f>
        <v>3</v>
      </c>
      <c r="K99" s="29" t="s">
        <v>1020</v>
      </c>
      <c r="L99" s="31" t="s">
        <v>1175</v>
      </c>
      <c r="M99" s="30" t="s">
        <v>1174</v>
      </c>
      <c r="N99" s="30" t="s">
        <v>1174</v>
      </c>
      <c r="O99" s="30" t="s">
        <v>1174</v>
      </c>
      <c r="P99" s="30" t="s">
        <v>1174</v>
      </c>
      <c r="Q99" s="31" t="s">
        <v>1175</v>
      </c>
      <c r="R99" s="30" t="s">
        <v>1174</v>
      </c>
      <c r="S99" s="30" t="s">
        <v>1174</v>
      </c>
      <c r="T99" s="30" t="s">
        <v>1174</v>
      </c>
      <c r="U99" s="30" t="s">
        <v>1174</v>
      </c>
      <c r="V99" s="59" t="s">
        <v>1174</v>
      </c>
      <c r="W99" s="29" t="s">
        <v>1025</v>
      </c>
      <c r="X99" s="15" t="s">
        <v>635</v>
      </c>
      <c r="Y99" s="9" t="s">
        <v>670</v>
      </c>
    </row>
    <row r="100" spans="1:26">
      <c r="A100" s="100">
        <v>98</v>
      </c>
      <c r="B100" s="93">
        <v>143</v>
      </c>
      <c r="C100" s="47" t="s">
        <v>2100</v>
      </c>
      <c r="D100" s="38">
        <v>1</v>
      </c>
      <c r="E100" s="38">
        <v>0</v>
      </c>
      <c r="F100" s="38">
        <v>0</v>
      </c>
      <c r="G100" s="38">
        <v>0</v>
      </c>
      <c r="H100" s="38">
        <v>1</v>
      </c>
      <c r="I100" s="38">
        <v>1</v>
      </c>
      <c r="J100" s="58">
        <f>SUM(D100:I100)</f>
        <v>3</v>
      </c>
      <c r="K100" s="7" t="s">
        <v>1025</v>
      </c>
      <c r="L100" s="31" t="s">
        <v>1175</v>
      </c>
      <c r="M100" s="31" t="s">
        <v>1175</v>
      </c>
      <c r="N100" s="30" t="s">
        <v>1174</v>
      </c>
      <c r="O100" s="31" t="s">
        <v>1175</v>
      </c>
      <c r="P100" s="30" t="s">
        <v>1174</v>
      </c>
      <c r="Q100" s="30" t="s">
        <v>1174</v>
      </c>
      <c r="R100" s="30" t="s">
        <v>1174</v>
      </c>
      <c r="S100" s="30" t="s">
        <v>1174</v>
      </c>
      <c r="T100" s="30" t="s">
        <v>1174</v>
      </c>
      <c r="U100" s="30" t="s">
        <v>1174</v>
      </c>
      <c r="V100" s="59" t="s">
        <v>1174</v>
      </c>
      <c r="W100" s="29" t="s">
        <v>1025</v>
      </c>
      <c r="X100" s="15" t="s">
        <v>639</v>
      </c>
      <c r="Y100" s="9" t="s">
        <v>670</v>
      </c>
    </row>
    <row r="101" spans="1:26" s="5" customFormat="1">
      <c r="A101" s="100">
        <v>99</v>
      </c>
      <c r="B101" s="93">
        <v>144</v>
      </c>
      <c r="C101" s="47" t="s">
        <v>2101</v>
      </c>
      <c r="D101" s="38">
        <v>0</v>
      </c>
      <c r="E101" s="38">
        <v>0</v>
      </c>
      <c r="F101" s="38">
        <v>0</v>
      </c>
      <c r="G101" s="38">
        <v>0</v>
      </c>
      <c r="H101" s="38">
        <v>0</v>
      </c>
      <c r="I101" s="38">
        <v>0</v>
      </c>
      <c r="J101" s="58">
        <f>SUM(D101:I101)</f>
        <v>0</v>
      </c>
      <c r="K101" s="7" t="s">
        <v>1025</v>
      </c>
      <c r="L101" s="31" t="s">
        <v>1175</v>
      </c>
      <c r="M101" s="30" t="s">
        <v>1174</v>
      </c>
      <c r="N101" s="30" t="s">
        <v>1174</v>
      </c>
      <c r="O101" s="30" t="s">
        <v>1174</v>
      </c>
      <c r="P101" s="30" t="s">
        <v>1174</v>
      </c>
      <c r="Q101" s="30" t="s">
        <v>1174</v>
      </c>
      <c r="R101" s="30" t="s">
        <v>1174</v>
      </c>
      <c r="S101" s="30" t="s">
        <v>1174</v>
      </c>
      <c r="T101" s="30" t="s">
        <v>1174</v>
      </c>
      <c r="U101" s="30" t="s">
        <v>1174</v>
      </c>
      <c r="V101" s="59" t="s">
        <v>1174</v>
      </c>
      <c r="W101" s="29" t="s">
        <v>9</v>
      </c>
      <c r="X101" s="15" t="s">
        <v>642</v>
      </c>
      <c r="Y101" s="9" t="s">
        <v>670</v>
      </c>
      <c r="Z101"/>
    </row>
    <row r="102" spans="1:26">
      <c r="A102" s="100">
        <v>100</v>
      </c>
      <c r="B102" s="93">
        <v>145</v>
      </c>
      <c r="C102" s="47" t="s">
        <v>2102</v>
      </c>
      <c r="D102" s="38">
        <v>0</v>
      </c>
      <c r="E102" s="38">
        <v>0</v>
      </c>
      <c r="F102" s="38">
        <v>0</v>
      </c>
      <c r="G102" s="38">
        <v>0</v>
      </c>
      <c r="H102" s="38">
        <v>0</v>
      </c>
      <c r="I102" s="38">
        <v>0</v>
      </c>
      <c r="J102" s="58">
        <f>SUM(D102:I102)</f>
        <v>0</v>
      </c>
      <c r="K102" s="7" t="s">
        <v>1025</v>
      </c>
      <c r="L102" s="31" t="s">
        <v>1175</v>
      </c>
      <c r="M102" s="30" t="s">
        <v>1174</v>
      </c>
      <c r="N102" s="30" t="s">
        <v>1174</v>
      </c>
      <c r="O102" s="30" t="s">
        <v>1174</v>
      </c>
      <c r="P102" s="30" t="s">
        <v>1174</v>
      </c>
      <c r="Q102" s="30" t="s">
        <v>1174</v>
      </c>
      <c r="R102" s="30" t="s">
        <v>1174</v>
      </c>
      <c r="S102" s="30" t="s">
        <v>1174</v>
      </c>
      <c r="T102" s="30" t="s">
        <v>1174</v>
      </c>
      <c r="U102" s="32" t="s">
        <v>1175</v>
      </c>
      <c r="V102" s="61" t="s">
        <v>2205</v>
      </c>
      <c r="W102" s="29" t="s">
        <v>9</v>
      </c>
      <c r="Y102" s="9" t="s">
        <v>670</v>
      </c>
    </row>
    <row r="103" spans="1:26" s="5" customFormat="1">
      <c r="A103" s="100">
        <v>101</v>
      </c>
      <c r="B103" s="93">
        <v>146</v>
      </c>
      <c r="C103" s="47" t="s">
        <v>2103</v>
      </c>
      <c r="D103" s="38">
        <v>0</v>
      </c>
      <c r="E103" s="38">
        <v>0</v>
      </c>
      <c r="F103" s="38">
        <v>1</v>
      </c>
      <c r="G103" s="38">
        <v>1</v>
      </c>
      <c r="H103" s="38">
        <v>1</v>
      </c>
      <c r="I103" s="38">
        <v>1</v>
      </c>
      <c r="J103" s="58">
        <f>SUM(D103:I103)</f>
        <v>4</v>
      </c>
      <c r="K103" s="29" t="s">
        <v>1031</v>
      </c>
      <c r="L103" s="30" t="s">
        <v>1174</v>
      </c>
      <c r="M103" s="30" t="s">
        <v>1174</v>
      </c>
      <c r="N103" s="31" t="s">
        <v>1175</v>
      </c>
      <c r="O103" s="31" t="s">
        <v>1175</v>
      </c>
      <c r="P103" s="30" t="s">
        <v>1174</v>
      </c>
      <c r="Q103" s="31" t="s">
        <v>1175</v>
      </c>
      <c r="R103" s="30" t="s">
        <v>1174</v>
      </c>
      <c r="S103" s="30" t="s">
        <v>1174</v>
      </c>
      <c r="T103" s="30" t="s">
        <v>1174</v>
      </c>
      <c r="U103" s="32" t="s">
        <v>1175</v>
      </c>
      <c r="V103" s="61" t="s">
        <v>2206</v>
      </c>
      <c r="W103" s="29" t="s">
        <v>1025</v>
      </c>
      <c r="X103" s="15"/>
      <c r="Y103" s="9" t="s">
        <v>670</v>
      </c>
      <c r="Z103"/>
    </row>
    <row r="104" spans="1:26">
      <c r="A104" s="100">
        <v>102</v>
      </c>
      <c r="B104" s="93">
        <v>147</v>
      </c>
      <c r="C104" s="47" t="s">
        <v>2104</v>
      </c>
      <c r="D104" s="38">
        <v>0</v>
      </c>
      <c r="E104" s="38">
        <v>0</v>
      </c>
      <c r="F104" s="38">
        <v>0</v>
      </c>
      <c r="G104" s="38">
        <v>0</v>
      </c>
      <c r="H104" s="38">
        <v>1</v>
      </c>
      <c r="I104" s="38">
        <v>1</v>
      </c>
      <c r="J104" s="58">
        <f>SUM(D104:I104)</f>
        <v>2</v>
      </c>
      <c r="K104" s="7" t="s">
        <v>1025</v>
      </c>
      <c r="L104" s="31" t="s">
        <v>1175</v>
      </c>
      <c r="M104" s="30" t="s">
        <v>1174</v>
      </c>
      <c r="N104" s="30" t="s">
        <v>1174</v>
      </c>
      <c r="O104" s="31" t="s">
        <v>1175</v>
      </c>
      <c r="P104" s="30" t="s">
        <v>1174</v>
      </c>
      <c r="Q104" s="30" t="s">
        <v>1174</v>
      </c>
      <c r="R104" s="30" t="s">
        <v>1174</v>
      </c>
      <c r="S104" s="30" t="s">
        <v>1174</v>
      </c>
      <c r="T104" s="30" t="s">
        <v>1174</v>
      </c>
      <c r="U104" s="32" t="s">
        <v>1175</v>
      </c>
      <c r="V104" s="61" t="s">
        <v>2207</v>
      </c>
      <c r="W104" s="29" t="s">
        <v>1025</v>
      </c>
      <c r="X104" s="15" t="s">
        <v>655</v>
      </c>
      <c r="Y104" s="9" t="s">
        <v>957</v>
      </c>
    </row>
    <row r="105" spans="1:26">
      <c r="A105" s="100">
        <v>103</v>
      </c>
      <c r="B105" s="93">
        <v>148</v>
      </c>
      <c r="C105" s="47" t="s">
        <v>2105</v>
      </c>
      <c r="D105" s="38">
        <v>0</v>
      </c>
      <c r="E105" s="38">
        <v>0</v>
      </c>
      <c r="F105" s="38">
        <v>1</v>
      </c>
      <c r="G105" s="38">
        <v>1</v>
      </c>
      <c r="H105" s="38">
        <v>0</v>
      </c>
      <c r="I105" s="38">
        <v>1</v>
      </c>
      <c r="J105" s="58">
        <f>SUM(D105:I105)</f>
        <v>3</v>
      </c>
      <c r="K105" s="29" t="s">
        <v>894</v>
      </c>
      <c r="L105" s="31" t="s">
        <v>1175</v>
      </c>
      <c r="M105" s="30" t="s">
        <v>1174</v>
      </c>
      <c r="N105" s="30" t="s">
        <v>1174</v>
      </c>
      <c r="O105" s="31" t="s">
        <v>1175</v>
      </c>
      <c r="P105" s="31" t="s">
        <v>1175</v>
      </c>
      <c r="Q105" s="30" t="s">
        <v>1174</v>
      </c>
      <c r="R105" s="30" t="s">
        <v>1174</v>
      </c>
      <c r="S105" s="30" t="s">
        <v>1174</v>
      </c>
      <c r="T105" s="30" t="s">
        <v>1174</v>
      </c>
      <c r="U105" s="30" t="s">
        <v>1174</v>
      </c>
      <c r="V105" s="59" t="s">
        <v>1174</v>
      </c>
      <c r="W105" s="29" t="s">
        <v>929</v>
      </c>
      <c r="X105" s="15" t="s">
        <v>1035</v>
      </c>
      <c r="Y105" s="9" t="s">
        <v>670</v>
      </c>
    </row>
    <row r="106" spans="1:26">
      <c r="A106" s="100">
        <v>104</v>
      </c>
      <c r="B106" s="93">
        <v>149</v>
      </c>
      <c r="C106" s="47" t="s">
        <v>2106</v>
      </c>
      <c r="D106" s="38">
        <v>0</v>
      </c>
      <c r="E106" s="38">
        <v>0</v>
      </c>
      <c r="F106" s="38">
        <v>1</v>
      </c>
      <c r="G106" s="38">
        <v>0</v>
      </c>
      <c r="H106" s="38">
        <v>1</v>
      </c>
      <c r="I106" s="38">
        <v>1</v>
      </c>
      <c r="J106" s="58">
        <f>SUM(D106:I106)</f>
        <v>3</v>
      </c>
      <c r="K106" s="29" t="s">
        <v>1040</v>
      </c>
      <c r="L106" s="31" t="s">
        <v>1175</v>
      </c>
      <c r="M106" s="30" t="s">
        <v>1174</v>
      </c>
      <c r="N106" s="30" t="s">
        <v>1174</v>
      </c>
      <c r="O106" s="31" t="s">
        <v>1175</v>
      </c>
      <c r="P106" s="31" t="s">
        <v>1175</v>
      </c>
      <c r="Q106" s="30" t="s">
        <v>1174</v>
      </c>
      <c r="R106" s="30" t="s">
        <v>1174</v>
      </c>
      <c r="S106" s="30" t="s">
        <v>1174</v>
      </c>
      <c r="T106" s="30" t="s">
        <v>1174</v>
      </c>
      <c r="U106" s="32" t="s">
        <v>1175</v>
      </c>
      <c r="V106" s="61" t="s">
        <v>2208</v>
      </c>
      <c r="W106" s="29" t="s">
        <v>9</v>
      </c>
      <c r="X106" s="15" t="s">
        <v>659</v>
      </c>
      <c r="Y106" s="9" t="s">
        <v>670</v>
      </c>
    </row>
    <row r="107" spans="1:26">
      <c r="A107" s="100">
        <v>105</v>
      </c>
      <c r="B107" s="93">
        <v>150</v>
      </c>
      <c r="C107" s="47" t="s">
        <v>2107</v>
      </c>
      <c r="D107" s="38">
        <v>0</v>
      </c>
      <c r="E107" s="38">
        <v>0</v>
      </c>
      <c r="F107" s="38">
        <v>0</v>
      </c>
      <c r="G107" s="38">
        <v>0</v>
      </c>
      <c r="H107" s="38">
        <v>0</v>
      </c>
      <c r="I107" s="38">
        <v>1</v>
      </c>
      <c r="J107" s="58">
        <f>SUM(D107:I107)</f>
        <v>1</v>
      </c>
      <c r="K107" s="7" t="s">
        <v>1025</v>
      </c>
      <c r="L107" s="30" t="s">
        <v>1174</v>
      </c>
      <c r="M107" s="30" t="s">
        <v>1174</v>
      </c>
      <c r="N107" s="31" t="s">
        <v>1175</v>
      </c>
      <c r="O107" s="30" t="s">
        <v>1174</v>
      </c>
      <c r="P107" s="30" t="s">
        <v>1174</v>
      </c>
      <c r="Q107" s="30" t="s">
        <v>1174</v>
      </c>
      <c r="R107" s="30" t="s">
        <v>1174</v>
      </c>
      <c r="S107" s="30" t="s">
        <v>1174</v>
      </c>
      <c r="T107" s="30" t="s">
        <v>1174</v>
      </c>
      <c r="U107" s="30" t="s">
        <v>1174</v>
      </c>
      <c r="V107" s="59" t="s">
        <v>1174</v>
      </c>
      <c r="W107" s="29" t="s">
        <v>1025</v>
      </c>
      <c r="X107" s="15" t="s">
        <v>674</v>
      </c>
      <c r="Y107" s="9" t="s">
        <v>1030</v>
      </c>
    </row>
    <row r="108" spans="1:26">
      <c r="A108" s="100">
        <v>106</v>
      </c>
      <c r="B108" s="93">
        <v>151</v>
      </c>
      <c r="C108" s="47" t="s">
        <v>2108</v>
      </c>
      <c r="D108" s="38">
        <v>0</v>
      </c>
      <c r="E108" s="38">
        <v>0</v>
      </c>
      <c r="F108" s="38">
        <v>0</v>
      </c>
      <c r="G108" s="38">
        <v>0</v>
      </c>
      <c r="H108" s="38">
        <v>1</v>
      </c>
      <c r="I108" s="38">
        <v>1</v>
      </c>
      <c r="J108" s="58">
        <f>SUM(D108:I108)</f>
        <v>2</v>
      </c>
      <c r="K108" s="27" t="s">
        <v>894</v>
      </c>
      <c r="L108" s="31" t="s">
        <v>1175</v>
      </c>
      <c r="M108" s="30" t="s">
        <v>1174</v>
      </c>
      <c r="N108" s="30" t="s">
        <v>1174</v>
      </c>
      <c r="O108" s="31" t="s">
        <v>1175</v>
      </c>
      <c r="P108" s="30" t="s">
        <v>1174</v>
      </c>
      <c r="Q108" s="30" t="s">
        <v>1174</v>
      </c>
      <c r="R108" s="30" t="s">
        <v>1174</v>
      </c>
      <c r="S108" s="30" t="s">
        <v>1174</v>
      </c>
      <c r="T108" s="30" t="s">
        <v>1174</v>
      </c>
      <c r="U108" s="30" t="s">
        <v>1174</v>
      </c>
      <c r="V108" s="59" t="s">
        <v>1174</v>
      </c>
      <c r="W108" s="29" t="s">
        <v>9</v>
      </c>
      <c r="X108" s="29"/>
      <c r="Y108" s="11" t="s">
        <v>670</v>
      </c>
      <c r="Z108" s="5"/>
    </row>
    <row r="109" spans="1:26">
      <c r="A109" s="100">
        <v>107</v>
      </c>
      <c r="B109" s="93">
        <v>152</v>
      </c>
      <c r="C109" s="47" t="s">
        <v>2109</v>
      </c>
      <c r="D109" s="38">
        <v>0</v>
      </c>
      <c r="E109" s="38">
        <v>0</v>
      </c>
      <c r="F109" s="38">
        <v>0</v>
      </c>
      <c r="G109" s="38">
        <v>0</v>
      </c>
      <c r="H109" s="38">
        <v>0</v>
      </c>
      <c r="I109" s="38">
        <v>1</v>
      </c>
      <c r="J109" s="58">
        <f>SUM(D109:I109)</f>
        <v>1</v>
      </c>
      <c r="K109" s="7" t="s">
        <v>1025</v>
      </c>
      <c r="L109" s="30" t="s">
        <v>1174</v>
      </c>
      <c r="M109" s="30" t="s">
        <v>1174</v>
      </c>
      <c r="N109" s="31" t="s">
        <v>1175</v>
      </c>
      <c r="O109" s="30" t="s">
        <v>1174</v>
      </c>
      <c r="P109" s="30" t="s">
        <v>1174</v>
      </c>
      <c r="Q109" s="30" t="s">
        <v>1174</v>
      </c>
      <c r="R109" s="30" t="s">
        <v>1174</v>
      </c>
      <c r="S109" s="30" t="s">
        <v>1174</v>
      </c>
      <c r="T109" s="30" t="s">
        <v>1174</v>
      </c>
      <c r="U109" s="30" t="s">
        <v>1174</v>
      </c>
      <c r="V109" s="59" t="s">
        <v>1174</v>
      </c>
      <c r="W109" s="29" t="s">
        <v>1025</v>
      </c>
      <c r="X109" s="15" t="s">
        <v>678</v>
      </c>
      <c r="Y109" s="9" t="s">
        <v>675</v>
      </c>
    </row>
    <row r="110" spans="1:26">
      <c r="A110" s="100">
        <v>108</v>
      </c>
      <c r="B110" s="93">
        <v>153</v>
      </c>
      <c r="C110" s="47" t="s">
        <v>2110</v>
      </c>
      <c r="D110" s="38">
        <v>0</v>
      </c>
      <c r="E110" s="38">
        <v>0</v>
      </c>
      <c r="F110" s="38">
        <v>1</v>
      </c>
      <c r="G110" s="38">
        <v>0</v>
      </c>
      <c r="H110" s="38">
        <v>1</v>
      </c>
      <c r="I110" s="38">
        <v>1</v>
      </c>
      <c r="J110" s="58">
        <f>SUM(D110:I110)</f>
        <v>3</v>
      </c>
      <c r="K110" s="29" t="s">
        <v>1042</v>
      </c>
      <c r="L110" s="38" t="s">
        <v>1175</v>
      </c>
      <c r="M110" s="39" t="s">
        <v>1174</v>
      </c>
      <c r="N110" s="39" t="s">
        <v>1174</v>
      </c>
      <c r="O110" s="38" t="s">
        <v>1175</v>
      </c>
      <c r="P110" s="39" t="s">
        <v>1174</v>
      </c>
      <c r="Q110" s="39" t="s">
        <v>1174</v>
      </c>
      <c r="R110" s="39" t="s">
        <v>1174</v>
      </c>
      <c r="S110" s="39" t="s">
        <v>1174</v>
      </c>
      <c r="T110" s="39" t="s">
        <v>1174</v>
      </c>
      <c r="U110" s="39" t="s">
        <v>1174</v>
      </c>
      <c r="V110" s="59" t="s">
        <v>1174</v>
      </c>
      <c r="W110" s="29" t="s">
        <v>1310</v>
      </c>
      <c r="X110" s="29" t="s">
        <v>1309</v>
      </c>
      <c r="Y110" s="11" t="s">
        <v>670</v>
      </c>
      <c r="Z110" s="5"/>
    </row>
    <row r="111" spans="1:26">
      <c r="A111" s="100">
        <v>109</v>
      </c>
      <c r="B111" s="93">
        <v>154</v>
      </c>
      <c r="C111" s="47" t="s">
        <v>2111</v>
      </c>
      <c r="D111" s="38">
        <v>0</v>
      </c>
      <c r="E111" s="38">
        <v>0</v>
      </c>
      <c r="F111" s="38">
        <v>1</v>
      </c>
      <c r="G111" s="38">
        <v>1</v>
      </c>
      <c r="H111" s="38">
        <v>1</v>
      </c>
      <c r="I111" s="38">
        <v>1</v>
      </c>
      <c r="J111" s="58">
        <f>SUM(D111:I111)</f>
        <v>4</v>
      </c>
      <c r="K111" s="29" t="s">
        <v>1315</v>
      </c>
      <c r="L111" s="38" t="s">
        <v>1175</v>
      </c>
      <c r="M111" s="39" t="s">
        <v>1174</v>
      </c>
      <c r="N111" s="38" t="s">
        <v>1175</v>
      </c>
      <c r="O111" s="39" t="s">
        <v>1174</v>
      </c>
      <c r="P111" s="39" t="s">
        <v>1174</v>
      </c>
      <c r="Q111" s="39" t="s">
        <v>1174</v>
      </c>
      <c r="R111" s="39" t="s">
        <v>1174</v>
      </c>
      <c r="S111" s="39" t="s">
        <v>1174</v>
      </c>
      <c r="T111" s="39" t="s">
        <v>1174</v>
      </c>
      <c r="U111" s="39" t="s">
        <v>1174</v>
      </c>
      <c r="V111" s="59" t="s">
        <v>1174</v>
      </c>
      <c r="W111" s="29" t="s">
        <v>1312</v>
      </c>
      <c r="X111" s="29" t="s">
        <v>688</v>
      </c>
      <c r="Y111" s="11" t="s">
        <v>670</v>
      </c>
      <c r="Z111" s="5"/>
    </row>
    <row r="112" spans="1:26">
      <c r="A112" s="100">
        <v>110</v>
      </c>
      <c r="B112" s="93">
        <v>155</v>
      </c>
      <c r="C112" s="47" t="s">
        <v>2112</v>
      </c>
      <c r="D112" s="38">
        <v>0</v>
      </c>
      <c r="E112" s="38">
        <v>0</v>
      </c>
      <c r="F112" s="38">
        <v>1</v>
      </c>
      <c r="G112" s="38">
        <v>0</v>
      </c>
      <c r="H112" s="38">
        <v>0</v>
      </c>
      <c r="I112" s="38">
        <v>1</v>
      </c>
      <c r="J112" s="58">
        <f>SUM(D112:I112)</f>
        <v>2</v>
      </c>
      <c r="K112" s="29" t="s">
        <v>1320</v>
      </c>
      <c r="L112" s="38" t="s">
        <v>1175</v>
      </c>
      <c r="M112" s="39" t="s">
        <v>1174</v>
      </c>
      <c r="N112" s="39" t="s">
        <v>1174</v>
      </c>
      <c r="O112" s="38" t="s">
        <v>1175</v>
      </c>
      <c r="P112" s="39" t="s">
        <v>1174</v>
      </c>
      <c r="Q112" s="39" t="s">
        <v>1174</v>
      </c>
      <c r="R112" s="39" t="s">
        <v>1174</v>
      </c>
      <c r="S112" s="39" t="s">
        <v>1174</v>
      </c>
      <c r="T112" s="39" t="s">
        <v>1174</v>
      </c>
      <c r="U112" s="39" t="s">
        <v>1174</v>
      </c>
      <c r="V112" s="59" t="s">
        <v>1174</v>
      </c>
      <c r="W112" s="29" t="s">
        <v>1319</v>
      </c>
      <c r="X112" s="29" t="s">
        <v>1316</v>
      </c>
      <c r="Y112" s="11" t="s">
        <v>670</v>
      </c>
      <c r="Z112" s="5"/>
    </row>
    <row r="113" spans="1:26">
      <c r="A113" s="100">
        <v>111</v>
      </c>
      <c r="B113" s="93">
        <v>156</v>
      </c>
      <c r="C113" s="47" t="s">
        <v>1321</v>
      </c>
      <c r="D113" s="38">
        <v>0</v>
      </c>
      <c r="E113" s="38">
        <v>0</v>
      </c>
      <c r="F113" s="38">
        <v>0</v>
      </c>
      <c r="G113" s="38">
        <v>0</v>
      </c>
      <c r="H113" s="38">
        <v>1</v>
      </c>
      <c r="I113" s="38">
        <v>1</v>
      </c>
      <c r="J113" s="58">
        <f>SUM(D113:I113)</f>
        <v>2</v>
      </c>
      <c r="K113" s="29" t="s">
        <v>1043</v>
      </c>
      <c r="L113" s="38" t="s">
        <v>1175</v>
      </c>
      <c r="M113" s="39" t="s">
        <v>1174</v>
      </c>
      <c r="N113" s="39" t="s">
        <v>1174</v>
      </c>
      <c r="O113" s="39" t="s">
        <v>1174</v>
      </c>
      <c r="P113" s="39" t="s">
        <v>1174</v>
      </c>
      <c r="Q113" s="39" t="s">
        <v>1174</v>
      </c>
      <c r="R113" s="39" t="s">
        <v>1174</v>
      </c>
      <c r="S113" s="39" t="s">
        <v>1174</v>
      </c>
      <c r="T113" s="39" t="s">
        <v>1174</v>
      </c>
      <c r="U113" s="39" t="s">
        <v>1174</v>
      </c>
      <c r="V113" s="59" t="s">
        <v>1174</v>
      </c>
      <c r="W113" s="29" t="s">
        <v>9</v>
      </c>
      <c r="X113" s="29" t="s">
        <v>9</v>
      </c>
      <c r="Y113" s="11" t="s">
        <v>675</v>
      </c>
      <c r="Z113" s="5"/>
    </row>
    <row r="114" spans="1:26">
      <c r="A114" s="100">
        <v>112</v>
      </c>
      <c r="B114" s="93">
        <v>157</v>
      </c>
      <c r="C114" s="47" t="s">
        <v>2113</v>
      </c>
      <c r="D114" s="38">
        <v>0</v>
      </c>
      <c r="E114" s="38">
        <v>0</v>
      </c>
      <c r="F114" s="38">
        <v>0</v>
      </c>
      <c r="G114" s="38">
        <v>0</v>
      </c>
      <c r="H114" s="38">
        <v>1</v>
      </c>
      <c r="I114" s="38">
        <v>1</v>
      </c>
      <c r="J114" s="58">
        <f>SUM(D114:I114)</f>
        <v>2</v>
      </c>
      <c r="K114" s="29" t="s">
        <v>1043</v>
      </c>
      <c r="L114" s="38" t="s">
        <v>1175</v>
      </c>
      <c r="M114" s="39" t="s">
        <v>1174</v>
      </c>
      <c r="N114" s="39" t="s">
        <v>1174</v>
      </c>
      <c r="O114" s="38" t="s">
        <v>1175</v>
      </c>
      <c r="P114" s="39" t="s">
        <v>1174</v>
      </c>
      <c r="Q114" s="39" t="s">
        <v>1174</v>
      </c>
      <c r="R114" s="39" t="s">
        <v>1174</v>
      </c>
      <c r="S114" s="39" t="s">
        <v>1174</v>
      </c>
      <c r="T114" s="39" t="s">
        <v>1174</v>
      </c>
      <c r="U114" s="39" t="s">
        <v>1174</v>
      </c>
      <c r="V114" s="59" t="s">
        <v>1174</v>
      </c>
      <c r="W114" s="29" t="s">
        <v>1025</v>
      </c>
      <c r="X114" s="29" t="s">
        <v>9</v>
      </c>
      <c r="Y114" s="11" t="s">
        <v>670</v>
      </c>
      <c r="Z114" s="5"/>
    </row>
    <row r="115" spans="1:26">
      <c r="A115" s="100">
        <v>113</v>
      </c>
      <c r="B115" s="93">
        <v>158</v>
      </c>
      <c r="C115" s="47" t="s">
        <v>2114</v>
      </c>
      <c r="D115" s="38">
        <v>0</v>
      </c>
      <c r="E115" s="38">
        <v>0</v>
      </c>
      <c r="F115" s="38">
        <v>1</v>
      </c>
      <c r="G115" s="38">
        <v>1</v>
      </c>
      <c r="H115" s="38">
        <v>1</v>
      </c>
      <c r="I115" s="38">
        <v>1</v>
      </c>
      <c r="J115" s="58">
        <f>SUM(D115:I115)</f>
        <v>4</v>
      </c>
      <c r="K115" s="29" t="s">
        <v>1326</v>
      </c>
      <c r="L115" s="38" t="s">
        <v>1175</v>
      </c>
      <c r="M115" s="41" t="s">
        <v>1174</v>
      </c>
      <c r="N115" s="41" t="s">
        <v>1174</v>
      </c>
      <c r="O115" s="41" t="s">
        <v>1174</v>
      </c>
      <c r="P115" s="41" t="s">
        <v>1174</v>
      </c>
      <c r="Q115" s="41" t="s">
        <v>1174</v>
      </c>
      <c r="R115" s="41" t="s">
        <v>1174</v>
      </c>
      <c r="S115" s="41" t="s">
        <v>1174</v>
      </c>
      <c r="T115" s="41" t="s">
        <v>1174</v>
      </c>
      <c r="U115" s="41" t="s">
        <v>1174</v>
      </c>
      <c r="V115" s="59" t="s">
        <v>1174</v>
      </c>
      <c r="W115" s="29" t="s">
        <v>1325</v>
      </c>
      <c r="X115" s="29" t="s">
        <v>1327</v>
      </c>
      <c r="Y115" s="11" t="s">
        <v>675</v>
      </c>
      <c r="Z115" s="40"/>
    </row>
    <row r="116" spans="1:26">
      <c r="A116" s="100">
        <v>114</v>
      </c>
      <c r="B116" s="93">
        <v>159</v>
      </c>
      <c r="C116" s="47" t="s">
        <v>1329</v>
      </c>
      <c r="D116" s="38">
        <v>0</v>
      </c>
      <c r="E116" s="38">
        <v>0</v>
      </c>
      <c r="F116" s="38">
        <v>0</v>
      </c>
      <c r="G116" s="38">
        <v>0</v>
      </c>
      <c r="H116" s="38">
        <v>1</v>
      </c>
      <c r="I116" s="38">
        <v>1</v>
      </c>
      <c r="J116" s="58">
        <f>SUM(D116:I116)</f>
        <v>2</v>
      </c>
      <c r="K116" s="7" t="s">
        <v>1025</v>
      </c>
      <c r="L116" s="38" t="s">
        <v>1175</v>
      </c>
      <c r="M116" s="39" t="s">
        <v>1174</v>
      </c>
      <c r="N116" s="39" t="s">
        <v>1174</v>
      </c>
      <c r="O116" s="38" t="s">
        <v>1175</v>
      </c>
      <c r="P116" s="39" t="s">
        <v>1174</v>
      </c>
      <c r="Q116" s="39" t="s">
        <v>1174</v>
      </c>
      <c r="R116" s="39" t="s">
        <v>1174</v>
      </c>
      <c r="S116" s="39" t="s">
        <v>1174</v>
      </c>
      <c r="T116" s="39" t="s">
        <v>1174</v>
      </c>
      <c r="U116" s="39" t="s">
        <v>1174</v>
      </c>
      <c r="V116" s="59" t="s">
        <v>1174</v>
      </c>
      <c r="W116" s="29" t="s">
        <v>1330</v>
      </c>
      <c r="X116" s="29" t="s">
        <v>1185</v>
      </c>
      <c r="Y116" s="11" t="s">
        <v>670</v>
      </c>
      <c r="Z116" s="5"/>
    </row>
    <row r="117" spans="1:26">
      <c r="A117" s="100">
        <v>115</v>
      </c>
      <c r="B117" s="93">
        <v>160</v>
      </c>
      <c r="C117" s="47" t="s">
        <v>2116</v>
      </c>
      <c r="D117" s="38">
        <v>1</v>
      </c>
      <c r="E117" s="38">
        <v>0</v>
      </c>
      <c r="F117" s="38">
        <v>0</v>
      </c>
      <c r="G117" s="38">
        <v>0</v>
      </c>
      <c r="H117" s="38">
        <v>1</v>
      </c>
      <c r="I117" s="38">
        <v>1</v>
      </c>
      <c r="J117" s="58">
        <f>SUM(D117:I117)</f>
        <v>3</v>
      </c>
      <c r="K117" s="7" t="s">
        <v>1025</v>
      </c>
      <c r="L117" s="38" t="s">
        <v>1175</v>
      </c>
      <c r="M117" s="38" t="s">
        <v>1175</v>
      </c>
      <c r="N117" s="39" t="s">
        <v>1174</v>
      </c>
      <c r="O117" s="39" t="s">
        <v>1174</v>
      </c>
      <c r="P117" s="39" t="s">
        <v>1174</v>
      </c>
      <c r="Q117" s="39" t="s">
        <v>1174</v>
      </c>
      <c r="R117" s="39" t="s">
        <v>1174</v>
      </c>
      <c r="S117" s="39" t="s">
        <v>1174</v>
      </c>
      <c r="T117" s="39" t="s">
        <v>1174</v>
      </c>
      <c r="U117" s="39" t="s">
        <v>1174</v>
      </c>
      <c r="V117" s="59" t="s">
        <v>1174</v>
      </c>
      <c r="W117" s="29" t="s">
        <v>9</v>
      </c>
      <c r="X117" s="29" t="s">
        <v>1333</v>
      </c>
      <c r="Y117" s="11" t="s">
        <v>670</v>
      </c>
      <c r="Z117" s="5"/>
    </row>
    <row r="118" spans="1:26">
      <c r="A118" s="100">
        <v>116</v>
      </c>
      <c r="B118" s="93">
        <v>161</v>
      </c>
      <c r="C118" s="47" t="s">
        <v>2117</v>
      </c>
      <c r="D118" s="38">
        <v>1</v>
      </c>
      <c r="E118" s="38">
        <v>0</v>
      </c>
      <c r="F118" s="38">
        <v>0</v>
      </c>
      <c r="G118" s="38">
        <v>0</v>
      </c>
      <c r="H118" s="38">
        <v>1</v>
      </c>
      <c r="I118" s="38">
        <v>1</v>
      </c>
      <c r="J118" s="58">
        <f>SUM(D118:I118)</f>
        <v>3</v>
      </c>
      <c r="K118" s="29" t="s">
        <v>17</v>
      </c>
      <c r="L118" s="38" t="s">
        <v>1175</v>
      </c>
      <c r="M118" s="38" t="s">
        <v>1175</v>
      </c>
      <c r="N118" s="39" t="s">
        <v>1174</v>
      </c>
      <c r="O118" s="41" t="s">
        <v>1174</v>
      </c>
      <c r="P118" s="39" t="s">
        <v>1174</v>
      </c>
      <c r="Q118" s="39" t="s">
        <v>1174</v>
      </c>
      <c r="R118" s="39" t="s">
        <v>1174</v>
      </c>
      <c r="S118" s="39" t="s">
        <v>1174</v>
      </c>
      <c r="T118" s="39" t="s">
        <v>1174</v>
      </c>
      <c r="U118" s="39" t="s">
        <v>1174</v>
      </c>
      <c r="V118" s="59" t="s">
        <v>1174</v>
      </c>
      <c r="W118" s="29" t="s">
        <v>1336</v>
      </c>
      <c r="X118" s="5"/>
      <c r="Y118" s="11" t="s">
        <v>670</v>
      </c>
      <c r="Z118" s="5"/>
    </row>
    <row r="119" spans="1:26">
      <c r="A119" s="100">
        <v>117</v>
      </c>
      <c r="B119" s="93">
        <v>162</v>
      </c>
      <c r="C119" s="47" t="s">
        <v>2118</v>
      </c>
      <c r="D119" s="38">
        <v>1</v>
      </c>
      <c r="E119" s="38">
        <v>0</v>
      </c>
      <c r="F119" s="38">
        <v>1</v>
      </c>
      <c r="G119" s="38">
        <v>1</v>
      </c>
      <c r="H119" s="38">
        <v>1</v>
      </c>
      <c r="I119" s="38">
        <v>1</v>
      </c>
      <c r="J119" s="58">
        <f>SUM(D119:I119)</f>
        <v>5</v>
      </c>
      <c r="K119" s="29" t="s">
        <v>1226</v>
      </c>
      <c r="L119" s="38" t="s">
        <v>1224</v>
      </c>
      <c r="M119" s="38" t="s">
        <v>1224</v>
      </c>
      <c r="N119" s="39" t="s">
        <v>1174</v>
      </c>
      <c r="O119" s="38" t="s">
        <v>1175</v>
      </c>
      <c r="P119" s="39" t="s">
        <v>1174</v>
      </c>
      <c r="Q119" s="39" t="s">
        <v>1174</v>
      </c>
      <c r="R119" s="38" t="s">
        <v>1175</v>
      </c>
      <c r="S119" s="39" t="s">
        <v>1174</v>
      </c>
      <c r="T119" s="39" t="s">
        <v>1174</v>
      </c>
      <c r="U119" s="39" t="s">
        <v>1174</v>
      </c>
      <c r="V119" s="59" t="s">
        <v>1174</v>
      </c>
      <c r="W119" s="29" t="s">
        <v>1227</v>
      </c>
      <c r="X119" s="29"/>
      <c r="Y119" s="11" t="s">
        <v>670</v>
      </c>
      <c r="Z119" s="5"/>
    </row>
    <row r="120" spans="1:26">
      <c r="A120" s="100">
        <v>118</v>
      </c>
      <c r="B120" s="93">
        <v>163</v>
      </c>
      <c r="C120" s="47" t="s">
        <v>2119</v>
      </c>
      <c r="D120" s="38">
        <v>1</v>
      </c>
      <c r="E120" s="38">
        <v>0</v>
      </c>
      <c r="F120" s="38">
        <v>1</v>
      </c>
      <c r="G120" s="38">
        <v>1</v>
      </c>
      <c r="H120" s="38">
        <v>1</v>
      </c>
      <c r="I120" s="38">
        <v>1</v>
      </c>
      <c r="J120" s="58">
        <f>SUM(D120:I120)</f>
        <v>5</v>
      </c>
      <c r="K120" s="29" t="s">
        <v>1235</v>
      </c>
      <c r="L120" s="38" t="s">
        <v>1224</v>
      </c>
      <c r="M120" s="38" t="s">
        <v>1224</v>
      </c>
      <c r="N120" s="39" t="s">
        <v>1174</v>
      </c>
      <c r="O120" s="39" t="s">
        <v>1174</v>
      </c>
      <c r="P120" s="39" t="s">
        <v>1174</v>
      </c>
      <c r="Q120" s="39" t="s">
        <v>1174</v>
      </c>
      <c r="R120" s="39" t="s">
        <v>1174</v>
      </c>
      <c r="S120" s="39" t="s">
        <v>1174</v>
      </c>
      <c r="T120" s="39" t="s">
        <v>1174</v>
      </c>
      <c r="U120" s="38" t="s">
        <v>1175</v>
      </c>
      <c r="V120" s="62" t="s">
        <v>1354</v>
      </c>
      <c r="W120" s="29" t="s">
        <v>1236</v>
      </c>
      <c r="X120" s="29" t="s">
        <v>1238</v>
      </c>
      <c r="Y120" s="11" t="s">
        <v>670</v>
      </c>
      <c r="Z120" s="5"/>
    </row>
    <row r="121" spans="1:26">
      <c r="A121" s="100">
        <v>119</v>
      </c>
      <c r="B121" s="93">
        <v>164</v>
      </c>
      <c r="C121" s="47" t="s">
        <v>2120</v>
      </c>
      <c r="D121" s="38">
        <v>0</v>
      </c>
      <c r="E121" s="38">
        <v>0</v>
      </c>
      <c r="F121" s="38">
        <v>0</v>
      </c>
      <c r="G121" s="38">
        <v>0</v>
      </c>
      <c r="H121" s="38">
        <v>0</v>
      </c>
      <c r="I121" s="38">
        <v>1</v>
      </c>
      <c r="J121" s="58">
        <f>SUM(D121:I121)</f>
        <v>1</v>
      </c>
      <c r="K121" s="7" t="s">
        <v>1025</v>
      </c>
      <c r="L121" s="38" t="s">
        <v>1224</v>
      </c>
      <c r="M121" s="39" t="s">
        <v>1174</v>
      </c>
      <c r="N121" s="39" t="s">
        <v>1174</v>
      </c>
      <c r="O121" s="39" t="s">
        <v>1174</v>
      </c>
      <c r="P121" s="39" t="s">
        <v>1174</v>
      </c>
      <c r="Q121" s="39" t="s">
        <v>1174</v>
      </c>
      <c r="R121" s="39" t="s">
        <v>1174</v>
      </c>
      <c r="S121" s="39" t="s">
        <v>1174</v>
      </c>
      <c r="T121" s="39" t="s">
        <v>1174</v>
      </c>
      <c r="U121" s="39" t="s">
        <v>1174</v>
      </c>
      <c r="V121" s="60" t="s">
        <v>1174</v>
      </c>
      <c r="W121" s="29" t="s">
        <v>1025</v>
      </c>
      <c r="X121" s="29" t="s">
        <v>1298</v>
      </c>
      <c r="Y121" s="11" t="s">
        <v>675</v>
      </c>
      <c r="Z121" s="5"/>
    </row>
    <row r="122" spans="1:26">
      <c r="A122" s="100">
        <v>120</v>
      </c>
      <c r="B122" s="93">
        <v>165</v>
      </c>
      <c r="C122" s="47" t="s">
        <v>2122</v>
      </c>
      <c r="D122" s="38">
        <v>0</v>
      </c>
      <c r="E122" s="38">
        <v>0</v>
      </c>
      <c r="F122" s="38">
        <v>1</v>
      </c>
      <c r="G122" s="38">
        <v>1</v>
      </c>
      <c r="H122" s="38">
        <v>0</v>
      </c>
      <c r="I122" s="38">
        <v>1</v>
      </c>
      <c r="J122" s="58">
        <f>SUM(D122:I122)</f>
        <v>3</v>
      </c>
      <c r="K122" s="29" t="s">
        <v>352</v>
      </c>
      <c r="L122" s="39" t="s">
        <v>1174</v>
      </c>
      <c r="M122" s="39" t="s">
        <v>1174</v>
      </c>
      <c r="N122" s="39" t="s">
        <v>1174</v>
      </c>
      <c r="O122" s="38" t="s">
        <v>1175</v>
      </c>
      <c r="P122" s="39" t="s">
        <v>1174</v>
      </c>
      <c r="Q122" s="39" t="s">
        <v>1174</v>
      </c>
      <c r="R122" s="39" t="s">
        <v>1174</v>
      </c>
      <c r="S122" s="38" t="s">
        <v>1175</v>
      </c>
      <c r="T122" s="39" t="s">
        <v>1174</v>
      </c>
      <c r="U122" s="39" t="s">
        <v>1174</v>
      </c>
      <c r="V122" s="60" t="s">
        <v>1174</v>
      </c>
      <c r="W122" s="29" t="s">
        <v>1289</v>
      </c>
      <c r="X122" s="29" t="s">
        <v>1291</v>
      </c>
      <c r="Y122" s="11" t="s">
        <v>670</v>
      </c>
      <c r="Z122" s="5"/>
    </row>
    <row r="123" spans="1:26">
      <c r="A123" s="100">
        <v>121</v>
      </c>
      <c r="B123" s="93">
        <v>166</v>
      </c>
      <c r="C123" s="47" t="s">
        <v>2123</v>
      </c>
      <c r="D123" s="38">
        <v>0</v>
      </c>
      <c r="E123" s="38">
        <v>0</v>
      </c>
      <c r="F123" s="38">
        <v>1</v>
      </c>
      <c r="G123" s="38">
        <v>1</v>
      </c>
      <c r="H123" s="38">
        <v>1</v>
      </c>
      <c r="I123" s="38">
        <v>1</v>
      </c>
      <c r="J123" s="58">
        <f>SUM(D123:I123)</f>
        <v>4</v>
      </c>
      <c r="K123" s="29" t="s">
        <v>1251</v>
      </c>
      <c r="L123" s="39" t="s">
        <v>1174</v>
      </c>
      <c r="M123" s="39" t="s">
        <v>1174</v>
      </c>
      <c r="N123" s="38" t="s">
        <v>1175</v>
      </c>
      <c r="O123" s="39" t="s">
        <v>1174</v>
      </c>
      <c r="P123" s="38" t="s">
        <v>1175</v>
      </c>
      <c r="Q123" s="38" t="s">
        <v>1175</v>
      </c>
      <c r="R123" s="39" t="s">
        <v>1174</v>
      </c>
      <c r="S123" s="39" t="s">
        <v>1174</v>
      </c>
      <c r="T123" s="39" t="s">
        <v>1174</v>
      </c>
      <c r="U123" s="38" t="s">
        <v>1175</v>
      </c>
      <c r="V123" s="62" t="s">
        <v>1765</v>
      </c>
      <c r="W123" s="29" t="s">
        <v>1251</v>
      </c>
      <c r="X123" s="29" t="s">
        <v>1260</v>
      </c>
      <c r="Y123" s="11" t="s">
        <v>670</v>
      </c>
      <c r="Z123" s="5"/>
    </row>
    <row r="124" spans="1:26">
      <c r="A124" s="100">
        <v>122</v>
      </c>
      <c r="B124" s="93">
        <v>168</v>
      </c>
      <c r="C124" s="47" t="s">
        <v>2126</v>
      </c>
      <c r="D124" s="38">
        <v>0</v>
      </c>
      <c r="E124" s="38">
        <v>0</v>
      </c>
      <c r="F124" s="38">
        <v>1</v>
      </c>
      <c r="G124" s="38">
        <v>1</v>
      </c>
      <c r="H124" s="38">
        <v>1</v>
      </c>
      <c r="I124" s="38">
        <v>1</v>
      </c>
      <c r="J124" s="58">
        <f>SUM(D124:I124)</f>
        <v>4</v>
      </c>
      <c r="K124" s="29" t="s">
        <v>1285</v>
      </c>
      <c r="L124" s="30" t="s">
        <v>1174</v>
      </c>
      <c r="M124" s="30" t="s">
        <v>1174</v>
      </c>
      <c r="N124" s="31" t="s">
        <v>1175</v>
      </c>
      <c r="O124" s="30" t="s">
        <v>1174</v>
      </c>
      <c r="P124" s="30" t="s">
        <v>1174</v>
      </c>
      <c r="Q124" s="30" t="s">
        <v>1174</v>
      </c>
      <c r="R124" s="30" t="s">
        <v>1174</v>
      </c>
      <c r="S124" s="31" t="s">
        <v>1175</v>
      </c>
      <c r="T124" s="31" t="s">
        <v>1175</v>
      </c>
      <c r="U124" s="30" t="s">
        <v>1174</v>
      </c>
      <c r="V124" s="59" t="s">
        <v>1174</v>
      </c>
      <c r="W124" s="29" t="s">
        <v>1286</v>
      </c>
      <c r="X124" s="15" t="s">
        <v>1287</v>
      </c>
      <c r="Y124" s="11" t="s">
        <v>675</v>
      </c>
    </row>
    <row r="125" spans="1:26">
      <c r="A125" s="100">
        <v>123</v>
      </c>
      <c r="B125" s="93">
        <v>169</v>
      </c>
      <c r="C125" s="47" t="s">
        <v>2127</v>
      </c>
      <c r="D125" s="38">
        <v>0</v>
      </c>
      <c r="E125" s="38">
        <v>0</v>
      </c>
      <c r="F125" s="38">
        <v>0</v>
      </c>
      <c r="G125" s="38">
        <v>0</v>
      </c>
      <c r="H125" s="38">
        <v>0</v>
      </c>
      <c r="I125" s="38">
        <v>1</v>
      </c>
      <c r="J125" s="58">
        <f>SUM(D125:I125)</f>
        <v>1</v>
      </c>
      <c r="K125" s="29" t="s">
        <v>9</v>
      </c>
      <c r="L125" s="31" t="s">
        <v>1224</v>
      </c>
      <c r="M125" s="30" t="s">
        <v>1174</v>
      </c>
      <c r="N125" s="30" t="s">
        <v>1174</v>
      </c>
      <c r="O125" s="30" t="s">
        <v>1174</v>
      </c>
      <c r="P125" s="30" t="s">
        <v>1174</v>
      </c>
      <c r="Q125" s="30" t="s">
        <v>1174</v>
      </c>
      <c r="R125" s="30" t="s">
        <v>1174</v>
      </c>
      <c r="S125" s="30" t="s">
        <v>1174</v>
      </c>
      <c r="T125" s="30" t="s">
        <v>1174</v>
      </c>
      <c r="U125" s="30" t="s">
        <v>1174</v>
      </c>
      <c r="V125" s="59" t="s">
        <v>1174</v>
      </c>
      <c r="W125" s="29" t="s">
        <v>9</v>
      </c>
      <c r="Y125" s="1" t="s">
        <v>957</v>
      </c>
    </row>
    <row r="126" spans="1:26">
      <c r="A126" s="100">
        <v>124</v>
      </c>
      <c r="B126" s="93">
        <v>170</v>
      </c>
      <c r="C126" s="47" t="s">
        <v>1367</v>
      </c>
      <c r="D126" s="38">
        <v>0</v>
      </c>
      <c r="E126" s="38">
        <v>0</v>
      </c>
      <c r="F126" s="38">
        <v>1</v>
      </c>
      <c r="G126" s="38">
        <v>1</v>
      </c>
      <c r="H126" s="38">
        <v>1</v>
      </c>
      <c r="I126" s="38">
        <v>1</v>
      </c>
      <c r="J126" s="58">
        <f>SUM(D126:I126)</f>
        <v>4</v>
      </c>
      <c r="K126" s="29" t="s">
        <v>1371</v>
      </c>
      <c r="L126" s="30" t="s">
        <v>1174</v>
      </c>
      <c r="M126" s="30" t="s">
        <v>1174</v>
      </c>
      <c r="N126" s="31" t="s">
        <v>1175</v>
      </c>
      <c r="O126" s="30" t="s">
        <v>1174</v>
      </c>
      <c r="P126" s="31" t="s">
        <v>1175</v>
      </c>
      <c r="Q126" s="30" t="s">
        <v>1174</v>
      </c>
      <c r="R126" s="30" t="s">
        <v>1174</v>
      </c>
      <c r="S126" s="30" t="s">
        <v>1174</v>
      </c>
      <c r="T126" s="30" t="s">
        <v>1174</v>
      </c>
      <c r="U126" s="30" t="s">
        <v>1174</v>
      </c>
      <c r="V126" s="59" t="s">
        <v>1174</v>
      </c>
      <c r="W126" s="29" t="s">
        <v>1375</v>
      </c>
      <c r="X126" s="15" t="s">
        <v>1374</v>
      </c>
      <c r="Y126" s="1" t="s">
        <v>670</v>
      </c>
    </row>
    <row r="127" spans="1:26">
      <c r="A127" s="100">
        <v>125</v>
      </c>
      <c r="B127" s="93">
        <v>171</v>
      </c>
      <c r="C127" s="47" t="s">
        <v>2128</v>
      </c>
      <c r="D127" s="38">
        <v>0</v>
      </c>
      <c r="E127" s="38">
        <v>0</v>
      </c>
      <c r="F127" s="38">
        <v>1</v>
      </c>
      <c r="G127" s="38">
        <v>0</v>
      </c>
      <c r="H127" s="38">
        <v>1</v>
      </c>
      <c r="I127" s="38">
        <v>1</v>
      </c>
      <c r="J127" s="58">
        <f>SUM(D127:I127)</f>
        <v>3</v>
      </c>
      <c r="K127" s="29" t="s">
        <v>1928</v>
      </c>
      <c r="L127" s="31" t="s">
        <v>1175</v>
      </c>
      <c r="M127" s="30" t="s">
        <v>1174</v>
      </c>
      <c r="N127" s="30" t="s">
        <v>1174</v>
      </c>
      <c r="O127" s="30" t="s">
        <v>1174</v>
      </c>
      <c r="P127" s="30" t="s">
        <v>1174</v>
      </c>
      <c r="Q127" s="30" t="s">
        <v>1174</v>
      </c>
      <c r="R127" s="31" t="s">
        <v>1175</v>
      </c>
      <c r="S127" s="30" t="s">
        <v>1174</v>
      </c>
      <c r="T127" s="30" t="s">
        <v>1174</v>
      </c>
      <c r="U127" s="30" t="s">
        <v>1174</v>
      </c>
      <c r="V127" s="59" t="s">
        <v>1174</v>
      </c>
      <c r="W127" s="29" t="s">
        <v>1928</v>
      </c>
      <c r="X127" s="15" t="s">
        <v>674</v>
      </c>
      <c r="Y127" s="9" t="s">
        <v>675</v>
      </c>
    </row>
    <row r="128" spans="1:26">
      <c r="A128" s="100">
        <v>126</v>
      </c>
      <c r="B128" s="93">
        <v>172</v>
      </c>
      <c r="C128" s="47" t="s">
        <v>2129</v>
      </c>
      <c r="D128" s="38">
        <v>0</v>
      </c>
      <c r="E128" s="38">
        <v>0</v>
      </c>
      <c r="F128" s="38">
        <v>0</v>
      </c>
      <c r="G128" s="38">
        <v>0</v>
      </c>
      <c r="H128" s="38">
        <v>1</v>
      </c>
      <c r="I128" s="38">
        <v>1</v>
      </c>
      <c r="J128" s="58">
        <f>SUM(D128:I128)</f>
        <v>2</v>
      </c>
      <c r="K128" s="29" t="s">
        <v>1025</v>
      </c>
      <c r="L128" s="30" t="s">
        <v>1174</v>
      </c>
      <c r="M128" s="30" t="s">
        <v>1174</v>
      </c>
      <c r="N128" s="31" t="s">
        <v>1175</v>
      </c>
      <c r="O128" s="31" t="s">
        <v>1175</v>
      </c>
      <c r="P128" s="30" t="s">
        <v>1174</v>
      </c>
      <c r="Q128" s="30" t="s">
        <v>1174</v>
      </c>
      <c r="R128" s="30" t="s">
        <v>1174</v>
      </c>
      <c r="S128" s="30" t="s">
        <v>1174</v>
      </c>
      <c r="T128" s="31" t="s">
        <v>1175</v>
      </c>
      <c r="U128" s="30" t="s">
        <v>1174</v>
      </c>
      <c r="V128" s="59" t="s">
        <v>1174</v>
      </c>
      <c r="W128" s="29" t="s">
        <v>9</v>
      </c>
      <c r="X128" s="15" t="s">
        <v>15</v>
      </c>
      <c r="Y128" s="1" t="s">
        <v>670</v>
      </c>
    </row>
    <row r="129" spans="1:26">
      <c r="A129" s="100">
        <v>127</v>
      </c>
      <c r="B129" s="93">
        <v>173</v>
      </c>
      <c r="C129" s="47" t="s">
        <v>2130</v>
      </c>
      <c r="D129" s="38">
        <v>0</v>
      </c>
      <c r="E129" s="38">
        <v>0</v>
      </c>
      <c r="F129" s="38">
        <v>0</v>
      </c>
      <c r="G129" s="38">
        <v>0</v>
      </c>
      <c r="H129" s="38">
        <v>1</v>
      </c>
      <c r="I129" s="38">
        <v>1</v>
      </c>
      <c r="J129" s="58">
        <f>SUM(D129:I129)</f>
        <v>2</v>
      </c>
      <c r="K129" s="29" t="s">
        <v>1025</v>
      </c>
      <c r="L129" s="31" t="s">
        <v>1175</v>
      </c>
      <c r="M129" s="30" t="s">
        <v>1174</v>
      </c>
      <c r="N129" s="30" t="s">
        <v>1174</v>
      </c>
      <c r="O129" s="31" t="s">
        <v>1175</v>
      </c>
      <c r="P129" s="30" t="s">
        <v>1174</v>
      </c>
      <c r="Q129" s="30" t="s">
        <v>1174</v>
      </c>
      <c r="R129" s="30" t="s">
        <v>1174</v>
      </c>
      <c r="S129" s="30" t="s">
        <v>1174</v>
      </c>
      <c r="T129" s="30" t="s">
        <v>1174</v>
      </c>
      <c r="U129" s="31" t="s">
        <v>1175</v>
      </c>
      <c r="V129" s="62" t="s">
        <v>1395</v>
      </c>
      <c r="W129" s="29" t="s">
        <v>9</v>
      </c>
      <c r="X129" s="15" t="s">
        <v>674</v>
      </c>
      <c r="Y129" s="1" t="s">
        <v>670</v>
      </c>
    </row>
    <row r="130" spans="1:26">
      <c r="A130" s="100">
        <v>128</v>
      </c>
      <c r="B130" s="93">
        <v>174</v>
      </c>
      <c r="C130" s="47" t="s">
        <v>1400</v>
      </c>
      <c r="D130" s="38">
        <v>0</v>
      </c>
      <c r="E130" s="38">
        <v>0</v>
      </c>
      <c r="F130" s="38">
        <v>1</v>
      </c>
      <c r="G130" s="38">
        <v>1</v>
      </c>
      <c r="H130" s="38">
        <v>1</v>
      </c>
      <c r="I130" s="38">
        <v>1</v>
      </c>
      <c r="J130" s="58">
        <f>SUM(D130:I130)</f>
        <v>4</v>
      </c>
      <c r="K130" s="29" t="s">
        <v>1403</v>
      </c>
      <c r="L130" s="30" t="s">
        <v>1174</v>
      </c>
      <c r="M130" s="30" t="s">
        <v>1174</v>
      </c>
      <c r="N130" s="31" t="s">
        <v>1175</v>
      </c>
      <c r="O130" s="30" t="s">
        <v>1174</v>
      </c>
      <c r="P130" s="31" t="s">
        <v>1175</v>
      </c>
      <c r="Q130" s="30" t="s">
        <v>1174</v>
      </c>
      <c r="R130" s="31" t="s">
        <v>1175</v>
      </c>
      <c r="S130" s="30" t="s">
        <v>1174</v>
      </c>
      <c r="T130" s="30" t="s">
        <v>1174</v>
      </c>
      <c r="U130" s="30" t="s">
        <v>1174</v>
      </c>
      <c r="V130" s="59" t="s">
        <v>1174</v>
      </c>
      <c r="W130" s="29" t="s">
        <v>1404</v>
      </c>
      <c r="X130" s="15" t="s">
        <v>1405</v>
      </c>
      <c r="Y130" s="1" t="s">
        <v>670</v>
      </c>
    </row>
    <row r="131" spans="1:26">
      <c r="A131" s="100">
        <v>129</v>
      </c>
      <c r="B131" s="93">
        <v>175</v>
      </c>
      <c r="C131" s="47" t="s">
        <v>2131</v>
      </c>
      <c r="D131" s="38">
        <v>0</v>
      </c>
      <c r="E131" s="38">
        <v>0</v>
      </c>
      <c r="F131" s="38">
        <v>0</v>
      </c>
      <c r="G131" s="38">
        <v>0</v>
      </c>
      <c r="H131" s="38">
        <v>1</v>
      </c>
      <c r="I131" s="38">
        <v>1</v>
      </c>
      <c r="J131" s="58">
        <f>SUM(D131:I131)</f>
        <v>2</v>
      </c>
      <c r="K131" s="29" t="s">
        <v>1025</v>
      </c>
      <c r="L131" s="30" t="s">
        <v>1174</v>
      </c>
      <c r="M131" s="30" t="s">
        <v>1174</v>
      </c>
      <c r="N131" s="31" t="s">
        <v>1175</v>
      </c>
      <c r="O131" s="31" t="s">
        <v>1175</v>
      </c>
      <c r="P131" s="30" t="s">
        <v>1174</v>
      </c>
      <c r="Q131" s="30" t="s">
        <v>1174</v>
      </c>
      <c r="R131" s="30" t="s">
        <v>1174</v>
      </c>
      <c r="S131" s="30" t="s">
        <v>1174</v>
      </c>
      <c r="T131" s="30" t="s">
        <v>1174</v>
      </c>
      <c r="U131" s="31" t="s">
        <v>1175</v>
      </c>
      <c r="V131" s="62" t="s">
        <v>1412</v>
      </c>
      <c r="W131" s="29" t="s">
        <v>9</v>
      </c>
      <c r="X131" s="15" t="s">
        <v>674</v>
      </c>
      <c r="Y131" s="1" t="s">
        <v>670</v>
      </c>
    </row>
    <row r="132" spans="1:26">
      <c r="A132" s="100">
        <v>130</v>
      </c>
      <c r="B132" s="93">
        <v>176</v>
      </c>
      <c r="C132" s="47" t="s">
        <v>2132</v>
      </c>
      <c r="D132" s="38">
        <v>0</v>
      </c>
      <c r="E132" s="38">
        <v>0</v>
      </c>
      <c r="F132" s="38">
        <v>0</v>
      </c>
      <c r="G132" s="38">
        <v>0</v>
      </c>
      <c r="H132" s="38">
        <v>1</v>
      </c>
      <c r="I132" s="38">
        <v>1</v>
      </c>
      <c r="J132" s="58">
        <f>SUM(D132:I132)</f>
        <v>2</v>
      </c>
      <c r="K132" s="29" t="s">
        <v>1025</v>
      </c>
      <c r="L132" s="31" t="s">
        <v>1175</v>
      </c>
      <c r="M132" s="30" t="s">
        <v>1174</v>
      </c>
      <c r="N132" s="31" t="s">
        <v>1175</v>
      </c>
      <c r="O132" s="30" t="s">
        <v>1174</v>
      </c>
      <c r="P132" s="30" t="s">
        <v>1174</v>
      </c>
      <c r="Q132" s="30" t="s">
        <v>1174</v>
      </c>
      <c r="R132" s="30" t="s">
        <v>1174</v>
      </c>
      <c r="S132" s="30" t="s">
        <v>1174</v>
      </c>
      <c r="T132" s="30" t="s">
        <v>1174</v>
      </c>
      <c r="U132" s="30" t="s">
        <v>1174</v>
      </c>
      <c r="V132" s="59" t="s">
        <v>1174</v>
      </c>
      <c r="W132" s="29" t="s">
        <v>9</v>
      </c>
      <c r="X132" s="15" t="s">
        <v>1426</v>
      </c>
      <c r="Y132" s="11" t="s">
        <v>675</v>
      </c>
    </row>
    <row r="133" spans="1:26">
      <c r="A133" s="100">
        <v>131</v>
      </c>
      <c r="B133" s="93">
        <v>177</v>
      </c>
      <c r="C133" s="47" t="s">
        <v>1427</v>
      </c>
      <c r="D133" s="38">
        <v>0</v>
      </c>
      <c r="E133" s="38">
        <v>0</v>
      </c>
      <c r="F133" s="38">
        <v>1</v>
      </c>
      <c r="G133" s="38">
        <v>1</v>
      </c>
      <c r="H133" s="38">
        <v>1</v>
      </c>
      <c r="I133" s="38">
        <v>1</v>
      </c>
      <c r="J133" s="58">
        <f>SUM(D133:I133)</f>
        <v>4</v>
      </c>
      <c r="K133" s="29" t="s">
        <v>1631</v>
      </c>
      <c r="L133" s="31" t="s">
        <v>1224</v>
      </c>
      <c r="M133" s="30" t="s">
        <v>1174</v>
      </c>
      <c r="N133" s="30" t="s">
        <v>1174</v>
      </c>
      <c r="O133" s="30" t="s">
        <v>1174</v>
      </c>
      <c r="P133" s="30" t="s">
        <v>1174</v>
      </c>
      <c r="Q133" s="31" t="s">
        <v>1175</v>
      </c>
      <c r="R133" s="30" t="s">
        <v>1174</v>
      </c>
      <c r="S133" s="30" t="s">
        <v>1174</v>
      </c>
      <c r="T133" s="30" t="s">
        <v>1174</v>
      </c>
      <c r="U133" s="30" t="s">
        <v>1174</v>
      </c>
      <c r="V133" s="59" t="s">
        <v>1174</v>
      </c>
      <c r="W133" s="29" t="s">
        <v>1434</v>
      </c>
      <c r="X133" s="15" t="s">
        <v>1435</v>
      </c>
      <c r="Y133" s="1" t="s">
        <v>670</v>
      </c>
    </row>
    <row r="134" spans="1:26">
      <c r="A134" s="100">
        <v>132</v>
      </c>
      <c r="B134" s="93">
        <v>178</v>
      </c>
      <c r="C134" s="47" t="s">
        <v>2133</v>
      </c>
      <c r="D134" s="38">
        <v>0</v>
      </c>
      <c r="E134" s="38">
        <v>0</v>
      </c>
      <c r="F134" s="38">
        <v>1</v>
      </c>
      <c r="G134" s="38">
        <v>0</v>
      </c>
      <c r="H134" s="38">
        <v>1</v>
      </c>
      <c r="I134" s="38">
        <v>1</v>
      </c>
      <c r="J134" s="58">
        <f>SUM(D134:I134)</f>
        <v>3</v>
      </c>
      <c r="K134" s="29" t="s">
        <v>781</v>
      </c>
      <c r="L134" s="31" t="s">
        <v>1224</v>
      </c>
      <c r="M134" s="30" t="s">
        <v>1174</v>
      </c>
      <c r="N134" s="31" t="s">
        <v>1224</v>
      </c>
      <c r="O134" s="30" t="s">
        <v>1174</v>
      </c>
      <c r="P134" s="30" t="s">
        <v>1174</v>
      </c>
      <c r="Q134" s="30" t="s">
        <v>1174</v>
      </c>
      <c r="R134" s="31" t="s">
        <v>1175</v>
      </c>
      <c r="S134" s="30" t="s">
        <v>1174</v>
      </c>
      <c r="T134" s="30" t="s">
        <v>1174</v>
      </c>
      <c r="U134" s="30" t="s">
        <v>1174</v>
      </c>
      <c r="V134" s="59" t="s">
        <v>1174</v>
      </c>
      <c r="W134" s="29" t="s">
        <v>1336</v>
      </c>
      <c r="X134" s="15" t="s">
        <v>674</v>
      </c>
      <c r="Y134" s="1" t="s">
        <v>670</v>
      </c>
    </row>
    <row r="135" spans="1:26">
      <c r="A135" s="100">
        <v>133</v>
      </c>
      <c r="B135" s="93">
        <v>179</v>
      </c>
      <c r="C135" s="47" t="s">
        <v>2134</v>
      </c>
      <c r="D135" s="38">
        <v>0</v>
      </c>
      <c r="E135" s="38">
        <v>0</v>
      </c>
      <c r="F135" s="38">
        <v>1</v>
      </c>
      <c r="G135" s="38">
        <v>1</v>
      </c>
      <c r="H135" s="38">
        <v>1</v>
      </c>
      <c r="I135" s="38">
        <v>1</v>
      </c>
      <c r="J135" s="58">
        <v>4</v>
      </c>
      <c r="K135" s="29" t="s">
        <v>1474</v>
      </c>
      <c r="L135" s="31" t="s">
        <v>1175</v>
      </c>
      <c r="M135" s="30" t="s">
        <v>1174</v>
      </c>
      <c r="N135" s="31" t="s">
        <v>1224</v>
      </c>
      <c r="O135" s="30" t="s">
        <v>1174</v>
      </c>
      <c r="P135" s="30" t="s">
        <v>1174</v>
      </c>
      <c r="Q135" s="31" t="s">
        <v>1175</v>
      </c>
      <c r="R135" s="31" t="s">
        <v>1175</v>
      </c>
      <c r="S135" s="30" t="s">
        <v>1174</v>
      </c>
      <c r="T135" s="30" t="s">
        <v>1174</v>
      </c>
      <c r="U135" s="30" t="s">
        <v>1174</v>
      </c>
      <c r="V135" s="59" t="s">
        <v>1174</v>
      </c>
      <c r="W135" s="29" t="s">
        <v>1476</v>
      </c>
      <c r="X135" s="15" t="s">
        <v>1477</v>
      </c>
      <c r="Y135" s="1" t="s">
        <v>670</v>
      </c>
    </row>
    <row r="136" spans="1:26">
      <c r="A136" s="100">
        <v>134</v>
      </c>
      <c r="B136" s="93">
        <v>180</v>
      </c>
      <c r="C136" s="47" t="s">
        <v>2136</v>
      </c>
      <c r="D136" s="38">
        <v>0</v>
      </c>
      <c r="E136" s="38">
        <v>0</v>
      </c>
      <c r="F136" s="38">
        <v>0</v>
      </c>
      <c r="G136" s="38">
        <v>0</v>
      </c>
      <c r="H136" s="38">
        <v>1</v>
      </c>
      <c r="I136" s="38">
        <v>1</v>
      </c>
      <c r="J136" s="58">
        <f>SUM(D136:I136)</f>
        <v>2</v>
      </c>
      <c r="K136" s="7" t="s">
        <v>1025</v>
      </c>
      <c r="L136" s="30" t="s">
        <v>1174</v>
      </c>
      <c r="M136" s="30" t="s">
        <v>1174</v>
      </c>
      <c r="N136" s="31" t="s">
        <v>1175</v>
      </c>
      <c r="O136" s="30" t="s">
        <v>1174</v>
      </c>
      <c r="P136" s="30" t="s">
        <v>1174</v>
      </c>
      <c r="Q136" s="30" t="s">
        <v>1174</v>
      </c>
      <c r="R136" s="30" t="s">
        <v>1174</v>
      </c>
      <c r="S136" s="30" t="s">
        <v>1174</v>
      </c>
      <c r="T136" s="30" t="s">
        <v>1174</v>
      </c>
      <c r="U136" s="30" t="s">
        <v>1174</v>
      </c>
      <c r="V136" s="59" t="s">
        <v>1174</v>
      </c>
      <c r="W136" s="29" t="s">
        <v>9</v>
      </c>
      <c r="X136" s="7" t="s">
        <v>674</v>
      </c>
      <c r="Y136" s="9" t="s">
        <v>675</v>
      </c>
    </row>
    <row r="137" spans="1:26" s="5" customFormat="1">
      <c r="A137" s="100">
        <v>135</v>
      </c>
      <c r="B137" s="93">
        <v>181</v>
      </c>
      <c r="C137" s="47" t="s">
        <v>2137</v>
      </c>
      <c r="D137" s="38">
        <v>0</v>
      </c>
      <c r="E137" s="38">
        <v>0</v>
      </c>
      <c r="F137" s="38">
        <v>0</v>
      </c>
      <c r="G137" s="38">
        <v>0</v>
      </c>
      <c r="H137" s="38">
        <v>1</v>
      </c>
      <c r="I137" s="38">
        <v>1</v>
      </c>
      <c r="J137" s="58">
        <f>SUM(D137:I137)</f>
        <v>2</v>
      </c>
      <c r="K137" s="7" t="s">
        <v>1025</v>
      </c>
      <c r="L137" s="31" t="s">
        <v>1175</v>
      </c>
      <c r="M137" s="30" t="s">
        <v>1174</v>
      </c>
      <c r="N137" s="31" t="s">
        <v>1175</v>
      </c>
      <c r="O137" s="30" t="s">
        <v>1174</v>
      </c>
      <c r="P137" s="30" t="s">
        <v>1174</v>
      </c>
      <c r="Q137" s="30" t="s">
        <v>1174</v>
      </c>
      <c r="R137" s="30" t="s">
        <v>1174</v>
      </c>
      <c r="S137" s="30" t="s">
        <v>1174</v>
      </c>
      <c r="T137" s="30" t="s">
        <v>1174</v>
      </c>
      <c r="U137" s="31" t="s">
        <v>1175</v>
      </c>
      <c r="V137" s="62" t="s">
        <v>1547</v>
      </c>
      <c r="W137" s="29" t="s">
        <v>1025</v>
      </c>
      <c r="X137" s="15" t="s">
        <v>1685</v>
      </c>
      <c r="Y137" s="1" t="s">
        <v>670</v>
      </c>
      <c r="Z137"/>
    </row>
    <row r="138" spans="1:26">
      <c r="A138" s="100">
        <v>136</v>
      </c>
      <c r="B138" s="93">
        <v>182</v>
      </c>
      <c r="C138" s="47" t="s">
        <v>2138</v>
      </c>
      <c r="D138" s="38">
        <v>0</v>
      </c>
      <c r="E138" s="38">
        <v>0</v>
      </c>
      <c r="F138" s="38">
        <v>0</v>
      </c>
      <c r="G138" s="38">
        <v>0</v>
      </c>
      <c r="H138" s="38">
        <v>1</v>
      </c>
      <c r="I138" s="38">
        <v>1</v>
      </c>
      <c r="J138" s="58">
        <f>SUM(D138:I138)</f>
        <v>2</v>
      </c>
      <c r="K138" s="7" t="s">
        <v>1025</v>
      </c>
      <c r="L138" s="31" t="s">
        <v>1175</v>
      </c>
      <c r="M138" s="30" t="s">
        <v>1174</v>
      </c>
      <c r="N138" s="30" t="s">
        <v>1174</v>
      </c>
      <c r="O138" s="30" t="s">
        <v>1174</v>
      </c>
      <c r="P138" s="30" t="s">
        <v>1174</v>
      </c>
      <c r="Q138" s="30" t="s">
        <v>1174</v>
      </c>
      <c r="R138" s="30" t="s">
        <v>1174</v>
      </c>
      <c r="S138" s="30" t="s">
        <v>1174</v>
      </c>
      <c r="T138" s="30" t="s">
        <v>1174</v>
      </c>
      <c r="U138" s="30" t="s">
        <v>1174</v>
      </c>
      <c r="V138" s="59" t="s">
        <v>1174</v>
      </c>
      <c r="W138" s="29" t="s">
        <v>1025</v>
      </c>
      <c r="X138" s="52" t="s">
        <v>1682</v>
      </c>
      <c r="Y138" s="1" t="s">
        <v>670</v>
      </c>
    </row>
    <row r="139" spans="1:26">
      <c r="A139" s="100">
        <v>137</v>
      </c>
      <c r="B139" s="93">
        <v>183</v>
      </c>
      <c r="C139" s="47" t="s">
        <v>2139</v>
      </c>
      <c r="D139" s="38">
        <v>0</v>
      </c>
      <c r="E139" s="38">
        <v>0</v>
      </c>
      <c r="F139" s="38">
        <v>0</v>
      </c>
      <c r="G139" s="38">
        <v>0</v>
      </c>
      <c r="H139" s="38">
        <v>1</v>
      </c>
      <c r="I139" s="38">
        <v>1</v>
      </c>
      <c r="J139" s="58">
        <f>SUM(D139:I139)</f>
        <v>2</v>
      </c>
      <c r="K139" s="7" t="s">
        <v>1025</v>
      </c>
      <c r="L139" s="31" t="s">
        <v>1175</v>
      </c>
      <c r="M139" s="30" t="s">
        <v>1174</v>
      </c>
      <c r="N139" s="31" t="s">
        <v>1175</v>
      </c>
      <c r="O139" s="30" t="s">
        <v>1174</v>
      </c>
      <c r="P139" s="30" t="s">
        <v>1174</v>
      </c>
      <c r="Q139" s="30" t="s">
        <v>1174</v>
      </c>
      <c r="R139" s="30" t="s">
        <v>1174</v>
      </c>
      <c r="S139" s="30" t="s">
        <v>1174</v>
      </c>
      <c r="T139" s="30" t="s">
        <v>1174</v>
      </c>
      <c r="U139" s="31" t="s">
        <v>1175</v>
      </c>
      <c r="V139" s="62" t="s">
        <v>1680</v>
      </c>
      <c r="W139" s="29" t="s">
        <v>1025</v>
      </c>
      <c r="X139" s="15" t="s">
        <v>1567</v>
      </c>
      <c r="Y139" s="1" t="s">
        <v>670</v>
      </c>
    </row>
    <row r="140" spans="1:26">
      <c r="A140" s="100">
        <v>138</v>
      </c>
      <c r="B140" s="93">
        <v>184</v>
      </c>
      <c r="C140" s="47" t="s">
        <v>2140</v>
      </c>
      <c r="D140" s="38">
        <v>0</v>
      </c>
      <c r="E140" s="38">
        <v>0</v>
      </c>
      <c r="F140" s="38">
        <v>0</v>
      </c>
      <c r="G140" s="38">
        <v>0</v>
      </c>
      <c r="H140" s="38">
        <v>0</v>
      </c>
      <c r="I140" s="38">
        <v>1</v>
      </c>
      <c r="J140" s="58">
        <f>SUM(D140:I140)</f>
        <v>1</v>
      </c>
      <c r="K140" s="7" t="s">
        <v>1025</v>
      </c>
      <c r="L140" s="30" t="s">
        <v>1174</v>
      </c>
      <c r="M140" s="30" t="s">
        <v>1174</v>
      </c>
      <c r="N140" s="31" t="s">
        <v>1175</v>
      </c>
      <c r="O140" s="31" t="s">
        <v>1175</v>
      </c>
      <c r="P140" s="30" t="s">
        <v>1174</v>
      </c>
      <c r="Q140" s="30" t="s">
        <v>1174</v>
      </c>
      <c r="R140" s="30" t="s">
        <v>1174</v>
      </c>
      <c r="S140" s="30" t="s">
        <v>1174</v>
      </c>
      <c r="T140" s="30" t="s">
        <v>1174</v>
      </c>
      <c r="U140" s="31" t="s">
        <v>1175</v>
      </c>
      <c r="V140" s="62" t="s">
        <v>1609</v>
      </c>
      <c r="W140" s="29" t="s">
        <v>9</v>
      </c>
      <c r="X140" s="15" t="s">
        <v>9</v>
      </c>
      <c r="Y140" s="1" t="s">
        <v>670</v>
      </c>
    </row>
    <row r="141" spans="1:26">
      <c r="A141" s="100">
        <v>139</v>
      </c>
      <c r="B141" s="93">
        <v>185</v>
      </c>
      <c r="C141" s="47" t="s">
        <v>2141</v>
      </c>
      <c r="D141" s="38">
        <v>0</v>
      </c>
      <c r="E141" s="38">
        <v>0</v>
      </c>
      <c r="F141" s="38">
        <v>0</v>
      </c>
      <c r="G141" s="38">
        <v>0</v>
      </c>
      <c r="H141" s="38">
        <v>1</v>
      </c>
      <c r="I141" s="38">
        <v>1</v>
      </c>
      <c r="J141" s="58">
        <f>SUM(D141:I141)</f>
        <v>2</v>
      </c>
      <c r="K141" s="7" t="s">
        <v>1686</v>
      </c>
      <c r="L141" s="30" t="s">
        <v>1174</v>
      </c>
      <c r="M141" s="30" t="s">
        <v>1174</v>
      </c>
      <c r="N141" s="31" t="s">
        <v>1175</v>
      </c>
      <c r="O141" s="30" t="s">
        <v>1174</v>
      </c>
      <c r="P141" s="30" t="s">
        <v>1174</v>
      </c>
      <c r="Q141" s="30" t="s">
        <v>1174</v>
      </c>
      <c r="R141" s="30" t="s">
        <v>1174</v>
      </c>
      <c r="S141" s="30" t="s">
        <v>1174</v>
      </c>
      <c r="T141" s="30" t="s">
        <v>1174</v>
      </c>
      <c r="U141" s="30" t="s">
        <v>1174</v>
      </c>
      <c r="V141" s="59" t="s">
        <v>1174</v>
      </c>
      <c r="W141" s="29" t="s">
        <v>722</v>
      </c>
      <c r="X141" s="15" t="s">
        <v>1628</v>
      </c>
      <c r="Y141" s="9" t="s">
        <v>670</v>
      </c>
    </row>
    <row r="142" spans="1:26">
      <c r="A142" s="100">
        <v>140</v>
      </c>
      <c r="B142" s="93">
        <v>186</v>
      </c>
      <c r="C142" s="47" t="s">
        <v>2142</v>
      </c>
      <c r="D142" s="38">
        <v>0</v>
      </c>
      <c r="E142" s="38">
        <v>0</v>
      </c>
      <c r="F142" s="38">
        <v>0</v>
      </c>
      <c r="G142" s="38">
        <v>0</v>
      </c>
      <c r="H142" s="38">
        <v>1</v>
      </c>
      <c r="I142" s="38">
        <v>1</v>
      </c>
      <c r="J142" s="58">
        <f>SUM(D142:I142)</f>
        <v>2</v>
      </c>
      <c r="K142" s="7" t="s">
        <v>1025</v>
      </c>
      <c r="L142" s="30" t="s">
        <v>1174</v>
      </c>
      <c r="M142" s="30" t="s">
        <v>1174</v>
      </c>
      <c r="N142" s="31" t="s">
        <v>1175</v>
      </c>
      <c r="O142" s="31" t="s">
        <v>1175</v>
      </c>
      <c r="P142" s="30" t="s">
        <v>1174</v>
      </c>
      <c r="Q142" s="30" t="s">
        <v>1174</v>
      </c>
      <c r="R142" s="30" t="s">
        <v>1174</v>
      </c>
      <c r="S142" s="30" t="s">
        <v>1174</v>
      </c>
      <c r="T142" s="30" t="s">
        <v>1174</v>
      </c>
      <c r="U142" s="31" t="s">
        <v>1175</v>
      </c>
      <c r="V142" s="62" t="s">
        <v>1635</v>
      </c>
      <c r="W142" s="29" t="s">
        <v>9</v>
      </c>
      <c r="X142" s="15" t="s">
        <v>9</v>
      </c>
      <c r="Y142" s="9" t="s">
        <v>670</v>
      </c>
    </row>
    <row r="143" spans="1:26">
      <c r="A143" s="100">
        <v>141</v>
      </c>
      <c r="B143" s="93">
        <v>187</v>
      </c>
      <c r="C143" s="47" t="s">
        <v>2143</v>
      </c>
      <c r="D143" s="38">
        <v>0</v>
      </c>
      <c r="E143" s="38">
        <v>0</v>
      </c>
      <c r="F143" s="38">
        <v>1</v>
      </c>
      <c r="G143" s="38">
        <v>1</v>
      </c>
      <c r="H143" s="38">
        <v>1</v>
      </c>
      <c r="I143" s="38">
        <v>1</v>
      </c>
      <c r="J143" s="58">
        <f>SUM(D143:I143)</f>
        <v>4</v>
      </c>
      <c r="K143" s="29" t="s">
        <v>1703</v>
      </c>
      <c r="L143" s="30" t="s">
        <v>1174</v>
      </c>
      <c r="M143" s="30" t="s">
        <v>1174</v>
      </c>
      <c r="N143" s="31" t="s">
        <v>1175</v>
      </c>
      <c r="O143" s="30" t="s">
        <v>1174</v>
      </c>
      <c r="P143" s="30" t="s">
        <v>1174</v>
      </c>
      <c r="Q143" s="31" t="s">
        <v>1175</v>
      </c>
      <c r="R143" s="30" t="s">
        <v>1174</v>
      </c>
      <c r="S143" s="30" t="s">
        <v>1174</v>
      </c>
      <c r="T143" s="30" t="s">
        <v>1174</v>
      </c>
      <c r="U143" s="31" t="s">
        <v>1175</v>
      </c>
      <c r="V143" s="62" t="s">
        <v>1701</v>
      </c>
      <c r="W143" s="29" t="s">
        <v>1702</v>
      </c>
      <c r="X143" s="15" t="s">
        <v>1712</v>
      </c>
      <c r="Y143" s="1" t="s">
        <v>675</v>
      </c>
    </row>
    <row r="144" spans="1:26">
      <c r="A144" s="100">
        <v>142</v>
      </c>
      <c r="B144" s="93">
        <v>188</v>
      </c>
      <c r="C144" s="47" t="s">
        <v>2144</v>
      </c>
      <c r="D144" s="38">
        <v>0</v>
      </c>
      <c r="E144" s="38">
        <v>0</v>
      </c>
      <c r="F144" s="38">
        <v>0</v>
      </c>
      <c r="G144" s="38">
        <v>0</v>
      </c>
      <c r="H144" s="38">
        <v>1</v>
      </c>
      <c r="I144" s="38">
        <v>1</v>
      </c>
      <c r="J144" s="58">
        <f>SUM(D144:I144)</f>
        <v>2</v>
      </c>
      <c r="K144" s="29" t="s">
        <v>1025</v>
      </c>
      <c r="L144" s="31" t="s">
        <v>1175</v>
      </c>
      <c r="M144" s="30" t="s">
        <v>1174</v>
      </c>
      <c r="N144" s="30" t="s">
        <v>1174</v>
      </c>
      <c r="O144" s="31" t="s">
        <v>1175</v>
      </c>
      <c r="P144" s="30" t="s">
        <v>1174</v>
      </c>
      <c r="Q144" s="30" t="s">
        <v>1174</v>
      </c>
      <c r="R144" s="30" t="s">
        <v>1174</v>
      </c>
      <c r="S144" s="30" t="s">
        <v>1174</v>
      </c>
      <c r="T144" s="30" t="s">
        <v>1174</v>
      </c>
      <c r="U144" s="30" t="s">
        <v>1174</v>
      </c>
      <c r="V144" s="59" t="s">
        <v>1174</v>
      </c>
      <c r="W144" s="29" t="s">
        <v>136</v>
      </c>
      <c r="X144" s="29" t="s">
        <v>136</v>
      </c>
      <c r="Y144" s="9" t="s">
        <v>670</v>
      </c>
      <c r="Z144" s="29"/>
    </row>
    <row r="145" spans="1:26" s="5" customFormat="1">
      <c r="A145" s="100">
        <v>143</v>
      </c>
      <c r="B145" s="93">
        <v>189</v>
      </c>
      <c r="C145" s="47" t="s">
        <v>2145</v>
      </c>
      <c r="D145" s="38">
        <v>0</v>
      </c>
      <c r="E145" s="38">
        <v>0</v>
      </c>
      <c r="F145" s="38">
        <v>1</v>
      </c>
      <c r="G145" s="38">
        <v>1</v>
      </c>
      <c r="H145" s="38">
        <v>1</v>
      </c>
      <c r="I145" s="38">
        <v>1</v>
      </c>
      <c r="J145" s="58">
        <f>SUM(D145:I145)</f>
        <v>4</v>
      </c>
      <c r="K145" s="29" t="s">
        <v>1711</v>
      </c>
      <c r="L145" s="31" t="s">
        <v>1175</v>
      </c>
      <c r="M145" s="30" t="s">
        <v>1174</v>
      </c>
      <c r="N145" s="31" t="s">
        <v>1175</v>
      </c>
      <c r="O145" s="31" t="s">
        <v>1175</v>
      </c>
      <c r="P145" s="31" t="s">
        <v>1175</v>
      </c>
      <c r="Q145" s="30" t="s">
        <v>1174</v>
      </c>
      <c r="R145" s="31" t="s">
        <v>1175</v>
      </c>
      <c r="S145" s="30" t="s">
        <v>1174</v>
      </c>
      <c r="T145" s="30" t="s">
        <v>1174</v>
      </c>
      <c r="U145" s="30" t="s">
        <v>1174</v>
      </c>
      <c r="V145" s="59" t="s">
        <v>1174</v>
      </c>
      <c r="W145" s="29" t="s">
        <v>1714</v>
      </c>
      <c r="X145" s="29" t="s">
        <v>1715</v>
      </c>
      <c r="Y145" s="9" t="s">
        <v>670</v>
      </c>
      <c r="Z145"/>
    </row>
    <row r="146" spans="1:26">
      <c r="A146" s="100">
        <v>144</v>
      </c>
      <c r="B146" s="93">
        <v>190</v>
      </c>
      <c r="C146" s="47" t="s">
        <v>2146</v>
      </c>
      <c r="D146" s="38">
        <v>1</v>
      </c>
      <c r="E146" s="38">
        <v>0</v>
      </c>
      <c r="F146" s="38">
        <v>0</v>
      </c>
      <c r="G146" s="38">
        <v>0</v>
      </c>
      <c r="H146" s="38">
        <v>1</v>
      </c>
      <c r="I146" s="38">
        <v>1</v>
      </c>
      <c r="J146" s="58">
        <f>SUM(D146:I146)</f>
        <v>3</v>
      </c>
      <c r="K146" s="29" t="s">
        <v>1025</v>
      </c>
      <c r="L146" s="31" t="s">
        <v>1175</v>
      </c>
      <c r="M146" s="31" t="s">
        <v>1175</v>
      </c>
      <c r="N146" s="31" t="s">
        <v>1175</v>
      </c>
      <c r="O146" s="31" t="s">
        <v>1175</v>
      </c>
      <c r="P146" s="30" t="s">
        <v>1174</v>
      </c>
      <c r="Q146" s="30" t="s">
        <v>1174</v>
      </c>
      <c r="R146" s="30" t="s">
        <v>1174</v>
      </c>
      <c r="S146" s="30" t="s">
        <v>1174</v>
      </c>
      <c r="T146" s="30" t="s">
        <v>1174</v>
      </c>
      <c r="U146" s="30" t="s">
        <v>1174</v>
      </c>
      <c r="V146" s="59" t="s">
        <v>1174</v>
      </c>
      <c r="W146" s="29" t="s">
        <v>9</v>
      </c>
      <c r="X146" s="29" t="s">
        <v>1726</v>
      </c>
      <c r="Y146" s="9" t="s">
        <v>670</v>
      </c>
    </row>
    <row r="147" spans="1:26">
      <c r="A147" s="100">
        <v>145</v>
      </c>
      <c r="B147" s="93">
        <v>191</v>
      </c>
      <c r="C147" s="47" t="s">
        <v>2147</v>
      </c>
      <c r="D147" s="38">
        <v>0</v>
      </c>
      <c r="E147" s="38">
        <v>0</v>
      </c>
      <c r="F147" s="38">
        <v>0</v>
      </c>
      <c r="G147" s="38">
        <v>0</v>
      </c>
      <c r="H147" s="38">
        <v>1</v>
      </c>
      <c r="I147" s="38">
        <v>1</v>
      </c>
      <c r="J147" s="58">
        <f>SUM(D147:I147)</f>
        <v>2</v>
      </c>
      <c r="K147" s="29" t="s">
        <v>1025</v>
      </c>
      <c r="L147" s="31" t="s">
        <v>1175</v>
      </c>
      <c r="M147" s="30" t="s">
        <v>1174</v>
      </c>
      <c r="N147" s="31" t="s">
        <v>1175</v>
      </c>
      <c r="O147" s="31" t="s">
        <v>1175</v>
      </c>
      <c r="P147" s="30" t="s">
        <v>1174</v>
      </c>
      <c r="Q147" s="30" t="s">
        <v>1174</v>
      </c>
      <c r="R147" s="30" t="s">
        <v>1174</v>
      </c>
      <c r="S147" s="30" t="s">
        <v>1174</v>
      </c>
      <c r="T147" s="30" t="s">
        <v>1174</v>
      </c>
      <c r="U147" s="31" t="s">
        <v>1175</v>
      </c>
      <c r="V147" s="62" t="s">
        <v>1733</v>
      </c>
      <c r="W147" s="29" t="s">
        <v>136</v>
      </c>
      <c r="X147" s="29" t="s">
        <v>136</v>
      </c>
      <c r="Y147" s="9" t="s">
        <v>670</v>
      </c>
    </row>
    <row r="148" spans="1:26">
      <c r="A148" s="100">
        <v>146</v>
      </c>
      <c r="B148" s="93">
        <v>192</v>
      </c>
      <c r="C148" s="47" t="s">
        <v>2148</v>
      </c>
      <c r="D148" s="38">
        <v>0</v>
      </c>
      <c r="E148" s="38">
        <v>0</v>
      </c>
      <c r="F148" s="38">
        <v>0</v>
      </c>
      <c r="G148" s="38">
        <v>0</v>
      </c>
      <c r="H148" s="38">
        <v>0</v>
      </c>
      <c r="I148" s="38">
        <v>1</v>
      </c>
      <c r="J148" s="58">
        <f>SUM(D148:I148)</f>
        <v>1</v>
      </c>
      <c r="K148" s="29" t="s">
        <v>1025</v>
      </c>
      <c r="L148" s="31" t="s">
        <v>1175</v>
      </c>
      <c r="M148" s="30" t="s">
        <v>1174</v>
      </c>
      <c r="N148" s="30" t="s">
        <v>1174</v>
      </c>
      <c r="O148" s="30" t="s">
        <v>1174</v>
      </c>
      <c r="P148" s="30" t="s">
        <v>1174</v>
      </c>
      <c r="Q148" s="30" t="s">
        <v>1174</v>
      </c>
      <c r="R148" s="30" t="s">
        <v>1174</v>
      </c>
      <c r="S148" s="30" t="s">
        <v>1174</v>
      </c>
      <c r="T148" s="30" t="s">
        <v>1174</v>
      </c>
      <c r="U148" s="30" t="s">
        <v>1174</v>
      </c>
      <c r="V148" s="59" t="s">
        <v>1174</v>
      </c>
      <c r="W148" s="29" t="s">
        <v>136</v>
      </c>
      <c r="X148" s="29" t="s">
        <v>136</v>
      </c>
      <c r="Y148" s="9" t="s">
        <v>675</v>
      </c>
    </row>
    <row r="149" spans="1:26">
      <c r="A149" s="100">
        <v>147</v>
      </c>
      <c r="B149" s="93">
        <v>193</v>
      </c>
      <c r="C149" s="47" t="s">
        <v>2149</v>
      </c>
      <c r="D149" s="38">
        <v>0</v>
      </c>
      <c r="E149" s="38">
        <v>0</v>
      </c>
      <c r="F149" s="38">
        <v>0</v>
      </c>
      <c r="G149" s="38">
        <v>0</v>
      </c>
      <c r="H149" s="38">
        <v>0</v>
      </c>
      <c r="I149" s="38">
        <v>1</v>
      </c>
      <c r="J149" s="58">
        <f>SUM(D149:I149)</f>
        <v>1</v>
      </c>
      <c r="K149" s="29" t="s">
        <v>1025</v>
      </c>
      <c r="L149" s="31" t="s">
        <v>1175</v>
      </c>
      <c r="M149" s="30" t="s">
        <v>1174</v>
      </c>
      <c r="N149" s="30" t="s">
        <v>1174</v>
      </c>
      <c r="O149" s="30" t="s">
        <v>1174</v>
      </c>
      <c r="P149" s="30" t="s">
        <v>1174</v>
      </c>
      <c r="Q149" s="30" t="s">
        <v>1174</v>
      </c>
      <c r="R149" s="30" t="s">
        <v>1174</v>
      </c>
      <c r="S149" s="30" t="s">
        <v>1174</v>
      </c>
      <c r="T149" s="30" t="s">
        <v>1174</v>
      </c>
      <c r="U149" s="30" t="s">
        <v>1174</v>
      </c>
      <c r="V149" s="59" t="s">
        <v>1174</v>
      </c>
      <c r="W149" s="29" t="s">
        <v>136</v>
      </c>
      <c r="X149" s="29" t="s">
        <v>136</v>
      </c>
      <c r="Y149" s="9" t="s">
        <v>675</v>
      </c>
    </row>
    <row r="150" spans="1:26">
      <c r="A150" s="100">
        <v>148</v>
      </c>
      <c r="B150" s="93">
        <v>194</v>
      </c>
      <c r="C150" s="47" t="s">
        <v>2150</v>
      </c>
      <c r="D150" s="38">
        <v>0</v>
      </c>
      <c r="E150" s="38">
        <v>0</v>
      </c>
      <c r="F150" s="38">
        <v>0</v>
      </c>
      <c r="G150" s="38">
        <v>0</v>
      </c>
      <c r="H150" s="38">
        <v>1</v>
      </c>
      <c r="I150" s="38">
        <v>1</v>
      </c>
      <c r="J150" s="58">
        <f>SUM(D150:I150)</f>
        <v>2</v>
      </c>
      <c r="K150" s="29" t="s">
        <v>1025</v>
      </c>
      <c r="L150" s="30" t="s">
        <v>1174</v>
      </c>
      <c r="M150" s="30" t="s">
        <v>1174</v>
      </c>
      <c r="N150" s="31" t="s">
        <v>1175</v>
      </c>
      <c r="O150" s="30" t="s">
        <v>1174</v>
      </c>
      <c r="P150" s="30" t="s">
        <v>1174</v>
      </c>
      <c r="Q150" s="30" t="s">
        <v>1174</v>
      </c>
      <c r="R150" s="30" t="s">
        <v>1174</v>
      </c>
      <c r="S150" s="30" t="s">
        <v>1174</v>
      </c>
      <c r="T150" s="30" t="s">
        <v>1174</v>
      </c>
      <c r="U150" s="31" t="s">
        <v>1175</v>
      </c>
      <c r="V150" s="62" t="s">
        <v>1756</v>
      </c>
      <c r="W150" s="29" t="s">
        <v>1757</v>
      </c>
      <c r="X150" s="29" t="s">
        <v>15</v>
      </c>
      <c r="Y150" s="9" t="s">
        <v>675</v>
      </c>
    </row>
    <row r="151" spans="1:26">
      <c r="A151" s="100">
        <v>149</v>
      </c>
      <c r="B151" s="93">
        <v>195</v>
      </c>
      <c r="C151" s="47" t="s">
        <v>2194</v>
      </c>
      <c r="D151" s="38">
        <v>0</v>
      </c>
      <c r="E151" s="38">
        <v>0</v>
      </c>
      <c r="F151" s="38">
        <v>1</v>
      </c>
      <c r="G151" s="38">
        <v>1</v>
      </c>
      <c r="H151" s="38">
        <v>1</v>
      </c>
      <c r="I151" s="38">
        <v>1</v>
      </c>
      <c r="J151" s="58">
        <f>SUM(D151:I151)</f>
        <v>4</v>
      </c>
      <c r="K151" s="29" t="s">
        <v>1763</v>
      </c>
      <c r="L151" s="31" t="s">
        <v>1175</v>
      </c>
      <c r="M151" s="30" t="s">
        <v>1174</v>
      </c>
      <c r="N151" s="30" t="s">
        <v>1174</v>
      </c>
      <c r="O151" s="30" t="s">
        <v>1174</v>
      </c>
      <c r="P151" s="30" t="s">
        <v>1174</v>
      </c>
      <c r="Q151" s="31" t="s">
        <v>1175</v>
      </c>
      <c r="R151" s="31" t="s">
        <v>1175</v>
      </c>
      <c r="S151" s="30" t="s">
        <v>1174</v>
      </c>
      <c r="T151" s="30" t="s">
        <v>1174</v>
      </c>
      <c r="U151" s="30" t="s">
        <v>1174</v>
      </c>
      <c r="V151" s="59" t="s">
        <v>1174</v>
      </c>
      <c r="W151" s="29" t="s">
        <v>1763</v>
      </c>
      <c r="X151" s="29" t="s">
        <v>1767</v>
      </c>
      <c r="Y151" s="9" t="s">
        <v>670</v>
      </c>
    </row>
    <row r="152" spans="1:26">
      <c r="A152" s="100">
        <v>150</v>
      </c>
      <c r="B152" s="93">
        <v>196</v>
      </c>
      <c r="C152" s="47" t="s">
        <v>2151</v>
      </c>
      <c r="D152" s="38">
        <v>0</v>
      </c>
      <c r="E152" s="38">
        <v>0</v>
      </c>
      <c r="F152" s="38">
        <v>1</v>
      </c>
      <c r="G152" s="38">
        <v>1</v>
      </c>
      <c r="H152" s="38">
        <v>1</v>
      </c>
      <c r="I152" s="38">
        <v>1</v>
      </c>
      <c r="J152" s="58">
        <f>SUM(D152:I152)</f>
        <v>4</v>
      </c>
      <c r="K152" s="29" t="s">
        <v>1771</v>
      </c>
      <c r="L152" s="31" t="s">
        <v>1175</v>
      </c>
      <c r="M152" s="30" t="s">
        <v>1174</v>
      </c>
      <c r="N152" s="30" t="s">
        <v>1174</v>
      </c>
      <c r="O152" s="30" t="s">
        <v>1174</v>
      </c>
      <c r="P152" s="30" t="s">
        <v>1174</v>
      </c>
      <c r="Q152" s="31" t="s">
        <v>1175</v>
      </c>
      <c r="R152" s="31" t="s">
        <v>1175</v>
      </c>
      <c r="S152" s="30" t="s">
        <v>1174</v>
      </c>
      <c r="T152" s="30" t="s">
        <v>1174</v>
      </c>
      <c r="U152" s="30" t="s">
        <v>1174</v>
      </c>
      <c r="V152" s="59" t="s">
        <v>1174</v>
      </c>
      <c r="W152" s="29" t="s">
        <v>1771</v>
      </c>
      <c r="Y152" s="9" t="s">
        <v>670</v>
      </c>
    </row>
    <row r="153" spans="1:26">
      <c r="A153" s="100">
        <v>151</v>
      </c>
      <c r="B153" s="93">
        <v>197</v>
      </c>
      <c r="C153" s="47" t="s">
        <v>2152</v>
      </c>
      <c r="D153" s="38">
        <v>0</v>
      </c>
      <c r="E153" s="38">
        <v>0</v>
      </c>
      <c r="F153" s="38">
        <v>0</v>
      </c>
      <c r="G153" s="38">
        <v>0</v>
      </c>
      <c r="H153" s="38">
        <v>1</v>
      </c>
      <c r="I153" s="38">
        <v>1</v>
      </c>
      <c r="J153" s="58">
        <f>SUM(D153:I153)</f>
        <v>2</v>
      </c>
      <c r="K153" s="29" t="s">
        <v>1025</v>
      </c>
      <c r="L153" s="30" t="s">
        <v>1174</v>
      </c>
      <c r="M153" s="30" t="s">
        <v>1174</v>
      </c>
      <c r="N153" s="31" t="s">
        <v>1175</v>
      </c>
      <c r="O153" s="30" t="s">
        <v>1174</v>
      </c>
      <c r="P153" s="30" t="s">
        <v>1174</v>
      </c>
      <c r="Q153" s="30" t="s">
        <v>1174</v>
      </c>
      <c r="R153" s="30" t="s">
        <v>1174</v>
      </c>
      <c r="S153" s="30" t="s">
        <v>1174</v>
      </c>
      <c r="T153" s="30" t="s">
        <v>1174</v>
      </c>
      <c r="U153" s="30" t="s">
        <v>1174</v>
      </c>
      <c r="V153" s="59" t="s">
        <v>1174</v>
      </c>
      <c r="W153" s="29" t="s">
        <v>1025</v>
      </c>
      <c r="X153" s="15" t="s">
        <v>1781</v>
      </c>
      <c r="Y153" s="9" t="s">
        <v>675</v>
      </c>
    </row>
    <row r="154" spans="1:26">
      <c r="A154" s="100">
        <v>152</v>
      </c>
      <c r="B154" s="93">
        <v>198</v>
      </c>
      <c r="C154" s="47" t="s">
        <v>2153</v>
      </c>
      <c r="D154" s="38">
        <v>0</v>
      </c>
      <c r="E154" s="38">
        <v>0</v>
      </c>
      <c r="F154" s="38">
        <v>0</v>
      </c>
      <c r="G154" s="38">
        <v>0</v>
      </c>
      <c r="H154" s="38">
        <v>1</v>
      </c>
      <c r="I154" s="38">
        <v>1</v>
      </c>
      <c r="J154" s="58">
        <f>SUM(D154:I154)</f>
        <v>2</v>
      </c>
      <c r="K154" s="29" t="s">
        <v>1793</v>
      </c>
      <c r="L154" s="31" t="s">
        <v>1175</v>
      </c>
      <c r="M154" s="30" t="s">
        <v>1174</v>
      </c>
      <c r="N154" s="30" t="s">
        <v>1174</v>
      </c>
      <c r="O154" s="31" t="s">
        <v>1175</v>
      </c>
      <c r="P154" s="30" t="s">
        <v>1174</v>
      </c>
      <c r="Q154" s="30" t="s">
        <v>1174</v>
      </c>
      <c r="R154" s="30" t="s">
        <v>1174</v>
      </c>
      <c r="S154" s="30" t="s">
        <v>1174</v>
      </c>
      <c r="T154" s="30" t="s">
        <v>1174</v>
      </c>
      <c r="U154" s="30" t="s">
        <v>1174</v>
      </c>
      <c r="V154" s="59" t="s">
        <v>1174</v>
      </c>
      <c r="W154" s="29" t="s">
        <v>136</v>
      </c>
      <c r="X154" s="15" t="s">
        <v>1787</v>
      </c>
      <c r="Y154" s="9" t="s">
        <v>670</v>
      </c>
    </row>
    <row r="155" spans="1:26">
      <c r="A155" s="100">
        <v>153</v>
      </c>
      <c r="B155" s="93">
        <v>199</v>
      </c>
      <c r="C155" s="47" t="s">
        <v>2154</v>
      </c>
      <c r="D155" s="38">
        <v>0</v>
      </c>
      <c r="E155" s="38">
        <v>0</v>
      </c>
      <c r="F155" s="38">
        <v>0</v>
      </c>
      <c r="G155" s="38">
        <v>0</v>
      </c>
      <c r="H155" s="38">
        <v>1</v>
      </c>
      <c r="I155" s="38">
        <v>1</v>
      </c>
      <c r="J155" s="58">
        <f>SUM(D155:I155)</f>
        <v>2</v>
      </c>
      <c r="K155" s="29" t="s">
        <v>1025</v>
      </c>
      <c r="L155" s="31" t="s">
        <v>1175</v>
      </c>
      <c r="M155" s="30" t="s">
        <v>1174</v>
      </c>
      <c r="N155" s="30" t="s">
        <v>1174</v>
      </c>
      <c r="O155" s="30" t="s">
        <v>1174</v>
      </c>
      <c r="P155" s="30" t="s">
        <v>1174</v>
      </c>
      <c r="Q155" s="30" t="s">
        <v>1174</v>
      </c>
      <c r="R155" s="30" t="s">
        <v>1174</v>
      </c>
      <c r="S155" s="30" t="s">
        <v>1174</v>
      </c>
      <c r="T155" s="30" t="s">
        <v>1174</v>
      </c>
      <c r="U155" s="30" t="s">
        <v>1174</v>
      </c>
      <c r="V155" s="59" t="s">
        <v>1174</v>
      </c>
      <c r="W155" s="29" t="s">
        <v>9</v>
      </c>
      <c r="X155" s="15" t="s">
        <v>9</v>
      </c>
      <c r="Y155" s="9" t="s">
        <v>675</v>
      </c>
    </row>
    <row r="156" spans="1:26">
      <c r="A156" s="100">
        <v>154</v>
      </c>
      <c r="B156" s="93">
        <v>200</v>
      </c>
      <c r="C156" s="47" t="s">
        <v>2155</v>
      </c>
      <c r="D156" s="38">
        <v>0</v>
      </c>
      <c r="E156" s="38">
        <v>0</v>
      </c>
      <c r="F156" s="38">
        <v>1</v>
      </c>
      <c r="G156" s="38">
        <v>0</v>
      </c>
      <c r="H156" s="38">
        <v>1</v>
      </c>
      <c r="I156" s="38">
        <v>1</v>
      </c>
      <c r="J156" s="58">
        <f>SUM(D156:I156)</f>
        <v>3</v>
      </c>
      <c r="K156" s="29" t="s">
        <v>781</v>
      </c>
      <c r="L156" s="31" t="s">
        <v>1175</v>
      </c>
      <c r="M156" s="30" t="s">
        <v>1174</v>
      </c>
      <c r="N156" s="30" t="s">
        <v>1174</v>
      </c>
      <c r="O156" s="31" t="s">
        <v>1175</v>
      </c>
      <c r="P156" s="30" t="s">
        <v>1174</v>
      </c>
      <c r="Q156" s="30" t="s">
        <v>1174</v>
      </c>
      <c r="R156" s="31" t="s">
        <v>1175</v>
      </c>
      <c r="S156" s="30" t="s">
        <v>1174</v>
      </c>
      <c r="T156" s="30" t="s">
        <v>1174</v>
      </c>
      <c r="U156" s="30" t="s">
        <v>1174</v>
      </c>
      <c r="V156" s="59" t="s">
        <v>1174</v>
      </c>
      <c r="W156" s="29" t="s">
        <v>1800</v>
      </c>
      <c r="X156" s="15" t="s">
        <v>1799</v>
      </c>
      <c r="Y156" s="9" t="s">
        <v>670</v>
      </c>
    </row>
    <row r="157" spans="1:26">
      <c r="A157" s="100">
        <v>155</v>
      </c>
      <c r="B157" s="93">
        <v>201</v>
      </c>
      <c r="C157" s="47" t="s">
        <v>2156</v>
      </c>
      <c r="D157" s="38">
        <v>0</v>
      </c>
      <c r="E157" s="38">
        <v>0</v>
      </c>
      <c r="F157" s="38">
        <v>0</v>
      </c>
      <c r="G157" s="38">
        <v>0</v>
      </c>
      <c r="H157" s="38">
        <v>1</v>
      </c>
      <c r="I157" s="38">
        <v>1</v>
      </c>
      <c r="J157" s="58">
        <f>SUM(D157:I157)</f>
        <v>2</v>
      </c>
      <c r="K157" s="29" t="s">
        <v>1025</v>
      </c>
      <c r="L157" s="30" t="s">
        <v>1174</v>
      </c>
      <c r="M157" s="30" t="s">
        <v>1174</v>
      </c>
      <c r="N157" s="31" t="s">
        <v>1175</v>
      </c>
      <c r="O157" s="31" t="s">
        <v>1175</v>
      </c>
      <c r="P157" s="30" t="s">
        <v>1174</v>
      </c>
      <c r="Q157" s="30" t="s">
        <v>1174</v>
      </c>
      <c r="R157" s="30" t="s">
        <v>1174</v>
      </c>
      <c r="S157" s="30" t="s">
        <v>1174</v>
      </c>
      <c r="T157" s="30" t="s">
        <v>1174</v>
      </c>
      <c r="U157" s="30" t="s">
        <v>1174</v>
      </c>
      <c r="V157" s="59" t="s">
        <v>1174</v>
      </c>
      <c r="W157" s="29" t="s">
        <v>1726</v>
      </c>
      <c r="X157" s="15" t="s">
        <v>15</v>
      </c>
      <c r="Y157" s="9" t="s">
        <v>670</v>
      </c>
    </row>
    <row r="158" spans="1:26">
      <c r="A158" s="100">
        <v>156</v>
      </c>
      <c r="B158" s="93">
        <v>202</v>
      </c>
      <c r="C158" s="47" t="s">
        <v>2157</v>
      </c>
      <c r="D158" s="38">
        <v>0</v>
      </c>
      <c r="E158" s="38">
        <v>0</v>
      </c>
      <c r="F158" s="38">
        <v>1</v>
      </c>
      <c r="G158" s="38">
        <v>1</v>
      </c>
      <c r="H158" s="38">
        <v>1</v>
      </c>
      <c r="I158" s="38">
        <v>1</v>
      </c>
      <c r="J158" s="58">
        <f>SUM(D158:I158)</f>
        <v>4</v>
      </c>
      <c r="K158" s="29" t="s">
        <v>1813</v>
      </c>
      <c r="L158" s="30" t="s">
        <v>1174</v>
      </c>
      <c r="M158" s="30" t="s">
        <v>1174</v>
      </c>
      <c r="N158" s="31" t="s">
        <v>1175</v>
      </c>
      <c r="O158" s="30" t="s">
        <v>1174</v>
      </c>
      <c r="P158" s="30" t="s">
        <v>1174</v>
      </c>
      <c r="Q158" s="31" t="s">
        <v>1175</v>
      </c>
      <c r="R158" s="30" t="s">
        <v>1174</v>
      </c>
      <c r="S158" s="31" t="s">
        <v>1175</v>
      </c>
      <c r="T158" s="30" t="s">
        <v>1174</v>
      </c>
      <c r="U158" s="30" t="s">
        <v>1174</v>
      </c>
      <c r="V158" s="59" t="s">
        <v>1174</v>
      </c>
      <c r="W158" s="29" t="s">
        <v>1816</v>
      </c>
      <c r="X158" s="15" t="s">
        <v>674</v>
      </c>
      <c r="Y158" s="9" t="s">
        <v>670</v>
      </c>
    </row>
    <row r="159" spans="1:26">
      <c r="A159" s="100">
        <v>157</v>
      </c>
      <c r="B159" s="93">
        <v>203</v>
      </c>
      <c r="C159" s="47" t="s">
        <v>2158</v>
      </c>
      <c r="D159" s="38">
        <v>0</v>
      </c>
      <c r="E159" s="38">
        <v>0</v>
      </c>
      <c r="F159" s="38">
        <v>1</v>
      </c>
      <c r="G159" s="38">
        <v>1</v>
      </c>
      <c r="H159" s="38">
        <v>1</v>
      </c>
      <c r="I159" s="38">
        <v>1</v>
      </c>
      <c r="J159" s="58">
        <f>SUM(D159:I159)</f>
        <v>4</v>
      </c>
      <c r="K159" s="29" t="s">
        <v>1824</v>
      </c>
      <c r="L159" s="30" t="s">
        <v>1174</v>
      </c>
      <c r="M159" s="30" t="s">
        <v>1174</v>
      </c>
      <c r="N159" s="31" t="s">
        <v>1175</v>
      </c>
      <c r="O159" s="30" t="s">
        <v>1174</v>
      </c>
      <c r="P159" s="30" t="s">
        <v>1174</v>
      </c>
      <c r="Q159" s="31" t="s">
        <v>1175</v>
      </c>
      <c r="R159" s="31" t="s">
        <v>1175</v>
      </c>
      <c r="S159" s="30" t="s">
        <v>1174</v>
      </c>
      <c r="T159" s="30" t="s">
        <v>1174</v>
      </c>
      <c r="U159" s="30" t="s">
        <v>1174</v>
      </c>
      <c r="V159" s="59" t="s">
        <v>1174</v>
      </c>
      <c r="W159" s="29" t="s">
        <v>1820</v>
      </c>
      <c r="X159" s="15" t="s">
        <v>1822</v>
      </c>
      <c r="Y159" s="9" t="s">
        <v>670</v>
      </c>
    </row>
    <row r="160" spans="1:26">
      <c r="A160" s="100">
        <v>158</v>
      </c>
      <c r="B160" s="93">
        <v>204</v>
      </c>
      <c r="C160" s="47" t="s">
        <v>2159</v>
      </c>
      <c r="D160" s="38">
        <v>0</v>
      </c>
      <c r="E160" s="38">
        <v>0</v>
      </c>
      <c r="F160" s="38">
        <v>0</v>
      </c>
      <c r="G160" s="38">
        <v>0</v>
      </c>
      <c r="H160" s="38">
        <v>1</v>
      </c>
      <c r="I160" s="38">
        <v>1</v>
      </c>
      <c r="J160" s="58">
        <f>SUM(D160:I160)</f>
        <v>2</v>
      </c>
      <c r="K160" s="29" t="s">
        <v>1025</v>
      </c>
      <c r="L160" s="31" t="s">
        <v>1175</v>
      </c>
      <c r="M160" s="30" t="s">
        <v>1174</v>
      </c>
      <c r="N160" s="30" t="s">
        <v>1174</v>
      </c>
      <c r="O160" s="30" t="s">
        <v>1174</v>
      </c>
      <c r="P160" s="30" t="s">
        <v>1174</v>
      </c>
      <c r="Q160" s="30" t="s">
        <v>1174</v>
      </c>
      <c r="R160" s="31" t="s">
        <v>1175</v>
      </c>
      <c r="S160" s="30" t="s">
        <v>1174</v>
      </c>
      <c r="T160" s="30" t="s">
        <v>1174</v>
      </c>
      <c r="U160" s="31" t="s">
        <v>1175</v>
      </c>
      <c r="V160" s="62" t="s">
        <v>1829</v>
      </c>
      <c r="W160" s="29" t="s">
        <v>9</v>
      </c>
      <c r="X160" s="15" t="s">
        <v>1831</v>
      </c>
      <c r="Y160" s="9" t="s">
        <v>670</v>
      </c>
    </row>
    <row r="161" spans="1:26">
      <c r="A161" s="100">
        <v>159</v>
      </c>
      <c r="B161" s="93">
        <v>205</v>
      </c>
      <c r="C161" s="47" t="s">
        <v>2160</v>
      </c>
      <c r="D161" s="38">
        <v>0</v>
      </c>
      <c r="E161" s="38">
        <v>0</v>
      </c>
      <c r="F161" s="38">
        <v>0</v>
      </c>
      <c r="G161" s="38">
        <v>0</v>
      </c>
      <c r="H161" s="38">
        <v>1</v>
      </c>
      <c r="I161" s="38">
        <v>1</v>
      </c>
      <c r="J161" s="58">
        <f>SUM(D161:I161)</f>
        <v>2</v>
      </c>
      <c r="K161" s="29" t="s">
        <v>1025</v>
      </c>
      <c r="L161" s="31" t="s">
        <v>1175</v>
      </c>
      <c r="M161" s="30" t="s">
        <v>1174</v>
      </c>
      <c r="N161" s="30" t="s">
        <v>1174</v>
      </c>
      <c r="O161" s="31" t="s">
        <v>1175</v>
      </c>
      <c r="P161" s="30" t="s">
        <v>1174</v>
      </c>
      <c r="Q161" s="30" t="s">
        <v>1174</v>
      </c>
      <c r="R161" s="30" t="s">
        <v>1174</v>
      </c>
      <c r="S161" s="30" t="s">
        <v>1174</v>
      </c>
      <c r="T161" s="30" t="s">
        <v>1174</v>
      </c>
      <c r="U161" s="30" t="s">
        <v>1174</v>
      </c>
      <c r="V161" s="59" t="s">
        <v>1174</v>
      </c>
      <c r="W161" s="29" t="s">
        <v>1025</v>
      </c>
      <c r="X161" s="15" t="s">
        <v>1838</v>
      </c>
      <c r="Y161" s="9" t="s">
        <v>670</v>
      </c>
    </row>
    <row r="162" spans="1:26">
      <c r="A162" s="100">
        <v>160</v>
      </c>
      <c r="B162" s="93">
        <v>206</v>
      </c>
      <c r="C162" s="47" t="s">
        <v>2161</v>
      </c>
      <c r="D162" s="38">
        <v>0</v>
      </c>
      <c r="E162" s="38">
        <v>0</v>
      </c>
      <c r="F162" s="38">
        <v>0</v>
      </c>
      <c r="G162" s="38">
        <v>0</v>
      </c>
      <c r="H162" s="38">
        <v>1</v>
      </c>
      <c r="I162" s="38">
        <v>1</v>
      </c>
      <c r="J162" s="58">
        <f>SUM(D162:I162)</f>
        <v>2</v>
      </c>
      <c r="K162" s="29" t="s">
        <v>1025</v>
      </c>
      <c r="L162" s="31" t="s">
        <v>1175</v>
      </c>
      <c r="M162" s="30" t="s">
        <v>1174</v>
      </c>
      <c r="N162" s="31" t="s">
        <v>1175</v>
      </c>
      <c r="O162" s="31" t="s">
        <v>1175</v>
      </c>
      <c r="P162" s="30" t="s">
        <v>1174</v>
      </c>
      <c r="Q162" s="30" t="s">
        <v>1174</v>
      </c>
      <c r="R162" s="30" t="s">
        <v>1174</v>
      </c>
      <c r="S162" s="30" t="s">
        <v>1174</v>
      </c>
      <c r="T162" s="30" t="s">
        <v>1174</v>
      </c>
      <c r="U162" s="30" t="s">
        <v>1174</v>
      </c>
      <c r="V162" s="59" t="s">
        <v>1174</v>
      </c>
      <c r="W162" s="29" t="s">
        <v>136</v>
      </c>
      <c r="X162" s="15" t="s">
        <v>1844</v>
      </c>
      <c r="Y162" s="9" t="s">
        <v>670</v>
      </c>
    </row>
    <row r="163" spans="1:26">
      <c r="A163" s="100">
        <v>161</v>
      </c>
      <c r="B163" s="93">
        <v>207</v>
      </c>
      <c r="C163" s="47" t="s">
        <v>2162</v>
      </c>
      <c r="D163" s="38">
        <v>0</v>
      </c>
      <c r="E163" s="38">
        <v>0</v>
      </c>
      <c r="F163" s="38">
        <v>1</v>
      </c>
      <c r="G163" s="38">
        <v>1</v>
      </c>
      <c r="H163" s="38">
        <v>1</v>
      </c>
      <c r="I163" s="38">
        <v>1</v>
      </c>
      <c r="J163" s="58">
        <f>SUM(D163:I163)</f>
        <v>4</v>
      </c>
      <c r="K163" s="29" t="s">
        <v>1852</v>
      </c>
      <c r="L163" s="31" t="s">
        <v>1175</v>
      </c>
      <c r="M163" s="30" t="s">
        <v>1174</v>
      </c>
      <c r="N163" s="31" t="s">
        <v>1175</v>
      </c>
      <c r="O163" s="30" t="s">
        <v>1174</v>
      </c>
      <c r="P163" s="30" t="s">
        <v>1174</v>
      </c>
      <c r="Q163" s="30" t="s">
        <v>1174</v>
      </c>
      <c r="R163" s="31" t="s">
        <v>1175</v>
      </c>
      <c r="S163" s="30" t="s">
        <v>1174</v>
      </c>
      <c r="T163" s="30" t="s">
        <v>1174</v>
      </c>
      <c r="U163" s="30" t="s">
        <v>1174</v>
      </c>
      <c r="V163" s="59" t="s">
        <v>1174</v>
      </c>
      <c r="W163" s="29" t="s">
        <v>1853</v>
      </c>
      <c r="X163" s="15" t="s">
        <v>1858</v>
      </c>
      <c r="Y163" s="9" t="s">
        <v>957</v>
      </c>
    </row>
    <row r="164" spans="1:26">
      <c r="A164" s="100">
        <v>162</v>
      </c>
      <c r="B164" s="93">
        <v>208</v>
      </c>
      <c r="C164" s="47" t="s">
        <v>2163</v>
      </c>
      <c r="D164" s="38">
        <v>0</v>
      </c>
      <c r="E164" s="38">
        <v>0</v>
      </c>
      <c r="F164" s="38">
        <v>1</v>
      </c>
      <c r="G164" s="38">
        <v>0</v>
      </c>
      <c r="H164" s="38">
        <v>1</v>
      </c>
      <c r="I164" s="38">
        <v>1</v>
      </c>
      <c r="J164" s="58">
        <f>SUM(D164:I164)</f>
        <v>3</v>
      </c>
      <c r="K164" s="29" t="s">
        <v>1862</v>
      </c>
      <c r="L164" s="30" t="s">
        <v>1174</v>
      </c>
      <c r="M164" s="30" t="s">
        <v>1174</v>
      </c>
      <c r="N164" s="31" t="s">
        <v>1175</v>
      </c>
      <c r="O164" s="31" t="s">
        <v>1175</v>
      </c>
      <c r="P164" s="30" t="s">
        <v>1174</v>
      </c>
      <c r="Q164" s="30" t="s">
        <v>1174</v>
      </c>
      <c r="R164" s="31" t="s">
        <v>1175</v>
      </c>
      <c r="S164" s="30" t="s">
        <v>1174</v>
      </c>
      <c r="T164" s="30" t="s">
        <v>1174</v>
      </c>
      <c r="U164" s="30" t="s">
        <v>1174</v>
      </c>
      <c r="V164" s="59" t="s">
        <v>1174</v>
      </c>
      <c r="W164" s="29" t="s">
        <v>1862</v>
      </c>
      <c r="X164" s="15" t="s">
        <v>1865</v>
      </c>
      <c r="Y164" s="9" t="s">
        <v>670</v>
      </c>
    </row>
    <row r="165" spans="1:26">
      <c r="A165" s="100">
        <v>163</v>
      </c>
      <c r="B165" s="93">
        <v>209</v>
      </c>
      <c r="C165" s="47" t="s">
        <v>2164</v>
      </c>
      <c r="D165" s="38">
        <v>0</v>
      </c>
      <c r="E165" s="38">
        <v>0</v>
      </c>
      <c r="F165" s="38">
        <v>1</v>
      </c>
      <c r="G165" s="38">
        <v>1</v>
      </c>
      <c r="H165" s="38">
        <v>1</v>
      </c>
      <c r="I165" s="38">
        <v>1</v>
      </c>
      <c r="J165" s="58">
        <f>SUM(D165:I165)</f>
        <v>4</v>
      </c>
      <c r="K165" s="29" t="s">
        <v>1862</v>
      </c>
      <c r="L165" s="31" t="s">
        <v>1175</v>
      </c>
      <c r="M165" s="30" t="s">
        <v>1174</v>
      </c>
      <c r="N165" s="30" t="s">
        <v>1174</v>
      </c>
      <c r="O165" s="30" t="s">
        <v>1174</v>
      </c>
      <c r="P165" s="30" t="s">
        <v>1174</v>
      </c>
      <c r="Q165" s="30" t="s">
        <v>1174</v>
      </c>
      <c r="R165" s="31" t="s">
        <v>1175</v>
      </c>
      <c r="S165" s="30" t="s">
        <v>1174</v>
      </c>
      <c r="T165" s="30" t="s">
        <v>1174</v>
      </c>
      <c r="U165" s="30" t="s">
        <v>1174</v>
      </c>
      <c r="V165" s="59" t="s">
        <v>1174</v>
      </c>
      <c r="W165" s="29" t="s">
        <v>1862</v>
      </c>
      <c r="X165" s="15" t="s">
        <v>1871</v>
      </c>
      <c r="Y165" s="9" t="s">
        <v>670</v>
      </c>
    </row>
    <row r="166" spans="1:26">
      <c r="A166" s="100">
        <v>164</v>
      </c>
      <c r="B166" s="93">
        <v>210</v>
      </c>
      <c r="C166" s="47" t="s">
        <v>2165</v>
      </c>
      <c r="D166" s="38">
        <v>0</v>
      </c>
      <c r="E166" s="38">
        <v>0</v>
      </c>
      <c r="F166" s="38">
        <v>1</v>
      </c>
      <c r="G166" s="38">
        <v>1</v>
      </c>
      <c r="H166" s="38">
        <v>1</v>
      </c>
      <c r="I166" s="38">
        <v>1</v>
      </c>
      <c r="J166" s="58">
        <f>SUM(D166:I166)</f>
        <v>4</v>
      </c>
      <c r="K166" s="29" t="s">
        <v>1881</v>
      </c>
      <c r="L166" s="30" t="s">
        <v>1174</v>
      </c>
      <c r="M166" s="30" t="s">
        <v>1174</v>
      </c>
      <c r="N166" s="31" t="s">
        <v>1175</v>
      </c>
      <c r="O166" s="31" t="s">
        <v>1175</v>
      </c>
      <c r="P166" s="31" t="s">
        <v>1175</v>
      </c>
      <c r="Q166" s="30" t="s">
        <v>1174</v>
      </c>
      <c r="R166" s="30" t="s">
        <v>1174</v>
      </c>
      <c r="S166" s="30" t="s">
        <v>1174</v>
      </c>
      <c r="T166" s="31" t="s">
        <v>1175</v>
      </c>
      <c r="U166" s="30" t="s">
        <v>1174</v>
      </c>
      <c r="V166" s="59" t="s">
        <v>1174</v>
      </c>
      <c r="W166" s="29" t="s">
        <v>1885</v>
      </c>
      <c r="X166" s="15" t="s">
        <v>1886</v>
      </c>
      <c r="Y166" s="9" t="s">
        <v>670</v>
      </c>
    </row>
    <row r="167" spans="1:26">
      <c r="A167" s="100">
        <v>165</v>
      </c>
      <c r="B167" s="93">
        <v>211</v>
      </c>
      <c r="C167" s="47" t="s">
        <v>2166</v>
      </c>
      <c r="D167" s="38">
        <v>1</v>
      </c>
      <c r="E167" s="38">
        <v>0</v>
      </c>
      <c r="F167" s="38">
        <v>0</v>
      </c>
      <c r="G167" s="38">
        <v>0</v>
      </c>
      <c r="H167" s="38">
        <v>1</v>
      </c>
      <c r="I167" s="38">
        <v>1</v>
      </c>
      <c r="J167" s="58">
        <f>SUM(D167:I167)</f>
        <v>3</v>
      </c>
      <c r="K167" s="29" t="s">
        <v>1025</v>
      </c>
      <c r="L167" s="31" t="s">
        <v>1175</v>
      </c>
      <c r="M167" s="31" t="s">
        <v>1175</v>
      </c>
      <c r="N167" s="31" t="s">
        <v>1175</v>
      </c>
      <c r="O167" s="30" t="s">
        <v>1174</v>
      </c>
      <c r="P167" s="30" t="s">
        <v>1174</v>
      </c>
      <c r="Q167" s="30" t="s">
        <v>1174</v>
      </c>
      <c r="R167" s="30" t="s">
        <v>1174</v>
      </c>
      <c r="S167" s="30" t="s">
        <v>1174</v>
      </c>
      <c r="T167" s="30" t="s">
        <v>1174</v>
      </c>
      <c r="U167" s="30" t="s">
        <v>1174</v>
      </c>
      <c r="V167" s="59" t="s">
        <v>1174</v>
      </c>
      <c r="W167" s="29" t="s">
        <v>9</v>
      </c>
      <c r="X167" s="15" t="s">
        <v>674</v>
      </c>
      <c r="Y167" s="9" t="s">
        <v>670</v>
      </c>
    </row>
    <row r="168" spans="1:26">
      <c r="A168" s="100">
        <v>166</v>
      </c>
      <c r="B168" s="93">
        <v>212</v>
      </c>
      <c r="C168" s="47" t="s">
        <v>2167</v>
      </c>
      <c r="D168" s="38">
        <v>0</v>
      </c>
      <c r="E168" s="38">
        <v>0</v>
      </c>
      <c r="F168" s="38">
        <v>0</v>
      </c>
      <c r="G168" s="38">
        <v>0</v>
      </c>
      <c r="H168" s="38">
        <v>1</v>
      </c>
      <c r="I168" s="38">
        <v>1</v>
      </c>
      <c r="J168" s="58">
        <f>SUM(D168:I168)</f>
        <v>2</v>
      </c>
      <c r="K168" s="29" t="s">
        <v>1025</v>
      </c>
      <c r="L168" s="31" t="s">
        <v>1175</v>
      </c>
      <c r="M168" s="30" t="s">
        <v>1174</v>
      </c>
      <c r="N168" s="30" t="s">
        <v>1174</v>
      </c>
      <c r="O168" s="30" t="s">
        <v>1174</v>
      </c>
      <c r="P168" s="30" t="s">
        <v>1174</v>
      </c>
      <c r="Q168" s="30" t="s">
        <v>1174</v>
      </c>
      <c r="R168" s="30" t="s">
        <v>1174</v>
      </c>
      <c r="S168" s="30" t="s">
        <v>1174</v>
      </c>
      <c r="T168" s="30" t="s">
        <v>1174</v>
      </c>
      <c r="U168" s="30" t="s">
        <v>1174</v>
      </c>
      <c r="V168" s="59" t="s">
        <v>1174</v>
      </c>
      <c r="W168" s="29" t="s">
        <v>136</v>
      </c>
      <c r="X168" s="15" t="s">
        <v>1900</v>
      </c>
      <c r="Y168" s="9" t="s">
        <v>670</v>
      </c>
    </row>
    <row r="169" spans="1:26" s="5" customFormat="1">
      <c r="A169" s="100">
        <v>167</v>
      </c>
      <c r="B169" s="93">
        <v>213</v>
      </c>
      <c r="C169" s="47" t="s">
        <v>2168</v>
      </c>
      <c r="D169" s="38">
        <v>1</v>
      </c>
      <c r="E169" s="38">
        <v>0</v>
      </c>
      <c r="F169" s="38">
        <v>0</v>
      </c>
      <c r="G169" s="38">
        <v>0</v>
      </c>
      <c r="H169" s="38">
        <v>1</v>
      </c>
      <c r="I169" s="38">
        <v>1</v>
      </c>
      <c r="J169" s="58">
        <f>SUM(D169:I169)</f>
        <v>3</v>
      </c>
      <c r="K169" s="29" t="s">
        <v>1025</v>
      </c>
      <c r="L169" s="31" t="s">
        <v>1175</v>
      </c>
      <c r="M169" s="31" t="s">
        <v>1175</v>
      </c>
      <c r="N169" s="30" t="s">
        <v>1174</v>
      </c>
      <c r="O169" s="30" t="s">
        <v>1174</v>
      </c>
      <c r="P169" s="30" t="s">
        <v>1174</v>
      </c>
      <c r="Q169" s="30" t="s">
        <v>1174</v>
      </c>
      <c r="R169" s="30" t="s">
        <v>1174</v>
      </c>
      <c r="S169" s="30" t="s">
        <v>1174</v>
      </c>
      <c r="T169" s="30" t="s">
        <v>1174</v>
      </c>
      <c r="U169" s="31" t="s">
        <v>1175</v>
      </c>
      <c r="V169" s="62" t="s">
        <v>1903</v>
      </c>
      <c r="W169" s="29" t="s">
        <v>1025</v>
      </c>
      <c r="X169" s="15" t="s">
        <v>1909</v>
      </c>
      <c r="Y169" s="9" t="s">
        <v>670</v>
      </c>
      <c r="Z169"/>
    </row>
    <row r="170" spans="1:26">
      <c r="A170" s="100">
        <v>168</v>
      </c>
      <c r="B170" s="93">
        <v>214</v>
      </c>
      <c r="C170" s="47" t="s">
        <v>2169</v>
      </c>
      <c r="D170" s="38">
        <v>0</v>
      </c>
      <c r="E170" s="38">
        <v>0</v>
      </c>
      <c r="F170" s="38">
        <v>0</v>
      </c>
      <c r="G170" s="38">
        <v>0</v>
      </c>
      <c r="H170" s="38">
        <v>1</v>
      </c>
      <c r="I170" s="38">
        <v>1</v>
      </c>
      <c r="J170" s="58">
        <f>SUM(D170:I170)</f>
        <v>2</v>
      </c>
      <c r="K170" s="29" t="s">
        <v>1025</v>
      </c>
      <c r="L170" s="31" t="s">
        <v>1175</v>
      </c>
      <c r="M170" s="30" t="s">
        <v>1174</v>
      </c>
      <c r="N170" s="30" t="s">
        <v>1174</v>
      </c>
      <c r="O170" s="31" t="s">
        <v>1175</v>
      </c>
      <c r="P170" s="30" t="s">
        <v>1174</v>
      </c>
      <c r="Q170" s="30" t="s">
        <v>1174</v>
      </c>
      <c r="R170" s="30" t="s">
        <v>1174</v>
      </c>
      <c r="S170" s="30" t="s">
        <v>1174</v>
      </c>
      <c r="T170" s="30" t="s">
        <v>1174</v>
      </c>
      <c r="U170" s="30" t="s">
        <v>1174</v>
      </c>
      <c r="V170" s="59" t="s">
        <v>1174</v>
      </c>
      <c r="W170" s="29" t="s">
        <v>1025</v>
      </c>
      <c r="X170" s="15" t="s">
        <v>1909</v>
      </c>
      <c r="Y170" s="9" t="s">
        <v>670</v>
      </c>
    </row>
    <row r="171" spans="1:26" s="5" customFormat="1">
      <c r="A171" s="100">
        <v>169</v>
      </c>
      <c r="B171" s="93">
        <v>215</v>
      </c>
      <c r="C171" s="47" t="s">
        <v>2170</v>
      </c>
      <c r="D171" s="38">
        <v>0</v>
      </c>
      <c r="E171" s="38">
        <v>0</v>
      </c>
      <c r="F171" s="38">
        <v>1</v>
      </c>
      <c r="G171" s="38">
        <v>1</v>
      </c>
      <c r="H171" s="38">
        <v>1</v>
      </c>
      <c r="I171" s="38">
        <v>1</v>
      </c>
      <c r="J171" s="58">
        <f>SUM(C171:I171)</f>
        <v>4</v>
      </c>
      <c r="K171" s="29" t="s">
        <v>1919</v>
      </c>
      <c r="L171" s="31" t="s">
        <v>1175</v>
      </c>
      <c r="M171" s="30" t="s">
        <v>1174</v>
      </c>
      <c r="N171" s="30" t="s">
        <v>1174</v>
      </c>
      <c r="O171" s="30" t="s">
        <v>1174</v>
      </c>
      <c r="P171" s="30" t="s">
        <v>1174</v>
      </c>
      <c r="Q171" s="30" t="s">
        <v>1174</v>
      </c>
      <c r="R171" s="30" t="s">
        <v>1174</v>
      </c>
      <c r="S171" s="30" t="s">
        <v>1174</v>
      </c>
      <c r="T171" s="30" t="s">
        <v>1174</v>
      </c>
      <c r="U171" s="30" t="s">
        <v>1174</v>
      </c>
      <c r="V171" s="59" t="s">
        <v>1174</v>
      </c>
      <c r="W171" s="29" t="s">
        <v>1919</v>
      </c>
      <c r="X171" s="15" t="s">
        <v>136</v>
      </c>
      <c r="Y171" s="4" t="s">
        <v>675</v>
      </c>
      <c r="Z171"/>
    </row>
    <row r="172" spans="1:26" s="5" customFormat="1">
      <c r="A172" s="100">
        <v>170</v>
      </c>
      <c r="B172" s="93">
        <v>216</v>
      </c>
      <c r="C172" s="47" t="s">
        <v>2171</v>
      </c>
      <c r="D172" s="38">
        <v>0</v>
      </c>
      <c r="E172" s="38">
        <v>0</v>
      </c>
      <c r="F172" s="38">
        <v>1</v>
      </c>
      <c r="G172" s="38">
        <v>0</v>
      </c>
      <c r="H172" s="38">
        <v>1</v>
      </c>
      <c r="I172" s="38">
        <v>1</v>
      </c>
      <c r="J172" s="58">
        <f>SUM(C172:I172)</f>
        <v>3</v>
      </c>
      <c r="K172" s="57" t="s">
        <v>1937</v>
      </c>
      <c r="L172" s="31" t="s">
        <v>1175</v>
      </c>
      <c r="M172" s="30" t="s">
        <v>1174</v>
      </c>
      <c r="N172" s="31" t="s">
        <v>1175</v>
      </c>
      <c r="O172" s="30" t="s">
        <v>1174</v>
      </c>
      <c r="P172" s="30" t="s">
        <v>1174</v>
      </c>
      <c r="Q172" s="30" t="s">
        <v>1174</v>
      </c>
      <c r="R172" s="30" t="s">
        <v>1174</v>
      </c>
      <c r="S172" s="30" t="s">
        <v>1174</v>
      </c>
      <c r="T172" s="30" t="s">
        <v>1174</v>
      </c>
      <c r="U172" s="31" t="s">
        <v>1175</v>
      </c>
      <c r="V172" s="63" t="s">
        <v>1934</v>
      </c>
      <c r="W172" s="29" t="s">
        <v>1025</v>
      </c>
      <c r="X172" s="15" t="s">
        <v>674</v>
      </c>
      <c r="Y172" s="4" t="s">
        <v>670</v>
      </c>
      <c r="Z172"/>
    </row>
    <row r="173" spans="1:26" s="5" customFormat="1">
      <c r="A173" s="100">
        <v>171</v>
      </c>
      <c r="B173" s="93">
        <v>217</v>
      </c>
      <c r="C173" s="47" t="s">
        <v>2174</v>
      </c>
      <c r="D173" s="38">
        <v>0</v>
      </c>
      <c r="E173" s="38">
        <v>0</v>
      </c>
      <c r="F173" s="38">
        <v>0</v>
      </c>
      <c r="G173" s="38">
        <v>0</v>
      </c>
      <c r="H173" s="38">
        <v>1</v>
      </c>
      <c r="I173" s="38">
        <v>1</v>
      </c>
      <c r="J173" s="58">
        <f>SUM(D173:I173)</f>
        <v>2</v>
      </c>
      <c r="K173" s="29" t="s">
        <v>1025</v>
      </c>
      <c r="L173" s="31" t="s">
        <v>1175</v>
      </c>
      <c r="M173" s="30" t="s">
        <v>1174</v>
      </c>
      <c r="N173" s="30" t="s">
        <v>1174</v>
      </c>
      <c r="O173" s="31" t="s">
        <v>1175</v>
      </c>
      <c r="P173" s="30" t="s">
        <v>1174</v>
      </c>
      <c r="Q173" s="30" t="s">
        <v>1174</v>
      </c>
      <c r="R173" s="30" t="s">
        <v>1174</v>
      </c>
      <c r="S173" s="30" t="s">
        <v>1174</v>
      </c>
      <c r="T173" s="30" t="s">
        <v>1174</v>
      </c>
      <c r="U173" s="30" t="s">
        <v>1174</v>
      </c>
      <c r="V173" s="59" t="s">
        <v>1174</v>
      </c>
      <c r="W173" s="29" t="s">
        <v>1025</v>
      </c>
      <c r="X173" s="15" t="s">
        <v>2180</v>
      </c>
      <c r="Y173" s="9" t="s">
        <v>670</v>
      </c>
      <c r="Z173"/>
    </row>
    <row r="174" spans="1:26" s="5" customFormat="1">
      <c r="A174" s="100">
        <v>172</v>
      </c>
      <c r="B174" s="93">
        <v>218</v>
      </c>
      <c r="C174" s="47" t="s">
        <v>1360</v>
      </c>
      <c r="D174" s="38">
        <v>0</v>
      </c>
      <c r="E174" s="38">
        <v>0</v>
      </c>
      <c r="F174" s="38">
        <v>0</v>
      </c>
      <c r="G174" s="38">
        <v>0</v>
      </c>
      <c r="H174" s="38">
        <v>1</v>
      </c>
      <c r="I174" s="38">
        <v>1</v>
      </c>
      <c r="J174" s="58">
        <f>SUM(D174:I174)</f>
        <v>2</v>
      </c>
      <c r="K174" s="7" t="s">
        <v>1025</v>
      </c>
      <c r="L174" s="30" t="s">
        <v>1174</v>
      </c>
      <c r="M174" s="30" t="s">
        <v>1174</v>
      </c>
      <c r="N174" s="31" t="s">
        <v>1175</v>
      </c>
      <c r="O174" s="30" t="s">
        <v>1174</v>
      </c>
      <c r="P174" s="30" t="s">
        <v>1174</v>
      </c>
      <c r="Q174" s="30" t="s">
        <v>1174</v>
      </c>
      <c r="R174" s="31" t="s">
        <v>1175</v>
      </c>
      <c r="S174" s="30" t="s">
        <v>1174</v>
      </c>
      <c r="T174" s="30" t="s">
        <v>1174</v>
      </c>
      <c r="U174" s="30" t="s">
        <v>1174</v>
      </c>
      <c r="V174" s="59" t="s">
        <v>1174</v>
      </c>
      <c r="W174" s="2" t="s">
        <v>9</v>
      </c>
      <c r="X174" s="2" t="s">
        <v>1202</v>
      </c>
      <c r="Y174" s="9" t="s">
        <v>670</v>
      </c>
      <c r="Z174"/>
    </row>
    <row r="175" spans="1:26" s="5" customFormat="1">
      <c r="A175" s="100">
        <v>173</v>
      </c>
      <c r="B175" s="93">
        <v>219</v>
      </c>
      <c r="C175" s="47" t="s">
        <v>1361</v>
      </c>
      <c r="D175" s="38">
        <v>0</v>
      </c>
      <c r="E175" s="38">
        <v>0</v>
      </c>
      <c r="F175" s="38">
        <v>0</v>
      </c>
      <c r="G175" s="38">
        <v>0</v>
      </c>
      <c r="H175" s="38">
        <v>0</v>
      </c>
      <c r="I175" s="38">
        <v>1</v>
      </c>
      <c r="J175" s="58">
        <f>SUM(D175:I175)</f>
        <v>1</v>
      </c>
      <c r="K175" s="7" t="s">
        <v>1025</v>
      </c>
      <c r="L175" s="30" t="s">
        <v>1174</v>
      </c>
      <c r="M175" s="30" t="s">
        <v>1174</v>
      </c>
      <c r="N175" s="31" t="s">
        <v>1175</v>
      </c>
      <c r="O175" s="30" t="s">
        <v>1174</v>
      </c>
      <c r="P175" s="30" t="s">
        <v>1174</v>
      </c>
      <c r="Q175" s="30" t="s">
        <v>1174</v>
      </c>
      <c r="R175" s="30" t="s">
        <v>1174</v>
      </c>
      <c r="S175" s="30" t="s">
        <v>1174</v>
      </c>
      <c r="T175" s="30" t="s">
        <v>1174</v>
      </c>
      <c r="U175" s="30" t="s">
        <v>1174</v>
      </c>
      <c r="V175" s="59" t="s">
        <v>1174</v>
      </c>
      <c r="W175" s="7" t="s">
        <v>9</v>
      </c>
      <c r="X175" s="2" t="s">
        <v>10</v>
      </c>
      <c r="Y175" s="9" t="s">
        <v>670</v>
      </c>
      <c r="Z175"/>
    </row>
    <row r="176" spans="1:26" s="40" customFormat="1">
      <c r="A176" s="100">
        <v>174</v>
      </c>
      <c r="B176" s="93">
        <v>220</v>
      </c>
      <c r="C176" s="47" t="s">
        <v>1363</v>
      </c>
      <c r="D176" s="38">
        <v>0</v>
      </c>
      <c r="E176" s="38">
        <v>0</v>
      </c>
      <c r="F176" s="38">
        <v>0</v>
      </c>
      <c r="G176" s="38">
        <v>0</v>
      </c>
      <c r="H176" s="38">
        <v>0</v>
      </c>
      <c r="I176" s="38">
        <v>1</v>
      </c>
      <c r="J176" s="58">
        <f>SUM(D176:I176)</f>
        <v>1</v>
      </c>
      <c r="K176" s="7" t="s">
        <v>1364</v>
      </c>
      <c r="L176" s="30" t="s">
        <v>1174</v>
      </c>
      <c r="M176" s="30" t="s">
        <v>1174</v>
      </c>
      <c r="N176" s="31" t="s">
        <v>1175</v>
      </c>
      <c r="O176" s="30" t="s">
        <v>1174</v>
      </c>
      <c r="P176" s="30" t="s">
        <v>1174</v>
      </c>
      <c r="Q176" s="31" t="s">
        <v>1175</v>
      </c>
      <c r="R176" s="30" t="s">
        <v>1174</v>
      </c>
      <c r="S176" s="30" t="s">
        <v>1174</v>
      </c>
      <c r="T176" s="30" t="s">
        <v>1174</v>
      </c>
      <c r="U176" s="30" t="s">
        <v>1174</v>
      </c>
      <c r="V176" s="59" t="s">
        <v>1174</v>
      </c>
      <c r="W176" s="64" t="s">
        <v>1025</v>
      </c>
      <c r="X176" s="2" t="s">
        <v>728</v>
      </c>
      <c r="Y176" s="9" t="s">
        <v>670</v>
      </c>
      <c r="Z176"/>
    </row>
    <row r="177" spans="1:26">
      <c r="A177" s="100">
        <v>175</v>
      </c>
      <c r="B177" s="93">
        <v>221</v>
      </c>
      <c r="C177" s="47" t="s">
        <v>1947</v>
      </c>
      <c r="D177" s="38">
        <v>0</v>
      </c>
      <c r="E177" s="38">
        <v>0</v>
      </c>
      <c r="F177" s="38">
        <v>1</v>
      </c>
      <c r="G177" s="38">
        <v>0</v>
      </c>
      <c r="H177" s="38">
        <v>1</v>
      </c>
      <c r="I177" s="38">
        <v>1</v>
      </c>
      <c r="J177" s="58">
        <f>SUM(D177:I177)</f>
        <v>3</v>
      </c>
      <c r="K177" s="7" t="s">
        <v>734</v>
      </c>
      <c r="L177" s="30" t="s">
        <v>1174</v>
      </c>
      <c r="M177" s="30" t="s">
        <v>1174</v>
      </c>
      <c r="N177" s="31" t="s">
        <v>1175</v>
      </c>
      <c r="O177" s="30" t="s">
        <v>1174</v>
      </c>
      <c r="P177" s="30" t="s">
        <v>1174</v>
      </c>
      <c r="Q177" s="30" t="s">
        <v>1174</v>
      </c>
      <c r="R177" s="30" t="s">
        <v>1174</v>
      </c>
      <c r="S177" s="30" t="s">
        <v>1174</v>
      </c>
      <c r="T177" s="30" t="s">
        <v>1174</v>
      </c>
      <c r="U177" s="30" t="s">
        <v>1174</v>
      </c>
      <c r="V177" s="59" t="s">
        <v>1174</v>
      </c>
      <c r="W177" s="64" t="s">
        <v>1025</v>
      </c>
      <c r="X177" s="2" t="s">
        <v>1211</v>
      </c>
      <c r="Y177" s="9" t="s">
        <v>670</v>
      </c>
    </row>
    <row r="178" spans="1:26" s="5" customFormat="1">
      <c r="A178" s="100">
        <v>176</v>
      </c>
      <c r="B178" s="93">
        <v>222</v>
      </c>
      <c r="C178" s="47" t="s">
        <v>1950</v>
      </c>
      <c r="D178" s="38">
        <v>0</v>
      </c>
      <c r="E178" s="38">
        <v>0</v>
      </c>
      <c r="F178" s="38">
        <v>0</v>
      </c>
      <c r="G178" s="38">
        <v>0</v>
      </c>
      <c r="H178" s="38">
        <v>0</v>
      </c>
      <c r="I178" s="38">
        <v>1</v>
      </c>
      <c r="J178" s="58">
        <f>SUM(D178:I178)</f>
        <v>1</v>
      </c>
      <c r="K178" s="7" t="s">
        <v>1025</v>
      </c>
      <c r="L178" s="30" t="s">
        <v>1174</v>
      </c>
      <c r="M178" s="30" t="s">
        <v>1174</v>
      </c>
      <c r="N178" s="31" t="s">
        <v>1175</v>
      </c>
      <c r="O178" s="30" t="s">
        <v>1174</v>
      </c>
      <c r="P178" s="30" t="s">
        <v>1174</v>
      </c>
      <c r="Q178" s="30" t="s">
        <v>1174</v>
      </c>
      <c r="R178" s="30" t="s">
        <v>1174</v>
      </c>
      <c r="S178" s="30" t="s">
        <v>1174</v>
      </c>
      <c r="T178" s="30" t="s">
        <v>1174</v>
      </c>
      <c r="U178" s="30" t="s">
        <v>1174</v>
      </c>
      <c r="V178" s="59" t="s">
        <v>1174</v>
      </c>
      <c r="W178" s="7" t="s">
        <v>9</v>
      </c>
      <c r="X178" s="2" t="s">
        <v>11</v>
      </c>
      <c r="Y178" s="9" t="s">
        <v>675</v>
      </c>
      <c r="Z178"/>
    </row>
    <row r="179" spans="1:26" s="5" customFormat="1">
      <c r="A179" s="100">
        <v>177</v>
      </c>
      <c r="B179" s="93">
        <v>223</v>
      </c>
      <c r="C179" s="47" t="s">
        <v>1951</v>
      </c>
      <c r="D179" s="38">
        <v>0</v>
      </c>
      <c r="E179" s="38">
        <v>0</v>
      </c>
      <c r="F179" s="38">
        <v>0</v>
      </c>
      <c r="G179" s="38">
        <v>0</v>
      </c>
      <c r="H179" s="38">
        <v>1</v>
      </c>
      <c r="I179" s="38">
        <v>1</v>
      </c>
      <c r="J179" s="58">
        <f>SUM(D179:I179)</f>
        <v>2</v>
      </c>
      <c r="K179" s="7" t="s">
        <v>1025</v>
      </c>
      <c r="L179" s="31" t="s">
        <v>1175</v>
      </c>
      <c r="M179" s="30" t="s">
        <v>1174</v>
      </c>
      <c r="N179" s="31" t="s">
        <v>1175</v>
      </c>
      <c r="O179" s="31" t="s">
        <v>1175</v>
      </c>
      <c r="P179" s="30" t="s">
        <v>1174</v>
      </c>
      <c r="Q179" s="30" t="s">
        <v>1174</v>
      </c>
      <c r="R179" s="30" t="s">
        <v>1174</v>
      </c>
      <c r="S179" s="30" t="s">
        <v>1174</v>
      </c>
      <c r="T179" s="30" t="s">
        <v>1174</v>
      </c>
      <c r="U179" s="30" t="s">
        <v>1174</v>
      </c>
      <c r="V179" s="59" t="s">
        <v>1174</v>
      </c>
      <c r="W179" s="29" t="s">
        <v>1600</v>
      </c>
      <c r="X179" s="15" t="s">
        <v>1601</v>
      </c>
      <c r="Y179" s="1" t="s">
        <v>670</v>
      </c>
    </row>
    <row r="180" spans="1:26" s="5" customFormat="1">
      <c r="A180" s="100">
        <v>178</v>
      </c>
      <c r="B180" s="93">
        <v>224</v>
      </c>
      <c r="C180" s="47" t="s">
        <v>1952</v>
      </c>
      <c r="D180" s="38">
        <v>0</v>
      </c>
      <c r="E180" s="38">
        <v>0</v>
      </c>
      <c r="F180" s="38">
        <v>0</v>
      </c>
      <c r="G180" s="38">
        <v>0</v>
      </c>
      <c r="H180" s="38">
        <v>1</v>
      </c>
      <c r="I180" s="38">
        <v>1</v>
      </c>
      <c r="J180" s="58">
        <f>SUM(D180:I180)</f>
        <v>2</v>
      </c>
      <c r="K180" s="7" t="s">
        <v>1444</v>
      </c>
      <c r="L180" s="30" t="s">
        <v>1174</v>
      </c>
      <c r="M180" s="30" t="s">
        <v>1174</v>
      </c>
      <c r="N180" s="31" t="s">
        <v>1175</v>
      </c>
      <c r="O180" s="30" t="s">
        <v>1174</v>
      </c>
      <c r="P180" s="30" t="s">
        <v>1174</v>
      </c>
      <c r="Q180" s="31" t="s">
        <v>1175</v>
      </c>
      <c r="R180" s="30" t="s">
        <v>1174</v>
      </c>
      <c r="S180" s="30" t="s">
        <v>1174</v>
      </c>
      <c r="T180" s="30" t="s">
        <v>1174</v>
      </c>
      <c r="U180" s="30" t="s">
        <v>1174</v>
      </c>
      <c r="V180" s="59" t="s">
        <v>1174</v>
      </c>
      <c r="W180" s="7" t="s">
        <v>9</v>
      </c>
      <c r="X180" s="2" t="s">
        <v>1445</v>
      </c>
      <c r="Y180" s="9" t="s">
        <v>670</v>
      </c>
      <c r="Z180"/>
    </row>
    <row r="181" spans="1:26" s="5" customFormat="1">
      <c r="A181" s="100">
        <v>179</v>
      </c>
      <c r="B181" s="93">
        <v>225</v>
      </c>
      <c r="C181" s="47" t="s">
        <v>1953</v>
      </c>
      <c r="D181" s="38">
        <v>0</v>
      </c>
      <c r="E181" s="38">
        <v>0</v>
      </c>
      <c r="F181" s="38">
        <v>0</v>
      </c>
      <c r="G181" s="38">
        <v>0</v>
      </c>
      <c r="H181" s="38">
        <v>1</v>
      </c>
      <c r="I181" s="38">
        <v>1</v>
      </c>
      <c r="J181" s="58">
        <f>SUM(D181:I181)</f>
        <v>2</v>
      </c>
      <c r="K181" s="7" t="s">
        <v>1025</v>
      </c>
      <c r="L181" s="30" t="s">
        <v>1174</v>
      </c>
      <c r="M181" s="30" t="s">
        <v>1174</v>
      </c>
      <c r="N181" s="31" t="s">
        <v>1175</v>
      </c>
      <c r="O181" s="30" t="s">
        <v>1174</v>
      </c>
      <c r="P181" s="30" t="s">
        <v>1174</v>
      </c>
      <c r="Q181" s="30" t="s">
        <v>1174</v>
      </c>
      <c r="R181" s="30" t="s">
        <v>1174</v>
      </c>
      <c r="S181" s="30" t="s">
        <v>1174</v>
      </c>
      <c r="T181" s="30" t="s">
        <v>1174</v>
      </c>
      <c r="U181" s="30" t="s">
        <v>1174</v>
      </c>
      <c r="V181" s="59" t="s">
        <v>1174</v>
      </c>
      <c r="W181" s="64" t="s">
        <v>1025</v>
      </c>
      <c r="X181" s="2" t="s">
        <v>1462</v>
      </c>
      <c r="Y181" s="11" t="s">
        <v>675</v>
      </c>
      <c r="Z181"/>
    </row>
    <row r="182" spans="1:26" s="5" customFormat="1">
      <c r="A182" s="100">
        <v>180</v>
      </c>
      <c r="B182" s="93">
        <v>226</v>
      </c>
      <c r="C182" s="47" t="s">
        <v>1954</v>
      </c>
      <c r="D182" s="38">
        <v>0</v>
      </c>
      <c r="E182" s="38">
        <v>0</v>
      </c>
      <c r="F182" s="38">
        <v>0</v>
      </c>
      <c r="G182" s="38">
        <v>0</v>
      </c>
      <c r="H182" s="38">
        <v>1</v>
      </c>
      <c r="I182" s="38">
        <v>1</v>
      </c>
      <c r="J182" s="58">
        <f>SUM(D182:I182)</f>
        <v>2</v>
      </c>
      <c r="K182" s="7" t="s">
        <v>1025</v>
      </c>
      <c r="L182" s="30" t="s">
        <v>1174</v>
      </c>
      <c r="M182" s="30" t="s">
        <v>1174</v>
      </c>
      <c r="N182" s="31" t="s">
        <v>1175</v>
      </c>
      <c r="O182" s="31" t="s">
        <v>1175</v>
      </c>
      <c r="P182" s="30" t="s">
        <v>1174</v>
      </c>
      <c r="Q182" s="31" t="s">
        <v>1175</v>
      </c>
      <c r="R182" s="30" t="s">
        <v>1174</v>
      </c>
      <c r="S182" s="30" t="s">
        <v>1174</v>
      </c>
      <c r="T182" s="30" t="s">
        <v>1174</v>
      </c>
      <c r="U182" s="30" t="s">
        <v>1174</v>
      </c>
      <c r="V182" s="59" t="s">
        <v>1174</v>
      </c>
      <c r="W182" s="2" t="s">
        <v>9</v>
      </c>
      <c r="X182" s="2" t="s">
        <v>1502</v>
      </c>
      <c r="Y182" s="11" t="s">
        <v>675</v>
      </c>
      <c r="Z182"/>
    </row>
    <row r="183" spans="1:26" s="5" customFormat="1">
      <c r="A183" s="100">
        <v>181</v>
      </c>
      <c r="B183" s="93">
        <v>227</v>
      </c>
      <c r="C183" s="47" t="s">
        <v>1955</v>
      </c>
      <c r="D183" s="38">
        <v>0</v>
      </c>
      <c r="E183" s="38">
        <v>0</v>
      </c>
      <c r="F183" s="38">
        <v>0</v>
      </c>
      <c r="G183" s="38">
        <v>0</v>
      </c>
      <c r="H183" s="38">
        <v>1</v>
      </c>
      <c r="I183" s="38">
        <v>1</v>
      </c>
      <c r="J183" s="58">
        <f>SUM(D183:I183)</f>
        <v>2</v>
      </c>
      <c r="K183" s="7" t="s">
        <v>1025</v>
      </c>
      <c r="L183" s="38" t="s">
        <v>1175</v>
      </c>
      <c r="M183" s="39" t="s">
        <v>1174</v>
      </c>
      <c r="N183" s="39" t="s">
        <v>1174</v>
      </c>
      <c r="O183" s="38" t="s">
        <v>1175</v>
      </c>
      <c r="P183" s="39" t="s">
        <v>1174</v>
      </c>
      <c r="Q183" s="39" t="s">
        <v>1174</v>
      </c>
      <c r="R183" s="39" t="s">
        <v>1174</v>
      </c>
      <c r="S183" s="39" t="s">
        <v>1174</v>
      </c>
      <c r="T183" s="39" t="s">
        <v>1174</v>
      </c>
      <c r="U183" s="39" t="s">
        <v>1174</v>
      </c>
      <c r="V183" s="60" t="s">
        <v>1174</v>
      </c>
      <c r="W183" s="7" t="s">
        <v>9</v>
      </c>
      <c r="X183" s="7" t="s">
        <v>16</v>
      </c>
      <c r="Y183" s="11" t="s">
        <v>670</v>
      </c>
    </row>
    <row r="184" spans="1:26" s="5" customFormat="1">
      <c r="A184" s="100">
        <v>182</v>
      </c>
      <c r="B184" s="93">
        <v>228</v>
      </c>
      <c r="C184" s="47" t="s">
        <v>1956</v>
      </c>
      <c r="D184" s="38">
        <v>0</v>
      </c>
      <c r="E184" s="38">
        <v>0</v>
      </c>
      <c r="F184" s="38">
        <v>1</v>
      </c>
      <c r="G184" s="38">
        <v>1</v>
      </c>
      <c r="H184" s="38">
        <v>0</v>
      </c>
      <c r="I184" s="38">
        <v>1</v>
      </c>
      <c r="J184" s="58">
        <f>SUM(D184:I184)</f>
        <v>3</v>
      </c>
      <c r="K184" s="7" t="s">
        <v>1134</v>
      </c>
      <c r="L184" s="30" t="s">
        <v>1174</v>
      </c>
      <c r="M184" s="30" t="s">
        <v>1174</v>
      </c>
      <c r="N184" s="31" t="s">
        <v>1175</v>
      </c>
      <c r="O184" s="30" t="s">
        <v>1174</v>
      </c>
      <c r="P184" s="30" t="s">
        <v>1174</v>
      </c>
      <c r="Q184" s="30" t="s">
        <v>1174</v>
      </c>
      <c r="R184" s="30" t="s">
        <v>1174</v>
      </c>
      <c r="S184" s="30" t="s">
        <v>1174</v>
      </c>
      <c r="T184" s="30" t="s">
        <v>1174</v>
      </c>
      <c r="U184" s="32" t="s">
        <v>1175</v>
      </c>
      <c r="V184" s="61" t="s">
        <v>1504</v>
      </c>
      <c r="W184" s="7" t="s">
        <v>774</v>
      </c>
      <c r="X184" s="7" t="s">
        <v>1508</v>
      </c>
      <c r="Y184" s="11" t="s">
        <v>675</v>
      </c>
    </row>
    <row r="185" spans="1:26" s="5" customFormat="1">
      <c r="A185" s="100">
        <v>183</v>
      </c>
      <c r="B185" s="93">
        <v>229</v>
      </c>
      <c r="C185" s="47" t="s">
        <v>1958</v>
      </c>
      <c r="D185" s="38">
        <v>0</v>
      </c>
      <c r="E185" s="38">
        <v>0</v>
      </c>
      <c r="F185" s="38">
        <v>1</v>
      </c>
      <c r="G185" s="38">
        <v>1</v>
      </c>
      <c r="H185" s="38">
        <v>1</v>
      </c>
      <c r="I185" s="38">
        <v>1</v>
      </c>
      <c r="J185" s="58">
        <f>SUM(D185:I185)</f>
        <v>4</v>
      </c>
      <c r="K185" s="7" t="s">
        <v>1535</v>
      </c>
      <c r="L185" s="31" t="s">
        <v>1175</v>
      </c>
      <c r="M185" s="30" t="s">
        <v>1174</v>
      </c>
      <c r="N185" s="31" t="s">
        <v>1175</v>
      </c>
      <c r="O185" s="31" t="s">
        <v>1175</v>
      </c>
      <c r="P185" s="30" t="s">
        <v>1174</v>
      </c>
      <c r="Q185" s="31" t="s">
        <v>1175</v>
      </c>
      <c r="R185" s="30" t="s">
        <v>1174</v>
      </c>
      <c r="S185" s="31" t="s">
        <v>1175</v>
      </c>
      <c r="T185" s="30" t="s">
        <v>1174</v>
      </c>
      <c r="U185" s="30" t="s">
        <v>1174</v>
      </c>
      <c r="V185" s="60" t="s">
        <v>1174</v>
      </c>
      <c r="W185" s="2" t="s">
        <v>9</v>
      </c>
      <c r="X185" s="2" t="s">
        <v>13</v>
      </c>
      <c r="Y185" s="11" t="s">
        <v>670</v>
      </c>
      <c r="Z185"/>
    </row>
    <row r="186" spans="1:26" s="5" customFormat="1">
      <c r="A186" s="100">
        <v>184</v>
      </c>
      <c r="B186" s="93">
        <v>230</v>
      </c>
      <c r="C186" s="47" t="s">
        <v>1959</v>
      </c>
      <c r="D186" s="38">
        <v>0</v>
      </c>
      <c r="E186" s="38">
        <v>0</v>
      </c>
      <c r="F186" s="38">
        <v>0</v>
      </c>
      <c r="G186" s="38">
        <v>0</v>
      </c>
      <c r="H186" s="38">
        <v>1</v>
      </c>
      <c r="I186" s="38">
        <v>1</v>
      </c>
      <c r="J186" s="58">
        <f>SUM(D186:I186)</f>
        <v>2</v>
      </c>
      <c r="K186" s="7" t="s">
        <v>1025</v>
      </c>
      <c r="L186" s="30" t="s">
        <v>1174</v>
      </c>
      <c r="M186" s="30" t="s">
        <v>1174</v>
      </c>
      <c r="N186" s="31" t="s">
        <v>1175</v>
      </c>
      <c r="O186" s="30" t="s">
        <v>1174</v>
      </c>
      <c r="P186" s="30" t="s">
        <v>1174</v>
      </c>
      <c r="Q186" s="30" t="s">
        <v>1174</v>
      </c>
      <c r="R186" s="30" t="s">
        <v>1174</v>
      </c>
      <c r="S186" s="30" t="s">
        <v>1174</v>
      </c>
      <c r="T186" s="30" t="s">
        <v>1174</v>
      </c>
      <c r="U186" s="30" t="s">
        <v>1174</v>
      </c>
      <c r="V186" s="60" t="s">
        <v>1174</v>
      </c>
      <c r="W186" s="2" t="s">
        <v>9</v>
      </c>
      <c r="X186" s="2" t="s">
        <v>14</v>
      </c>
      <c r="Y186" s="11" t="s">
        <v>670</v>
      </c>
      <c r="Z186"/>
    </row>
    <row r="187" spans="1:26" s="5" customFormat="1">
      <c r="A187" s="100">
        <v>185</v>
      </c>
      <c r="B187" s="93">
        <v>231</v>
      </c>
      <c r="C187" s="47" t="s">
        <v>1960</v>
      </c>
      <c r="D187" s="38">
        <v>0</v>
      </c>
      <c r="E187" s="38">
        <v>0</v>
      </c>
      <c r="F187" s="38">
        <v>0</v>
      </c>
      <c r="G187" s="38">
        <v>0</v>
      </c>
      <c r="H187" s="38">
        <v>1</v>
      </c>
      <c r="I187" s="38">
        <v>1</v>
      </c>
      <c r="J187" s="58">
        <f>SUM(D187:I187)</f>
        <v>2</v>
      </c>
      <c r="K187" s="7" t="s">
        <v>1025</v>
      </c>
      <c r="L187" s="30" t="s">
        <v>1174</v>
      </c>
      <c r="M187" s="30" t="s">
        <v>1174</v>
      </c>
      <c r="N187" s="31" t="s">
        <v>1175</v>
      </c>
      <c r="O187" s="30" t="s">
        <v>1174</v>
      </c>
      <c r="P187" s="30" t="s">
        <v>1174</v>
      </c>
      <c r="Q187" s="30" t="s">
        <v>1174</v>
      </c>
      <c r="R187" s="30" t="s">
        <v>1174</v>
      </c>
      <c r="S187" s="30" t="s">
        <v>1174</v>
      </c>
      <c r="T187" s="31" t="s">
        <v>1175</v>
      </c>
      <c r="U187" s="32" t="s">
        <v>1175</v>
      </c>
      <c r="V187" s="61" t="s">
        <v>1550</v>
      </c>
      <c r="W187" s="2" t="s">
        <v>1549</v>
      </c>
      <c r="X187" s="15" t="s">
        <v>16</v>
      </c>
      <c r="Y187" s="11" t="s">
        <v>675</v>
      </c>
      <c r="Z187"/>
    </row>
    <row r="188" spans="1:26" s="5" customFormat="1">
      <c r="A188" s="100">
        <v>186</v>
      </c>
      <c r="B188" s="93">
        <v>232</v>
      </c>
      <c r="C188" s="47" t="s">
        <v>1961</v>
      </c>
      <c r="D188" s="38">
        <v>0</v>
      </c>
      <c r="E188" s="38">
        <v>0</v>
      </c>
      <c r="F188" s="38">
        <v>0</v>
      </c>
      <c r="G188" s="38">
        <v>0</v>
      </c>
      <c r="H188" s="38">
        <v>1</v>
      </c>
      <c r="I188" s="38">
        <v>1</v>
      </c>
      <c r="J188" s="58">
        <f>SUM(D188:I188)</f>
        <v>2</v>
      </c>
      <c r="K188" s="7" t="s">
        <v>1025</v>
      </c>
      <c r="L188" s="30" t="s">
        <v>1174</v>
      </c>
      <c r="M188" s="30" t="s">
        <v>1174</v>
      </c>
      <c r="N188" s="31" t="s">
        <v>1175</v>
      </c>
      <c r="O188" s="31" t="s">
        <v>1175</v>
      </c>
      <c r="P188" s="30" t="s">
        <v>1174</v>
      </c>
      <c r="Q188" s="30" t="s">
        <v>1174</v>
      </c>
      <c r="R188" s="30" t="s">
        <v>1174</v>
      </c>
      <c r="S188" s="30" t="s">
        <v>1174</v>
      </c>
      <c r="T188" s="30" t="s">
        <v>1174</v>
      </c>
      <c r="U188" s="30" t="s">
        <v>1174</v>
      </c>
      <c r="V188" s="60" t="s">
        <v>1174</v>
      </c>
      <c r="W188" s="2" t="s">
        <v>9</v>
      </c>
      <c r="X188" s="15" t="s">
        <v>16</v>
      </c>
      <c r="Y188" s="11" t="s">
        <v>675</v>
      </c>
      <c r="Z188"/>
    </row>
    <row r="189" spans="1:26" ht="18" customHeight="1">
      <c r="A189" s="100">
        <v>187</v>
      </c>
      <c r="B189" s="93">
        <v>233</v>
      </c>
      <c r="C189" s="47" t="s">
        <v>1962</v>
      </c>
      <c r="D189" s="38">
        <v>0</v>
      </c>
      <c r="E189" s="38">
        <v>0</v>
      </c>
      <c r="F189" s="38">
        <v>0</v>
      </c>
      <c r="G189" s="38">
        <v>0</v>
      </c>
      <c r="H189" s="38">
        <v>1</v>
      </c>
      <c r="I189" s="38">
        <v>1</v>
      </c>
      <c r="J189" s="58">
        <f>SUM(D189:I189)</f>
        <v>2</v>
      </c>
      <c r="K189" s="7" t="s">
        <v>1025</v>
      </c>
      <c r="L189" s="30" t="s">
        <v>1174</v>
      </c>
      <c r="M189" s="30" t="s">
        <v>1174</v>
      </c>
      <c r="N189" s="31" t="s">
        <v>1175</v>
      </c>
      <c r="O189" s="30" t="s">
        <v>1174</v>
      </c>
      <c r="P189" s="30" t="s">
        <v>1174</v>
      </c>
      <c r="Q189" s="30" t="s">
        <v>1174</v>
      </c>
      <c r="R189" s="30" t="s">
        <v>1174</v>
      </c>
      <c r="S189" s="30" t="s">
        <v>1174</v>
      </c>
      <c r="T189" s="30" t="s">
        <v>1174</v>
      </c>
      <c r="U189" s="32" t="s">
        <v>1175</v>
      </c>
      <c r="V189" s="61" t="s">
        <v>1570</v>
      </c>
      <c r="W189" s="7" t="s">
        <v>9</v>
      </c>
      <c r="X189" s="15" t="s">
        <v>409</v>
      </c>
      <c r="Y189" s="11" t="s">
        <v>675</v>
      </c>
    </row>
    <row r="190" spans="1:26" ht="18.75" customHeight="1">
      <c r="A190" s="100">
        <v>188</v>
      </c>
      <c r="B190" s="93">
        <v>234</v>
      </c>
      <c r="C190" s="47" t="s">
        <v>1963</v>
      </c>
      <c r="D190" s="38">
        <v>0</v>
      </c>
      <c r="E190" s="38">
        <v>0</v>
      </c>
      <c r="F190" s="38">
        <v>0</v>
      </c>
      <c r="G190" s="38">
        <v>0</v>
      </c>
      <c r="H190" s="38">
        <v>1</v>
      </c>
      <c r="I190" s="38">
        <v>1</v>
      </c>
      <c r="J190" s="58">
        <f>SUM(D190:I190)</f>
        <v>2</v>
      </c>
      <c r="K190" s="7" t="s">
        <v>1025</v>
      </c>
      <c r="L190" s="30" t="s">
        <v>1174</v>
      </c>
      <c r="M190" s="30" t="s">
        <v>1174</v>
      </c>
      <c r="N190" s="31" t="s">
        <v>1175</v>
      </c>
      <c r="O190" s="30" t="s">
        <v>1174</v>
      </c>
      <c r="P190" s="30" t="s">
        <v>1174</v>
      </c>
      <c r="Q190" s="30" t="s">
        <v>1174</v>
      </c>
      <c r="R190" s="30" t="s">
        <v>1174</v>
      </c>
      <c r="S190" s="30" t="s">
        <v>1174</v>
      </c>
      <c r="T190" s="31" t="s">
        <v>1175</v>
      </c>
      <c r="U190" s="32" t="s">
        <v>1175</v>
      </c>
      <c r="V190" s="61" t="s">
        <v>1377</v>
      </c>
      <c r="W190" s="7" t="s">
        <v>9</v>
      </c>
      <c r="X190" s="7" t="s">
        <v>9</v>
      </c>
      <c r="Y190" s="11" t="s">
        <v>675</v>
      </c>
    </row>
    <row r="191" spans="1:26">
      <c r="A191" s="100">
        <v>189</v>
      </c>
      <c r="B191" s="93">
        <v>236</v>
      </c>
      <c r="C191" s="47" t="s">
        <v>1968</v>
      </c>
      <c r="D191" s="38">
        <v>0</v>
      </c>
      <c r="E191" s="38">
        <v>0</v>
      </c>
      <c r="F191" s="38">
        <v>1</v>
      </c>
      <c r="G191" s="38">
        <v>1</v>
      </c>
      <c r="H191" s="38">
        <v>1</v>
      </c>
      <c r="I191" s="38">
        <v>1</v>
      </c>
      <c r="J191" s="58">
        <f>SUM(D191:I191)</f>
        <v>4</v>
      </c>
      <c r="K191" s="7" t="s">
        <v>797</v>
      </c>
      <c r="L191" s="30" t="s">
        <v>1174</v>
      </c>
      <c r="M191" s="30" t="s">
        <v>1174</v>
      </c>
      <c r="N191" s="31" t="s">
        <v>1175</v>
      </c>
      <c r="O191" s="31" t="s">
        <v>1175</v>
      </c>
      <c r="P191" s="30" t="s">
        <v>1174</v>
      </c>
      <c r="Q191" s="31" t="s">
        <v>1175</v>
      </c>
      <c r="R191" s="31" t="s">
        <v>1175</v>
      </c>
      <c r="S191" s="30" t="s">
        <v>1174</v>
      </c>
      <c r="T191" s="30" t="s">
        <v>1174</v>
      </c>
      <c r="U191" s="30" t="s">
        <v>1174</v>
      </c>
      <c r="V191" s="59" t="s">
        <v>1174</v>
      </c>
      <c r="W191" s="7" t="s">
        <v>1576</v>
      </c>
      <c r="X191" s="7" t="s">
        <v>18</v>
      </c>
      <c r="Y191" s="11" t="s">
        <v>670</v>
      </c>
    </row>
    <row r="192" spans="1:26">
      <c r="A192" s="100">
        <v>190</v>
      </c>
      <c r="B192" s="93">
        <v>237</v>
      </c>
      <c r="C192" s="47" t="s">
        <v>1969</v>
      </c>
      <c r="D192" s="38">
        <v>0</v>
      </c>
      <c r="E192" s="38">
        <v>0</v>
      </c>
      <c r="F192" s="38">
        <v>1</v>
      </c>
      <c r="G192" s="38">
        <v>0</v>
      </c>
      <c r="H192" s="38">
        <v>1</v>
      </c>
      <c r="I192" s="38">
        <v>1</v>
      </c>
      <c r="J192" s="58">
        <f>SUM(D192:I192)</f>
        <v>3</v>
      </c>
      <c r="K192" s="7" t="s">
        <v>1580</v>
      </c>
      <c r="L192" s="31" t="s">
        <v>1175</v>
      </c>
      <c r="M192" s="30" t="s">
        <v>1174</v>
      </c>
      <c r="N192" s="31" t="s">
        <v>1175</v>
      </c>
      <c r="O192" s="30" t="s">
        <v>1174</v>
      </c>
      <c r="P192" s="30" t="s">
        <v>1174</v>
      </c>
      <c r="Q192" s="30" t="s">
        <v>1174</v>
      </c>
      <c r="R192" s="31" t="s">
        <v>1175</v>
      </c>
      <c r="S192" s="30" t="s">
        <v>1174</v>
      </c>
      <c r="T192" s="30" t="s">
        <v>1174</v>
      </c>
      <c r="U192" s="30" t="s">
        <v>1174</v>
      </c>
      <c r="V192" s="59" t="s">
        <v>1174</v>
      </c>
      <c r="W192" s="2" t="s">
        <v>9</v>
      </c>
      <c r="X192" s="15" t="s">
        <v>16</v>
      </c>
      <c r="Y192" s="11" t="s">
        <v>670</v>
      </c>
    </row>
    <row r="193" spans="1:26">
      <c r="A193" s="100">
        <v>191</v>
      </c>
      <c r="B193" s="93">
        <v>238</v>
      </c>
      <c r="C193" s="47" t="s">
        <v>1970</v>
      </c>
      <c r="D193" s="38">
        <v>0</v>
      </c>
      <c r="E193" s="38">
        <v>0</v>
      </c>
      <c r="F193" s="38">
        <v>0</v>
      </c>
      <c r="G193" s="38">
        <v>0</v>
      </c>
      <c r="H193" s="38">
        <v>1</v>
      </c>
      <c r="I193" s="38">
        <v>1</v>
      </c>
      <c r="J193" s="58">
        <f>SUM(D193:I193)</f>
        <v>2</v>
      </c>
      <c r="K193" s="50" t="s">
        <v>1582</v>
      </c>
      <c r="L193" s="30" t="s">
        <v>1174</v>
      </c>
      <c r="M193" s="30" t="s">
        <v>1174</v>
      </c>
      <c r="N193" s="31" t="s">
        <v>1175</v>
      </c>
      <c r="O193" s="30" t="s">
        <v>1174</v>
      </c>
      <c r="P193" s="30" t="s">
        <v>1174</v>
      </c>
      <c r="Q193" s="30" t="s">
        <v>1174</v>
      </c>
      <c r="R193" s="31" t="s">
        <v>1175</v>
      </c>
      <c r="S193" s="30" t="s">
        <v>1174</v>
      </c>
      <c r="T193" s="30" t="s">
        <v>1174</v>
      </c>
      <c r="U193" s="32" t="s">
        <v>1175</v>
      </c>
      <c r="V193" s="61" t="s">
        <v>1584</v>
      </c>
      <c r="W193" s="7" t="s">
        <v>9</v>
      </c>
      <c r="X193" s="7" t="s">
        <v>16</v>
      </c>
      <c r="Y193" s="11" t="s">
        <v>807</v>
      </c>
    </row>
    <row r="194" spans="1:26">
      <c r="A194" s="100">
        <v>192</v>
      </c>
      <c r="B194" s="93">
        <v>239</v>
      </c>
      <c r="C194" s="47" t="s">
        <v>1971</v>
      </c>
      <c r="D194" s="38">
        <v>0</v>
      </c>
      <c r="E194" s="38">
        <v>0</v>
      </c>
      <c r="F194" s="38">
        <v>1</v>
      </c>
      <c r="G194" s="38">
        <v>0</v>
      </c>
      <c r="H194" s="38">
        <v>1</v>
      </c>
      <c r="I194" s="38">
        <v>1</v>
      </c>
      <c r="J194" s="58">
        <f>SUM(D194:I194)</f>
        <v>3</v>
      </c>
      <c r="K194" s="50" t="s">
        <v>1585</v>
      </c>
      <c r="L194" s="30" t="s">
        <v>1174</v>
      </c>
      <c r="M194" s="30" t="s">
        <v>1174</v>
      </c>
      <c r="N194" s="31" t="s">
        <v>1175</v>
      </c>
      <c r="O194" s="30" t="s">
        <v>1174</v>
      </c>
      <c r="P194" s="30" t="s">
        <v>1174</v>
      </c>
      <c r="Q194" s="31" t="s">
        <v>1175</v>
      </c>
      <c r="R194" s="31" t="s">
        <v>1175</v>
      </c>
      <c r="S194" s="30" t="s">
        <v>1174</v>
      </c>
      <c r="T194" s="30" t="s">
        <v>1174</v>
      </c>
      <c r="U194" s="32" t="s">
        <v>1175</v>
      </c>
      <c r="V194" s="61" t="s">
        <v>1586</v>
      </c>
      <c r="W194" s="7" t="s">
        <v>1583</v>
      </c>
      <c r="X194" s="7" t="s">
        <v>129</v>
      </c>
      <c r="Y194" s="11" t="s">
        <v>670</v>
      </c>
    </row>
    <row r="195" spans="1:26">
      <c r="A195" s="100">
        <v>193</v>
      </c>
      <c r="B195" s="93">
        <v>240</v>
      </c>
      <c r="C195" s="47" t="s">
        <v>1972</v>
      </c>
      <c r="D195" s="38">
        <v>1</v>
      </c>
      <c r="E195" s="38">
        <v>0</v>
      </c>
      <c r="F195" s="38">
        <v>0</v>
      </c>
      <c r="G195" s="38">
        <v>0</v>
      </c>
      <c r="H195" s="38">
        <v>1</v>
      </c>
      <c r="I195" s="38">
        <v>1</v>
      </c>
      <c r="J195" s="58">
        <f>SUM(D195:I195)</f>
        <v>3</v>
      </c>
      <c r="K195" s="7" t="s">
        <v>1025</v>
      </c>
      <c r="L195" s="31" t="s">
        <v>1175</v>
      </c>
      <c r="M195" s="31" t="s">
        <v>1175</v>
      </c>
      <c r="N195" s="30" t="s">
        <v>1174</v>
      </c>
      <c r="O195" s="30" t="s">
        <v>1174</v>
      </c>
      <c r="P195" s="30" t="s">
        <v>1174</v>
      </c>
      <c r="Q195" s="30" t="s">
        <v>1174</v>
      </c>
      <c r="R195" s="30" t="s">
        <v>1174</v>
      </c>
      <c r="S195" s="30" t="s">
        <v>1174</v>
      </c>
      <c r="T195" s="30" t="s">
        <v>1174</v>
      </c>
      <c r="U195" s="30" t="s">
        <v>1174</v>
      </c>
      <c r="V195" s="59" t="s">
        <v>1174</v>
      </c>
      <c r="W195" s="64" t="s">
        <v>1025</v>
      </c>
      <c r="X195" s="7" t="s">
        <v>1592</v>
      </c>
      <c r="Y195" s="11" t="s">
        <v>670</v>
      </c>
      <c r="Z195" s="5"/>
    </row>
    <row r="196" spans="1:26">
      <c r="A196" s="100">
        <v>194</v>
      </c>
      <c r="B196" s="93">
        <v>241</v>
      </c>
      <c r="C196" s="47" t="s">
        <v>1973</v>
      </c>
      <c r="D196" s="38">
        <v>0</v>
      </c>
      <c r="E196" s="38">
        <v>0</v>
      </c>
      <c r="F196" s="38">
        <v>1</v>
      </c>
      <c r="G196" s="38">
        <v>1</v>
      </c>
      <c r="H196" s="38">
        <v>1</v>
      </c>
      <c r="I196" s="38">
        <v>1</v>
      </c>
      <c r="J196" s="58">
        <f>SUM(D196:I196)</f>
        <v>4</v>
      </c>
      <c r="K196" s="7" t="s">
        <v>1610</v>
      </c>
      <c r="L196" s="30" t="s">
        <v>1174</v>
      </c>
      <c r="M196" s="30" t="s">
        <v>1174</v>
      </c>
      <c r="N196" s="31" t="s">
        <v>1175</v>
      </c>
      <c r="O196" s="31" t="s">
        <v>1175</v>
      </c>
      <c r="P196" s="30" t="s">
        <v>1174</v>
      </c>
      <c r="Q196" s="30" t="s">
        <v>1174</v>
      </c>
      <c r="R196" s="31" t="s">
        <v>1175</v>
      </c>
      <c r="S196" s="30" t="s">
        <v>1174</v>
      </c>
      <c r="T196" s="30" t="s">
        <v>1174</v>
      </c>
      <c r="U196" s="30" t="s">
        <v>1174</v>
      </c>
      <c r="V196" s="59" t="s">
        <v>1174</v>
      </c>
      <c r="W196" s="7" t="s">
        <v>9</v>
      </c>
      <c r="X196" s="7" t="s">
        <v>817</v>
      </c>
      <c r="Y196" s="11" t="s">
        <v>670</v>
      </c>
    </row>
    <row r="197" spans="1:26">
      <c r="A197" s="100">
        <v>195</v>
      </c>
      <c r="B197" s="93">
        <v>242</v>
      </c>
      <c r="C197" s="47" t="s">
        <v>1974</v>
      </c>
      <c r="D197" s="38">
        <v>1</v>
      </c>
      <c r="E197" s="38">
        <v>0</v>
      </c>
      <c r="F197" s="38">
        <v>0</v>
      </c>
      <c r="G197" s="38">
        <v>0</v>
      </c>
      <c r="H197" s="38">
        <v>0</v>
      </c>
      <c r="I197" s="38">
        <v>1</v>
      </c>
      <c r="J197" s="58">
        <f>SUM(D197:I197)</f>
        <v>2</v>
      </c>
      <c r="K197" s="7" t="s">
        <v>1025</v>
      </c>
      <c r="L197" s="30" t="s">
        <v>1174</v>
      </c>
      <c r="M197" s="30" t="s">
        <v>1174</v>
      </c>
      <c r="N197" s="31" t="s">
        <v>1175</v>
      </c>
      <c r="O197" s="30" t="s">
        <v>1174</v>
      </c>
      <c r="P197" s="30" t="s">
        <v>1174</v>
      </c>
      <c r="Q197" s="30" t="s">
        <v>1174</v>
      </c>
      <c r="R197" s="30" t="s">
        <v>1174</v>
      </c>
      <c r="S197" s="30" t="s">
        <v>1174</v>
      </c>
      <c r="T197" s="30" t="s">
        <v>1174</v>
      </c>
      <c r="U197" s="30" t="s">
        <v>1174</v>
      </c>
      <c r="V197" s="59" t="s">
        <v>1174</v>
      </c>
      <c r="W197" s="2" t="s">
        <v>9</v>
      </c>
      <c r="X197" s="7" t="s">
        <v>16</v>
      </c>
      <c r="Y197" s="11" t="s">
        <v>670</v>
      </c>
    </row>
    <row r="198" spans="1:26">
      <c r="A198" s="100">
        <v>196</v>
      </c>
      <c r="B198" s="93">
        <v>243</v>
      </c>
      <c r="C198" s="47" t="s">
        <v>1975</v>
      </c>
      <c r="D198" s="38">
        <v>0</v>
      </c>
      <c r="E198" s="38">
        <v>0</v>
      </c>
      <c r="F198" s="38">
        <v>1</v>
      </c>
      <c r="G198" s="38">
        <v>0</v>
      </c>
      <c r="H198" s="38">
        <v>1</v>
      </c>
      <c r="I198" s="38">
        <v>1</v>
      </c>
      <c r="J198" s="58">
        <f>SUM(D198:I198)</f>
        <v>3</v>
      </c>
      <c r="K198" s="50" t="s">
        <v>1441</v>
      </c>
      <c r="L198" s="38" t="s">
        <v>1175</v>
      </c>
      <c r="M198" s="39" t="s">
        <v>1174</v>
      </c>
      <c r="N198" s="38" t="s">
        <v>1175</v>
      </c>
      <c r="O198" s="38" t="s">
        <v>1175</v>
      </c>
      <c r="P198" s="39" t="s">
        <v>1174</v>
      </c>
      <c r="Q198" s="39" t="s">
        <v>1174</v>
      </c>
      <c r="R198" s="39" t="s">
        <v>1174</v>
      </c>
      <c r="S198" s="39" t="s">
        <v>1174</v>
      </c>
      <c r="T198" s="39" t="s">
        <v>1174</v>
      </c>
      <c r="U198" s="39" t="s">
        <v>1174</v>
      </c>
      <c r="V198" s="59" t="s">
        <v>1174</v>
      </c>
      <c r="W198" s="7" t="s">
        <v>9</v>
      </c>
      <c r="X198" s="7" t="s">
        <v>1439</v>
      </c>
      <c r="Y198" s="11" t="s">
        <v>670</v>
      </c>
      <c r="Z198" s="5"/>
    </row>
    <row r="199" spans="1:26">
      <c r="A199" s="100">
        <v>197</v>
      </c>
      <c r="B199" s="93">
        <v>244</v>
      </c>
      <c r="C199" s="47" t="s">
        <v>1976</v>
      </c>
      <c r="D199" s="38">
        <v>0</v>
      </c>
      <c r="E199" s="38">
        <v>0</v>
      </c>
      <c r="F199" s="38">
        <v>0</v>
      </c>
      <c r="G199" s="38">
        <v>0</v>
      </c>
      <c r="H199" s="38">
        <v>0</v>
      </c>
      <c r="I199" s="38">
        <v>1</v>
      </c>
      <c r="J199" s="58">
        <f>SUM(D199:I199)</f>
        <v>1</v>
      </c>
      <c r="K199" s="54" t="s">
        <v>823</v>
      </c>
      <c r="L199" s="30" t="s">
        <v>1174</v>
      </c>
      <c r="M199" s="30" t="s">
        <v>1174</v>
      </c>
      <c r="N199" s="31" t="s">
        <v>1175</v>
      </c>
      <c r="O199" s="30" t="s">
        <v>1174</v>
      </c>
      <c r="P199" s="30" t="s">
        <v>1174</v>
      </c>
      <c r="Q199" s="30" t="s">
        <v>1174</v>
      </c>
      <c r="R199" s="30" t="s">
        <v>1174</v>
      </c>
      <c r="S199" s="30" t="s">
        <v>1174</v>
      </c>
      <c r="T199" s="30" t="s">
        <v>1174</v>
      </c>
      <c r="U199" s="30" t="s">
        <v>1174</v>
      </c>
      <c r="V199" s="59" t="s">
        <v>1174</v>
      </c>
      <c r="W199" s="7" t="s">
        <v>9</v>
      </c>
      <c r="X199" s="7" t="s">
        <v>16</v>
      </c>
      <c r="Y199" s="11" t="s">
        <v>670</v>
      </c>
    </row>
    <row r="200" spans="1:26">
      <c r="A200" s="100">
        <v>198</v>
      </c>
      <c r="B200" s="93">
        <v>245</v>
      </c>
      <c r="C200" s="47" t="s">
        <v>1977</v>
      </c>
      <c r="D200" s="38">
        <v>0</v>
      </c>
      <c r="E200" s="38">
        <v>0</v>
      </c>
      <c r="F200" s="38">
        <v>0</v>
      </c>
      <c r="G200" s="38">
        <v>0</v>
      </c>
      <c r="H200" s="38">
        <v>0</v>
      </c>
      <c r="I200" s="38">
        <v>1</v>
      </c>
      <c r="J200" s="58">
        <f>SUM(D200:I200)</f>
        <v>1</v>
      </c>
      <c r="K200" s="7" t="s">
        <v>1025</v>
      </c>
      <c r="L200" s="30" t="s">
        <v>1174</v>
      </c>
      <c r="M200" s="30" t="s">
        <v>1174</v>
      </c>
      <c r="N200" s="31" t="s">
        <v>1175</v>
      </c>
      <c r="O200" s="30" t="s">
        <v>1174</v>
      </c>
      <c r="P200" s="30" t="s">
        <v>1174</v>
      </c>
      <c r="Q200" s="30" t="s">
        <v>1174</v>
      </c>
      <c r="R200" s="30" t="s">
        <v>1174</v>
      </c>
      <c r="S200" s="30" t="s">
        <v>1174</v>
      </c>
      <c r="T200" s="30" t="s">
        <v>1174</v>
      </c>
      <c r="U200" s="30" t="s">
        <v>1174</v>
      </c>
      <c r="V200" s="59" t="s">
        <v>1174</v>
      </c>
      <c r="W200" s="7" t="s">
        <v>9</v>
      </c>
      <c r="X200" s="7" t="s">
        <v>16</v>
      </c>
      <c r="Y200" s="11" t="s">
        <v>675</v>
      </c>
    </row>
    <row r="201" spans="1:26">
      <c r="A201" s="100">
        <v>199</v>
      </c>
      <c r="B201" s="93">
        <v>246</v>
      </c>
      <c r="C201" s="47" t="s">
        <v>1978</v>
      </c>
      <c r="D201" s="38">
        <v>0</v>
      </c>
      <c r="E201" s="38">
        <v>0</v>
      </c>
      <c r="F201" s="38">
        <v>0</v>
      </c>
      <c r="G201" s="38">
        <v>0</v>
      </c>
      <c r="H201" s="38">
        <v>1</v>
      </c>
      <c r="I201" s="38">
        <v>1</v>
      </c>
      <c r="J201" s="58">
        <f>SUM(D201:I201)</f>
        <v>2</v>
      </c>
      <c r="K201" s="29" t="s">
        <v>1620</v>
      </c>
      <c r="L201" s="31" t="s">
        <v>1175</v>
      </c>
      <c r="M201" s="30" t="s">
        <v>1174</v>
      </c>
      <c r="N201" s="30" t="s">
        <v>1174</v>
      </c>
      <c r="O201" s="30" t="s">
        <v>1174</v>
      </c>
      <c r="P201" s="30" t="s">
        <v>1174</v>
      </c>
      <c r="Q201" s="30" t="s">
        <v>1174</v>
      </c>
      <c r="R201" s="30" t="s">
        <v>1174</v>
      </c>
      <c r="S201" s="30" t="s">
        <v>1174</v>
      </c>
      <c r="T201" s="30" t="s">
        <v>1174</v>
      </c>
      <c r="U201" s="31" t="s">
        <v>1175</v>
      </c>
      <c r="V201" s="62" t="s">
        <v>1618</v>
      </c>
      <c r="W201" s="29" t="s">
        <v>1622</v>
      </c>
      <c r="X201" s="15" t="s">
        <v>674</v>
      </c>
      <c r="Y201" s="1" t="s">
        <v>670</v>
      </c>
    </row>
    <row r="202" spans="1:26">
      <c r="A202" s="100">
        <v>200</v>
      </c>
      <c r="B202" s="93">
        <v>247</v>
      </c>
      <c r="C202" s="47" t="s">
        <v>1979</v>
      </c>
      <c r="D202" s="38">
        <v>0</v>
      </c>
      <c r="E202" s="38">
        <v>0</v>
      </c>
      <c r="F202" s="38">
        <v>0</v>
      </c>
      <c r="G202" s="38">
        <v>0</v>
      </c>
      <c r="H202" s="38">
        <v>1</v>
      </c>
      <c r="I202" s="38">
        <v>1</v>
      </c>
      <c r="J202" s="58">
        <f>SUM(D202:I202)</f>
        <v>2</v>
      </c>
      <c r="K202" s="7" t="s">
        <v>1025</v>
      </c>
      <c r="L202" s="31" t="s">
        <v>1175</v>
      </c>
      <c r="M202" s="30" t="s">
        <v>1174</v>
      </c>
      <c r="N202" s="30" t="s">
        <v>1174</v>
      </c>
      <c r="O202" s="31" t="s">
        <v>1175</v>
      </c>
      <c r="P202" s="30" t="s">
        <v>1174</v>
      </c>
      <c r="Q202" s="30" t="s">
        <v>1174</v>
      </c>
      <c r="R202" s="30" t="s">
        <v>1174</v>
      </c>
      <c r="S202" s="30" t="s">
        <v>1174</v>
      </c>
      <c r="T202" s="30" t="s">
        <v>1174</v>
      </c>
      <c r="U202" s="30" t="s">
        <v>1174</v>
      </c>
      <c r="V202" s="59" t="s">
        <v>1174</v>
      </c>
      <c r="W202" s="7" t="s">
        <v>9</v>
      </c>
      <c r="X202" s="7" t="s">
        <v>16</v>
      </c>
      <c r="Y202" s="11" t="s">
        <v>675</v>
      </c>
    </row>
    <row r="203" spans="1:26">
      <c r="A203" s="100">
        <v>201</v>
      </c>
      <c r="B203" s="93">
        <v>248</v>
      </c>
      <c r="C203" s="47" t="s">
        <v>1980</v>
      </c>
      <c r="D203" s="38">
        <v>0</v>
      </c>
      <c r="E203" s="38">
        <v>0</v>
      </c>
      <c r="F203" s="38">
        <v>1</v>
      </c>
      <c r="G203" s="38">
        <v>1</v>
      </c>
      <c r="H203" s="38">
        <v>1</v>
      </c>
      <c r="I203" s="38">
        <v>1</v>
      </c>
      <c r="J203" s="58">
        <f>SUM(D203:I203)</f>
        <v>4</v>
      </c>
      <c r="K203" s="7" t="s">
        <v>1639</v>
      </c>
      <c r="L203" s="30" t="s">
        <v>1174</v>
      </c>
      <c r="M203" s="30" t="s">
        <v>1174</v>
      </c>
      <c r="N203" s="31" t="s">
        <v>1175</v>
      </c>
      <c r="O203" s="31" t="s">
        <v>1175</v>
      </c>
      <c r="P203" s="30" t="s">
        <v>1174</v>
      </c>
      <c r="Q203" s="30" t="s">
        <v>1174</v>
      </c>
      <c r="R203" s="30" t="s">
        <v>1174</v>
      </c>
      <c r="S203" s="31" t="s">
        <v>1175</v>
      </c>
      <c r="T203" s="30" t="s">
        <v>1174</v>
      </c>
      <c r="U203" s="32" t="s">
        <v>1175</v>
      </c>
      <c r="V203" s="61" t="s">
        <v>1636</v>
      </c>
      <c r="W203" s="7" t="s">
        <v>9</v>
      </c>
      <c r="X203" s="7" t="s">
        <v>847</v>
      </c>
      <c r="Y203" s="11" t="s">
        <v>675</v>
      </c>
    </row>
    <row r="204" spans="1:26">
      <c r="A204" s="100">
        <v>202</v>
      </c>
      <c r="B204" s="93">
        <v>249</v>
      </c>
      <c r="C204" s="47" t="s">
        <v>1981</v>
      </c>
      <c r="D204" s="38">
        <v>0</v>
      </c>
      <c r="E204" s="38">
        <v>0</v>
      </c>
      <c r="F204" s="38">
        <v>0</v>
      </c>
      <c r="G204" s="38">
        <v>0</v>
      </c>
      <c r="H204" s="38">
        <v>0</v>
      </c>
      <c r="I204" s="38">
        <v>1</v>
      </c>
      <c r="J204" s="58">
        <f>SUM(D204:I204)</f>
        <v>1</v>
      </c>
      <c r="K204" s="7" t="s">
        <v>1025</v>
      </c>
      <c r="L204" s="31" t="s">
        <v>1175</v>
      </c>
      <c r="M204" s="30" t="s">
        <v>1174</v>
      </c>
      <c r="N204" s="31" t="s">
        <v>1175</v>
      </c>
      <c r="O204" s="31" t="s">
        <v>1175</v>
      </c>
      <c r="P204" s="30" t="s">
        <v>1174</v>
      </c>
      <c r="Q204" s="30" t="s">
        <v>1174</v>
      </c>
      <c r="R204" s="30" t="s">
        <v>1174</v>
      </c>
      <c r="S204" s="30" t="s">
        <v>1174</v>
      </c>
      <c r="T204" s="30" t="s">
        <v>1174</v>
      </c>
      <c r="U204" s="30" t="s">
        <v>1174</v>
      </c>
      <c r="V204" s="59" t="s">
        <v>1174</v>
      </c>
      <c r="W204" s="7" t="s">
        <v>9</v>
      </c>
      <c r="X204" s="7" t="s">
        <v>136</v>
      </c>
      <c r="Y204" s="11" t="s">
        <v>670</v>
      </c>
    </row>
    <row r="205" spans="1:26">
      <c r="A205" s="100">
        <v>203</v>
      </c>
      <c r="B205" s="93">
        <v>250</v>
      </c>
      <c r="C205" s="47" t="s">
        <v>1982</v>
      </c>
      <c r="D205" s="38">
        <v>0</v>
      </c>
      <c r="E205" s="38">
        <v>0</v>
      </c>
      <c r="F205" s="38">
        <v>0</v>
      </c>
      <c r="G205" s="38">
        <v>0</v>
      </c>
      <c r="H205" s="38">
        <v>1</v>
      </c>
      <c r="I205" s="38">
        <v>1</v>
      </c>
      <c r="J205" s="58">
        <f>SUM(D205:I205)</f>
        <v>2</v>
      </c>
      <c r="K205" s="7" t="s">
        <v>1025</v>
      </c>
      <c r="L205" s="31" t="s">
        <v>1175</v>
      </c>
      <c r="M205" s="30" t="s">
        <v>1174</v>
      </c>
      <c r="N205" s="30" t="s">
        <v>1174</v>
      </c>
      <c r="O205" s="31" t="s">
        <v>1175</v>
      </c>
      <c r="P205" s="30" t="s">
        <v>1174</v>
      </c>
      <c r="Q205" s="30" t="s">
        <v>1174</v>
      </c>
      <c r="R205" s="30" t="s">
        <v>1174</v>
      </c>
      <c r="S205" s="30" t="s">
        <v>1174</v>
      </c>
      <c r="T205" s="30" t="s">
        <v>1174</v>
      </c>
      <c r="U205" s="30" t="s">
        <v>1174</v>
      </c>
      <c r="V205" s="59" t="s">
        <v>1174</v>
      </c>
      <c r="W205" s="7" t="s">
        <v>9</v>
      </c>
      <c r="X205" s="7" t="s">
        <v>15</v>
      </c>
      <c r="Y205" s="11" t="s">
        <v>670</v>
      </c>
    </row>
    <row r="206" spans="1:26">
      <c r="A206" s="100">
        <v>204</v>
      </c>
      <c r="B206" s="93">
        <v>251</v>
      </c>
      <c r="C206" s="47" t="s">
        <v>1983</v>
      </c>
      <c r="D206" s="38">
        <v>0</v>
      </c>
      <c r="E206" s="38">
        <v>0</v>
      </c>
      <c r="F206" s="38">
        <v>0</v>
      </c>
      <c r="G206" s="38">
        <v>0</v>
      </c>
      <c r="H206" s="38">
        <v>1</v>
      </c>
      <c r="I206" s="38">
        <v>1</v>
      </c>
      <c r="J206" s="58">
        <f>SUM(D206:I206)</f>
        <v>2</v>
      </c>
      <c r="K206" s="54" t="s">
        <v>853</v>
      </c>
      <c r="L206" s="31" t="s">
        <v>1175</v>
      </c>
      <c r="M206" s="30" t="s">
        <v>1174</v>
      </c>
      <c r="N206" s="30" t="s">
        <v>1174</v>
      </c>
      <c r="O206" s="31" t="s">
        <v>1175</v>
      </c>
      <c r="P206" s="30" t="s">
        <v>1174</v>
      </c>
      <c r="Q206" s="30" t="s">
        <v>1174</v>
      </c>
      <c r="R206" s="30" t="s">
        <v>1174</v>
      </c>
      <c r="S206" s="30" t="s">
        <v>1174</v>
      </c>
      <c r="T206" s="30" t="s">
        <v>1174</v>
      </c>
      <c r="U206" s="30" t="s">
        <v>1174</v>
      </c>
      <c r="V206" s="59" t="s">
        <v>1174</v>
      </c>
      <c r="W206" s="7" t="s">
        <v>9</v>
      </c>
      <c r="X206" s="7" t="s">
        <v>137</v>
      </c>
      <c r="Y206" s="11" t="s">
        <v>670</v>
      </c>
    </row>
    <row r="207" spans="1:26">
      <c r="A207" s="100">
        <v>205</v>
      </c>
      <c r="B207" s="93">
        <v>252</v>
      </c>
      <c r="C207" s="47" t="s">
        <v>1984</v>
      </c>
      <c r="D207" s="38">
        <v>0</v>
      </c>
      <c r="E207" s="38">
        <v>0</v>
      </c>
      <c r="F207" s="38">
        <v>1</v>
      </c>
      <c r="G207" s="38">
        <v>0</v>
      </c>
      <c r="H207" s="38">
        <v>1</v>
      </c>
      <c r="I207" s="38">
        <v>1</v>
      </c>
      <c r="J207" s="58">
        <f>SUM(D207:I207)</f>
        <v>3</v>
      </c>
      <c r="K207" s="7" t="s">
        <v>1358</v>
      </c>
      <c r="L207" s="30" t="s">
        <v>1174</v>
      </c>
      <c r="M207" s="30" t="s">
        <v>1174</v>
      </c>
      <c r="N207" s="31" t="s">
        <v>1175</v>
      </c>
      <c r="O207" s="31" t="s">
        <v>1175</v>
      </c>
      <c r="P207" s="30" t="s">
        <v>1174</v>
      </c>
      <c r="Q207" s="30" t="s">
        <v>1174</v>
      </c>
      <c r="R207" s="31" t="s">
        <v>1175</v>
      </c>
      <c r="S207" s="30" t="s">
        <v>1174</v>
      </c>
      <c r="T207" s="30" t="s">
        <v>1174</v>
      </c>
      <c r="U207" s="30" t="s">
        <v>1174</v>
      </c>
      <c r="V207" s="59" t="s">
        <v>1174</v>
      </c>
      <c r="W207" s="7" t="s">
        <v>9</v>
      </c>
      <c r="X207" s="7" t="s">
        <v>139</v>
      </c>
      <c r="Y207" s="11" t="s">
        <v>675</v>
      </c>
    </row>
    <row r="208" spans="1:26">
      <c r="A208" s="100">
        <v>206</v>
      </c>
      <c r="B208" s="93">
        <v>253</v>
      </c>
      <c r="C208" s="47" t="s">
        <v>1967</v>
      </c>
      <c r="D208" s="38">
        <v>0</v>
      </c>
      <c r="E208" s="38">
        <v>0</v>
      </c>
      <c r="F208" s="38">
        <v>1</v>
      </c>
      <c r="G208" s="38">
        <v>1</v>
      </c>
      <c r="H208" s="38">
        <v>1</v>
      </c>
      <c r="I208" s="38">
        <v>1</v>
      </c>
      <c r="J208" s="58">
        <f>SUM(D208:I208)</f>
        <v>4</v>
      </c>
      <c r="K208" s="7" t="s">
        <v>797</v>
      </c>
      <c r="L208" s="30" t="s">
        <v>1174</v>
      </c>
      <c r="M208" s="30" t="s">
        <v>1174</v>
      </c>
      <c r="N208" s="31" t="s">
        <v>1175</v>
      </c>
      <c r="O208" s="31" t="s">
        <v>1175</v>
      </c>
      <c r="P208" s="30" t="s">
        <v>1174</v>
      </c>
      <c r="Q208" s="31" t="s">
        <v>1175</v>
      </c>
      <c r="R208" s="30" t="s">
        <v>1174</v>
      </c>
      <c r="S208" s="30" t="s">
        <v>1174</v>
      </c>
      <c r="T208" s="30" t="s">
        <v>1174</v>
      </c>
      <c r="U208" s="30" t="s">
        <v>1174</v>
      </c>
      <c r="V208" s="59" t="s">
        <v>1174</v>
      </c>
      <c r="W208" s="7" t="s">
        <v>9</v>
      </c>
      <c r="X208" s="7" t="s">
        <v>791</v>
      </c>
      <c r="Y208" s="11" t="s">
        <v>675</v>
      </c>
    </row>
    <row r="209" spans="1:26">
      <c r="A209" s="100">
        <v>207</v>
      </c>
      <c r="B209" s="93">
        <v>253</v>
      </c>
      <c r="C209" s="47" t="s">
        <v>1985</v>
      </c>
      <c r="D209" s="38">
        <v>0</v>
      </c>
      <c r="E209" s="38">
        <v>0</v>
      </c>
      <c r="F209" s="38">
        <v>0</v>
      </c>
      <c r="G209" s="38">
        <v>0</v>
      </c>
      <c r="H209" s="38">
        <v>1</v>
      </c>
      <c r="I209" s="38">
        <v>1</v>
      </c>
      <c r="J209" s="58">
        <f>SUM(D209:I209)</f>
        <v>2</v>
      </c>
      <c r="K209" s="7" t="s">
        <v>1025</v>
      </c>
      <c r="L209" s="31" t="s">
        <v>1175</v>
      </c>
      <c r="M209" s="30" t="s">
        <v>1174</v>
      </c>
      <c r="N209" s="31" t="s">
        <v>1175</v>
      </c>
      <c r="O209" s="30" t="s">
        <v>1174</v>
      </c>
      <c r="P209" s="30" t="s">
        <v>1174</v>
      </c>
      <c r="Q209" s="30" t="s">
        <v>1174</v>
      </c>
      <c r="R209" s="30" t="s">
        <v>1174</v>
      </c>
      <c r="S209" s="30" t="s">
        <v>1174</v>
      </c>
      <c r="T209" s="30" t="s">
        <v>1174</v>
      </c>
      <c r="U209" s="30" t="s">
        <v>1174</v>
      </c>
      <c r="V209" s="59" t="s">
        <v>1174</v>
      </c>
      <c r="W209" s="7" t="s">
        <v>9</v>
      </c>
      <c r="X209" s="7" t="s">
        <v>16</v>
      </c>
      <c r="Y209" s="11" t="s">
        <v>670</v>
      </c>
    </row>
    <row r="210" spans="1:26">
      <c r="A210" s="100">
        <v>208</v>
      </c>
      <c r="B210" s="93">
        <v>254</v>
      </c>
      <c r="C210" s="47" t="s">
        <v>1986</v>
      </c>
      <c r="D210" s="38">
        <v>0</v>
      </c>
      <c r="E210" s="38">
        <v>0</v>
      </c>
      <c r="F210" s="38">
        <v>0</v>
      </c>
      <c r="G210" s="38">
        <v>0</v>
      </c>
      <c r="H210" s="38">
        <v>0</v>
      </c>
      <c r="I210" s="38">
        <v>1</v>
      </c>
      <c r="J210" s="58">
        <f>SUM(D210:I210)</f>
        <v>1</v>
      </c>
      <c r="K210" s="7" t="s">
        <v>1025</v>
      </c>
      <c r="L210" s="31" t="s">
        <v>1175</v>
      </c>
      <c r="M210" s="30" t="s">
        <v>1174</v>
      </c>
      <c r="N210" s="30" t="s">
        <v>1174</v>
      </c>
      <c r="O210" s="30" t="s">
        <v>1174</v>
      </c>
      <c r="P210" s="30" t="s">
        <v>1174</v>
      </c>
      <c r="Q210" s="30" t="s">
        <v>1174</v>
      </c>
      <c r="R210" s="30" t="s">
        <v>1174</v>
      </c>
      <c r="S210" s="30" t="s">
        <v>1174</v>
      </c>
      <c r="T210" s="30" t="s">
        <v>1174</v>
      </c>
      <c r="U210" s="30" t="s">
        <v>1174</v>
      </c>
      <c r="V210" s="59" t="s">
        <v>1174</v>
      </c>
      <c r="W210" s="7" t="s">
        <v>9</v>
      </c>
      <c r="X210" s="7" t="s">
        <v>136</v>
      </c>
      <c r="Y210" s="11" t="s">
        <v>670</v>
      </c>
    </row>
    <row r="211" spans="1:26" s="29" customFormat="1">
      <c r="A211" s="100">
        <v>209</v>
      </c>
      <c r="B211" s="93">
        <v>255</v>
      </c>
      <c r="C211" s="47" t="s">
        <v>1987</v>
      </c>
      <c r="D211" s="38">
        <v>0</v>
      </c>
      <c r="E211" s="38">
        <v>0</v>
      </c>
      <c r="F211" s="38">
        <v>0</v>
      </c>
      <c r="G211" s="38">
        <v>0</v>
      </c>
      <c r="H211" s="38">
        <v>1</v>
      </c>
      <c r="I211" s="38">
        <v>1</v>
      </c>
      <c r="J211" s="58">
        <f>SUM(D211:I211)</f>
        <v>2</v>
      </c>
      <c r="K211" s="7" t="s">
        <v>1025</v>
      </c>
      <c r="L211" s="31" t="s">
        <v>1175</v>
      </c>
      <c r="M211" s="30" t="s">
        <v>1174</v>
      </c>
      <c r="N211" s="31" t="s">
        <v>1175</v>
      </c>
      <c r="O211" s="31" t="s">
        <v>1175</v>
      </c>
      <c r="P211" s="30" t="s">
        <v>1174</v>
      </c>
      <c r="Q211" s="30" t="s">
        <v>1174</v>
      </c>
      <c r="R211" s="30" t="s">
        <v>1174</v>
      </c>
      <c r="S211" s="30" t="s">
        <v>1174</v>
      </c>
      <c r="T211" s="30" t="s">
        <v>1174</v>
      </c>
      <c r="U211" s="30" t="s">
        <v>1174</v>
      </c>
      <c r="V211" s="59" t="s">
        <v>1174</v>
      </c>
      <c r="W211" s="7" t="s">
        <v>9</v>
      </c>
      <c r="X211" s="7" t="s">
        <v>16</v>
      </c>
      <c r="Y211" s="11" t="s">
        <v>670</v>
      </c>
      <c r="Z211"/>
    </row>
    <row r="212" spans="1:26">
      <c r="A212" s="100">
        <v>210</v>
      </c>
      <c r="B212" s="93">
        <v>256</v>
      </c>
      <c r="C212" s="47" t="s">
        <v>1988</v>
      </c>
      <c r="D212" s="38">
        <v>0</v>
      </c>
      <c r="E212" s="38">
        <v>0</v>
      </c>
      <c r="F212" s="38">
        <v>0</v>
      </c>
      <c r="G212" s="38">
        <v>0</v>
      </c>
      <c r="H212" s="38">
        <v>1</v>
      </c>
      <c r="I212" s="38">
        <v>1</v>
      </c>
      <c r="J212" s="58">
        <f>SUM(D212:I212)</f>
        <v>2</v>
      </c>
      <c r="K212" s="7" t="s">
        <v>1025</v>
      </c>
      <c r="L212" s="30" t="s">
        <v>1174</v>
      </c>
      <c r="M212" s="30" t="s">
        <v>1174</v>
      </c>
      <c r="N212" s="31" t="s">
        <v>1175</v>
      </c>
      <c r="O212" s="30" t="s">
        <v>1174</v>
      </c>
      <c r="P212" s="30" t="s">
        <v>1174</v>
      </c>
      <c r="Q212" s="30" t="s">
        <v>1174</v>
      </c>
      <c r="R212" s="31" t="s">
        <v>1175</v>
      </c>
      <c r="S212" s="30" t="s">
        <v>1174</v>
      </c>
      <c r="T212" s="30" t="s">
        <v>1174</v>
      </c>
      <c r="U212" s="30" t="s">
        <v>1174</v>
      </c>
      <c r="V212" s="59" t="s">
        <v>1174</v>
      </c>
      <c r="W212" s="7" t="s">
        <v>9</v>
      </c>
      <c r="X212" s="7" t="s">
        <v>16</v>
      </c>
      <c r="Y212" s="11" t="s">
        <v>670</v>
      </c>
    </row>
    <row r="213" spans="1:26">
      <c r="A213" s="100">
        <v>211</v>
      </c>
      <c r="B213" s="93">
        <v>257</v>
      </c>
      <c r="C213" s="47" t="s">
        <v>1990</v>
      </c>
      <c r="D213" s="38">
        <v>0</v>
      </c>
      <c r="E213" s="38">
        <v>0</v>
      </c>
      <c r="F213" s="38">
        <v>0</v>
      </c>
      <c r="G213" s="38">
        <v>0</v>
      </c>
      <c r="H213" s="38">
        <v>1</v>
      </c>
      <c r="I213" s="38">
        <v>1</v>
      </c>
      <c r="J213" s="58">
        <f>SUM(D213:I213)</f>
        <v>2</v>
      </c>
      <c r="K213" s="7" t="s">
        <v>1025</v>
      </c>
      <c r="L213" s="31" t="s">
        <v>1175</v>
      </c>
      <c r="M213" s="30" t="s">
        <v>1174</v>
      </c>
      <c r="N213" s="30" t="s">
        <v>1174</v>
      </c>
      <c r="O213" s="30" t="s">
        <v>1174</v>
      </c>
      <c r="P213" s="30" t="s">
        <v>1174</v>
      </c>
      <c r="Q213" s="30" t="s">
        <v>1174</v>
      </c>
      <c r="R213" s="30" t="s">
        <v>1174</v>
      </c>
      <c r="S213" s="30" t="s">
        <v>1174</v>
      </c>
      <c r="T213" s="30" t="s">
        <v>1174</v>
      </c>
      <c r="U213" s="30" t="s">
        <v>1174</v>
      </c>
      <c r="V213" s="59" t="s">
        <v>1174</v>
      </c>
      <c r="W213" s="7" t="s">
        <v>9</v>
      </c>
      <c r="X213" s="7" t="s">
        <v>16</v>
      </c>
      <c r="Y213" s="11" t="s">
        <v>670</v>
      </c>
    </row>
    <row r="214" spans="1:26">
      <c r="A214" s="100">
        <v>212</v>
      </c>
      <c r="B214" s="93">
        <v>258</v>
      </c>
      <c r="C214" s="47" t="s">
        <v>1991</v>
      </c>
      <c r="D214" s="38">
        <v>0</v>
      </c>
      <c r="E214" s="38">
        <v>0</v>
      </c>
      <c r="F214" s="38">
        <v>1</v>
      </c>
      <c r="G214" s="38">
        <v>1</v>
      </c>
      <c r="H214" s="38">
        <v>0</v>
      </c>
      <c r="I214" s="38">
        <v>1</v>
      </c>
      <c r="J214" s="58">
        <f>SUM(D214:I214)</f>
        <v>3</v>
      </c>
      <c r="K214" s="7" t="s">
        <v>864</v>
      </c>
      <c r="L214" s="30" t="s">
        <v>1174</v>
      </c>
      <c r="M214" s="30" t="s">
        <v>1174</v>
      </c>
      <c r="N214" s="31" t="s">
        <v>1175</v>
      </c>
      <c r="O214" s="31" t="s">
        <v>1175</v>
      </c>
      <c r="P214" s="31" t="s">
        <v>1175</v>
      </c>
      <c r="Q214" s="30" t="s">
        <v>1174</v>
      </c>
      <c r="R214" s="30" t="s">
        <v>1174</v>
      </c>
      <c r="S214" s="30" t="s">
        <v>1174</v>
      </c>
      <c r="T214" s="30" t="s">
        <v>1174</v>
      </c>
      <c r="U214" s="30" t="s">
        <v>1174</v>
      </c>
      <c r="V214" s="59" t="s">
        <v>1174</v>
      </c>
      <c r="W214" s="7" t="s">
        <v>9</v>
      </c>
      <c r="X214" s="7" t="s">
        <v>866</v>
      </c>
      <c r="Y214" s="11" t="s">
        <v>670</v>
      </c>
    </row>
    <row r="215" spans="1:26">
      <c r="A215" s="100">
        <v>213</v>
      </c>
      <c r="B215" s="93">
        <v>259</v>
      </c>
      <c r="C215" s="47" t="s">
        <v>1992</v>
      </c>
      <c r="D215" s="38">
        <v>0</v>
      </c>
      <c r="E215" s="38">
        <v>0</v>
      </c>
      <c r="F215" s="38">
        <v>0</v>
      </c>
      <c r="G215" s="38">
        <v>0</v>
      </c>
      <c r="H215" s="38">
        <v>1</v>
      </c>
      <c r="I215" s="38">
        <v>1</v>
      </c>
      <c r="J215" s="58">
        <f>SUM(D215:I215)</f>
        <v>2</v>
      </c>
      <c r="K215" s="7" t="s">
        <v>1025</v>
      </c>
      <c r="L215" s="30" t="s">
        <v>1174</v>
      </c>
      <c r="M215" s="30" t="s">
        <v>1174</v>
      </c>
      <c r="N215" s="31" t="s">
        <v>1175</v>
      </c>
      <c r="O215" s="30" t="s">
        <v>1174</v>
      </c>
      <c r="P215" s="30" t="s">
        <v>1174</v>
      </c>
      <c r="Q215" s="30" t="s">
        <v>1174</v>
      </c>
      <c r="R215" s="30" t="s">
        <v>1174</v>
      </c>
      <c r="S215" s="30" t="s">
        <v>1174</v>
      </c>
      <c r="T215" s="30" t="s">
        <v>1174</v>
      </c>
      <c r="U215" s="30" t="s">
        <v>1174</v>
      </c>
      <c r="V215" s="59" t="s">
        <v>1174</v>
      </c>
      <c r="W215" s="15" t="s">
        <v>9</v>
      </c>
      <c r="X215" s="7" t="s">
        <v>15</v>
      </c>
      <c r="Y215" s="11" t="s">
        <v>675</v>
      </c>
    </row>
    <row r="216" spans="1:26">
      <c r="A216" s="100">
        <v>214</v>
      </c>
      <c r="B216" s="93">
        <v>260</v>
      </c>
      <c r="C216" s="47" t="s">
        <v>1993</v>
      </c>
      <c r="D216" s="38">
        <v>0</v>
      </c>
      <c r="E216" s="38">
        <v>0</v>
      </c>
      <c r="F216" s="38">
        <v>1</v>
      </c>
      <c r="G216" s="38">
        <v>1</v>
      </c>
      <c r="H216" s="38">
        <v>0</v>
      </c>
      <c r="I216" s="38">
        <v>1</v>
      </c>
      <c r="J216" s="58">
        <f>SUM(D216:I216)</f>
        <v>3</v>
      </c>
      <c r="K216" s="7" t="s">
        <v>869</v>
      </c>
      <c r="L216" s="31" t="s">
        <v>1175</v>
      </c>
      <c r="M216" s="30" t="s">
        <v>1174</v>
      </c>
      <c r="N216" s="30" t="s">
        <v>1174</v>
      </c>
      <c r="O216" s="31" t="s">
        <v>1175</v>
      </c>
      <c r="P216" s="31" t="s">
        <v>1175</v>
      </c>
      <c r="Q216" s="30" t="s">
        <v>1174</v>
      </c>
      <c r="R216" s="30" t="s">
        <v>1174</v>
      </c>
      <c r="S216" s="30" t="s">
        <v>1174</v>
      </c>
      <c r="T216" s="30" t="s">
        <v>1174</v>
      </c>
      <c r="U216" s="30" t="s">
        <v>1174</v>
      </c>
      <c r="V216" s="59" t="s">
        <v>1174</v>
      </c>
      <c r="W216" s="15" t="s">
        <v>9</v>
      </c>
      <c r="X216" s="7" t="s">
        <v>158</v>
      </c>
      <c r="Y216" s="11" t="s">
        <v>670</v>
      </c>
    </row>
    <row r="217" spans="1:26">
      <c r="A217" s="100">
        <v>215</v>
      </c>
      <c r="B217" s="93">
        <v>261</v>
      </c>
      <c r="C217" s="47" t="s">
        <v>1997</v>
      </c>
      <c r="D217" s="38">
        <v>0</v>
      </c>
      <c r="E217" s="38">
        <v>0</v>
      </c>
      <c r="F217" s="38">
        <v>0</v>
      </c>
      <c r="G217" s="38">
        <v>0</v>
      </c>
      <c r="H217" s="38">
        <v>1</v>
      </c>
      <c r="I217" s="38">
        <v>1</v>
      </c>
      <c r="J217" s="58">
        <f>SUM(D217:I217)</f>
        <v>2</v>
      </c>
      <c r="K217" s="7" t="s">
        <v>1025</v>
      </c>
      <c r="L217" s="31" t="s">
        <v>1175</v>
      </c>
      <c r="M217" s="30" t="s">
        <v>1174</v>
      </c>
      <c r="N217" s="30" t="s">
        <v>1174</v>
      </c>
      <c r="O217" s="30" t="s">
        <v>1174</v>
      </c>
      <c r="P217" s="30" t="s">
        <v>1174</v>
      </c>
      <c r="Q217" s="30" t="s">
        <v>1174</v>
      </c>
      <c r="R217" s="30" t="s">
        <v>1174</v>
      </c>
      <c r="S217" s="30" t="s">
        <v>1174</v>
      </c>
      <c r="T217" s="30" t="s">
        <v>1174</v>
      </c>
      <c r="U217" s="30" t="s">
        <v>1174</v>
      </c>
      <c r="V217" s="59" t="s">
        <v>1174</v>
      </c>
      <c r="W217" s="64" t="s">
        <v>1025</v>
      </c>
      <c r="X217" s="7" t="s">
        <v>16</v>
      </c>
      <c r="Y217" s="11" t="s">
        <v>670</v>
      </c>
    </row>
    <row r="218" spans="1:26">
      <c r="A218" s="100">
        <v>216</v>
      </c>
      <c r="B218" s="93">
        <v>262</v>
      </c>
      <c r="C218" s="47" t="s">
        <v>1998</v>
      </c>
      <c r="D218" s="38">
        <v>0</v>
      </c>
      <c r="E218" s="38">
        <v>0</v>
      </c>
      <c r="F218" s="38">
        <v>0</v>
      </c>
      <c r="G218" s="38">
        <v>0</v>
      </c>
      <c r="H218" s="38">
        <v>0</v>
      </c>
      <c r="I218" s="38">
        <v>1</v>
      </c>
      <c r="J218" s="58">
        <f>SUM(D218:I218)</f>
        <v>1</v>
      </c>
      <c r="K218" s="7" t="s">
        <v>1025</v>
      </c>
      <c r="L218" s="31" t="s">
        <v>1175</v>
      </c>
      <c r="M218" s="30" t="s">
        <v>1174</v>
      </c>
      <c r="N218" s="30" t="s">
        <v>1174</v>
      </c>
      <c r="O218" s="31" t="s">
        <v>1175</v>
      </c>
      <c r="P218" s="30" t="s">
        <v>1174</v>
      </c>
      <c r="Q218" s="30" t="s">
        <v>1174</v>
      </c>
      <c r="R218" s="30" t="s">
        <v>1174</v>
      </c>
      <c r="S218" s="30" t="s">
        <v>1174</v>
      </c>
      <c r="T218" s="30" t="s">
        <v>1174</v>
      </c>
      <c r="U218" s="30" t="s">
        <v>1174</v>
      </c>
      <c r="V218" s="59" t="s">
        <v>1174</v>
      </c>
      <c r="W218" s="15" t="s">
        <v>9</v>
      </c>
      <c r="X218" s="7" t="s">
        <v>16</v>
      </c>
      <c r="Y218" s="11" t="s">
        <v>670</v>
      </c>
    </row>
    <row r="219" spans="1:26">
      <c r="A219" s="100">
        <v>217</v>
      </c>
      <c r="B219" s="93">
        <v>263</v>
      </c>
      <c r="C219" s="47" t="s">
        <v>2000</v>
      </c>
      <c r="D219" s="38">
        <v>0</v>
      </c>
      <c r="E219" s="38">
        <v>0</v>
      </c>
      <c r="F219" s="38">
        <v>0</v>
      </c>
      <c r="G219" s="38">
        <v>0</v>
      </c>
      <c r="H219" s="38">
        <v>0</v>
      </c>
      <c r="I219" s="38">
        <v>1</v>
      </c>
      <c r="J219" s="58">
        <f>SUM(D219:I219)</f>
        <v>1</v>
      </c>
      <c r="K219" s="54" t="s">
        <v>890</v>
      </c>
      <c r="L219" s="31" t="s">
        <v>1175</v>
      </c>
      <c r="M219" s="30" t="s">
        <v>1174</v>
      </c>
      <c r="N219" s="31" t="s">
        <v>1175</v>
      </c>
      <c r="O219" s="31" t="s">
        <v>1175</v>
      </c>
      <c r="P219" s="30" t="s">
        <v>1174</v>
      </c>
      <c r="Q219" s="30" t="s">
        <v>1174</v>
      </c>
      <c r="R219" s="30" t="s">
        <v>1174</v>
      </c>
      <c r="S219" s="30" t="s">
        <v>1174</v>
      </c>
      <c r="T219" s="31" t="s">
        <v>1175</v>
      </c>
      <c r="U219" s="30" t="s">
        <v>1174</v>
      </c>
      <c r="V219" s="59" t="s">
        <v>1174</v>
      </c>
      <c r="W219" s="15" t="s">
        <v>9</v>
      </c>
      <c r="X219" s="7" t="s">
        <v>16</v>
      </c>
      <c r="Y219" s="11" t="s">
        <v>670</v>
      </c>
    </row>
    <row r="220" spans="1:26">
      <c r="A220" s="100">
        <v>218</v>
      </c>
      <c r="B220" s="93">
        <v>264</v>
      </c>
      <c r="C220" s="47" t="s">
        <v>2002</v>
      </c>
      <c r="D220" s="38">
        <v>0</v>
      </c>
      <c r="E220" s="38">
        <v>0</v>
      </c>
      <c r="F220" s="38">
        <v>0</v>
      </c>
      <c r="G220" s="38">
        <v>0</v>
      </c>
      <c r="H220" s="38">
        <v>1</v>
      </c>
      <c r="I220" s="38">
        <v>1</v>
      </c>
      <c r="J220" s="58">
        <f>SUM(D220:I220)</f>
        <v>2</v>
      </c>
      <c r="K220" s="7" t="s">
        <v>1025</v>
      </c>
      <c r="L220" s="31" t="s">
        <v>1175</v>
      </c>
      <c r="M220" s="30" t="s">
        <v>1174</v>
      </c>
      <c r="N220" s="30" t="s">
        <v>1174</v>
      </c>
      <c r="O220" s="30" t="s">
        <v>1174</v>
      </c>
      <c r="P220" s="30" t="s">
        <v>1174</v>
      </c>
      <c r="Q220" s="30" t="s">
        <v>1174</v>
      </c>
      <c r="R220" s="30" t="s">
        <v>1174</v>
      </c>
      <c r="S220" s="30" t="s">
        <v>1174</v>
      </c>
      <c r="T220" s="30" t="s">
        <v>1174</v>
      </c>
      <c r="U220" s="30" t="s">
        <v>1174</v>
      </c>
      <c r="V220" s="59" t="s">
        <v>1174</v>
      </c>
      <c r="W220" s="15" t="s">
        <v>9</v>
      </c>
      <c r="X220" s="7" t="s">
        <v>16</v>
      </c>
      <c r="Y220" s="11" t="s">
        <v>670</v>
      </c>
    </row>
    <row r="221" spans="1:26">
      <c r="A221" s="100">
        <v>219</v>
      </c>
      <c r="B221" s="93">
        <v>265</v>
      </c>
      <c r="C221" s="47" t="s">
        <v>2003</v>
      </c>
      <c r="D221" s="38">
        <v>0</v>
      </c>
      <c r="E221" s="38">
        <v>0</v>
      </c>
      <c r="F221" s="38">
        <v>0</v>
      </c>
      <c r="G221" s="38">
        <v>0</v>
      </c>
      <c r="H221" s="38">
        <v>0</v>
      </c>
      <c r="I221" s="38">
        <v>1</v>
      </c>
      <c r="J221" s="58">
        <f>SUM(D221:I221)</f>
        <v>1</v>
      </c>
      <c r="K221" s="7" t="s">
        <v>1025</v>
      </c>
      <c r="L221" s="31" t="s">
        <v>1175</v>
      </c>
      <c r="M221" s="30" t="s">
        <v>1174</v>
      </c>
      <c r="N221" s="30" t="s">
        <v>1174</v>
      </c>
      <c r="O221" s="30" t="s">
        <v>1174</v>
      </c>
      <c r="P221" s="30" t="s">
        <v>1174</v>
      </c>
      <c r="Q221" s="30" t="s">
        <v>1174</v>
      </c>
      <c r="R221" s="30" t="s">
        <v>1174</v>
      </c>
      <c r="S221" s="30" t="s">
        <v>1174</v>
      </c>
      <c r="T221" s="30" t="s">
        <v>1174</v>
      </c>
      <c r="U221" s="30" t="s">
        <v>1174</v>
      </c>
      <c r="V221" s="59" t="s">
        <v>1174</v>
      </c>
      <c r="W221" s="15" t="s">
        <v>9</v>
      </c>
      <c r="X221" s="7" t="s">
        <v>1649</v>
      </c>
      <c r="Y221" s="11" t="s">
        <v>670</v>
      </c>
    </row>
    <row r="222" spans="1:26">
      <c r="A222" s="100">
        <v>220</v>
      </c>
      <c r="B222" s="93">
        <v>266</v>
      </c>
      <c r="C222" s="47" t="s">
        <v>2004</v>
      </c>
      <c r="D222" s="38">
        <v>0</v>
      </c>
      <c r="E222" s="38">
        <v>0</v>
      </c>
      <c r="F222" s="38">
        <v>0</v>
      </c>
      <c r="G222" s="38">
        <v>0</v>
      </c>
      <c r="H222" s="38">
        <v>1</v>
      </c>
      <c r="I222" s="38">
        <v>1</v>
      </c>
      <c r="J222" s="58">
        <f>SUM(D222:I222)</f>
        <v>2</v>
      </c>
      <c r="K222" s="7" t="s">
        <v>1025</v>
      </c>
      <c r="L222" s="31" t="s">
        <v>1175</v>
      </c>
      <c r="M222" s="30" t="s">
        <v>1174</v>
      </c>
      <c r="N222" s="31" t="s">
        <v>1175</v>
      </c>
      <c r="O222" s="30" t="s">
        <v>1174</v>
      </c>
      <c r="P222" s="30" t="s">
        <v>1174</v>
      </c>
      <c r="Q222" s="30" t="s">
        <v>1174</v>
      </c>
      <c r="R222" s="30" t="s">
        <v>1174</v>
      </c>
      <c r="S222" s="30" t="s">
        <v>1174</v>
      </c>
      <c r="T222" s="30" t="s">
        <v>1174</v>
      </c>
      <c r="U222" s="32" t="s">
        <v>1175</v>
      </c>
      <c r="V222" s="61" t="s">
        <v>1650</v>
      </c>
      <c r="W222" s="15" t="s">
        <v>9</v>
      </c>
      <c r="X222" s="7" t="s">
        <v>136</v>
      </c>
      <c r="Y222" s="11" t="s">
        <v>670</v>
      </c>
    </row>
    <row r="223" spans="1:26">
      <c r="A223" s="100">
        <v>221</v>
      </c>
      <c r="B223" s="93">
        <v>267</v>
      </c>
      <c r="C223" s="47" t="s">
        <v>2005</v>
      </c>
      <c r="D223" s="38">
        <v>0</v>
      </c>
      <c r="E223" s="38">
        <v>0</v>
      </c>
      <c r="F223" s="38">
        <v>0</v>
      </c>
      <c r="G223" s="38">
        <v>0</v>
      </c>
      <c r="H223" s="38">
        <v>0</v>
      </c>
      <c r="I223" s="38">
        <v>1</v>
      </c>
      <c r="J223" s="58">
        <f>SUM(D223:I223)</f>
        <v>1</v>
      </c>
      <c r="K223" s="7" t="s">
        <v>1025</v>
      </c>
      <c r="L223" s="30" t="s">
        <v>1174</v>
      </c>
      <c r="M223" s="30" t="s">
        <v>1174</v>
      </c>
      <c r="N223" s="31" t="s">
        <v>1175</v>
      </c>
      <c r="O223" s="30" t="s">
        <v>1174</v>
      </c>
      <c r="P223" s="30" t="s">
        <v>1174</v>
      </c>
      <c r="Q223" s="30" t="s">
        <v>1174</v>
      </c>
      <c r="R223" s="30" t="s">
        <v>1174</v>
      </c>
      <c r="S223" s="30" t="s">
        <v>1174</v>
      </c>
      <c r="T223" s="30" t="s">
        <v>1174</v>
      </c>
      <c r="U223" s="30" t="s">
        <v>1174</v>
      </c>
      <c r="V223" s="59" t="s">
        <v>1174</v>
      </c>
      <c r="W223" s="15" t="s">
        <v>9</v>
      </c>
      <c r="X223" s="7" t="s">
        <v>189</v>
      </c>
      <c r="Y223" s="11" t="s">
        <v>807</v>
      </c>
    </row>
    <row r="224" spans="1:26">
      <c r="A224" s="100">
        <v>222</v>
      </c>
      <c r="B224" s="93">
        <v>268</v>
      </c>
      <c r="C224" s="47" t="s">
        <v>2007</v>
      </c>
      <c r="D224" s="38">
        <v>0</v>
      </c>
      <c r="E224" s="38">
        <v>0</v>
      </c>
      <c r="F224" s="38">
        <v>0</v>
      </c>
      <c r="G224" s="38">
        <v>0</v>
      </c>
      <c r="H224" s="38">
        <v>0</v>
      </c>
      <c r="I224" s="38">
        <v>1</v>
      </c>
      <c r="J224" s="58">
        <f>SUM(D224:I224)</f>
        <v>1</v>
      </c>
      <c r="K224" s="7" t="s">
        <v>1025</v>
      </c>
      <c r="L224" s="31" t="s">
        <v>1175</v>
      </c>
      <c r="M224" s="30" t="s">
        <v>1174</v>
      </c>
      <c r="N224" s="31" t="s">
        <v>1175</v>
      </c>
      <c r="O224" s="30" t="s">
        <v>1174</v>
      </c>
      <c r="P224" s="30" t="s">
        <v>1174</v>
      </c>
      <c r="Q224" s="30" t="s">
        <v>1174</v>
      </c>
      <c r="R224" s="30" t="s">
        <v>1174</v>
      </c>
      <c r="S224" s="30" t="s">
        <v>1174</v>
      </c>
      <c r="T224" s="30" t="s">
        <v>1174</v>
      </c>
      <c r="U224" s="30" t="s">
        <v>1174</v>
      </c>
      <c r="V224" s="59" t="s">
        <v>1174</v>
      </c>
      <c r="W224" s="15" t="s">
        <v>9</v>
      </c>
      <c r="X224" s="7" t="s">
        <v>16</v>
      </c>
      <c r="Y224" s="11" t="s">
        <v>670</v>
      </c>
    </row>
    <row r="225" spans="1:26">
      <c r="A225" s="100">
        <v>223</v>
      </c>
      <c r="B225" s="93">
        <v>269</v>
      </c>
      <c r="C225" s="47" t="s">
        <v>2008</v>
      </c>
      <c r="D225" s="38">
        <v>0</v>
      </c>
      <c r="E225" s="38">
        <v>0</v>
      </c>
      <c r="F225" s="38">
        <v>0</v>
      </c>
      <c r="G225" s="38">
        <v>0</v>
      </c>
      <c r="H225" s="38">
        <v>1</v>
      </c>
      <c r="I225" s="38">
        <v>1</v>
      </c>
      <c r="J225" s="58">
        <f>SUM(D225:I225)</f>
        <v>2</v>
      </c>
      <c r="K225" s="7" t="s">
        <v>1025</v>
      </c>
      <c r="L225" s="31" t="s">
        <v>1175</v>
      </c>
      <c r="M225" s="30" t="s">
        <v>1174</v>
      </c>
      <c r="N225" s="31" t="s">
        <v>1175</v>
      </c>
      <c r="O225" s="30" t="s">
        <v>1174</v>
      </c>
      <c r="P225" s="30" t="s">
        <v>1174</v>
      </c>
      <c r="Q225" s="30" t="s">
        <v>1174</v>
      </c>
      <c r="R225" s="30" t="s">
        <v>1174</v>
      </c>
      <c r="S225" s="30" t="s">
        <v>1174</v>
      </c>
      <c r="T225" s="30" t="s">
        <v>1174</v>
      </c>
      <c r="U225" s="32" t="s">
        <v>1175</v>
      </c>
      <c r="V225" s="61" t="s">
        <v>1653</v>
      </c>
      <c r="W225" s="15" t="s">
        <v>9</v>
      </c>
      <c r="X225" s="7" t="s">
        <v>16</v>
      </c>
      <c r="Y225" s="11" t="s">
        <v>670</v>
      </c>
    </row>
    <row r="226" spans="1:26">
      <c r="A226" s="100">
        <v>224</v>
      </c>
      <c r="B226" s="93">
        <v>270</v>
      </c>
      <c r="C226" s="47" t="s">
        <v>2009</v>
      </c>
      <c r="D226" s="38">
        <v>0</v>
      </c>
      <c r="E226" s="38">
        <v>0</v>
      </c>
      <c r="F226" s="38">
        <v>0</v>
      </c>
      <c r="G226" s="38">
        <v>0</v>
      </c>
      <c r="H226" s="38">
        <v>1</v>
      </c>
      <c r="I226" s="38">
        <v>1</v>
      </c>
      <c r="J226" s="58">
        <f>SUM(D226:I226)</f>
        <v>2</v>
      </c>
      <c r="K226" s="7" t="s">
        <v>1025</v>
      </c>
      <c r="L226" s="31" t="s">
        <v>1175</v>
      </c>
      <c r="M226" s="30" t="s">
        <v>1174</v>
      </c>
      <c r="N226" s="30" t="s">
        <v>1174</v>
      </c>
      <c r="O226" s="30" t="s">
        <v>1174</v>
      </c>
      <c r="P226" s="30" t="s">
        <v>1174</v>
      </c>
      <c r="Q226" s="30" t="s">
        <v>1174</v>
      </c>
      <c r="R226" s="30" t="s">
        <v>1174</v>
      </c>
      <c r="S226" s="30" t="s">
        <v>1174</v>
      </c>
      <c r="T226" s="30" t="s">
        <v>1174</v>
      </c>
      <c r="U226" s="30" t="s">
        <v>1174</v>
      </c>
      <c r="V226" s="59" t="s">
        <v>1174</v>
      </c>
      <c r="W226" s="29" t="s">
        <v>9</v>
      </c>
      <c r="X226" s="7" t="s">
        <v>722</v>
      </c>
      <c r="Y226" s="11" t="s">
        <v>670</v>
      </c>
      <c r="Z226" s="5"/>
    </row>
    <row r="227" spans="1:26">
      <c r="A227" s="100">
        <v>225</v>
      </c>
      <c r="B227" s="93">
        <v>271</v>
      </c>
      <c r="C227" s="47" t="s">
        <v>2010</v>
      </c>
      <c r="D227" s="38">
        <v>0</v>
      </c>
      <c r="E227" s="38">
        <v>0</v>
      </c>
      <c r="F227" s="38">
        <v>0</v>
      </c>
      <c r="G227" s="38">
        <v>0</v>
      </c>
      <c r="H227" s="38">
        <v>1</v>
      </c>
      <c r="I227" s="38">
        <v>1</v>
      </c>
      <c r="J227" s="58">
        <f>SUM(D227:I227)</f>
        <v>2</v>
      </c>
      <c r="K227" s="7" t="s">
        <v>1025</v>
      </c>
      <c r="L227" s="31" t="s">
        <v>1175</v>
      </c>
      <c r="M227" s="30" t="s">
        <v>1174</v>
      </c>
      <c r="N227" s="30" t="s">
        <v>1174</v>
      </c>
      <c r="O227" s="30" t="s">
        <v>1174</v>
      </c>
      <c r="P227" s="30" t="s">
        <v>1174</v>
      </c>
      <c r="Q227" s="30" t="s">
        <v>1174</v>
      </c>
      <c r="R227" s="30" t="s">
        <v>1174</v>
      </c>
      <c r="S227" s="30" t="s">
        <v>1174</v>
      </c>
      <c r="T227" s="30" t="s">
        <v>1174</v>
      </c>
      <c r="U227" s="30" t="s">
        <v>1174</v>
      </c>
      <c r="V227" s="59" t="s">
        <v>1174</v>
      </c>
      <c r="W227" s="15" t="s">
        <v>9</v>
      </c>
      <c r="X227" s="7" t="s">
        <v>16</v>
      </c>
      <c r="Y227" s="45" t="s">
        <v>670</v>
      </c>
    </row>
    <row r="228" spans="1:26">
      <c r="A228" s="100">
        <v>226</v>
      </c>
      <c r="B228" s="93">
        <v>272</v>
      </c>
      <c r="C228" s="47" t="s">
        <v>1355</v>
      </c>
      <c r="D228" s="38">
        <v>0</v>
      </c>
      <c r="E228" s="38">
        <v>0</v>
      </c>
      <c r="F228" s="38">
        <v>0</v>
      </c>
      <c r="G228" s="38">
        <v>0</v>
      </c>
      <c r="H228" s="38">
        <v>1</v>
      </c>
      <c r="I228" s="38">
        <v>1</v>
      </c>
      <c r="J228" s="58">
        <f>SUM(D228:I228)</f>
        <v>2</v>
      </c>
      <c r="K228" s="7" t="s">
        <v>1025</v>
      </c>
      <c r="L228" s="38" t="s">
        <v>1175</v>
      </c>
      <c r="M228" s="39" t="s">
        <v>1174</v>
      </c>
      <c r="N228" s="39" t="s">
        <v>1174</v>
      </c>
      <c r="O228" s="38" t="s">
        <v>1175</v>
      </c>
      <c r="P228" s="39" t="s">
        <v>1174</v>
      </c>
      <c r="Q228" s="39" t="s">
        <v>1174</v>
      </c>
      <c r="R228" s="39" t="s">
        <v>1174</v>
      </c>
      <c r="S228" s="39" t="s">
        <v>1174</v>
      </c>
      <c r="T228" s="39" t="s">
        <v>1174</v>
      </c>
      <c r="U228" s="39" t="s">
        <v>1174</v>
      </c>
      <c r="V228" s="59" t="s">
        <v>1174</v>
      </c>
      <c r="W228" s="29" t="s">
        <v>9</v>
      </c>
      <c r="X228" s="7" t="s">
        <v>136</v>
      </c>
      <c r="Y228" s="11" t="s">
        <v>675</v>
      </c>
      <c r="Z228" s="5"/>
    </row>
    <row r="229" spans="1:26">
      <c r="A229" s="100">
        <v>227</v>
      </c>
      <c r="B229" s="93">
        <v>273</v>
      </c>
      <c r="C229" s="47" t="s">
        <v>2011</v>
      </c>
      <c r="D229" s="38">
        <v>0</v>
      </c>
      <c r="E229" s="38">
        <v>0</v>
      </c>
      <c r="F229" s="38">
        <v>0</v>
      </c>
      <c r="G229" s="38">
        <v>0</v>
      </c>
      <c r="H229" s="38">
        <v>1</v>
      </c>
      <c r="I229" s="38">
        <v>1</v>
      </c>
      <c r="J229" s="58">
        <f>SUM(D229:I229)</f>
        <v>2</v>
      </c>
      <c r="K229" s="7" t="s">
        <v>1025</v>
      </c>
      <c r="L229" s="31" t="s">
        <v>1175</v>
      </c>
      <c r="M229" s="30" t="s">
        <v>1174</v>
      </c>
      <c r="N229" s="30" t="s">
        <v>1174</v>
      </c>
      <c r="O229" s="30" t="s">
        <v>1174</v>
      </c>
      <c r="P229" s="30" t="s">
        <v>1174</v>
      </c>
      <c r="Q229" s="30" t="s">
        <v>1174</v>
      </c>
      <c r="R229" s="30" t="s">
        <v>1174</v>
      </c>
      <c r="S229" s="30" t="s">
        <v>1174</v>
      </c>
      <c r="T229" s="30" t="s">
        <v>1174</v>
      </c>
      <c r="U229" s="30" t="s">
        <v>1174</v>
      </c>
      <c r="V229" s="59" t="s">
        <v>1174</v>
      </c>
      <c r="W229" s="29" t="s">
        <v>9</v>
      </c>
      <c r="X229" s="7" t="s">
        <v>136</v>
      </c>
      <c r="Y229" s="9" t="s">
        <v>670</v>
      </c>
    </row>
    <row r="230" spans="1:26">
      <c r="A230" s="100">
        <v>228</v>
      </c>
      <c r="B230" s="93">
        <v>274</v>
      </c>
      <c r="C230" s="47" t="s">
        <v>2012</v>
      </c>
      <c r="D230" s="38">
        <v>0</v>
      </c>
      <c r="E230" s="38">
        <v>0</v>
      </c>
      <c r="F230" s="38">
        <v>0</v>
      </c>
      <c r="G230" s="38">
        <v>0</v>
      </c>
      <c r="H230" s="38">
        <v>0</v>
      </c>
      <c r="I230" s="38">
        <v>1</v>
      </c>
      <c r="J230" s="58">
        <f>SUM(D230:I230)</f>
        <v>1</v>
      </c>
      <c r="K230" s="7" t="s">
        <v>1025</v>
      </c>
      <c r="L230" s="31" t="s">
        <v>1175</v>
      </c>
      <c r="M230" s="30" t="s">
        <v>1174</v>
      </c>
      <c r="N230" s="30" t="s">
        <v>1174</v>
      </c>
      <c r="O230" s="30" t="s">
        <v>1174</v>
      </c>
      <c r="P230" s="30" t="s">
        <v>1174</v>
      </c>
      <c r="Q230" s="30" t="s">
        <v>1174</v>
      </c>
      <c r="R230" s="30" t="s">
        <v>1174</v>
      </c>
      <c r="S230" s="30" t="s">
        <v>1174</v>
      </c>
      <c r="T230" s="30" t="s">
        <v>1174</v>
      </c>
      <c r="U230" s="32" t="s">
        <v>1175</v>
      </c>
      <c r="V230" s="61" t="s">
        <v>1660</v>
      </c>
      <c r="W230" s="29" t="s">
        <v>929</v>
      </c>
      <c r="X230" s="7" t="s">
        <v>16</v>
      </c>
      <c r="Y230" s="9" t="s">
        <v>670</v>
      </c>
    </row>
    <row r="231" spans="1:26">
      <c r="A231" s="100">
        <v>229</v>
      </c>
      <c r="B231" s="93">
        <v>275</v>
      </c>
      <c r="C231" s="47" t="s">
        <v>2013</v>
      </c>
      <c r="D231" s="38">
        <v>0</v>
      </c>
      <c r="E231" s="38">
        <v>0</v>
      </c>
      <c r="F231" s="38">
        <v>1</v>
      </c>
      <c r="G231" s="38">
        <v>0</v>
      </c>
      <c r="H231" s="38">
        <v>1</v>
      </c>
      <c r="I231" s="38">
        <v>1</v>
      </c>
      <c r="J231" s="58">
        <f>SUM(D231:I231)</f>
        <v>3</v>
      </c>
      <c r="K231" s="7" t="s">
        <v>930</v>
      </c>
      <c r="L231" s="30" t="s">
        <v>1174</v>
      </c>
      <c r="M231" s="30" t="s">
        <v>1174</v>
      </c>
      <c r="N231" s="31" t="s">
        <v>1175</v>
      </c>
      <c r="O231" s="30" t="s">
        <v>1174</v>
      </c>
      <c r="P231" s="30" t="s">
        <v>1174</v>
      </c>
      <c r="Q231" s="30" t="s">
        <v>1174</v>
      </c>
      <c r="R231" s="31" t="s">
        <v>1175</v>
      </c>
      <c r="S231" s="30" t="s">
        <v>1174</v>
      </c>
      <c r="T231" s="30" t="s">
        <v>1174</v>
      </c>
      <c r="U231" s="30" t="s">
        <v>1174</v>
      </c>
      <c r="V231" s="59" t="s">
        <v>1174</v>
      </c>
      <c r="W231" s="29" t="s">
        <v>929</v>
      </c>
      <c r="X231" s="7" t="s">
        <v>213</v>
      </c>
      <c r="Y231" s="9" t="s">
        <v>675</v>
      </c>
    </row>
    <row r="232" spans="1:26">
      <c r="A232" s="100">
        <v>230</v>
      </c>
      <c r="B232" s="93">
        <v>276</v>
      </c>
      <c r="C232" s="47" t="s">
        <v>2015</v>
      </c>
      <c r="D232" s="38">
        <v>0</v>
      </c>
      <c r="E232" s="38">
        <v>0</v>
      </c>
      <c r="F232" s="38">
        <v>0</v>
      </c>
      <c r="G232" s="38">
        <v>0</v>
      </c>
      <c r="H232" s="38">
        <v>0</v>
      </c>
      <c r="I232" s="38">
        <v>1</v>
      </c>
      <c r="J232" s="58">
        <f>SUM(D232:I232)</f>
        <v>1</v>
      </c>
      <c r="K232" s="7" t="s">
        <v>1025</v>
      </c>
      <c r="L232" s="31" t="s">
        <v>1175</v>
      </c>
      <c r="M232" s="30" t="s">
        <v>1174</v>
      </c>
      <c r="N232" s="31" t="s">
        <v>1175</v>
      </c>
      <c r="O232" s="30" t="s">
        <v>1174</v>
      </c>
      <c r="P232" s="30" t="s">
        <v>1174</v>
      </c>
      <c r="Q232" s="30" t="s">
        <v>1174</v>
      </c>
      <c r="R232" s="30" t="s">
        <v>1174</v>
      </c>
      <c r="S232" s="30" t="s">
        <v>1174</v>
      </c>
      <c r="T232" s="30" t="s">
        <v>1174</v>
      </c>
      <c r="U232" s="30" t="s">
        <v>1174</v>
      </c>
      <c r="V232" s="59" t="s">
        <v>1174</v>
      </c>
      <c r="W232" s="29" t="s">
        <v>929</v>
      </c>
      <c r="X232" s="7" t="s">
        <v>16</v>
      </c>
      <c r="Y232" s="9" t="s">
        <v>670</v>
      </c>
    </row>
    <row r="233" spans="1:26">
      <c r="A233" s="100">
        <v>231</v>
      </c>
      <c r="B233" s="93">
        <v>277</v>
      </c>
      <c r="C233" s="47" t="s">
        <v>2016</v>
      </c>
      <c r="D233" s="38">
        <v>0</v>
      </c>
      <c r="E233" s="38">
        <v>0</v>
      </c>
      <c r="F233" s="38">
        <v>1</v>
      </c>
      <c r="G233" s="38">
        <v>1</v>
      </c>
      <c r="H233" s="38">
        <v>1</v>
      </c>
      <c r="I233" s="38">
        <v>1</v>
      </c>
      <c r="J233" s="58">
        <f>SUM(D233:I233)</f>
        <v>4</v>
      </c>
      <c r="K233" s="29" t="s">
        <v>941</v>
      </c>
      <c r="L233" s="30" t="s">
        <v>1174</v>
      </c>
      <c r="M233" s="30" t="s">
        <v>1174</v>
      </c>
      <c r="N233" s="31" t="s">
        <v>1175</v>
      </c>
      <c r="O233" s="30" t="s">
        <v>1174</v>
      </c>
      <c r="P233" s="31" t="s">
        <v>1175</v>
      </c>
      <c r="Q233" s="30" t="s">
        <v>1174</v>
      </c>
      <c r="R233" s="30" t="s">
        <v>1174</v>
      </c>
      <c r="S233" s="30" t="s">
        <v>1174</v>
      </c>
      <c r="T233" s="30" t="s">
        <v>1174</v>
      </c>
      <c r="U233" s="32" t="s">
        <v>1175</v>
      </c>
      <c r="V233" s="61" t="s">
        <v>1663</v>
      </c>
      <c r="W233" s="29" t="s">
        <v>9</v>
      </c>
      <c r="X233" s="7" t="s">
        <v>1662</v>
      </c>
      <c r="Y233" s="9" t="s">
        <v>675</v>
      </c>
    </row>
    <row r="234" spans="1:26">
      <c r="A234" s="100">
        <v>232</v>
      </c>
      <c r="B234" s="93">
        <v>278</v>
      </c>
      <c r="C234" s="47" t="s">
        <v>2017</v>
      </c>
      <c r="D234" s="38">
        <v>0</v>
      </c>
      <c r="E234" s="38">
        <v>0</v>
      </c>
      <c r="F234" s="38">
        <v>1</v>
      </c>
      <c r="G234" s="38">
        <v>0</v>
      </c>
      <c r="H234" s="38">
        <v>0</v>
      </c>
      <c r="I234" s="38">
        <v>1</v>
      </c>
      <c r="J234" s="58">
        <f>SUM(D234:I234)</f>
        <v>2</v>
      </c>
      <c r="K234" s="7" t="s">
        <v>781</v>
      </c>
      <c r="L234" s="30" t="s">
        <v>1174</v>
      </c>
      <c r="M234" s="30" t="s">
        <v>1174</v>
      </c>
      <c r="N234" s="31" t="s">
        <v>1175</v>
      </c>
      <c r="O234" s="30" t="s">
        <v>1174</v>
      </c>
      <c r="P234" s="30" t="s">
        <v>1174</v>
      </c>
      <c r="Q234" s="30" t="s">
        <v>1174</v>
      </c>
      <c r="R234" s="31" t="s">
        <v>1175</v>
      </c>
      <c r="S234" s="30" t="s">
        <v>1174</v>
      </c>
      <c r="T234" s="30" t="s">
        <v>1174</v>
      </c>
      <c r="U234" s="30" t="s">
        <v>1174</v>
      </c>
      <c r="V234" s="59" t="s">
        <v>1174</v>
      </c>
      <c r="W234" s="29" t="s">
        <v>9</v>
      </c>
      <c r="X234" s="7" t="s">
        <v>16</v>
      </c>
      <c r="Y234" s="9" t="s">
        <v>807</v>
      </c>
    </row>
    <row r="235" spans="1:26">
      <c r="A235" s="100">
        <v>233</v>
      </c>
      <c r="B235" s="93">
        <v>279</v>
      </c>
      <c r="C235" s="47" t="s">
        <v>2018</v>
      </c>
      <c r="D235" s="38">
        <v>0</v>
      </c>
      <c r="E235" s="38">
        <v>0</v>
      </c>
      <c r="F235" s="38">
        <v>0</v>
      </c>
      <c r="G235" s="38">
        <v>0</v>
      </c>
      <c r="H235" s="38">
        <v>0</v>
      </c>
      <c r="I235" s="38">
        <v>1</v>
      </c>
      <c r="J235" s="58">
        <f>SUM(D235:I235)</f>
        <v>1</v>
      </c>
      <c r="K235" s="7" t="s">
        <v>1025</v>
      </c>
      <c r="L235" s="30" t="s">
        <v>1174</v>
      </c>
      <c r="M235" s="30" t="s">
        <v>1174</v>
      </c>
      <c r="N235" s="31" t="s">
        <v>1175</v>
      </c>
      <c r="O235" s="30" t="s">
        <v>1174</v>
      </c>
      <c r="P235" s="30" t="s">
        <v>1174</v>
      </c>
      <c r="Q235" s="30" t="s">
        <v>1174</v>
      </c>
      <c r="R235" s="30" t="s">
        <v>1174</v>
      </c>
      <c r="S235" s="30" t="s">
        <v>1174</v>
      </c>
      <c r="T235" s="30" t="s">
        <v>1174</v>
      </c>
      <c r="U235" s="30" t="s">
        <v>1174</v>
      </c>
      <c r="V235" s="59" t="s">
        <v>1174</v>
      </c>
      <c r="W235" s="29" t="s">
        <v>9</v>
      </c>
      <c r="X235" s="7" t="s">
        <v>16</v>
      </c>
      <c r="Y235" s="9" t="s">
        <v>670</v>
      </c>
    </row>
    <row r="236" spans="1:26">
      <c r="A236" s="100">
        <v>234</v>
      </c>
      <c r="B236" s="93">
        <v>280</v>
      </c>
      <c r="C236" s="47" t="s">
        <v>2019</v>
      </c>
      <c r="D236" s="38">
        <v>0</v>
      </c>
      <c r="E236" s="38">
        <v>0</v>
      </c>
      <c r="F236" s="38">
        <v>0</v>
      </c>
      <c r="G236" s="38">
        <v>0</v>
      </c>
      <c r="H236" s="38">
        <v>1</v>
      </c>
      <c r="I236" s="38">
        <v>1</v>
      </c>
      <c r="J236" s="58">
        <f>SUM(D236:I236)</f>
        <v>2</v>
      </c>
      <c r="K236" s="27" t="s">
        <v>948</v>
      </c>
      <c r="L236" s="31" t="s">
        <v>1175</v>
      </c>
      <c r="M236" s="30" t="s">
        <v>1174</v>
      </c>
      <c r="N236" s="30" t="s">
        <v>1174</v>
      </c>
      <c r="O236" s="31" t="s">
        <v>1175</v>
      </c>
      <c r="P236" s="30" t="s">
        <v>1174</v>
      </c>
      <c r="Q236" s="30" t="s">
        <v>1174</v>
      </c>
      <c r="R236" s="30" t="s">
        <v>1174</v>
      </c>
      <c r="S236" s="30" t="s">
        <v>1174</v>
      </c>
      <c r="T236" s="30" t="s">
        <v>1174</v>
      </c>
      <c r="U236" s="30" t="s">
        <v>1174</v>
      </c>
      <c r="V236" s="59" t="s">
        <v>1174</v>
      </c>
      <c r="W236" s="29" t="s">
        <v>9</v>
      </c>
      <c r="X236" s="7" t="s">
        <v>136</v>
      </c>
      <c r="Y236" s="9" t="s">
        <v>670</v>
      </c>
    </row>
    <row r="237" spans="1:26">
      <c r="A237" s="100">
        <v>235</v>
      </c>
      <c r="B237" s="93">
        <v>281</v>
      </c>
      <c r="C237" s="47" t="s">
        <v>2020</v>
      </c>
      <c r="D237" s="38">
        <v>0</v>
      </c>
      <c r="E237" s="38">
        <v>0</v>
      </c>
      <c r="F237" s="38">
        <v>0</v>
      </c>
      <c r="G237" s="38">
        <v>0</v>
      </c>
      <c r="H237" s="38">
        <v>1</v>
      </c>
      <c r="I237" s="38">
        <v>1</v>
      </c>
      <c r="J237" s="58">
        <f>SUM(D237:I237)</f>
        <v>2</v>
      </c>
      <c r="K237" s="7" t="s">
        <v>1025</v>
      </c>
      <c r="L237" s="31" t="s">
        <v>1175</v>
      </c>
      <c r="M237" s="30" t="s">
        <v>1174</v>
      </c>
      <c r="N237" s="30" t="s">
        <v>1174</v>
      </c>
      <c r="O237" s="30" t="s">
        <v>1174</v>
      </c>
      <c r="P237" s="30" t="s">
        <v>1174</v>
      </c>
      <c r="Q237" s="30" t="s">
        <v>1174</v>
      </c>
      <c r="R237" s="30" t="s">
        <v>1174</v>
      </c>
      <c r="S237" s="30" t="s">
        <v>1174</v>
      </c>
      <c r="T237" s="30" t="s">
        <v>1174</v>
      </c>
      <c r="U237" s="32" t="s">
        <v>1175</v>
      </c>
      <c r="V237" s="61" t="s">
        <v>1666</v>
      </c>
      <c r="W237" s="29" t="s">
        <v>9</v>
      </c>
      <c r="X237" s="7" t="s">
        <v>16</v>
      </c>
      <c r="Y237" s="9" t="s">
        <v>670</v>
      </c>
    </row>
    <row r="238" spans="1:26">
      <c r="A238" s="100">
        <v>236</v>
      </c>
      <c r="B238" s="93">
        <v>282</v>
      </c>
      <c r="C238" s="47" t="s">
        <v>2021</v>
      </c>
      <c r="D238" s="38">
        <v>0</v>
      </c>
      <c r="E238" s="38">
        <v>0</v>
      </c>
      <c r="F238" s="38">
        <v>0</v>
      </c>
      <c r="G238" s="38">
        <v>0</v>
      </c>
      <c r="H238" s="38">
        <v>1</v>
      </c>
      <c r="I238" s="38">
        <v>1</v>
      </c>
      <c r="J238" s="58">
        <f>SUM(D238:I238)</f>
        <v>2</v>
      </c>
      <c r="K238" s="7" t="s">
        <v>1025</v>
      </c>
      <c r="L238" s="31" t="s">
        <v>1175</v>
      </c>
      <c r="M238" s="30" t="s">
        <v>1174</v>
      </c>
      <c r="N238" s="30" t="s">
        <v>1174</v>
      </c>
      <c r="O238" s="30" t="s">
        <v>1174</v>
      </c>
      <c r="P238" s="30" t="s">
        <v>1174</v>
      </c>
      <c r="Q238" s="30" t="s">
        <v>1174</v>
      </c>
      <c r="R238" s="30" t="s">
        <v>1174</v>
      </c>
      <c r="S238" s="30" t="s">
        <v>1174</v>
      </c>
      <c r="T238" s="30" t="s">
        <v>1174</v>
      </c>
      <c r="U238" s="32" t="s">
        <v>1175</v>
      </c>
      <c r="V238" s="61" t="s">
        <v>1669</v>
      </c>
      <c r="W238" s="29" t="s">
        <v>9</v>
      </c>
      <c r="X238" s="7" t="s">
        <v>16</v>
      </c>
      <c r="Y238" s="9" t="s">
        <v>670</v>
      </c>
    </row>
    <row r="239" spans="1:26">
      <c r="A239" s="100">
        <v>237</v>
      </c>
      <c r="B239" s="93">
        <v>283</v>
      </c>
      <c r="C239" s="47" t="s">
        <v>2022</v>
      </c>
      <c r="D239" s="38">
        <v>0</v>
      </c>
      <c r="E239" s="38">
        <v>0</v>
      </c>
      <c r="F239" s="38">
        <v>0</v>
      </c>
      <c r="G239" s="38">
        <v>0</v>
      </c>
      <c r="H239" s="38">
        <v>1</v>
      </c>
      <c r="I239" s="38">
        <v>1</v>
      </c>
      <c r="J239" s="58">
        <f>SUM(D239:I239)</f>
        <v>2</v>
      </c>
      <c r="K239" s="7" t="s">
        <v>1025</v>
      </c>
      <c r="L239" s="31" t="s">
        <v>1175</v>
      </c>
      <c r="M239" s="30" t="s">
        <v>1174</v>
      </c>
      <c r="N239" s="30" t="s">
        <v>1174</v>
      </c>
      <c r="O239" s="30" t="s">
        <v>1174</v>
      </c>
      <c r="P239" s="30" t="s">
        <v>1174</v>
      </c>
      <c r="Q239" s="30" t="s">
        <v>1174</v>
      </c>
      <c r="R239" s="30" t="s">
        <v>1174</v>
      </c>
      <c r="S239" s="30" t="s">
        <v>1174</v>
      </c>
      <c r="T239" s="30" t="s">
        <v>1174</v>
      </c>
      <c r="U239" s="30" t="s">
        <v>1174</v>
      </c>
      <c r="V239" s="59" t="s">
        <v>1174</v>
      </c>
      <c r="W239" s="7" t="s">
        <v>1025</v>
      </c>
      <c r="X239" s="7" t="s">
        <v>16</v>
      </c>
      <c r="Y239" s="9" t="s">
        <v>957</v>
      </c>
    </row>
    <row r="240" spans="1:26">
      <c r="A240" s="100">
        <v>238</v>
      </c>
      <c r="B240" s="93">
        <v>284</v>
      </c>
      <c r="C240" s="47" t="s">
        <v>2023</v>
      </c>
      <c r="D240" s="38">
        <v>0</v>
      </c>
      <c r="E240" s="38">
        <v>0</v>
      </c>
      <c r="F240" s="38">
        <v>0</v>
      </c>
      <c r="G240" s="38">
        <v>0</v>
      </c>
      <c r="H240" s="38">
        <v>1</v>
      </c>
      <c r="I240" s="38">
        <v>1</v>
      </c>
      <c r="J240" s="58">
        <f>SUM(D240:I240)</f>
        <v>2</v>
      </c>
      <c r="K240" s="7" t="s">
        <v>1025</v>
      </c>
      <c r="L240" s="38" t="s">
        <v>1175</v>
      </c>
      <c r="M240" s="39" t="s">
        <v>1174</v>
      </c>
      <c r="N240" s="39" t="s">
        <v>1174</v>
      </c>
      <c r="O240" s="39" t="s">
        <v>1174</v>
      </c>
      <c r="P240" s="39" t="s">
        <v>1174</v>
      </c>
      <c r="Q240" s="39" t="s">
        <v>1174</v>
      </c>
      <c r="R240" s="39" t="s">
        <v>1174</v>
      </c>
      <c r="S240" s="39" t="s">
        <v>1174</v>
      </c>
      <c r="T240" s="39" t="s">
        <v>1174</v>
      </c>
      <c r="U240" s="39" t="s">
        <v>1174</v>
      </c>
      <c r="V240" s="59" t="s">
        <v>1174</v>
      </c>
      <c r="W240" s="29" t="s">
        <v>929</v>
      </c>
      <c r="X240" s="7" t="s">
        <v>12</v>
      </c>
      <c r="Y240" s="11" t="s">
        <v>670</v>
      </c>
      <c r="Z240" s="5"/>
    </row>
    <row r="241" spans="1:25">
      <c r="A241" s="100">
        <v>239</v>
      </c>
      <c r="B241" s="93">
        <v>285</v>
      </c>
      <c r="C241" s="47" t="s">
        <v>2024</v>
      </c>
      <c r="D241" s="38">
        <v>0</v>
      </c>
      <c r="E241" s="38">
        <v>0</v>
      </c>
      <c r="F241" s="38">
        <v>1</v>
      </c>
      <c r="G241" s="38">
        <v>0</v>
      </c>
      <c r="H241" s="38">
        <v>1</v>
      </c>
      <c r="I241" s="38">
        <v>1</v>
      </c>
      <c r="J241" s="58">
        <f>SUM(D241:I241)</f>
        <v>3</v>
      </c>
      <c r="K241" s="29" t="s">
        <v>966</v>
      </c>
      <c r="L241" s="30" t="s">
        <v>1174</v>
      </c>
      <c r="M241" s="30" t="s">
        <v>1174</v>
      </c>
      <c r="N241" s="31" t="s">
        <v>1175</v>
      </c>
      <c r="O241" s="30" t="s">
        <v>1174</v>
      </c>
      <c r="P241" s="30" t="s">
        <v>1174</v>
      </c>
      <c r="Q241" s="30" t="s">
        <v>1174</v>
      </c>
      <c r="R241" s="30" t="s">
        <v>1174</v>
      </c>
      <c r="S241" s="30" t="s">
        <v>1174</v>
      </c>
      <c r="T241" s="30" t="s">
        <v>1174</v>
      </c>
      <c r="U241" s="30" t="s">
        <v>1174</v>
      </c>
      <c r="V241" s="59" t="s">
        <v>1174</v>
      </c>
      <c r="W241" s="29" t="s">
        <v>9</v>
      </c>
      <c r="X241" s="7" t="s">
        <v>16</v>
      </c>
      <c r="Y241" s="9" t="s">
        <v>675</v>
      </c>
    </row>
    <row r="242" spans="1:25">
      <c r="A242" s="100">
        <v>240</v>
      </c>
      <c r="B242" s="93">
        <v>286</v>
      </c>
      <c r="C242" s="47" t="s">
        <v>2210</v>
      </c>
      <c r="D242" s="38">
        <v>0</v>
      </c>
      <c r="E242" s="38">
        <v>0</v>
      </c>
      <c r="F242" s="38">
        <v>0</v>
      </c>
      <c r="G242" s="38">
        <v>0</v>
      </c>
      <c r="H242" s="38">
        <v>1</v>
      </c>
      <c r="I242" s="38">
        <v>1</v>
      </c>
      <c r="J242" s="58">
        <f>SUM(D242:I242)</f>
        <v>2</v>
      </c>
      <c r="K242" s="7" t="s">
        <v>1025</v>
      </c>
      <c r="L242" s="30" t="s">
        <v>1174</v>
      </c>
      <c r="M242" s="30" t="s">
        <v>1174</v>
      </c>
      <c r="N242" s="31" t="s">
        <v>1175</v>
      </c>
      <c r="O242" s="30" t="s">
        <v>1174</v>
      </c>
      <c r="P242" s="30" t="s">
        <v>1174</v>
      </c>
      <c r="Q242" s="30" t="s">
        <v>1174</v>
      </c>
      <c r="R242" s="30" t="s">
        <v>1174</v>
      </c>
      <c r="S242" s="30" t="s">
        <v>1174</v>
      </c>
      <c r="T242" s="30" t="s">
        <v>1174</v>
      </c>
      <c r="U242" s="30" t="s">
        <v>1174</v>
      </c>
      <c r="V242" s="59" t="s">
        <v>1174</v>
      </c>
      <c r="W242" s="7" t="s">
        <v>9</v>
      </c>
      <c r="X242" s="7" t="s">
        <v>16</v>
      </c>
      <c r="Y242" s="11" t="s">
        <v>675</v>
      </c>
    </row>
  </sheetData>
  <sortState ref="B2:Z248">
    <sortCondition ref="B1"/>
  </sortState>
  <mergeCells count="15">
    <mergeCell ref="U1:U2"/>
    <mergeCell ref="A1:A2"/>
    <mergeCell ref="Y1:Y2"/>
    <mergeCell ref="B1:B2"/>
    <mergeCell ref="D1:E1"/>
    <mergeCell ref="F1:G1"/>
    <mergeCell ref="H1:I1"/>
    <mergeCell ref="J1:J2"/>
    <mergeCell ref="C1:C2"/>
    <mergeCell ref="V1:V2"/>
    <mergeCell ref="K1:K2"/>
    <mergeCell ref="X1:X2"/>
    <mergeCell ref="W1:W2"/>
    <mergeCell ref="L1:O1"/>
    <mergeCell ref="P1:T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election activeCell="X1" sqref="A1:X2"/>
    </sheetView>
  </sheetViews>
  <sheetFormatPr defaultRowHeight="15"/>
  <sheetData>
    <row r="1" spans="1:24" s="33" customFormat="1" ht="18" customHeight="1">
      <c r="A1" s="77" t="s">
        <v>0</v>
      </c>
      <c r="B1" s="83" t="s">
        <v>1</v>
      </c>
      <c r="C1" s="79" t="s">
        <v>2</v>
      </c>
      <c r="D1" s="79"/>
      <c r="E1" s="80" t="s">
        <v>3</v>
      </c>
      <c r="F1" s="80"/>
      <c r="G1" s="81" t="s">
        <v>4</v>
      </c>
      <c r="H1" s="81"/>
      <c r="I1" s="82" t="s">
        <v>2172</v>
      </c>
      <c r="J1" s="86" t="s">
        <v>715</v>
      </c>
      <c r="K1" s="78" t="s">
        <v>6</v>
      </c>
      <c r="L1" s="78"/>
      <c r="M1" s="78"/>
      <c r="N1" s="78"/>
      <c r="O1" s="84" t="s">
        <v>3</v>
      </c>
      <c r="P1" s="84"/>
      <c r="Q1" s="84"/>
      <c r="R1" s="84"/>
      <c r="S1" s="84"/>
      <c r="T1" s="85" t="s">
        <v>354</v>
      </c>
      <c r="U1" s="88" t="s">
        <v>1339</v>
      </c>
      <c r="V1" s="87" t="s">
        <v>1218</v>
      </c>
      <c r="W1" s="76" t="s">
        <v>355</v>
      </c>
      <c r="X1" s="75"/>
    </row>
    <row r="2" spans="1:24" ht="16.5" customHeight="1">
      <c r="A2" s="77"/>
      <c r="B2" s="83"/>
      <c r="C2" s="18">
        <v>1</v>
      </c>
      <c r="D2" s="18">
        <v>2</v>
      </c>
      <c r="E2" s="19">
        <v>3</v>
      </c>
      <c r="F2" s="19">
        <v>4</v>
      </c>
      <c r="G2" s="20">
        <v>5</v>
      </c>
      <c r="H2" s="20">
        <v>6</v>
      </c>
      <c r="I2" s="82"/>
      <c r="J2" s="86"/>
      <c r="K2" s="21" t="s">
        <v>348</v>
      </c>
      <c r="L2" s="22" t="s">
        <v>349</v>
      </c>
      <c r="M2" s="25" t="s">
        <v>417</v>
      </c>
      <c r="N2" s="22" t="s">
        <v>350</v>
      </c>
      <c r="O2" s="23" t="s">
        <v>351</v>
      </c>
      <c r="P2" s="24" t="s">
        <v>362</v>
      </c>
      <c r="Q2" s="24" t="s">
        <v>626</v>
      </c>
      <c r="R2" s="23" t="s">
        <v>352</v>
      </c>
      <c r="S2" s="24" t="s">
        <v>353</v>
      </c>
      <c r="T2" s="85"/>
      <c r="U2" s="88"/>
      <c r="V2" s="87"/>
      <c r="W2" s="76"/>
      <c r="X2" s="75"/>
    </row>
  </sheetData>
  <mergeCells count="14">
    <mergeCell ref="W1:W2"/>
    <mergeCell ref="X1:X2"/>
    <mergeCell ref="J1:J2"/>
    <mergeCell ref="K1:N1"/>
    <mergeCell ref="O1:S1"/>
    <mergeCell ref="T1:T2"/>
    <mergeCell ref="U1:U2"/>
    <mergeCell ref="V1:V2"/>
    <mergeCell ref="A1:A2"/>
    <mergeCell ref="B1:B2"/>
    <mergeCell ref="C1:D1"/>
    <mergeCell ref="E1:F1"/>
    <mergeCell ref="G1:H1"/>
    <mergeCell ref="I1: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vt:lpstr>
      <vt:lpstr>Criteria</vt:lpstr>
      <vt:lpstr>Sheet1</vt:lpstr>
      <vt:lpstr>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Shirin.T</dc:creator>
  <cp:lastModifiedBy>ST</cp:lastModifiedBy>
  <cp:lastPrinted>2019-06-25T13:40:32Z</cp:lastPrinted>
  <dcterms:created xsi:type="dcterms:W3CDTF">2015-10-21T15:15:47Z</dcterms:created>
  <dcterms:modified xsi:type="dcterms:W3CDTF">2021-02-19T13:15:28Z</dcterms:modified>
</cp:coreProperties>
</file>