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alues" sheetId="1" r:id="rId3"/>
  </sheets>
  <definedNames/>
  <calcPr/>
</workbook>
</file>

<file path=xl/sharedStrings.xml><?xml version="1.0" encoding="utf-8"?>
<sst xmlns="http://schemas.openxmlformats.org/spreadsheetml/2006/main" count="513" uniqueCount="513">
  <si>
    <t>ID</t>
  </si>
  <si>
    <t>Name</t>
  </si>
  <si>
    <t>Parameter</t>
  </si>
  <si>
    <t>Language</t>
  </si>
  <si>
    <t>Frequency</t>
  </si>
  <si>
    <t>Confidence</t>
  </si>
  <si>
    <t>References</t>
  </si>
  <si>
    <t>30A-abk</t>
  </si>
  <si>
    <t>Hewitt 1979</t>
  </si>
  <si>
    <t>30A-aco</t>
  </si>
  <si>
    <t>Maring 1967;Miller 1965</t>
  </si>
  <si>
    <t>30A-ain</t>
  </si>
  <si>
    <t>Refsing 1986</t>
  </si>
  <si>
    <t>30A-agw</t>
  </si>
  <si>
    <t>Mous n.d.</t>
  </si>
  <si>
    <t>30A-ala</t>
  </si>
  <si>
    <t>Bruce 1984</t>
  </si>
  <si>
    <t>30A-ale</t>
  </si>
  <si>
    <t>Bergsland 1997</t>
  </si>
  <si>
    <t>30A-ame</t>
  </si>
  <si>
    <t>Roberts 1987</t>
  </si>
  <si>
    <t>30A-amh</t>
  </si>
  <si>
    <t>Leslau 1995</t>
  </si>
  <si>
    <t>30A-apu</t>
  </si>
  <si>
    <t>Facundes 2000</t>
  </si>
  <si>
    <t>30A-abn</t>
  </si>
  <si>
    <t>Hercus 1994</t>
  </si>
  <si>
    <t>30A-aeg</t>
  </si>
  <si>
    <t>Mitchell 1956</t>
  </si>
  <si>
    <t>30A-arg</t>
  </si>
  <si>
    <t>Holes 1990</t>
  </si>
  <si>
    <t>30A-asy</t>
  </si>
  <si>
    <t>Cowell 1964</t>
  </si>
  <si>
    <t>30A-arp</t>
  </si>
  <si>
    <t>Dobrin 1998;Fortune 1942;Conrad and Wogiga 1991;Fraser and Corbett 1997;Aronoff 1994</t>
  </si>
  <si>
    <t>30A-abo</t>
  </si>
  <si>
    <t>Hayward 1984</t>
  </si>
  <si>
    <t>30A-arc</t>
  </si>
  <si>
    <t>Kibrik et al. 1977;Corbett 1991</t>
  </si>
  <si>
    <t>30A-arm</t>
  </si>
  <si>
    <t>Garibjan and Garibjan 1970</t>
  </si>
  <si>
    <t>30A-asm</t>
  </si>
  <si>
    <t>Voorhoeve 1965</t>
  </si>
  <si>
    <t>30A-awp</t>
  </si>
  <si>
    <t>Curnow 1997</t>
  </si>
  <si>
    <t>30A-bab</t>
  </si>
  <si>
    <t>Schaub 1985</t>
  </si>
  <si>
    <t>30A-bag</t>
  </si>
  <si>
    <t>Stevenson 1969</t>
  </si>
  <si>
    <t>30A-brs</t>
  </si>
  <si>
    <t>Jones and Jones 1991</t>
  </si>
  <si>
    <t>30A-bsq</t>
  </si>
  <si>
    <t>Trask 1995</t>
  </si>
  <si>
    <t>30A-bkr</t>
  </si>
  <si>
    <t>Woollams 1996</t>
  </si>
  <si>
    <t>30A-baw</t>
  </si>
  <si>
    <t>Reichle 1981</t>
  </si>
  <si>
    <t>30A-bys</t>
  </si>
  <si>
    <t>Corbett and Hayward 1987</t>
  </si>
  <si>
    <t>30A-bej</t>
  </si>
  <si>
    <t>Hudson 1974</t>
  </si>
  <si>
    <t>30A-bma</t>
  </si>
  <si>
    <t>Penchoen 1973b</t>
  </si>
  <si>
    <t>30A-bbw</t>
  </si>
  <si>
    <t>Evans et al. 2002;Evans 1997</t>
  </si>
  <si>
    <t>30A-brh</t>
  </si>
  <si>
    <t>Andronov 1980</t>
  </si>
  <si>
    <t>30A-brm</t>
  </si>
  <si>
    <t>Okell 1969</t>
  </si>
  <si>
    <t>30A-bur</t>
  </si>
  <si>
    <t>Lorimer 1935;Berger 1998</t>
  </si>
  <si>
    <t>30A-cah</t>
  </si>
  <si>
    <t>Seiler 1977</t>
  </si>
  <si>
    <t>30A-cax</t>
  </si>
  <si>
    <t>Payne 1981</t>
  </si>
  <si>
    <t>30A-ckr</t>
  </si>
  <si>
    <t>Popjes and Popjes 1986</t>
  </si>
  <si>
    <t>30A-cnt</t>
  </si>
  <si>
    <t>Matthews and Yip 1994</t>
  </si>
  <si>
    <t>30A-car</t>
  </si>
  <si>
    <t>Hoff 1968</t>
  </si>
  <si>
    <t>30A-cyv</t>
  </si>
  <si>
    <t>Key 1967</t>
  </si>
  <si>
    <t>30A-cha</t>
  </si>
  <si>
    <t>Topping 1973</t>
  </si>
  <si>
    <t>30A-cic</t>
  </si>
  <si>
    <t>Corbett and Mtenje 1987</t>
  </si>
  <si>
    <t>30A-chi</t>
  </si>
  <si>
    <t>Dixon 1910</t>
  </si>
  <si>
    <t>30A-cle</t>
  </si>
  <si>
    <t>Rupp 1989</t>
  </si>
  <si>
    <t>30A-chk</t>
  </si>
  <si>
    <t>Dunn 1999</t>
  </si>
  <si>
    <t>30A-chv</t>
  </si>
  <si>
    <t>Clark 1998a</t>
  </si>
  <si>
    <t>30A-ccp</t>
  </si>
  <si>
    <t>Crawford 1966</t>
  </si>
  <si>
    <t>30A-cmn</t>
  </si>
  <si>
    <t>Charney 1993</t>
  </si>
  <si>
    <t>30A-coo</t>
  </si>
  <si>
    <t>Frachtenberg 1922a</t>
  </si>
  <si>
    <t>30A-cre</t>
  </si>
  <si>
    <t>Wolfart 1973</t>
  </si>
  <si>
    <t>30A-dag</t>
  </si>
  <si>
    <t>Murane 1974</t>
  </si>
  <si>
    <t>30A-dni</t>
  </si>
  <si>
    <t>Bromley 1981</t>
  </si>
  <si>
    <t>30A-def</t>
  </si>
  <si>
    <t>Jenewari 1983</t>
  </si>
  <si>
    <t>30A-dio</t>
  </si>
  <si>
    <t>Sapir 1965</t>
  </si>
  <si>
    <t>30A-diy</t>
  </si>
  <si>
    <t>Austin 1981</t>
  </si>
  <si>
    <t>30A-diz</t>
  </si>
  <si>
    <t>Allan 1976b</t>
  </si>
  <si>
    <t>30A-djr</t>
  </si>
  <si>
    <t>Tsunoda 1981</t>
  </si>
  <si>
    <t>30A-don</t>
  </si>
  <si>
    <t>Long and Zheng 1998</t>
  </si>
  <si>
    <t>30A-dyi</t>
  </si>
  <si>
    <t>Dixon 1972</t>
  </si>
  <si>
    <t>30A-eng</t>
  </si>
  <si>
    <t>30A-epe</t>
  </si>
  <si>
    <t>Harms 1994</t>
  </si>
  <si>
    <t>30A-err</t>
  </si>
  <si>
    <t>Crowley 1998a</t>
  </si>
  <si>
    <t>30A-eve</t>
  </si>
  <si>
    <t>Nedjalkov 1997</t>
  </si>
  <si>
    <t>30A-ewe</t>
  </si>
  <si>
    <t>Westermann 1930</t>
  </si>
  <si>
    <t>30A-fij</t>
  </si>
  <si>
    <t>Dixon 1988</t>
  </si>
  <si>
    <t>30A-fin</t>
  </si>
  <si>
    <t>Karlsson 1999</t>
  </si>
  <si>
    <t>30A-fre</t>
  </si>
  <si>
    <t>30A-fgu</t>
  </si>
  <si>
    <t>Koval´ 1979</t>
  </si>
  <si>
    <t>30A-gae</t>
  </si>
  <si>
    <t>MacAulay 1992b</t>
  </si>
  <si>
    <t>30A-geo</t>
  </si>
  <si>
    <t>Hewitt 1995</t>
  </si>
  <si>
    <t>30A-ger</t>
  </si>
  <si>
    <t>30A-gdi</t>
  </si>
  <si>
    <t>Marchese 1988</t>
  </si>
  <si>
    <t>30A-god</t>
  </si>
  <si>
    <t>Kibrik 1996</t>
  </si>
  <si>
    <t>30A-goo</t>
  </si>
  <si>
    <t>McGregor 1990</t>
  </si>
  <si>
    <t>30A-grb</t>
  </si>
  <si>
    <t>Innes 1966;Marchese 1988;Corbett 1991</t>
  </si>
  <si>
    <t>30A-grk</t>
  </si>
  <si>
    <t>Mackridge 1985</t>
  </si>
  <si>
    <t>30A-grw</t>
  </si>
  <si>
    <t>Fortescue 1984</t>
  </si>
  <si>
    <t>30A-gua</t>
  </si>
  <si>
    <t>Gregores and Suarez 1967</t>
  </si>
  <si>
    <t>30A-guu</t>
  </si>
  <si>
    <t>Haviland 1979</t>
  </si>
  <si>
    <t>30A-hai</t>
  </si>
  <si>
    <t>Levine 1977</t>
  </si>
  <si>
    <t>30A-hat</t>
  </si>
  <si>
    <t>Reesink 1999</t>
  </si>
  <si>
    <t>30A-hau</t>
  </si>
  <si>
    <t>Newman 1979;Newman 2000</t>
  </si>
  <si>
    <t>30A-haw</t>
  </si>
  <si>
    <t>Elbert and Pukui 1979</t>
  </si>
  <si>
    <t>30A-hay</t>
  </si>
  <si>
    <t>Michailovsky 1988</t>
  </si>
  <si>
    <t>30A-heb</t>
  </si>
  <si>
    <t>Glinert 1994</t>
  </si>
  <si>
    <t>30A-hin</t>
  </si>
  <si>
    <t>McGregor 1995</t>
  </si>
  <si>
    <t>30A-hix</t>
  </si>
  <si>
    <t>Derbyshire 1979</t>
  </si>
  <si>
    <t>30A-hmo</t>
  </si>
  <si>
    <t>Harriehausen 1990</t>
  </si>
  <si>
    <t>30A-hun</t>
  </si>
  <si>
    <t>30A-hzb</t>
  </si>
  <si>
    <t>van den Berg 1995</t>
  </si>
  <si>
    <t>30A-iaa</t>
  </si>
  <si>
    <t>Ozanne-Rivierre 1976</t>
  </si>
  <si>
    <t>30A-ice</t>
  </si>
  <si>
    <t>Jonsson 1927</t>
  </si>
  <si>
    <t>30A-igb</t>
  </si>
  <si>
    <t>Green and Igwe 1963</t>
  </si>
  <si>
    <t>30A-ika</t>
  </si>
  <si>
    <t>Frank 1990</t>
  </si>
  <si>
    <t>30A-imo</t>
  </si>
  <si>
    <t>Seiler 1985</t>
  </si>
  <si>
    <t>30A-ind</t>
  </si>
  <si>
    <t>Sneddon 1996</t>
  </si>
  <si>
    <t>30A-ing</t>
  </si>
  <si>
    <t>Nichols 1994b</t>
  </si>
  <si>
    <t>30A-irq</t>
  </si>
  <si>
    <t>Banti 1997;Mous 1993;Tucker and Bryan 1966</t>
  </si>
  <si>
    <t>30A-ite</t>
  </si>
  <si>
    <t>Georg and Volodin 1999</t>
  </si>
  <si>
    <t>30A-jaq</t>
  </si>
  <si>
    <t>Hardman 2000</t>
  </si>
  <si>
    <t>30A-juh</t>
  </si>
  <si>
    <t>Dickens n.d.;Güldemann 2000</t>
  </si>
  <si>
    <t>30A-kam</t>
  </si>
  <si>
    <t>Klamer 1998</t>
  </si>
  <si>
    <t>30A-knd</t>
  </si>
  <si>
    <t>Sridhar 1990</t>
  </si>
  <si>
    <t>30A-knr</t>
  </si>
  <si>
    <t>Hutchison 1981</t>
  </si>
  <si>
    <t>30A-krk</t>
  </si>
  <si>
    <t>Bright 1957</t>
  </si>
  <si>
    <t>30A-kas</t>
  </si>
  <si>
    <t>Wali and Koul 1997</t>
  </si>
  <si>
    <t>30A-kay</t>
  </si>
  <si>
    <t>Evans 1995</t>
  </si>
  <si>
    <t>30A-ket</t>
  </si>
  <si>
    <t>Krejnovich 1968a;Krejnovich 1968b;Krejnovich 1961;Corbett 1991</t>
  </si>
  <si>
    <t>30A-kew</t>
  </si>
  <si>
    <t>Franklin 1971</t>
  </si>
  <si>
    <t>30A-khk</t>
  </si>
  <si>
    <t>Anderson 1998</t>
  </si>
  <si>
    <t>30A-khl</t>
  </si>
  <si>
    <t>Doerfer 1988</t>
  </si>
  <si>
    <t>30A-kha</t>
  </si>
  <si>
    <t>Orlovskaja 1961</t>
  </si>
  <si>
    <t>30A-khs</t>
  </si>
  <si>
    <t>Rabel-Heymann 1977</t>
  </si>
  <si>
    <t>30A-khm</t>
  </si>
  <si>
    <t>Jacob 1968;Gorgoniev 1966</t>
  </si>
  <si>
    <t>30A-kmu</t>
  </si>
  <si>
    <t>Premsrirat 1987;Smalley 1961</t>
  </si>
  <si>
    <t>30A-kho</t>
  </si>
  <si>
    <t>Hagman 1977</t>
  </si>
  <si>
    <t>30A-klv</t>
  </si>
  <si>
    <t>Senft 1986</t>
  </si>
  <si>
    <t>30A-kgz</t>
  </si>
  <si>
    <t>Hebert and Poppe 1963</t>
  </si>
  <si>
    <t>30A-kis</t>
  </si>
  <si>
    <t>Childs 1995</t>
  </si>
  <si>
    <t>30A-koa</t>
  </si>
  <si>
    <t>Kimball 1991</t>
  </si>
  <si>
    <t>30A-kob</t>
  </si>
  <si>
    <t>Davies 1981a</t>
  </si>
  <si>
    <t>30A-kol</t>
  </si>
  <si>
    <t>Emeneau 1955</t>
  </si>
  <si>
    <t>30A-kon</t>
  </si>
  <si>
    <t>Carter and Makoondekwa 1987</t>
  </si>
  <si>
    <t>30A-kfe</t>
  </si>
  <si>
    <t>Rennison 1997</t>
  </si>
  <si>
    <t>30A-kse</t>
  </si>
  <si>
    <t>Heath 1999a</t>
  </si>
  <si>
    <t>30A-kut</t>
  </si>
  <si>
    <t>Boas 1927</t>
  </si>
  <si>
    <t>30A-lad</t>
  </si>
  <si>
    <t>Koshal 1979</t>
  </si>
  <si>
    <t>30A-lah</t>
  </si>
  <si>
    <t>Matisoff 1973</t>
  </si>
  <si>
    <t>30A-lak</t>
  </si>
  <si>
    <t>Corbett 1991;Zhirkov 1955;Xajdakov 1980a;Xajdakov 1963;Murkelinskij 1967</t>
  </si>
  <si>
    <t>30A-lan</t>
  </si>
  <si>
    <t>Noonan 1992</t>
  </si>
  <si>
    <t>30A-lat</t>
  </si>
  <si>
    <t>Mathiassen 1997</t>
  </si>
  <si>
    <t>30A-lav</t>
  </si>
  <si>
    <t>Terrill 1999</t>
  </si>
  <si>
    <t>30A-lel</t>
  </si>
  <si>
    <t>Frajzyngier 2001</t>
  </si>
  <si>
    <t>30A-lep</t>
  </si>
  <si>
    <t>Mainwaring 1876</t>
  </si>
  <si>
    <t>30A-lez</t>
  </si>
  <si>
    <t>Haspelmath 1993</t>
  </si>
  <si>
    <t>30A-lin</t>
  </si>
  <si>
    <t>Toporova 1973</t>
  </si>
  <si>
    <t>30A-luv</t>
  </si>
  <si>
    <t>Horton 1949</t>
  </si>
  <si>
    <t>30A-mac</t>
  </si>
  <si>
    <t>Abbott 1991</t>
  </si>
  <si>
    <t>30A-mak</t>
  </si>
  <si>
    <t>30A-mal</t>
  </si>
  <si>
    <t>30A-mlt</t>
  </si>
  <si>
    <t>Borg and Azzopardi-Alexander 1997</t>
  </si>
  <si>
    <t>30A-mnd</t>
  </si>
  <si>
    <t>Li and Thompson 1981</t>
  </si>
  <si>
    <t>30A-myi</t>
  </si>
  <si>
    <t>Merlan 1982</t>
  </si>
  <si>
    <t>30A-mns</t>
  </si>
  <si>
    <t>Honti 1988</t>
  </si>
  <si>
    <t>30A-mao</t>
  </si>
  <si>
    <t>Bauer 1993</t>
  </si>
  <si>
    <t>30A-map</t>
  </si>
  <si>
    <t>Smeets 1989</t>
  </si>
  <si>
    <t>30A-mhi</t>
  </si>
  <si>
    <t>Pandharipande 1997</t>
  </si>
  <si>
    <t>30A-mny</t>
  </si>
  <si>
    <t>Breen 1981a</t>
  </si>
  <si>
    <t>30A-mar</t>
  </si>
  <si>
    <t>Gordon 1986</t>
  </si>
  <si>
    <t>30A-mrd</t>
  </si>
  <si>
    <t>Drabbe 1955</t>
  </si>
  <si>
    <t>30A-mrt</t>
  </si>
  <si>
    <t>Dench 1995</t>
  </si>
  <si>
    <t>30A-mau</t>
  </si>
  <si>
    <t>Capell and Hinch 1970;Evans 2000</t>
  </si>
  <si>
    <t>30A-may</t>
  </si>
  <si>
    <t>Dol 1999</t>
  </si>
  <si>
    <t>30A-mei</t>
  </si>
  <si>
    <t>Chelliah 1997</t>
  </si>
  <si>
    <t>30A-mss</t>
  </si>
  <si>
    <t>Broadbent 1964</t>
  </si>
  <si>
    <t>30A-mxc</t>
  </si>
  <si>
    <t>Macaulay 1996</t>
  </si>
  <si>
    <t>30A-miy</t>
  </si>
  <si>
    <t>Schuh 1998</t>
  </si>
  <si>
    <t>30A-mok</t>
  </si>
  <si>
    <t>Harrison and Albert 1976</t>
  </si>
  <si>
    <t>30A-mos</t>
  </si>
  <si>
    <t>Sakel 2002b</t>
  </si>
  <si>
    <t>30A-mun</t>
  </si>
  <si>
    <t>Bhattacharya 1976;Osada 1992</t>
  </si>
  <si>
    <t>30A-mrl</t>
  </si>
  <si>
    <t>Arensen 1982</t>
  </si>
  <si>
    <t>30A-nht</t>
  </si>
  <si>
    <t>Tuggy 1979</t>
  </si>
  <si>
    <t>30A-ndy</t>
  </si>
  <si>
    <t>Huttar and Huttar 1994</t>
  </si>
  <si>
    <t>30A-nen</t>
  </si>
  <si>
    <t>Salminen 1998</t>
  </si>
  <si>
    <t>30A-nez</t>
  </si>
  <si>
    <t>Aoki 1970</t>
  </si>
  <si>
    <t>30A-ngg</t>
  </si>
  <si>
    <t>Reid 1997</t>
  </si>
  <si>
    <t>30A-ngi</t>
  </si>
  <si>
    <t>Donaldson 1980</t>
  </si>
  <si>
    <t>30A-nca</t>
  </si>
  <si>
    <t>Braine 1970</t>
  </si>
  <si>
    <t>30A-niv</t>
  </si>
  <si>
    <t>30A-nko</t>
  </si>
  <si>
    <t>Taylor 1985</t>
  </si>
  <si>
    <t>30A-nbd</t>
  </si>
  <si>
    <t>Armbruster 1960</t>
  </si>
  <si>
    <t>30A-nug</t>
  </si>
  <si>
    <t>Heath 1984</t>
  </si>
  <si>
    <t>30A-nym</t>
  </si>
  <si>
    <t>Maganga and Schadeberg 1992</t>
  </si>
  <si>
    <t>30A-nyh</t>
  </si>
  <si>
    <t>Busse 1960</t>
  </si>
  <si>
    <t>30A-oji</t>
  </si>
  <si>
    <t>Black-Rogers 1982;Corbett 1991;Bloomfield 1957</t>
  </si>
  <si>
    <t>30A-ond</t>
  </si>
  <si>
    <t>Abbott 1984</t>
  </si>
  <si>
    <t>30A-ork</t>
  </si>
  <si>
    <t>Petrova 1967</t>
  </si>
  <si>
    <t>30A-orh</t>
  </si>
  <si>
    <t>Owens 1985</t>
  </si>
  <si>
    <t>30A-otm</t>
  </si>
  <si>
    <t>Hess 1968</t>
  </si>
  <si>
    <t>30A-pai</t>
  </si>
  <si>
    <t>Egli 1990</t>
  </si>
  <si>
    <t>30A-pal</t>
  </si>
  <si>
    <t>Josephs 1975</t>
  </si>
  <si>
    <t>30A-pan</t>
  </si>
  <si>
    <t>Bhatia 1993</t>
  </si>
  <si>
    <t>30A-psh</t>
  </si>
  <si>
    <t>Penzl 1955</t>
  </si>
  <si>
    <t>30A-psm</t>
  </si>
  <si>
    <t>Sherwood 1986</t>
  </si>
  <si>
    <t>30A-pau</t>
  </si>
  <si>
    <t>Chapman and Derbyshire 1991</t>
  </si>
  <si>
    <t>30A-prs</t>
  </si>
  <si>
    <t>Lambton 1974</t>
  </si>
  <si>
    <t>30A-pil</t>
  </si>
  <si>
    <t>Næss 2000</t>
  </si>
  <si>
    <t>30A-pip</t>
  </si>
  <si>
    <t>Campbell 1985</t>
  </si>
  <si>
    <t>30A-prh</t>
  </si>
  <si>
    <t>Everett 1986</t>
  </si>
  <si>
    <t>30A-pit</t>
  </si>
  <si>
    <t>Bowe 1990</t>
  </si>
  <si>
    <t>30A-ppi</t>
  </si>
  <si>
    <t>Blake 1979c</t>
  </si>
  <si>
    <t>30A-pmc</t>
  </si>
  <si>
    <t>Mithun 1990</t>
  </si>
  <si>
    <t>30A-qaf</t>
  </si>
  <si>
    <t>Parker and Hayward 1985;Corbett 1991</t>
  </si>
  <si>
    <t>30A-qim</t>
  </si>
  <si>
    <t>Cole 1982</t>
  </si>
  <si>
    <t>30A-ram</t>
  </si>
  <si>
    <t>Grinevald 1988</t>
  </si>
  <si>
    <t>30A-rap</t>
  </si>
  <si>
    <t>Du Feu 1996</t>
  </si>
  <si>
    <t>30A-ren</t>
  </si>
  <si>
    <t>Oomen 1981;Pillinger 1989</t>
  </si>
  <si>
    <t>30A-ret</t>
  </si>
  <si>
    <t>Strom 1992</t>
  </si>
  <si>
    <t>30A-rus</t>
  </si>
  <si>
    <t>Fraser and Corbett 1995;Corbett 1991</t>
  </si>
  <si>
    <t>30A-smt</t>
  </si>
  <si>
    <t>Rigsby and Rude 1996</t>
  </si>
  <si>
    <t>30A-san</t>
  </si>
  <si>
    <t>Samarin 1967b</t>
  </si>
  <si>
    <t>30A-saw</t>
  </si>
  <si>
    <t>Walker 1982</t>
  </si>
  <si>
    <t>30A-sml</t>
  </si>
  <si>
    <t>Kruspe 1999</t>
  </si>
  <si>
    <t>30A-snc</t>
  </si>
  <si>
    <t>Chafe 1996</t>
  </si>
  <si>
    <t>30A-snt</t>
  </si>
  <si>
    <t>Cowan 1965</t>
  </si>
  <si>
    <t>30A-shk</t>
  </si>
  <si>
    <t>Valenzuela 1997</t>
  </si>
  <si>
    <t>30A-shn</t>
  </si>
  <si>
    <t>Fortune 1955;Brauner 1995</t>
  </si>
  <si>
    <t>30A-srn</t>
  </si>
  <si>
    <t>Firestone 1965</t>
  </si>
  <si>
    <t>30A-spa</t>
  </si>
  <si>
    <t>30A-sue</t>
  </si>
  <si>
    <t>Wilson 1974</t>
  </si>
  <si>
    <t>30A-sup</t>
  </si>
  <si>
    <t>Carlson 1994</t>
  </si>
  <si>
    <t>30A-swa</t>
  </si>
  <si>
    <t>Corbett 1991;Wald 1975;Gregersen 1967</t>
  </si>
  <si>
    <t>30A-tab</t>
  </si>
  <si>
    <t>Bowden 1997a</t>
  </si>
  <si>
    <t>30A-tag</t>
  </si>
  <si>
    <t>Schachter and Otanes 1972</t>
  </si>
  <si>
    <t>30A-tap</t>
  </si>
  <si>
    <t>Kulick and Stroud 1992</t>
  </si>
  <si>
    <t>30A-tml</t>
  </si>
  <si>
    <t>Asher 1985</t>
  </si>
  <si>
    <t>30A-tha</t>
  </si>
  <si>
    <t>Campbell and Shaweevongse 1962</t>
  </si>
  <si>
    <t>30A-tho</t>
  </si>
  <si>
    <t>Thompson et al. 1996</t>
  </si>
  <si>
    <t>30A-tib</t>
  </si>
  <si>
    <t>Denwood 1999</t>
  </si>
  <si>
    <t>30A-tid</t>
  </si>
  <si>
    <t>van Staden 2000</t>
  </si>
  <si>
    <t>30A-tgr</t>
  </si>
  <si>
    <t>Raz 1997</t>
  </si>
  <si>
    <t>30A-tiw</t>
  </si>
  <si>
    <t>Osborne 1974</t>
  </si>
  <si>
    <t>30A-tol</t>
  </si>
  <si>
    <t>Holt 1999a</t>
  </si>
  <si>
    <t>30A-tot</t>
  </si>
  <si>
    <t>MacKay 1991</t>
  </si>
  <si>
    <t>30A-tsz</t>
  </si>
  <si>
    <t>Comrie and Polinsky 1999</t>
  </si>
  <si>
    <t>30A-tsi</t>
  </si>
  <si>
    <t>Dunn 1995</t>
  </si>
  <si>
    <t>30A-tuk</t>
  </si>
  <si>
    <t>Donohue 1999a</t>
  </si>
  <si>
    <t>30A-tsh</t>
  </si>
  <si>
    <t>Dayley 1989a</t>
  </si>
  <si>
    <t>30A-tun</t>
  </si>
  <si>
    <t>Haas 1940</t>
  </si>
  <si>
    <t>30A-tur</t>
  </si>
  <si>
    <t>Kornfilt 1997</t>
  </si>
  <si>
    <t>30A-tvl</t>
  </si>
  <si>
    <t>Besnier 2000</t>
  </si>
  <si>
    <t>30A-ukr</t>
  </si>
  <si>
    <t>Shevelov 1993</t>
  </si>
  <si>
    <t>30A-una</t>
  </si>
  <si>
    <t>Louwerse 1988</t>
  </si>
  <si>
    <t>30A-uhi</t>
  </si>
  <si>
    <t>Crowley 1983</t>
  </si>
  <si>
    <t>30A-urk</t>
  </si>
  <si>
    <t>Kakumasu 1986</t>
  </si>
  <si>
    <t>30A-usa</t>
  </si>
  <si>
    <t>Reesink 1987</t>
  </si>
  <si>
    <t>30A-uzb</t>
  </si>
  <si>
    <t>Sjoberg 1963</t>
  </si>
  <si>
    <t>30A-vie</t>
  </si>
  <si>
    <t>Thompson 1965</t>
  </si>
  <si>
    <t>30A-wam</t>
  </si>
  <si>
    <t>Nordlinger 1998</t>
  </si>
  <si>
    <t>30A-wra</t>
  </si>
  <si>
    <t>Romero-Figueroa 1997</t>
  </si>
  <si>
    <t>30A-wrd</t>
  </si>
  <si>
    <t>Merlan 1994</t>
  </si>
  <si>
    <t>30A-war</t>
  </si>
  <si>
    <t>Everett and Kern 1997</t>
  </si>
  <si>
    <t>30A-wat</t>
  </si>
  <si>
    <t>Douglas 1981</t>
  </si>
  <si>
    <t>30A-wic</t>
  </si>
  <si>
    <t>Rood 1976</t>
  </si>
  <si>
    <t>30A-ykt</t>
  </si>
  <si>
    <t>Stachowski and Menz 1998</t>
  </si>
  <si>
    <t>30A-yaq</t>
  </si>
  <si>
    <t>Lindenfeld 1973</t>
  </si>
  <si>
    <t>30A-yaz</t>
  </si>
  <si>
    <t>Efimov 1975;Payne 1989b</t>
  </si>
  <si>
    <t>30A-yel</t>
  </si>
  <si>
    <t>Henderson 1995</t>
  </si>
  <si>
    <t>30A-yid</t>
  </si>
  <si>
    <t>Dixon 1977a</t>
  </si>
  <si>
    <t>30A-yim</t>
  </si>
  <si>
    <t>Foley 1991</t>
  </si>
  <si>
    <t>30A-yor</t>
  </si>
  <si>
    <t>Ogunbowale 1970</t>
  </si>
  <si>
    <t>30A-yko</t>
  </si>
  <si>
    <t>Maslova 1999</t>
  </si>
  <si>
    <t>30A-ylb</t>
  </si>
  <si>
    <t>Burridge 1996</t>
  </si>
  <si>
    <t>30A-ypk</t>
  </si>
  <si>
    <t>Jacobson 1995</t>
  </si>
  <si>
    <t>30A-yur</t>
  </si>
  <si>
    <t>Robins 1958</t>
  </si>
  <si>
    <t>30A-zan</t>
  </si>
  <si>
    <t>Claudi 1985;Corbett 1991</t>
  </si>
  <si>
    <t>30A-zqc</t>
  </si>
  <si>
    <t>Harrison et al. 1981</t>
  </si>
  <si>
    <t>30A-zul</t>
  </si>
  <si>
    <t>Ziervogel et al. 1981</t>
  </si>
  <si>
    <t>30A-zun</t>
  </si>
  <si>
    <t>Newman 1965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</si>
</sst>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Arial"/>
    </font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1" t="s">
        <v>7</v>
      </c>
      <c r="B2" s="2" t="str">
        <f>HYPERLINK("https://wals.info/values/30A-abk","Three")</f>
        <v>Three</v>
      </c>
      <c r="C2" s="2" t="str">
        <f t="shared" ref="C2:C258" si="1">HYPERLINK("https://wals.info/feature/30A","Number of Genders")</f>
        <v>Number of Genders</v>
      </c>
      <c r="D2" s="2" t="str">
        <f>HYPERLINK("https://wals.info/languoid/lect/wals_code_abk","Abkhaz")</f>
        <v>Abkhaz</v>
      </c>
      <c r="E2" s="1"/>
      <c r="F2" s="1"/>
      <c r="G2" s="1" t="s">
        <v>8</v>
      </c>
    </row>
    <row r="3" ht="12.75" customHeight="1">
      <c r="A3" s="1" t="s">
        <v>9</v>
      </c>
      <c r="B3" s="2" t="str">
        <f>HYPERLINK("https://wals.info/values/30A-aco","None")</f>
        <v>None</v>
      </c>
      <c r="C3" s="2" t="str">
        <f t="shared" si="1"/>
        <v>Number of Genders</v>
      </c>
      <c r="D3" s="2" t="str">
        <f>HYPERLINK("https://wals.info/languoid/lect/wals_code_aco","Acoma")</f>
        <v>Acoma</v>
      </c>
      <c r="E3" s="1"/>
      <c r="F3" s="1"/>
      <c r="G3" s="1" t="s">
        <v>10</v>
      </c>
    </row>
    <row r="4" ht="12.75" customHeight="1">
      <c r="A4" s="1" t="s">
        <v>11</v>
      </c>
      <c r="B4" s="2" t="str">
        <f>HYPERLINK("https://wals.info/values/30A-ain","None")</f>
        <v>None</v>
      </c>
      <c r="C4" s="2" t="str">
        <f t="shared" si="1"/>
        <v>Number of Genders</v>
      </c>
      <c r="D4" s="2" t="str">
        <f>HYPERLINK("https://wals.info/languoid/lect/wals_code_ain","Ainu")</f>
        <v>Ainu</v>
      </c>
      <c r="E4" s="1"/>
      <c r="F4" s="1"/>
      <c r="G4" s="1" t="s">
        <v>12</v>
      </c>
    </row>
    <row r="5" ht="12.75" customHeight="1">
      <c r="A5" s="1" t="s">
        <v>13</v>
      </c>
      <c r="B5" s="2" t="str">
        <f>HYPERLINK("https://wals.info/values/30A-agw","Two")</f>
        <v>Two</v>
      </c>
      <c r="C5" s="2" t="str">
        <f t="shared" si="1"/>
        <v>Number of Genders</v>
      </c>
      <c r="D5" s="2" t="str">
        <f>HYPERLINK("https://wals.info/languoid/lect/wals_code_agw","Alagwa")</f>
        <v>Alagwa</v>
      </c>
      <c r="E5" s="1"/>
      <c r="F5" s="1"/>
      <c r="G5" s="1" t="s">
        <v>14</v>
      </c>
    </row>
    <row r="6" ht="12.75" customHeight="1">
      <c r="A6" s="1" t="s">
        <v>15</v>
      </c>
      <c r="B6" s="2" t="str">
        <f>HYPERLINK("https://wals.info/values/30A-ala","Two")</f>
        <v>Two</v>
      </c>
      <c r="C6" s="2" t="str">
        <f t="shared" si="1"/>
        <v>Number of Genders</v>
      </c>
      <c r="D6" s="2" t="str">
        <f>HYPERLINK("https://wals.info/languoid/lect/wals_code_ala","Alamblak")</f>
        <v>Alamblak</v>
      </c>
      <c r="E6" s="1"/>
      <c r="F6" s="1"/>
      <c r="G6" s="1" t="s">
        <v>16</v>
      </c>
    </row>
    <row r="7" ht="12.75" customHeight="1">
      <c r="A7" s="1" t="s">
        <v>17</v>
      </c>
      <c r="B7" s="2" t="str">
        <f>HYPERLINK("https://wals.info/values/30A-ale","None")</f>
        <v>None</v>
      </c>
      <c r="C7" s="2" t="str">
        <f t="shared" si="1"/>
        <v>Number of Genders</v>
      </c>
      <c r="D7" s="2" t="str">
        <f>HYPERLINK("https://wals.info/languoid/lect/wals_code_ale","Aleut")</f>
        <v>Aleut</v>
      </c>
      <c r="E7" s="1"/>
      <c r="F7" s="1"/>
      <c r="G7" s="1" t="s">
        <v>18</v>
      </c>
    </row>
    <row r="8" ht="12.75" customHeight="1">
      <c r="A8" s="1" t="s">
        <v>19</v>
      </c>
      <c r="B8" s="2" t="str">
        <f>HYPERLINK("https://wals.info/values/30A-ame","None")</f>
        <v>None</v>
      </c>
      <c r="C8" s="2" t="str">
        <f t="shared" si="1"/>
        <v>Number of Genders</v>
      </c>
      <c r="D8" s="2" t="str">
        <f>HYPERLINK("https://wals.info/languoid/lect/wals_code_ame","Amele")</f>
        <v>Amele</v>
      </c>
      <c r="E8" s="1"/>
      <c r="F8" s="1"/>
      <c r="G8" s="1" t="s">
        <v>20</v>
      </c>
    </row>
    <row r="9" ht="12.75" customHeight="1">
      <c r="A9" s="1" t="s">
        <v>21</v>
      </c>
      <c r="B9" s="2" t="str">
        <f>HYPERLINK("https://wals.info/values/30A-amh","Two")</f>
        <v>Two</v>
      </c>
      <c r="C9" s="2" t="str">
        <f t="shared" si="1"/>
        <v>Number of Genders</v>
      </c>
      <c r="D9" s="2" t="str">
        <f>HYPERLINK("https://wals.info/languoid/lect/wals_code_amh","Amharic")</f>
        <v>Amharic</v>
      </c>
      <c r="E9" s="1"/>
      <c r="F9" s="1"/>
      <c r="G9" s="1" t="s">
        <v>22</v>
      </c>
    </row>
    <row r="10" ht="12.75" customHeight="1">
      <c r="A10" s="1" t="s">
        <v>23</v>
      </c>
      <c r="B10" s="2" t="str">
        <f>HYPERLINK("https://wals.info/values/30A-apu","Two")</f>
        <v>Two</v>
      </c>
      <c r="C10" s="2" t="str">
        <f t="shared" si="1"/>
        <v>Number of Genders</v>
      </c>
      <c r="D10" s="2" t="str">
        <f>HYPERLINK("https://wals.info/languoid/lect/wals_code_apu","Apurinã")</f>
        <v>Apurinã</v>
      </c>
      <c r="E10" s="1"/>
      <c r="F10" s="1"/>
      <c r="G10" s="1" t="s">
        <v>24</v>
      </c>
    </row>
    <row r="11" ht="12.75" customHeight="1">
      <c r="A11" s="1" t="s">
        <v>25</v>
      </c>
      <c r="B11" s="2" t="str">
        <f>HYPERLINK("https://wals.info/values/30A-abn","None")</f>
        <v>None</v>
      </c>
      <c r="C11" s="2" t="str">
        <f t="shared" si="1"/>
        <v>Number of Genders</v>
      </c>
      <c r="D11" s="2" t="str">
        <f>HYPERLINK("https://wals.info/languoid/lect/wals_code_abn","Arabana")</f>
        <v>Arabana</v>
      </c>
      <c r="E11" s="1"/>
      <c r="F11" s="1"/>
      <c r="G11" s="1" t="s">
        <v>26</v>
      </c>
    </row>
    <row r="12" ht="12.75" customHeight="1">
      <c r="A12" s="1" t="s">
        <v>27</v>
      </c>
      <c r="B12" s="2" t="str">
        <f>HYPERLINK("https://wals.info/values/30A-aeg","Two")</f>
        <v>Two</v>
      </c>
      <c r="C12" s="2" t="str">
        <f t="shared" si="1"/>
        <v>Number of Genders</v>
      </c>
      <c r="D12" s="2" t="str">
        <f>HYPERLINK("https://wals.info/languoid/lect/wals_code_aeg","Arabic (Egyptian)")</f>
        <v>Arabic (Egyptian)</v>
      </c>
      <c r="E12" s="1"/>
      <c r="F12" s="1"/>
      <c r="G12" s="1" t="s">
        <v>28</v>
      </c>
    </row>
    <row r="13" ht="12.75" customHeight="1">
      <c r="A13" s="1" t="s">
        <v>29</v>
      </c>
      <c r="B13" s="2" t="str">
        <f>HYPERLINK("https://wals.info/values/30A-arg","Two")</f>
        <v>Two</v>
      </c>
      <c r="C13" s="2" t="str">
        <f t="shared" si="1"/>
        <v>Number of Genders</v>
      </c>
      <c r="D13" s="2" t="str">
        <f>HYPERLINK("https://wals.info/languoid/lect/wals_code_arg","Arabic (Gulf)")</f>
        <v>Arabic (Gulf)</v>
      </c>
      <c r="E13" s="1"/>
      <c r="F13" s="1"/>
      <c r="G13" s="1" t="s">
        <v>30</v>
      </c>
    </row>
    <row r="14" ht="12.75" customHeight="1">
      <c r="A14" s="1" t="s">
        <v>31</v>
      </c>
      <c r="B14" s="2" t="str">
        <f>HYPERLINK("https://wals.info/values/30A-asy","Two")</f>
        <v>Two</v>
      </c>
      <c r="C14" s="2" t="str">
        <f t="shared" si="1"/>
        <v>Number of Genders</v>
      </c>
      <c r="D14" s="2" t="str">
        <f>HYPERLINK("https://wals.info/languoid/lect/wals_code_asy","Arabic (Syrian)")</f>
        <v>Arabic (Syrian)</v>
      </c>
      <c r="E14" s="1"/>
      <c r="F14" s="1"/>
      <c r="G14" s="1" t="s">
        <v>32</v>
      </c>
    </row>
    <row r="15" ht="12.75" customHeight="1">
      <c r="A15" s="1" t="s">
        <v>33</v>
      </c>
      <c r="B15" s="2" t="str">
        <f>HYPERLINK("https://wals.info/values/30A-arp","Five or more")</f>
        <v>Five or more</v>
      </c>
      <c r="C15" s="2" t="str">
        <f t="shared" si="1"/>
        <v>Number of Genders</v>
      </c>
      <c r="D15" s="2" t="str">
        <f>HYPERLINK("https://wals.info/languoid/lect/wals_code_arp","Arapesh (Mountain)")</f>
        <v>Arapesh (Mountain)</v>
      </c>
      <c r="E15" s="1"/>
      <c r="F15" s="1"/>
      <c r="G15" s="1" t="s">
        <v>34</v>
      </c>
    </row>
    <row r="16" ht="12.75" customHeight="1">
      <c r="A16" s="1" t="s">
        <v>35</v>
      </c>
      <c r="B16" s="2" t="str">
        <f>HYPERLINK("https://wals.info/values/30A-abo","Two")</f>
        <v>Two</v>
      </c>
      <c r="C16" s="2" t="str">
        <f t="shared" si="1"/>
        <v>Number of Genders</v>
      </c>
      <c r="D16" s="2" t="str">
        <f>HYPERLINK("https://wals.info/languoid/lect/wals_code_abo","Arbore")</f>
        <v>Arbore</v>
      </c>
      <c r="E16" s="1"/>
      <c r="F16" s="1"/>
      <c r="G16" s="1" t="s">
        <v>36</v>
      </c>
    </row>
    <row r="17" ht="12.75" customHeight="1">
      <c r="A17" s="1" t="s">
        <v>37</v>
      </c>
      <c r="B17" s="2" t="str">
        <f>HYPERLINK("https://wals.info/values/30A-arc","Four")</f>
        <v>Four</v>
      </c>
      <c r="C17" s="2" t="str">
        <f t="shared" si="1"/>
        <v>Number of Genders</v>
      </c>
      <c r="D17" s="2" t="str">
        <f>HYPERLINK("https://wals.info/languoid/lect/wals_code_arc","Archi")</f>
        <v>Archi</v>
      </c>
      <c r="E17" s="1"/>
      <c r="F17" s="1"/>
      <c r="G17" s="1" t="s">
        <v>38</v>
      </c>
    </row>
    <row r="18" ht="12.75" customHeight="1">
      <c r="A18" s="1" t="s">
        <v>39</v>
      </c>
      <c r="B18" s="2" t="str">
        <f>HYPERLINK("https://wals.info/values/30A-arm","None")</f>
        <v>None</v>
      </c>
      <c r="C18" s="2" t="str">
        <f t="shared" si="1"/>
        <v>Number of Genders</v>
      </c>
      <c r="D18" s="2" t="str">
        <f>HYPERLINK("https://wals.info/languoid/lect/wals_code_arm","Armenian (Eastern)")</f>
        <v>Armenian (Eastern)</v>
      </c>
      <c r="E18" s="1"/>
      <c r="F18" s="1"/>
      <c r="G18" s="1" t="s">
        <v>40</v>
      </c>
    </row>
    <row r="19" ht="12.75" customHeight="1">
      <c r="A19" s="1" t="s">
        <v>41</v>
      </c>
      <c r="B19" s="2" t="str">
        <f>HYPERLINK("https://wals.info/values/30A-asm","None")</f>
        <v>None</v>
      </c>
      <c r="C19" s="2" t="str">
        <f t="shared" si="1"/>
        <v>Number of Genders</v>
      </c>
      <c r="D19" s="2" t="str">
        <f>HYPERLINK("https://wals.info/languoid/lect/wals_code_asm","Asmat")</f>
        <v>Asmat</v>
      </c>
      <c r="E19" s="1"/>
      <c r="F19" s="1"/>
      <c r="G19" s="1" t="s">
        <v>42</v>
      </c>
    </row>
    <row r="20" ht="12.75" customHeight="1">
      <c r="A20" s="1" t="s">
        <v>43</v>
      </c>
      <c r="B20" s="2" t="str">
        <f>HYPERLINK("https://wals.info/values/30A-awp","None")</f>
        <v>None</v>
      </c>
      <c r="C20" s="2" t="str">
        <f t="shared" si="1"/>
        <v>Number of Genders</v>
      </c>
      <c r="D20" s="2" t="str">
        <f>HYPERLINK("https://wals.info/languoid/lect/wals_code_awp","Awa Pit")</f>
        <v>Awa Pit</v>
      </c>
      <c r="E20" s="1"/>
      <c r="F20" s="1"/>
      <c r="G20" s="1" t="s">
        <v>44</v>
      </c>
    </row>
    <row r="21" ht="12.75" customHeight="1">
      <c r="A21" s="1" t="s">
        <v>45</v>
      </c>
      <c r="B21" s="2" t="str">
        <f>HYPERLINK("https://wals.info/values/30A-bab","Five or more")</f>
        <v>Five or more</v>
      </c>
      <c r="C21" s="2" t="str">
        <f t="shared" si="1"/>
        <v>Number of Genders</v>
      </c>
      <c r="D21" s="2" t="str">
        <f>HYPERLINK("https://wals.info/languoid/lect/wals_code_bab","Babungo")</f>
        <v>Babungo</v>
      </c>
      <c r="E21" s="1"/>
      <c r="F21" s="1"/>
      <c r="G21" s="1" t="s">
        <v>46</v>
      </c>
    </row>
    <row r="22" ht="12.75" customHeight="1">
      <c r="A22" s="1" t="s">
        <v>47</v>
      </c>
      <c r="B22" s="2" t="str">
        <f>HYPERLINK("https://wals.info/values/30A-bag","None")</f>
        <v>None</v>
      </c>
      <c r="C22" s="2" t="str">
        <f t="shared" si="1"/>
        <v>Number of Genders</v>
      </c>
      <c r="D22" s="2" t="str">
        <f>HYPERLINK("https://wals.info/languoid/lect/wals_code_bag","Bagirmi")</f>
        <v>Bagirmi</v>
      </c>
      <c r="E22" s="1"/>
      <c r="F22" s="1"/>
      <c r="G22" s="1" t="s">
        <v>48</v>
      </c>
    </row>
    <row r="23" ht="12.75" customHeight="1">
      <c r="A23" s="1" t="s">
        <v>49</v>
      </c>
      <c r="B23" s="2" t="str">
        <f>HYPERLINK("https://wals.info/values/30A-brs","Three")</f>
        <v>Three</v>
      </c>
      <c r="C23" s="2" t="str">
        <f t="shared" si="1"/>
        <v>Number of Genders</v>
      </c>
      <c r="D23" s="2" t="str">
        <f>HYPERLINK("https://wals.info/languoid/lect/wals_code_brs","Barasano")</f>
        <v>Barasano</v>
      </c>
      <c r="E23" s="1"/>
      <c r="F23" s="1"/>
      <c r="G23" s="1" t="s">
        <v>50</v>
      </c>
    </row>
    <row r="24" ht="12.75" customHeight="1">
      <c r="A24" s="1" t="s">
        <v>51</v>
      </c>
      <c r="B24" s="2" t="str">
        <f>HYPERLINK("https://wals.info/values/30A-bsq","None")</f>
        <v>None</v>
      </c>
      <c r="C24" s="2" t="str">
        <f t="shared" si="1"/>
        <v>Number of Genders</v>
      </c>
      <c r="D24" s="2" t="str">
        <f>HYPERLINK("https://wals.info/languoid/lect/wals_code_bsq","Basque")</f>
        <v>Basque</v>
      </c>
      <c r="E24" s="1"/>
      <c r="F24" s="1"/>
      <c r="G24" s="1" t="s">
        <v>52</v>
      </c>
    </row>
    <row r="25" ht="12.75" customHeight="1">
      <c r="A25" s="1" t="s">
        <v>53</v>
      </c>
      <c r="B25" s="2" t="str">
        <f>HYPERLINK("https://wals.info/values/30A-bkr","None")</f>
        <v>None</v>
      </c>
      <c r="C25" s="2" t="str">
        <f t="shared" si="1"/>
        <v>Number of Genders</v>
      </c>
      <c r="D25" s="2" t="str">
        <f>HYPERLINK("https://wals.info/languoid/lect/wals_code_bkr","Batak (Karo)")</f>
        <v>Batak (Karo)</v>
      </c>
      <c r="E25" s="1"/>
      <c r="F25" s="1"/>
      <c r="G25" s="1" t="s">
        <v>54</v>
      </c>
    </row>
    <row r="26" ht="12.75" customHeight="1">
      <c r="A26" s="1" t="s">
        <v>55</v>
      </c>
      <c r="B26" s="2" t="str">
        <f>HYPERLINK("https://wals.info/values/30A-baw","None")</f>
        <v>None</v>
      </c>
      <c r="C26" s="2" t="str">
        <f t="shared" si="1"/>
        <v>Number of Genders</v>
      </c>
      <c r="D26" s="2" t="str">
        <f>HYPERLINK("https://wals.info/languoid/lect/wals_code_baw","Bawm")</f>
        <v>Bawm</v>
      </c>
      <c r="E26" s="1"/>
      <c r="F26" s="1"/>
      <c r="G26" s="1" t="s">
        <v>56</v>
      </c>
    </row>
    <row r="27" ht="12.75" customHeight="1">
      <c r="A27" s="1" t="s">
        <v>57</v>
      </c>
      <c r="B27" s="2" t="str">
        <f>HYPERLINK("https://wals.info/values/30A-bys","Two")</f>
        <v>Two</v>
      </c>
      <c r="C27" s="2" t="str">
        <f t="shared" si="1"/>
        <v>Number of Genders</v>
      </c>
      <c r="D27" s="2" t="str">
        <f>HYPERLINK("https://wals.info/languoid/lect/wals_code_bys","Bayso")</f>
        <v>Bayso</v>
      </c>
      <c r="E27" s="1"/>
      <c r="F27" s="1"/>
      <c r="G27" s="1" t="s">
        <v>58</v>
      </c>
    </row>
    <row r="28" ht="12.75" customHeight="1">
      <c r="A28" s="1" t="s">
        <v>59</v>
      </c>
      <c r="B28" s="2" t="str">
        <f>HYPERLINK("https://wals.info/values/30A-bej","Two")</f>
        <v>Two</v>
      </c>
      <c r="C28" s="2" t="str">
        <f t="shared" si="1"/>
        <v>Number of Genders</v>
      </c>
      <c r="D28" s="2" t="str">
        <f>HYPERLINK("https://wals.info/languoid/lect/wals_code_bej","Beja")</f>
        <v>Beja</v>
      </c>
      <c r="E28" s="1"/>
      <c r="F28" s="1"/>
      <c r="G28" s="1" t="s">
        <v>60</v>
      </c>
    </row>
    <row r="29" ht="12.75" customHeight="1">
      <c r="A29" s="1" t="s">
        <v>61</v>
      </c>
      <c r="B29" s="2" t="str">
        <f>HYPERLINK("https://wals.info/values/30A-bma","Two")</f>
        <v>Two</v>
      </c>
      <c r="C29" s="2" t="str">
        <f t="shared" si="1"/>
        <v>Number of Genders</v>
      </c>
      <c r="D29" s="2" t="str">
        <f>HYPERLINK("https://wals.info/languoid/lect/wals_code_bma","Berber (Middle Atlas)")</f>
        <v>Berber (Middle Atlas)</v>
      </c>
      <c r="E29" s="1"/>
      <c r="F29" s="1"/>
      <c r="G29" s="1" t="s">
        <v>62</v>
      </c>
    </row>
    <row r="30" ht="12.75" customHeight="1">
      <c r="A30" s="1" t="s">
        <v>63</v>
      </c>
      <c r="B30" s="2" t="str">
        <f>HYPERLINK("https://wals.info/values/30A-bbw","Four")</f>
        <v>Four</v>
      </c>
      <c r="C30" s="2" t="str">
        <f t="shared" si="1"/>
        <v>Number of Genders</v>
      </c>
      <c r="D30" s="2" t="str">
        <f>HYPERLINK("https://wals.info/languoid/lect/wals_code_bbw","Bininj Gun-Wok")</f>
        <v>Bininj Gun-Wok</v>
      </c>
      <c r="E30" s="1"/>
      <c r="F30" s="1"/>
      <c r="G30" s="1" t="s">
        <v>64</v>
      </c>
    </row>
    <row r="31" ht="12.75" customHeight="1">
      <c r="A31" s="1" t="s">
        <v>65</v>
      </c>
      <c r="B31" s="2" t="str">
        <f>HYPERLINK("https://wals.info/values/30A-brh","None")</f>
        <v>None</v>
      </c>
      <c r="C31" s="2" t="str">
        <f t="shared" si="1"/>
        <v>Number of Genders</v>
      </c>
      <c r="D31" s="2" t="str">
        <f>HYPERLINK("https://wals.info/languoid/lect/wals_code_brh","Brahui")</f>
        <v>Brahui</v>
      </c>
      <c r="E31" s="1"/>
      <c r="F31" s="1"/>
      <c r="G31" s="1" t="s">
        <v>66</v>
      </c>
    </row>
    <row r="32" ht="12.75" customHeight="1">
      <c r="A32" s="1" t="s">
        <v>67</v>
      </c>
      <c r="B32" s="2" t="str">
        <f>HYPERLINK("https://wals.info/values/30A-brm","None")</f>
        <v>None</v>
      </c>
      <c r="C32" s="2" t="str">
        <f t="shared" si="1"/>
        <v>Number of Genders</v>
      </c>
      <c r="D32" s="2" t="str">
        <f>HYPERLINK("https://wals.info/languoid/lect/wals_code_brm","Burmese")</f>
        <v>Burmese</v>
      </c>
      <c r="E32" s="1"/>
      <c r="F32" s="1"/>
      <c r="G32" s="1" t="s">
        <v>68</v>
      </c>
    </row>
    <row r="33" ht="12.75" customHeight="1">
      <c r="A33" s="1" t="s">
        <v>69</v>
      </c>
      <c r="B33" s="2" t="str">
        <f>HYPERLINK("https://wals.info/values/30A-bur","Four")</f>
        <v>Four</v>
      </c>
      <c r="C33" s="2" t="str">
        <f t="shared" si="1"/>
        <v>Number of Genders</v>
      </c>
      <c r="D33" s="2" t="str">
        <f>HYPERLINK("https://wals.info/languoid/lect/wals_code_bur","Burushaski")</f>
        <v>Burushaski</v>
      </c>
      <c r="E33" s="1"/>
      <c r="F33" s="1"/>
      <c r="G33" s="1" t="s">
        <v>70</v>
      </c>
    </row>
    <row r="34" ht="12.75" customHeight="1">
      <c r="A34" s="1" t="s">
        <v>71</v>
      </c>
      <c r="B34" s="2" t="str">
        <f>HYPERLINK("https://wals.info/values/30A-cah","None")</f>
        <v>None</v>
      </c>
      <c r="C34" s="2" t="str">
        <f t="shared" si="1"/>
        <v>Number of Genders</v>
      </c>
      <c r="D34" s="2" t="str">
        <f>HYPERLINK("https://wals.info/languoid/lect/wals_code_cah","Cahuilla")</f>
        <v>Cahuilla</v>
      </c>
      <c r="E34" s="1"/>
      <c r="F34" s="1"/>
      <c r="G34" s="1" t="s">
        <v>72</v>
      </c>
    </row>
    <row r="35" ht="12.75" customHeight="1">
      <c r="A35" s="1" t="s">
        <v>73</v>
      </c>
      <c r="B35" s="2" t="str">
        <f>HYPERLINK("https://wals.info/values/30A-cax","Two")</f>
        <v>Two</v>
      </c>
      <c r="C35" s="2" t="str">
        <f t="shared" si="1"/>
        <v>Number of Genders</v>
      </c>
      <c r="D35" s="2" t="str">
        <f>HYPERLINK("https://wals.info/languoid/lect/wals_code_cax","Campa (Axininca)")</f>
        <v>Campa (Axininca)</v>
      </c>
      <c r="E35" s="1"/>
      <c r="F35" s="1"/>
      <c r="G35" s="1" t="s">
        <v>74</v>
      </c>
    </row>
    <row r="36" ht="12.75" customHeight="1">
      <c r="A36" s="1" t="s">
        <v>75</v>
      </c>
      <c r="B36" s="2" t="str">
        <f>HYPERLINK("https://wals.info/values/30A-ckr","None")</f>
        <v>None</v>
      </c>
      <c r="C36" s="2" t="str">
        <f t="shared" si="1"/>
        <v>Number of Genders</v>
      </c>
      <c r="D36" s="2" t="str">
        <f>HYPERLINK("https://wals.info/languoid/lect/wals_code_ckr","Canela-Krahô")</f>
        <v>Canela-Krahô</v>
      </c>
      <c r="E36" s="1"/>
      <c r="F36" s="1"/>
      <c r="G36" s="1" t="s">
        <v>76</v>
      </c>
    </row>
    <row r="37" ht="12.75" customHeight="1">
      <c r="A37" s="1" t="s">
        <v>77</v>
      </c>
      <c r="B37" s="2" t="str">
        <f>HYPERLINK("https://wals.info/values/30A-cnt","None")</f>
        <v>None</v>
      </c>
      <c r="C37" s="2" t="str">
        <f t="shared" si="1"/>
        <v>Number of Genders</v>
      </c>
      <c r="D37" s="2" t="str">
        <f>HYPERLINK("https://wals.info/languoid/lect/wals_code_cnt","Cantonese")</f>
        <v>Cantonese</v>
      </c>
      <c r="E37" s="1"/>
      <c r="F37" s="1"/>
      <c r="G37" s="1" t="s">
        <v>78</v>
      </c>
    </row>
    <row r="38" ht="12.75" customHeight="1">
      <c r="A38" s="1" t="s">
        <v>79</v>
      </c>
      <c r="B38" s="2" t="str">
        <f>HYPERLINK("https://wals.info/values/30A-car","None")</f>
        <v>None</v>
      </c>
      <c r="C38" s="2" t="str">
        <f t="shared" si="1"/>
        <v>Number of Genders</v>
      </c>
      <c r="D38" s="2" t="str">
        <f>HYPERLINK("https://wals.info/languoid/lect/wals_code_car","Carib")</f>
        <v>Carib</v>
      </c>
      <c r="E38" s="1"/>
      <c r="F38" s="1"/>
      <c r="G38" s="1" t="s">
        <v>80</v>
      </c>
    </row>
    <row r="39" ht="12.75" customHeight="1">
      <c r="A39" s="1" t="s">
        <v>81</v>
      </c>
      <c r="B39" s="2" t="str">
        <f>HYPERLINK("https://wals.info/values/30A-cyv","None")</f>
        <v>None</v>
      </c>
      <c r="C39" s="2" t="str">
        <f t="shared" si="1"/>
        <v>Number of Genders</v>
      </c>
      <c r="D39" s="2" t="str">
        <f>HYPERLINK("https://wals.info/languoid/lect/wals_code_cyv","Cayuvava")</f>
        <v>Cayuvava</v>
      </c>
      <c r="E39" s="1"/>
      <c r="F39" s="1"/>
      <c r="G39" s="1" t="s">
        <v>82</v>
      </c>
    </row>
    <row r="40" ht="12.75" customHeight="1">
      <c r="A40" s="1" t="s">
        <v>83</v>
      </c>
      <c r="B40" s="2" t="str">
        <f>HYPERLINK("https://wals.info/values/30A-cha","None")</f>
        <v>None</v>
      </c>
      <c r="C40" s="2" t="str">
        <f t="shared" si="1"/>
        <v>Number of Genders</v>
      </c>
      <c r="D40" s="2" t="str">
        <f>HYPERLINK("https://wals.info/languoid/lect/wals_code_cha","Chamorro")</f>
        <v>Chamorro</v>
      </c>
      <c r="E40" s="1"/>
      <c r="F40" s="1"/>
      <c r="G40" s="1" t="s">
        <v>84</v>
      </c>
    </row>
    <row r="41" ht="12.75" customHeight="1">
      <c r="A41" s="1" t="s">
        <v>85</v>
      </c>
      <c r="B41" s="2" t="str">
        <f>HYPERLINK("https://wals.info/values/30A-cic","Five or more")</f>
        <v>Five or more</v>
      </c>
      <c r="C41" s="2" t="str">
        <f t="shared" si="1"/>
        <v>Number of Genders</v>
      </c>
      <c r="D41" s="2" t="str">
        <f>HYPERLINK("https://wals.info/languoid/lect/wals_code_cic","Chichewa")</f>
        <v>Chichewa</v>
      </c>
      <c r="E41" s="1"/>
      <c r="F41" s="1"/>
      <c r="G41" s="1" t="s">
        <v>86</v>
      </c>
    </row>
    <row r="42" ht="12.75" customHeight="1">
      <c r="A42" s="1" t="s">
        <v>87</v>
      </c>
      <c r="B42" s="2" t="str">
        <f>HYPERLINK("https://wals.info/values/30A-chi","None")</f>
        <v>None</v>
      </c>
      <c r="C42" s="2" t="str">
        <f t="shared" si="1"/>
        <v>Number of Genders</v>
      </c>
      <c r="D42" s="2" t="str">
        <f>HYPERLINK("https://wals.info/languoid/lect/wals_code_chi","Chimariko")</f>
        <v>Chimariko</v>
      </c>
      <c r="E42" s="1"/>
      <c r="F42" s="1"/>
      <c r="G42" s="1" t="s">
        <v>88</v>
      </c>
    </row>
    <row r="43" ht="12.75" customHeight="1">
      <c r="A43" s="1" t="s">
        <v>89</v>
      </c>
      <c r="B43" s="2" t="str">
        <f>HYPERLINK("https://wals.info/values/30A-cle","Two")</f>
        <v>Two</v>
      </c>
      <c r="C43" s="2" t="str">
        <f t="shared" si="1"/>
        <v>Number of Genders</v>
      </c>
      <c r="D43" s="2" t="str">
        <f>HYPERLINK("https://wals.info/languoid/lect/wals_code_cle","Chinantec (Lealao)")</f>
        <v>Chinantec (Lealao)</v>
      </c>
      <c r="E43" s="1"/>
      <c r="F43" s="1"/>
      <c r="G43" s="1" t="s">
        <v>90</v>
      </c>
    </row>
    <row r="44" ht="12.75" customHeight="1">
      <c r="A44" s="1" t="s">
        <v>91</v>
      </c>
      <c r="B44" s="2" t="str">
        <f>HYPERLINK("https://wals.info/values/30A-chk","None")</f>
        <v>None</v>
      </c>
      <c r="C44" s="2" t="str">
        <f t="shared" si="1"/>
        <v>Number of Genders</v>
      </c>
      <c r="D44" s="2" t="str">
        <f>HYPERLINK("https://wals.info/languoid/lect/wals_code_chk","Chukchi")</f>
        <v>Chukchi</v>
      </c>
      <c r="E44" s="1"/>
      <c r="F44" s="1"/>
      <c r="G44" s="1" t="s">
        <v>92</v>
      </c>
    </row>
    <row r="45" ht="12.75" customHeight="1">
      <c r="A45" s="1" t="s">
        <v>93</v>
      </c>
      <c r="B45" s="2" t="str">
        <f>HYPERLINK("https://wals.info/values/30A-chv","None")</f>
        <v>None</v>
      </c>
      <c r="C45" s="2" t="str">
        <f t="shared" si="1"/>
        <v>Number of Genders</v>
      </c>
      <c r="D45" s="2" t="str">
        <f>HYPERLINK("https://wals.info/languoid/lect/wals_code_chv","Chuvash")</f>
        <v>Chuvash</v>
      </c>
      <c r="E45" s="1"/>
      <c r="F45" s="1"/>
      <c r="G45" s="1" t="s">
        <v>94</v>
      </c>
    </row>
    <row r="46" ht="12.75" customHeight="1">
      <c r="A46" s="1" t="s">
        <v>95</v>
      </c>
      <c r="B46" s="2" t="str">
        <f>HYPERLINK("https://wals.info/values/30A-ccp","None")</f>
        <v>None</v>
      </c>
      <c r="C46" s="2" t="str">
        <f t="shared" si="1"/>
        <v>Number of Genders</v>
      </c>
      <c r="D46" s="2" t="str">
        <f>HYPERLINK("https://wals.info/languoid/lect/wals_code_ccp","Cocopa")</f>
        <v>Cocopa</v>
      </c>
      <c r="E46" s="1"/>
      <c r="F46" s="1"/>
      <c r="G46" s="1" t="s">
        <v>96</v>
      </c>
    </row>
    <row r="47" ht="12.75" customHeight="1">
      <c r="A47" s="1" t="s">
        <v>97</v>
      </c>
      <c r="B47" s="2" t="str">
        <f>HYPERLINK("https://wals.info/values/30A-cmn","None")</f>
        <v>None</v>
      </c>
      <c r="C47" s="2" t="str">
        <f t="shared" si="1"/>
        <v>Number of Genders</v>
      </c>
      <c r="D47" s="2" t="str">
        <f>HYPERLINK("https://wals.info/languoid/lect/wals_code_cmn","Comanche")</f>
        <v>Comanche</v>
      </c>
      <c r="E47" s="1"/>
      <c r="F47" s="1"/>
      <c r="G47" s="1" t="s">
        <v>98</v>
      </c>
    </row>
    <row r="48" ht="12.75" customHeight="1">
      <c r="A48" s="1" t="s">
        <v>99</v>
      </c>
      <c r="B48" s="2" t="str">
        <f>HYPERLINK("https://wals.info/values/30A-coo","None")</f>
        <v>None</v>
      </c>
      <c r="C48" s="2" t="str">
        <f t="shared" si="1"/>
        <v>Number of Genders</v>
      </c>
      <c r="D48" s="2" t="str">
        <f>HYPERLINK("https://wals.info/languoid/lect/wals_code_coo","Coos (Hanis)")</f>
        <v>Coos (Hanis)</v>
      </c>
      <c r="E48" s="1"/>
      <c r="F48" s="1"/>
      <c r="G48" s="1" t="s">
        <v>100</v>
      </c>
    </row>
    <row r="49" ht="12.75" customHeight="1">
      <c r="A49" s="1" t="s">
        <v>101</v>
      </c>
      <c r="B49" s="2" t="str">
        <f>HYPERLINK("https://wals.info/values/30A-cre","Two")</f>
        <v>Two</v>
      </c>
      <c r="C49" s="2" t="str">
        <f t="shared" si="1"/>
        <v>Number of Genders</v>
      </c>
      <c r="D49" s="2" t="str">
        <f>HYPERLINK("https://wals.info/languoid/lect/wals_code_cre","Cree (Plains)")</f>
        <v>Cree (Plains)</v>
      </c>
      <c r="E49" s="1"/>
      <c r="F49" s="1"/>
      <c r="G49" s="1" t="s">
        <v>102</v>
      </c>
    </row>
    <row r="50" ht="12.75" customHeight="1">
      <c r="A50" s="1" t="s">
        <v>103</v>
      </c>
      <c r="B50" s="2" t="str">
        <f>HYPERLINK("https://wals.info/values/30A-dag","None")</f>
        <v>None</v>
      </c>
      <c r="C50" s="2" t="str">
        <f t="shared" si="1"/>
        <v>Number of Genders</v>
      </c>
      <c r="D50" s="2" t="str">
        <f>HYPERLINK("https://wals.info/languoid/lect/wals_code_dag","Daga")</f>
        <v>Daga</v>
      </c>
      <c r="E50" s="1"/>
      <c r="F50" s="1"/>
      <c r="G50" s="1" t="s">
        <v>104</v>
      </c>
    </row>
    <row r="51" ht="12.75" customHeight="1">
      <c r="A51" s="1" t="s">
        <v>105</v>
      </c>
      <c r="B51" s="2" t="str">
        <f>HYPERLINK("https://wals.info/values/30A-dni","None")</f>
        <v>None</v>
      </c>
      <c r="C51" s="2" t="str">
        <f t="shared" si="1"/>
        <v>Number of Genders</v>
      </c>
      <c r="D51" s="2" t="str">
        <f>HYPERLINK("https://wals.info/languoid/lect/wals_code_dni","Dani (Lower Grand Valley)")</f>
        <v>Dani (Lower Grand Valley)</v>
      </c>
      <c r="E51" s="1"/>
      <c r="F51" s="1"/>
      <c r="G51" s="1" t="s">
        <v>106</v>
      </c>
    </row>
    <row r="52" ht="12.75" customHeight="1">
      <c r="A52" s="1" t="s">
        <v>107</v>
      </c>
      <c r="B52" s="2" t="str">
        <f>HYPERLINK("https://wals.info/values/30A-def","Three")</f>
        <v>Three</v>
      </c>
      <c r="C52" s="2" t="str">
        <f t="shared" si="1"/>
        <v>Number of Genders</v>
      </c>
      <c r="D52" s="2" t="str">
        <f>HYPERLINK("https://wals.info/languoid/lect/wals_code_def","Defaka")</f>
        <v>Defaka</v>
      </c>
      <c r="E52" s="1"/>
      <c r="F52" s="1"/>
      <c r="G52" s="1" t="s">
        <v>108</v>
      </c>
    </row>
    <row r="53" ht="12.75" customHeight="1">
      <c r="A53" s="1" t="s">
        <v>109</v>
      </c>
      <c r="B53" s="2" t="str">
        <f>HYPERLINK("https://wals.info/values/30A-dio","Five or more")</f>
        <v>Five or more</v>
      </c>
      <c r="C53" s="2" t="str">
        <f t="shared" si="1"/>
        <v>Number of Genders</v>
      </c>
      <c r="D53" s="2" t="str">
        <f>HYPERLINK("https://wals.info/languoid/lect/wals_code_dio","Diola-Fogny")</f>
        <v>Diola-Fogny</v>
      </c>
      <c r="E53" s="1"/>
      <c r="F53" s="1"/>
      <c r="G53" s="1" t="s">
        <v>110</v>
      </c>
    </row>
    <row r="54" ht="12.75" customHeight="1">
      <c r="A54" s="1" t="s">
        <v>111</v>
      </c>
      <c r="B54" s="2" t="str">
        <f>HYPERLINK("https://wals.info/values/30A-diy","Two")</f>
        <v>Two</v>
      </c>
      <c r="C54" s="2" t="str">
        <f t="shared" si="1"/>
        <v>Number of Genders</v>
      </c>
      <c r="D54" s="2" t="str">
        <f>HYPERLINK("https://wals.info/languoid/lect/wals_code_diy","Diyari")</f>
        <v>Diyari</v>
      </c>
      <c r="E54" s="1"/>
      <c r="F54" s="1"/>
      <c r="G54" s="1" t="s">
        <v>112</v>
      </c>
    </row>
    <row r="55" ht="12.75" customHeight="1">
      <c r="A55" s="1" t="s">
        <v>113</v>
      </c>
      <c r="B55" s="2" t="str">
        <f>HYPERLINK("https://wals.info/values/30A-diz","Two")</f>
        <v>Two</v>
      </c>
      <c r="C55" s="2" t="str">
        <f t="shared" si="1"/>
        <v>Number of Genders</v>
      </c>
      <c r="D55" s="2" t="str">
        <f>HYPERLINK("https://wals.info/languoid/lect/wals_code_diz","Dizi")</f>
        <v>Dizi</v>
      </c>
      <c r="E55" s="1"/>
      <c r="F55" s="1"/>
      <c r="G55" s="1" t="s">
        <v>114</v>
      </c>
    </row>
    <row r="56" ht="12.75" customHeight="1">
      <c r="A56" s="1" t="s">
        <v>115</v>
      </c>
      <c r="B56" s="2" t="str">
        <f>HYPERLINK("https://wals.info/values/30A-djr","None")</f>
        <v>None</v>
      </c>
      <c r="C56" s="2" t="str">
        <f t="shared" si="1"/>
        <v>Number of Genders</v>
      </c>
      <c r="D56" s="2" t="str">
        <f>HYPERLINK("https://wals.info/languoid/lect/wals_code_djr","Djaru")</f>
        <v>Djaru</v>
      </c>
      <c r="E56" s="1"/>
      <c r="F56" s="1"/>
      <c r="G56" s="1" t="s">
        <v>116</v>
      </c>
    </row>
    <row r="57" ht="12.75" customHeight="1">
      <c r="A57" s="1" t="s">
        <v>117</v>
      </c>
      <c r="B57" s="2" t="str">
        <f>HYPERLINK("https://wals.info/values/30A-don","None")</f>
        <v>None</v>
      </c>
      <c r="C57" s="2" t="str">
        <f t="shared" si="1"/>
        <v>Number of Genders</v>
      </c>
      <c r="D57" s="2" t="str">
        <f>HYPERLINK("https://wals.info/languoid/lect/wals_code_don","Dong (Southern)")</f>
        <v>Dong (Southern)</v>
      </c>
      <c r="E57" s="1"/>
      <c r="F57" s="1"/>
      <c r="G57" s="1" t="s">
        <v>118</v>
      </c>
    </row>
    <row r="58" ht="12.75" customHeight="1">
      <c r="A58" s="1" t="s">
        <v>119</v>
      </c>
      <c r="B58" s="2" t="str">
        <f>HYPERLINK("https://wals.info/values/30A-dyi","Four")</f>
        <v>Four</v>
      </c>
      <c r="C58" s="2" t="str">
        <f t="shared" si="1"/>
        <v>Number of Genders</v>
      </c>
      <c r="D58" s="2" t="str">
        <f>HYPERLINK("https://wals.info/languoid/lect/wals_code_dyi","Dyirbal")</f>
        <v>Dyirbal</v>
      </c>
      <c r="E58" s="1"/>
      <c r="F58" s="1"/>
      <c r="G58" s="1" t="s">
        <v>120</v>
      </c>
    </row>
    <row r="59" ht="12.75" customHeight="1">
      <c r="A59" s="1" t="s">
        <v>121</v>
      </c>
      <c r="B59" s="2" t="str">
        <f>HYPERLINK("https://wals.info/values/30A-eng","Three")</f>
        <v>Three</v>
      </c>
      <c r="C59" s="2" t="str">
        <f t="shared" si="1"/>
        <v>Number of Genders</v>
      </c>
      <c r="D59" s="2" t="str">
        <f>HYPERLINK("https://wals.info/languoid/lect/wals_code_eng","English")</f>
        <v>English</v>
      </c>
      <c r="E59" s="1"/>
      <c r="F59" s="1"/>
      <c r="G59" s="1"/>
    </row>
    <row r="60" ht="12.75" customHeight="1">
      <c r="A60" s="1" t="s">
        <v>122</v>
      </c>
      <c r="B60" s="2" t="str">
        <f>HYPERLINK("https://wals.info/values/30A-epe","None")</f>
        <v>None</v>
      </c>
      <c r="C60" s="2" t="str">
        <f t="shared" si="1"/>
        <v>Number of Genders</v>
      </c>
      <c r="D60" s="2" t="str">
        <f>HYPERLINK("https://wals.info/languoid/lect/wals_code_epe","Epena Pedee")</f>
        <v>Epena Pedee</v>
      </c>
      <c r="E60" s="1"/>
      <c r="F60" s="1"/>
      <c r="G60" s="1" t="s">
        <v>123</v>
      </c>
    </row>
    <row r="61" ht="12.75" customHeight="1">
      <c r="A61" s="1" t="s">
        <v>124</v>
      </c>
      <c r="B61" s="2" t="str">
        <f>HYPERLINK("https://wals.info/values/30A-err","None")</f>
        <v>None</v>
      </c>
      <c r="C61" s="2" t="str">
        <f t="shared" si="1"/>
        <v>Number of Genders</v>
      </c>
      <c r="D61" s="2" t="str">
        <f>HYPERLINK("https://wals.info/languoid/lect/wals_code_err","Erromangan")</f>
        <v>Erromangan</v>
      </c>
      <c r="E61" s="1"/>
      <c r="F61" s="1"/>
      <c r="G61" s="1" t="s">
        <v>125</v>
      </c>
    </row>
    <row r="62" ht="12.75" customHeight="1">
      <c r="A62" s="1" t="s">
        <v>126</v>
      </c>
      <c r="B62" s="2" t="str">
        <f>HYPERLINK("https://wals.info/values/30A-eve","None")</f>
        <v>None</v>
      </c>
      <c r="C62" s="2" t="str">
        <f t="shared" si="1"/>
        <v>Number of Genders</v>
      </c>
      <c r="D62" s="2" t="str">
        <f>HYPERLINK("https://wals.info/languoid/lect/wals_code_eve","Evenki")</f>
        <v>Evenki</v>
      </c>
      <c r="E62" s="1"/>
      <c r="F62" s="1"/>
      <c r="G62" s="1" t="s">
        <v>127</v>
      </c>
    </row>
    <row r="63" ht="12.75" customHeight="1">
      <c r="A63" s="1" t="s">
        <v>128</v>
      </c>
      <c r="B63" s="2" t="str">
        <f>HYPERLINK("https://wals.info/values/30A-ewe","None")</f>
        <v>None</v>
      </c>
      <c r="C63" s="2" t="str">
        <f t="shared" si="1"/>
        <v>Number of Genders</v>
      </c>
      <c r="D63" s="2" t="str">
        <f>HYPERLINK("https://wals.info/languoid/lect/wals_code_ewe","Ewe")</f>
        <v>Ewe</v>
      </c>
      <c r="E63" s="1"/>
      <c r="F63" s="1"/>
      <c r="G63" s="1" t="s">
        <v>129</v>
      </c>
    </row>
    <row r="64" ht="12.75" customHeight="1">
      <c r="A64" s="1" t="s">
        <v>130</v>
      </c>
      <c r="B64" s="2" t="str">
        <f>HYPERLINK("https://wals.info/values/30A-fij","None")</f>
        <v>None</v>
      </c>
      <c r="C64" s="2" t="str">
        <f t="shared" si="1"/>
        <v>Number of Genders</v>
      </c>
      <c r="D64" s="2" t="str">
        <f>HYPERLINK("https://wals.info/languoid/lect/wals_code_fij","Fijian")</f>
        <v>Fijian</v>
      </c>
      <c r="E64" s="1"/>
      <c r="F64" s="1"/>
      <c r="G64" s="1" t="s">
        <v>131</v>
      </c>
    </row>
    <row r="65" ht="12.75" customHeight="1">
      <c r="A65" s="1" t="s">
        <v>132</v>
      </c>
      <c r="B65" s="2" t="str">
        <f>HYPERLINK("https://wals.info/values/30A-fin","None")</f>
        <v>None</v>
      </c>
      <c r="C65" s="2" t="str">
        <f t="shared" si="1"/>
        <v>Number of Genders</v>
      </c>
      <c r="D65" s="2" t="str">
        <f>HYPERLINK("https://wals.info/languoid/lect/wals_code_fin","Finnish")</f>
        <v>Finnish</v>
      </c>
      <c r="E65" s="1"/>
      <c r="F65" s="1"/>
      <c r="G65" s="1" t="s">
        <v>133</v>
      </c>
    </row>
    <row r="66" ht="12.75" customHeight="1">
      <c r="A66" s="1" t="s">
        <v>134</v>
      </c>
      <c r="B66" s="2" t="str">
        <f>HYPERLINK("https://wals.info/values/30A-fre","Two")</f>
        <v>Two</v>
      </c>
      <c r="C66" s="2" t="str">
        <f t="shared" si="1"/>
        <v>Number of Genders</v>
      </c>
      <c r="D66" s="2" t="str">
        <f>HYPERLINK("https://wals.info/languoid/lect/wals_code_fre","French")</f>
        <v>French</v>
      </c>
      <c r="E66" s="1"/>
      <c r="F66" s="1"/>
      <c r="G66" s="1"/>
    </row>
    <row r="67" ht="12.75" customHeight="1">
      <c r="A67" s="1" t="s">
        <v>135</v>
      </c>
      <c r="B67" s="2" t="str">
        <f>HYPERLINK("https://wals.info/values/30A-fgu","Five or more")</f>
        <v>Five or more</v>
      </c>
      <c r="C67" s="2" t="str">
        <f t="shared" si="1"/>
        <v>Number of Genders</v>
      </c>
      <c r="D67" s="2" t="str">
        <f>HYPERLINK("https://wals.info/languoid/lect/wals_code_fgu","Fula (Guinean)")</f>
        <v>Fula (Guinean)</v>
      </c>
      <c r="E67" s="1"/>
      <c r="F67" s="1"/>
      <c r="G67" s="1" t="s">
        <v>136</v>
      </c>
    </row>
    <row r="68" ht="12.75" customHeight="1">
      <c r="A68" s="1" t="s">
        <v>137</v>
      </c>
      <c r="B68" s="2" t="str">
        <f>HYPERLINK("https://wals.info/values/30A-gae","Two")</f>
        <v>Two</v>
      </c>
      <c r="C68" s="2" t="str">
        <f t="shared" si="1"/>
        <v>Number of Genders</v>
      </c>
      <c r="D68" s="2" t="str">
        <f>HYPERLINK("https://wals.info/languoid/lect/wals_code_gae","Gaelic (Scots)")</f>
        <v>Gaelic (Scots)</v>
      </c>
      <c r="E68" s="1"/>
      <c r="F68" s="1"/>
      <c r="G68" s="1" t="s">
        <v>138</v>
      </c>
    </row>
    <row r="69" ht="12.75" customHeight="1">
      <c r="A69" s="1" t="s">
        <v>139</v>
      </c>
      <c r="B69" s="2" t="str">
        <f>HYPERLINK("https://wals.info/values/30A-geo","None")</f>
        <v>None</v>
      </c>
      <c r="C69" s="2" t="str">
        <f t="shared" si="1"/>
        <v>Number of Genders</v>
      </c>
      <c r="D69" s="2" t="str">
        <f>HYPERLINK("https://wals.info/languoid/lect/wals_code_geo","Georgian")</f>
        <v>Georgian</v>
      </c>
      <c r="E69" s="1"/>
      <c r="F69" s="1"/>
      <c r="G69" s="1" t="s">
        <v>140</v>
      </c>
    </row>
    <row r="70" ht="12.75" customHeight="1">
      <c r="A70" s="1" t="s">
        <v>141</v>
      </c>
      <c r="B70" s="2" t="str">
        <f>HYPERLINK("https://wals.info/values/30A-ger","Three")</f>
        <v>Three</v>
      </c>
      <c r="C70" s="2" t="str">
        <f t="shared" si="1"/>
        <v>Number of Genders</v>
      </c>
      <c r="D70" s="2" t="str">
        <f>HYPERLINK("https://wals.info/languoid/lect/wals_code_ger","German")</f>
        <v>German</v>
      </c>
      <c r="E70" s="1"/>
      <c r="F70" s="1"/>
      <c r="G70" s="1"/>
    </row>
    <row r="71" ht="12.75" customHeight="1">
      <c r="A71" s="1" t="s">
        <v>142</v>
      </c>
      <c r="B71" s="2" t="str">
        <f>HYPERLINK("https://wals.info/values/30A-gdi","Four")</f>
        <v>Four</v>
      </c>
      <c r="C71" s="2" t="str">
        <f t="shared" si="1"/>
        <v>Number of Genders</v>
      </c>
      <c r="D71" s="2" t="str">
        <f>HYPERLINK("https://wals.info/languoid/lect/wals_code_gdi","Godié")</f>
        <v>Godié</v>
      </c>
      <c r="E71" s="1"/>
      <c r="F71" s="1"/>
      <c r="G71" s="1" t="s">
        <v>143</v>
      </c>
    </row>
    <row r="72" ht="12.75" customHeight="1">
      <c r="A72" s="1" t="s">
        <v>144</v>
      </c>
      <c r="B72" s="2" t="str">
        <f>HYPERLINK("https://wals.info/values/30A-god","Three")</f>
        <v>Three</v>
      </c>
      <c r="C72" s="2" t="str">
        <f t="shared" si="1"/>
        <v>Number of Genders</v>
      </c>
      <c r="D72" s="2" t="str">
        <f>HYPERLINK("https://wals.info/languoid/lect/wals_code_god","Godoberi")</f>
        <v>Godoberi</v>
      </c>
      <c r="E72" s="1"/>
      <c r="F72" s="1"/>
      <c r="G72" s="1" t="s">
        <v>145</v>
      </c>
    </row>
    <row r="73" ht="12.75" customHeight="1">
      <c r="A73" s="1" t="s">
        <v>146</v>
      </c>
      <c r="B73" s="2" t="str">
        <f>HYPERLINK("https://wals.info/values/30A-goo","None")</f>
        <v>None</v>
      </c>
      <c r="C73" s="2" t="str">
        <f t="shared" si="1"/>
        <v>Number of Genders</v>
      </c>
      <c r="D73" s="2" t="str">
        <f>HYPERLINK("https://wals.info/languoid/lect/wals_code_goo","Gooniyandi")</f>
        <v>Gooniyandi</v>
      </c>
      <c r="E73" s="1"/>
      <c r="F73" s="1"/>
      <c r="G73" s="1" t="s">
        <v>147</v>
      </c>
    </row>
    <row r="74" ht="12.75" customHeight="1">
      <c r="A74" s="1" t="s">
        <v>148</v>
      </c>
      <c r="B74" s="2" t="str">
        <f>HYPERLINK("https://wals.info/values/30A-grb","Three")</f>
        <v>Three</v>
      </c>
      <c r="C74" s="2" t="str">
        <f t="shared" si="1"/>
        <v>Number of Genders</v>
      </c>
      <c r="D74" s="2" t="str">
        <f>HYPERLINK("https://wals.info/languoid/lect/wals_code_grb","Grebo")</f>
        <v>Grebo</v>
      </c>
      <c r="E74" s="1"/>
      <c r="F74" s="1"/>
      <c r="G74" s="1" t="s">
        <v>149</v>
      </c>
    </row>
    <row r="75" ht="12.75" customHeight="1">
      <c r="A75" s="1" t="s">
        <v>150</v>
      </c>
      <c r="B75" s="2" t="str">
        <f>HYPERLINK("https://wals.info/values/30A-grk","Three")</f>
        <v>Three</v>
      </c>
      <c r="C75" s="2" t="str">
        <f t="shared" si="1"/>
        <v>Number of Genders</v>
      </c>
      <c r="D75" s="2" t="str">
        <f>HYPERLINK("https://wals.info/languoid/lect/wals_code_grk","Greek (Modern)")</f>
        <v>Greek (Modern)</v>
      </c>
      <c r="E75" s="1"/>
      <c r="F75" s="1"/>
      <c r="G75" s="1" t="s">
        <v>151</v>
      </c>
    </row>
    <row r="76" ht="12.75" customHeight="1">
      <c r="A76" s="1" t="s">
        <v>152</v>
      </c>
      <c r="B76" s="2" t="str">
        <f>HYPERLINK("https://wals.info/values/30A-grw","None")</f>
        <v>None</v>
      </c>
      <c r="C76" s="2" t="str">
        <f t="shared" si="1"/>
        <v>Number of Genders</v>
      </c>
      <c r="D76" s="2" t="str">
        <f>HYPERLINK("https://wals.info/languoid/lect/wals_code_grw","Greenlandic (West)")</f>
        <v>Greenlandic (West)</v>
      </c>
      <c r="E76" s="1"/>
      <c r="F76" s="1"/>
      <c r="G76" s="1" t="s">
        <v>153</v>
      </c>
    </row>
    <row r="77" ht="12.75" customHeight="1">
      <c r="A77" s="1" t="s">
        <v>154</v>
      </c>
      <c r="B77" s="2" t="str">
        <f>HYPERLINK("https://wals.info/values/30A-gua","None")</f>
        <v>None</v>
      </c>
      <c r="C77" s="2" t="str">
        <f t="shared" si="1"/>
        <v>Number of Genders</v>
      </c>
      <c r="D77" s="2" t="str">
        <f>HYPERLINK("https://wals.info/languoid/lect/wals_code_gua","Guaraní")</f>
        <v>Guaraní</v>
      </c>
      <c r="E77" s="1"/>
      <c r="F77" s="1"/>
      <c r="G77" s="1" t="s">
        <v>155</v>
      </c>
    </row>
    <row r="78" ht="12.75" customHeight="1">
      <c r="A78" s="1" t="s">
        <v>156</v>
      </c>
      <c r="B78" s="2" t="str">
        <f>HYPERLINK("https://wals.info/values/30A-guu","None")</f>
        <v>None</v>
      </c>
      <c r="C78" s="2" t="str">
        <f t="shared" si="1"/>
        <v>Number of Genders</v>
      </c>
      <c r="D78" s="2" t="str">
        <f>HYPERLINK("https://wals.info/languoid/lect/wals_code_guu","Guugu Yimidhirr")</f>
        <v>Guugu Yimidhirr</v>
      </c>
      <c r="E78" s="1"/>
      <c r="F78" s="1"/>
      <c r="G78" s="1" t="s">
        <v>157</v>
      </c>
    </row>
    <row r="79" ht="12.75" customHeight="1">
      <c r="A79" s="1" t="s">
        <v>158</v>
      </c>
      <c r="B79" s="2" t="str">
        <f>HYPERLINK("https://wals.info/values/30A-hai","None")</f>
        <v>None</v>
      </c>
      <c r="C79" s="2" t="str">
        <f t="shared" si="1"/>
        <v>Number of Genders</v>
      </c>
      <c r="D79" s="2" t="str">
        <f>HYPERLINK("https://wals.info/languoid/lect/wals_code_hai","Haida")</f>
        <v>Haida</v>
      </c>
      <c r="E79" s="1"/>
      <c r="F79" s="1"/>
      <c r="G79" s="1" t="s">
        <v>159</v>
      </c>
    </row>
    <row r="80" ht="12.75" customHeight="1">
      <c r="A80" s="1" t="s">
        <v>160</v>
      </c>
      <c r="B80" s="2" t="str">
        <f>HYPERLINK("https://wals.info/values/30A-hat","None")</f>
        <v>None</v>
      </c>
      <c r="C80" s="2" t="str">
        <f t="shared" si="1"/>
        <v>Number of Genders</v>
      </c>
      <c r="D80" s="2" t="str">
        <f>HYPERLINK("https://wals.info/languoid/lect/wals_code_hat","Hatam")</f>
        <v>Hatam</v>
      </c>
      <c r="E80" s="1"/>
      <c r="F80" s="1"/>
      <c r="G80" s="1" t="s">
        <v>161</v>
      </c>
    </row>
    <row r="81" ht="12.75" customHeight="1">
      <c r="A81" s="1" t="s">
        <v>162</v>
      </c>
      <c r="B81" s="2" t="str">
        <f>HYPERLINK("https://wals.info/values/30A-hau","Two")</f>
        <v>Two</v>
      </c>
      <c r="C81" s="2" t="str">
        <f t="shared" si="1"/>
        <v>Number of Genders</v>
      </c>
      <c r="D81" s="2" t="str">
        <f>HYPERLINK("https://wals.info/languoid/lect/wals_code_hau","Hausa")</f>
        <v>Hausa</v>
      </c>
      <c r="E81" s="1"/>
      <c r="F81" s="1"/>
      <c r="G81" s="1" t="s">
        <v>163</v>
      </c>
    </row>
    <row r="82" ht="12.75" customHeight="1">
      <c r="A82" s="1" t="s">
        <v>164</v>
      </c>
      <c r="B82" s="2" t="str">
        <f>HYPERLINK("https://wals.info/values/30A-haw","None")</f>
        <v>None</v>
      </c>
      <c r="C82" s="2" t="str">
        <f t="shared" si="1"/>
        <v>Number of Genders</v>
      </c>
      <c r="D82" s="2" t="str">
        <f>HYPERLINK("https://wals.info/languoid/lect/wals_code_haw","Hawaiian")</f>
        <v>Hawaiian</v>
      </c>
      <c r="E82" s="1"/>
      <c r="F82" s="1"/>
      <c r="G82" s="1" t="s">
        <v>165</v>
      </c>
    </row>
    <row r="83" ht="12.75" customHeight="1">
      <c r="A83" s="1" t="s">
        <v>166</v>
      </c>
      <c r="B83" s="2" t="str">
        <f>HYPERLINK("https://wals.info/values/30A-hay","None")</f>
        <v>None</v>
      </c>
      <c r="C83" s="2" t="str">
        <f t="shared" si="1"/>
        <v>Number of Genders</v>
      </c>
      <c r="D83" s="2" t="str">
        <f>HYPERLINK("https://wals.info/languoid/lect/wals_code_hay","Hayu")</f>
        <v>Hayu</v>
      </c>
      <c r="E83" s="1"/>
      <c r="F83" s="1"/>
      <c r="G83" s="1" t="s">
        <v>167</v>
      </c>
    </row>
    <row r="84" ht="12.75" customHeight="1">
      <c r="A84" s="1" t="s">
        <v>168</v>
      </c>
      <c r="B84" s="2" t="str">
        <f>HYPERLINK("https://wals.info/values/30A-heb","Two")</f>
        <v>Two</v>
      </c>
      <c r="C84" s="2" t="str">
        <f t="shared" si="1"/>
        <v>Number of Genders</v>
      </c>
      <c r="D84" s="2" t="str">
        <f>HYPERLINK("https://wals.info/languoid/lect/wals_code_heb","Hebrew (Modern)")</f>
        <v>Hebrew (Modern)</v>
      </c>
      <c r="E84" s="1"/>
      <c r="F84" s="1"/>
      <c r="G84" s="1" t="s">
        <v>169</v>
      </c>
    </row>
    <row r="85" ht="12.75" customHeight="1">
      <c r="A85" s="1" t="s">
        <v>170</v>
      </c>
      <c r="B85" s="2" t="str">
        <f>HYPERLINK("https://wals.info/values/30A-hin","Two")</f>
        <v>Two</v>
      </c>
      <c r="C85" s="2" t="str">
        <f t="shared" si="1"/>
        <v>Number of Genders</v>
      </c>
      <c r="D85" s="2" t="str">
        <f>HYPERLINK("https://wals.info/languoid/lect/wals_code_hin","Hindi")</f>
        <v>Hindi</v>
      </c>
      <c r="E85" s="1"/>
      <c r="F85" s="1"/>
      <c r="G85" s="1" t="s">
        <v>171</v>
      </c>
    </row>
    <row r="86" ht="12.75" customHeight="1">
      <c r="A86" s="1" t="s">
        <v>172</v>
      </c>
      <c r="B86" s="2" t="str">
        <f>HYPERLINK("https://wals.info/values/30A-hix","Two")</f>
        <v>Two</v>
      </c>
      <c r="C86" s="2" t="str">
        <f t="shared" si="1"/>
        <v>Number of Genders</v>
      </c>
      <c r="D86" s="2" t="str">
        <f>HYPERLINK("https://wals.info/languoid/lect/wals_code_hix","Hixkaryana")</f>
        <v>Hixkaryana</v>
      </c>
      <c r="E86" s="1"/>
      <c r="F86" s="1"/>
      <c r="G86" s="1" t="s">
        <v>173</v>
      </c>
    </row>
    <row r="87" ht="12.75" customHeight="1">
      <c r="A87" s="1" t="s">
        <v>174</v>
      </c>
      <c r="B87" s="2" t="str">
        <f>HYPERLINK("https://wals.info/values/30A-hmo","None")</f>
        <v>None</v>
      </c>
      <c r="C87" s="2" t="str">
        <f t="shared" si="1"/>
        <v>Number of Genders</v>
      </c>
      <c r="D87" s="2" t="str">
        <f>HYPERLINK("https://wals.info/languoid/lect/wals_code_hmo","Hmong Njua")</f>
        <v>Hmong Njua</v>
      </c>
      <c r="E87" s="1"/>
      <c r="F87" s="1"/>
      <c r="G87" s="1" t="s">
        <v>175</v>
      </c>
    </row>
    <row r="88" ht="12.75" customHeight="1">
      <c r="A88" s="1" t="s">
        <v>176</v>
      </c>
      <c r="B88" s="2" t="str">
        <f>HYPERLINK("https://wals.info/values/30A-hun","None")</f>
        <v>None</v>
      </c>
      <c r="C88" s="2" t="str">
        <f t="shared" si="1"/>
        <v>Number of Genders</v>
      </c>
      <c r="D88" s="2" t="str">
        <f>HYPERLINK("https://wals.info/languoid/lect/wals_code_hun","Hungarian")</f>
        <v>Hungarian</v>
      </c>
      <c r="E88" s="1"/>
      <c r="F88" s="1"/>
      <c r="G88" s="1"/>
    </row>
    <row r="89" ht="12.75" customHeight="1">
      <c r="A89" s="1" t="s">
        <v>177</v>
      </c>
      <c r="B89" s="2" t="str">
        <f>HYPERLINK("https://wals.info/values/30A-hzb","Five or more")</f>
        <v>Five or more</v>
      </c>
      <c r="C89" s="2" t="str">
        <f t="shared" si="1"/>
        <v>Number of Genders</v>
      </c>
      <c r="D89" s="2" t="str">
        <f>HYPERLINK("https://wals.info/languoid/lect/wals_code_hzb","Hunzib")</f>
        <v>Hunzib</v>
      </c>
      <c r="E89" s="1"/>
      <c r="F89" s="1"/>
      <c r="G89" s="1" t="s">
        <v>178</v>
      </c>
    </row>
    <row r="90" ht="12.75" customHeight="1">
      <c r="A90" s="1" t="s">
        <v>179</v>
      </c>
      <c r="B90" s="2" t="str">
        <f>HYPERLINK("https://wals.info/values/30A-iaa","None")</f>
        <v>None</v>
      </c>
      <c r="C90" s="2" t="str">
        <f t="shared" si="1"/>
        <v>Number of Genders</v>
      </c>
      <c r="D90" s="2" t="str">
        <f>HYPERLINK("https://wals.info/languoid/lect/wals_code_iaa","Iaai")</f>
        <v>Iaai</v>
      </c>
      <c r="E90" s="1"/>
      <c r="F90" s="1"/>
      <c r="G90" s="1" t="s">
        <v>180</v>
      </c>
    </row>
    <row r="91" ht="12.75" customHeight="1">
      <c r="A91" s="1" t="s">
        <v>181</v>
      </c>
      <c r="B91" s="2" t="str">
        <f>HYPERLINK("https://wals.info/values/30A-ice","Three")</f>
        <v>Three</v>
      </c>
      <c r="C91" s="2" t="str">
        <f t="shared" si="1"/>
        <v>Number of Genders</v>
      </c>
      <c r="D91" s="2" t="str">
        <f>HYPERLINK("https://wals.info/languoid/lect/wals_code_ice","Icelandic")</f>
        <v>Icelandic</v>
      </c>
      <c r="E91" s="1"/>
      <c r="F91" s="1"/>
      <c r="G91" s="1" t="s">
        <v>182</v>
      </c>
    </row>
    <row r="92" ht="12.75" customHeight="1">
      <c r="A92" s="1" t="s">
        <v>183</v>
      </c>
      <c r="B92" s="2" t="str">
        <f>HYPERLINK("https://wals.info/values/30A-igb","None")</f>
        <v>None</v>
      </c>
      <c r="C92" s="2" t="str">
        <f t="shared" si="1"/>
        <v>Number of Genders</v>
      </c>
      <c r="D92" s="2" t="str">
        <f>HYPERLINK("https://wals.info/languoid/lect/wals_code_igb","Igbo")</f>
        <v>Igbo</v>
      </c>
      <c r="E92" s="1"/>
      <c r="F92" s="1"/>
      <c r="G92" s="1" t="s">
        <v>184</v>
      </c>
    </row>
    <row r="93" ht="12.75" customHeight="1">
      <c r="A93" s="1" t="s">
        <v>185</v>
      </c>
      <c r="B93" s="2" t="str">
        <f>HYPERLINK("https://wals.info/values/30A-ika","None")</f>
        <v>None</v>
      </c>
      <c r="C93" s="2" t="str">
        <f t="shared" si="1"/>
        <v>Number of Genders</v>
      </c>
      <c r="D93" s="2" t="str">
        <f>HYPERLINK("https://wals.info/languoid/lect/wals_code_ika","Ika")</f>
        <v>Ika</v>
      </c>
      <c r="E93" s="1"/>
      <c r="F93" s="1"/>
      <c r="G93" s="1" t="s">
        <v>186</v>
      </c>
    </row>
    <row r="94" ht="12.75" customHeight="1">
      <c r="A94" s="1" t="s">
        <v>187</v>
      </c>
      <c r="B94" s="2" t="str">
        <f>HYPERLINK("https://wals.info/values/30A-imo","None")</f>
        <v>None</v>
      </c>
      <c r="C94" s="2" t="str">
        <f t="shared" si="1"/>
        <v>Number of Genders</v>
      </c>
      <c r="D94" s="2" t="str">
        <f>HYPERLINK("https://wals.info/languoid/lect/wals_code_imo","Imonda")</f>
        <v>Imonda</v>
      </c>
      <c r="E94" s="1"/>
      <c r="F94" s="1"/>
      <c r="G94" s="1" t="s">
        <v>188</v>
      </c>
    </row>
    <row r="95" ht="12.75" customHeight="1">
      <c r="A95" s="1" t="s">
        <v>189</v>
      </c>
      <c r="B95" s="2" t="str">
        <f>HYPERLINK("https://wals.info/values/30A-ind","None")</f>
        <v>None</v>
      </c>
      <c r="C95" s="2" t="str">
        <f t="shared" si="1"/>
        <v>Number of Genders</v>
      </c>
      <c r="D95" s="2" t="str">
        <f>HYPERLINK("https://wals.info/languoid/lect/wals_code_ind","Indonesian")</f>
        <v>Indonesian</v>
      </c>
      <c r="E95" s="1"/>
      <c r="F95" s="1"/>
      <c r="G95" s="1" t="s">
        <v>190</v>
      </c>
    </row>
    <row r="96" ht="12.75" customHeight="1">
      <c r="A96" s="1" t="s">
        <v>191</v>
      </c>
      <c r="B96" s="2" t="str">
        <f>HYPERLINK("https://wals.info/values/30A-ing","Five or more")</f>
        <v>Five or more</v>
      </c>
      <c r="C96" s="2" t="str">
        <f t="shared" si="1"/>
        <v>Number of Genders</v>
      </c>
      <c r="D96" s="2" t="str">
        <f>HYPERLINK("https://wals.info/languoid/lect/wals_code_ing","Ingush")</f>
        <v>Ingush</v>
      </c>
      <c r="E96" s="1"/>
      <c r="F96" s="1"/>
      <c r="G96" s="1" t="s">
        <v>192</v>
      </c>
    </row>
    <row r="97" ht="12.75" customHeight="1">
      <c r="A97" s="1" t="s">
        <v>193</v>
      </c>
      <c r="B97" s="2" t="str">
        <f>HYPERLINK("https://wals.info/values/30A-irq","Two")</f>
        <v>Two</v>
      </c>
      <c r="C97" s="2" t="str">
        <f t="shared" si="1"/>
        <v>Number of Genders</v>
      </c>
      <c r="D97" s="2" t="str">
        <f>HYPERLINK("https://wals.info/languoid/lect/wals_code_irq","Iraqw")</f>
        <v>Iraqw</v>
      </c>
      <c r="E97" s="1"/>
      <c r="F97" s="1"/>
      <c r="G97" s="1" t="s">
        <v>194</v>
      </c>
    </row>
    <row r="98" ht="12.75" customHeight="1">
      <c r="A98" s="1" t="s">
        <v>195</v>
      </c>
      <c r="B98" s="2" t="str">
        <f>HYPERLINK("https://wals.info/values/30A-ite","None")</f>
        <v>None</v>
      </c>
      <c r="C98" s="2" t="str">
        <f t="shared" si="1"/>
        <v>Number of Genders</v>
      </c>
      <c r="D98" s="2" t="str">
        <f>HYPERLINK("https://wals.info/languoid/lect/wals_code_ite","Itelmen")</f>
        <v>Itelmen</v>
      </c>
      <c r="E98" s="1"/>
      <c r="F98" s="1"/>
      <c r="G98" s="1" t="s">
        <v>196</v>
      </c>
    </row>
    <row r="99" ht="12.75" customHeight="1">
      <c r="A99" s="1" t="s">
        <v>197</v>
      </c>
      <c r="B99" s="2" t="str">
        <f>HYPERLINK("https://wals.info/values/30A-jaq","None")</f>
        <v>None</v>
      </c>
      <c r="C99" s="2" t="str">
        <f t="shared" si="1"/>
        <v>Number of Genders</v>
      </c>
      <c r="D99" s="2" t="str">
        <f>HYPERLINK("https://wals.info/languoid/lect/wals_code_jaq","Jaqaru")</f>
        <v>Jaqaru</v>
      </c>
      <c r="E99" s="1"/>
      <c r="F99" s="1"/>
      <c r="G99" s="1" t="s">
        <v>198</v>
      </c>
    </row>
    <row r="100" ht="12.75" customHeight="1">
      <c r="A100" s="1" t="s">
        <v>199</v>
      </c>
      <c r="B100" s="2" t="str">
        <f>HYPERLINK("https://wals.info/values/30A-juh","Five or more")</f>
        <v>Five or more</v>
      </c>
      <c r="C100" s="2" t="str">
        <f t="shared" si="1"/>
        <v>Number of Genders</v>
      </c>
      <c r="D100" s="2" t="str">
        <f>HYPERLINK("https://wals.info/languoid/lect/wals_code_juh","Ju|'hoan")</f>
        <v>Ju|'hoan</v>
      </c>
      <c r="E100" s="1"/>
      <c r="F100" s="1"/>
      <c r="G100" s="1" t="s">
        <v>200</v>
      </c>
    </row>
    <row r="101" ht="12.75" customHeight="1">
      <c r="A101" s="1" t="s">
        <v>201</v>
      </c>
      <c r="B101" s="2" t="str">
        <f>HYPERLINK("https://wals.info/values/30A-kam","None")</f>
        <v>None</v>
      </c>
      <c r="C101" s="2" t="str">
        <f t="shared" si="1"/>
        <v>Number of Genders</v>
      </c>
      <c r="D101" s="2" t="str">
        <f>HYPERLINK("https://wals.info/languoid/lect/wals_code_kam","Kambera")</f>
        <v>Kambera</v>
      </c>
      <c r="E101" s="1"/>
      <c r="F101" s="1"/>
      <c r="G101" s="1" t="s">
        <v>202</v>
      </c>
    </row>
    <row r="102" ht="12.75" customHeight="1">
      <c r="A102" s="1" t="s">
        <v>203</v>
      </c>
      <c r="B102" s="2" t="str">
        <f>HYPERLINK("https://wals.info/values/30A-knd","Three")</f>
        <v>Three</v>
      </c>
      <c r="C102" s="2" t="str">
        <f t="shared" si="1"/>
        <v>Number of Genders</v>
      </c>
      <c r="D102" s="2" t="str">
        <f>HYPERLINK("https://wals.info/languoid/lect/wals_code_knd","Kannada")</f>
        <v>Kannada</v>
      </c>
      <c r="E102" s="1"/>
      <c r="F102" s="1"/>
      <c r="G102" s="1" t="s">
        <v>204</v>
      </c>
    </row>
    <row r="103" ht="12.75" customHeight="1">
      <c r="A103" s="1" t="s">
        <v>205</v>
      </c>
      <c r="B103" s="2" t="str">
        <f>HYPERLINK("https://wals.info/values/30A-knr","None")</f>
        <v>None</v>
      </c>
      <c r="C103" s="2" t="str">
        <f t="shared" si="1"/>
        <v>Number of Genders</v>
      </c>
      <c r="D103" s="2" t="str">
        <f>HYPERLINK("https://wals.info/languoid/lect/wals_code_knr","Kanuri")</f>
        <v>Kanuri</v>
      </c>
      <c r="E103" s="1"/>
      <c r="F103" s="1"/>
      <c r="G103" s="1" t="s">
        <v>206</v>
      </c>
    </row>
    <row r="104" ht="12.75" customHeight="1">
      <c r="A104" s="1" t="s">
        <v>207</v>
      </c>
      <c r="B104" s="2" t="str">
        <f>HYPERLINK("https://wals.info/values/30A-krk","None")</f>
        <v>None</v>
      </c>
      <c r="C104" s="2" t="str">
        <f t="shared" si="1"/>
        <v>Number of Genders</v>
      </c>
      <c r="D104" s="2" t="str">
        <f>HYPERLINK("https://wals.info/languoid/lect/wals_code_krk","Karok")</f>
        <v>Karok</v>
      </c>
      <c r="E104" s="1"/>
      <c r="F104" s="1"/>
      <c r="G104" s="1" t="s">
        <v>208</v>
      </c>
    </row>
    <row r="105" ht="12.75" customHeight="1">
      <c r="A105" s="1" t="s">
        <v>209</v>
      </c>
      <c r="B105" s="2" t="str">
        <f>HYPERLINK("https://wals.info/values/30A-kas","Two")</f>
        <v>Two</v>
      </c>
      <c r="C105" s="2" t="str">
        <f t="shared" si="1"/>
        <v>Number of Genders</v>
      </c>
      <c r="D105" s="2" t="str">
        <f>HYPERLINK("https://wals.info/languoid/lect/wals_code_kas","Kashmiri")</f>
        <v>Kashmiri</v>
      </c>
      <c r="E105" s="1"/>
      <c r="F105" s="1"/>
      <c r="G105" s="1" t="s">
        <v>210</v>
      </c>
    </row>
    <row r="106" ht="12.75" customHeight="1">
      <c r="A106" s="1" t="s">
        <v>211</v>
      </c>
      <c r="B106" s="2" t="str">
        <f>HYPERLINK("https://wals.info/values/30A-kay","None")</f>
        <v>None</v>
      </c>
      <c r="C106" s="2" t="str">
        <f t="shared" si="1"/>
        <v>Number of Genders</v>
      </c>
      <c r="D106" s="2" t="str">
        <f>HYPERLINK("https://wals.info/languoid/lect/wals_code_kay","Kayardild")</f>
        <v>Kayardild</v>
      </c>
      <c r="E106" s="1"/>
      <c r="F106" s="1"/>
      <c r="G106" s="1" t="s">
        <v>212</v>
      </c>
    </row>
    <row r="107" ht="12.75" customHeight="1">
      <c r="A107" s="1" t="s">
        <v>213</v>
      </c>
      <c r="B107" s="2" t="str">
        <f>HYPERLINK("https://wals.info/values/30A-ket","Three")</f>
        <v>Three</v>
      </c>
      <c r="C107" s="2" t="str">
        <f t="shared" si="1"/>
        <v>Number of Genders</v>
      </c>
      <c r="D107" s="2" t="str">
        <f>HYPERLINK("https://wals.info/languoid/lect/wals_code_ket","Ket")</f>
        <v>Ket</v>
      </c>
      <c r="E107" s="1"/>
      <c r="F107" s="1"/>
      <c r="G107" s="1" t="s">
        <v>214</v>
      </c>
    </row>
    <row r="108" ht="12.75" customHeight="1">
      <c r="A108" s="1" t="s">
        <v>215</v>
      </c>
      <c r="B108" s="2" t="str">
        <f>HYPERLINK("https://wals.info/values/30A-kew","None")</f>
        <v>None</v>
      </c>
      <c r="C108" s="2" t="str">
        <f t="shared" si="1"/>
        <v>Number of Genders</v>
      </c>
      <c r="D108" s="2" t="str">
        <f>HYPERLINK("https://wals.info/languoid/lect/wals_code_kew","Kewa")</f>
        <v>Kewa</v>
      </c>
      <c r="E108" s="1"/>
      <c r="F108" s="1"/>
      <c r="G108" s="1" t="s">
        <v>216</v>
      </c>
    </row>
    <row r="109" ht="12.75" customHeight="1">
      <c r="A109" s="1" t="s">
        <v>217</v>
      </c>
      <c r="B109" s="2" t="str">
        <f>HYPERLINK("https://wals.info/values/30A-khk","None")</f>
        <v>None</v>
      </c>
      <c r="C109" s="2" t="str">
        <f t="shared" si="1"/>
        <v>Number of Genders</v>
      </c>
      <c r="D109" s="2" t="str">
        <f>HYPERLINK("https://wals.info/languoid/lect/wals_code_khk","Khakas")</f>
        <v>Khakas</v>
      </c>
      <c r="E109" s="1"/>
      <c r="F109" s="1"/>
      <c r="G109" s="1" t="s">
        <v>218</v>
      </c>
    </row>
    <row r="110" ht="12.75" customHeight="1">
      <c r="A110" s="1" t="s">
        <v>219</v>
      </c>
      <c r="B110" s="2" t="str">
        <f>HYPERLINK("https://wals.info/values/30A-khl","None")</f>
        <v>None</v>
      </c>
      <c r="C110" s="2" t="str">
        <f t="shared" si="1"/>
        <v>Number of Genders</v>
      </c>
      <c r="D110" s="2" t="str">
        <f>HYPERLINK("https://wals.info/languoid/lect/wals_code_khl","Khalaj")</f>
        <v>Khalaj</v>
      </c>
      <c r="E110" s="1"/>
      <c r="F110" s="1"/>
      <c r="G110" s="1" t="s">
        <v>220</v>
      </c>
    </row>
    <row r="111" ht="12.75" customHeight="1">
      <c r="A111" s="1" t="s">
        <v>221</v>
      </c>
      <c r="B111" s="2" t="str">
        <f>HYPERLINK("https://wals.info/values/30A-kha","None")</f>
        <v>None</v>
      </c>
      <c r="C111" s="2" t="str">
        <f t="shared" si="1"/>
        <v>Number of Genders</v>
      </c>
      <c r="D111" s="2" t="str">
        <f>HYPERLINK("https://wals.info/languoid/lect/wals_code_kha","Khalkha")</f>
        <v>Khalkha</v>
      </c>
      <c r="E111" s="1"/>
      <c r="F111" s="1"/>
      <c r="G111" s="1" t="s">
        <v>222</v>
      </c>
    </row>
    <row r="112" ht="12.75" customHeight="1">
      <c r="A112" s="1" t="s">
        <v>223</v>
      </c>
      <c r="B112" s="2" t="str">
        <f>HYPERLINK("https://wals.info/values/30A-khs","Two")</f>
        <v>Two</v>
      </c>
      <c r="C112" s="2" t="str">
        <f t="shared" si="1"/>
        <v>Number of Genders</v>
      </c>
      <c r="D112" s="2" t="str">
        <f>HYPERLINK("https://wals.info/languoid/lect/wals_code_khs","Khasi")</f>
        <v>Khasi</v>
      </c>
      <c r="E112" s="1"/>
      <c r="F112" s="1"/>
      <c r="G112" s="1" t="s">
        <v>224</v>
      </c>
    </row>
    <row r="113" ht="12.75" customHeight="1">
      <c r="A113" s="1" t="s">
        <v>225</v>
      </c>
      <c r="B113" s="2" t="str">
        <f>HYPERLINK("https://wals.info/values/30A-khm","None")</f>
        <v>None</v>
      </c>
      <c r="C113" s="2" t="str">
        <f t="shared" si="1"/>
        <v>Number of Genders</v>
      </c>
      <c r="D113" s="2" t="str">
        <f>HYPERLINK("https://wals.info/languoid/lect/wals_code_khm","Khmer")</f>
        <v>Khmer</v>
      </c>
      <c r="E113" s="1"/>
      <c r="F113" s="1"/>
      <c r="G113" s="1" t="s">
        <v>226</v>
      </c>
    </row>
    <row r="114" ht="12.75" customHeight="1">
      <c r="A114" s="1" t="s">
        <v>227</v>
      </c>
      <c r="B114" s="2" t="str">
        <f>HYPERLINK("https://wals.info/values/30A-kmu","Two")</f>
        <v>Two</v>
      </c>
      <c r="C114" s="2" t="str">
        <f t="shared" si="1"/>
        <v>Number of Genders</v>
      </c>
      <c r="D114" s="2" t="str">
        <f>HYPERLINK("https://wals.info/languoid/lect/wals_code_kmu","Khmu'")</f>
        <v>Khmu'</v>
      </c>
      <c r="E114" s="1"/>
      <c r="F114" s="1"/>
      <c r="G114" s="1" t="s">
        <v>228</v>
      </c>
    </row>
    <row r="115" ht="12.75" customHeight="1">
      <c r="A115" s="1" t="s">
        <v>229</v>
      </c>
      <c r="B115" s="2" t="str">
        <f>HYPERLINK("https://wals.info/values/30A-kho","Three")</f>
        <v>Three</v>
      </c>
      <c r="C115" s="2" t="str">
        <f t="shared" si="1"/>
        <v>Number of Genders</v>
      </c>
      <c r="D115" s="2" t="str">
        <f>HYPERLINK("https://wals.info/languoid/lect/wals_code_kho","Khoekhoe")</f>
        <v>Khoekhoe</v>
      </c>
      <c r="E115" s="1"/>
      <c r="F115" s="1"/>
      <c r="G115" s="1" t="s">
        <v>230</v>
      </c>
    </row>
    <row r="116" ht="12.75" customHeight="1">
      <c r="A116" s="1" t="s">
        <v>231</v>
      </c>
      <c r="B116" s="2" t="str">
        <f>HYPERLINK("https://wals.info/values/30A-klv","None")</f>
        <v>None</v>
      </c>
      <c r="C116" s="2" t="str">
        <f t="shared" si="1"/>
        <v>Number of Genders</v>
      </c>
      <c r="D116" s="2" t="str">
        <f>HYPERLINK("https://wals.info/languoid/lect/wals_code_klv","Kilivila")</f>
        <v>Kilivila</v>
      </c>
      <c r="E116" s="1"/>
      <c r="F116" s="1"/>
      <c r="G116" s="1" t="s">
        <v>232</v>
      </c>
    </row>
    <row r="117" ht="12.75" customHeight="1">
      <c r="A117" s="1" t="s">
        <v>233</v>
      </c>
      <c r="B117" s="2" t="str">
        <f>HYPERLINK("https://wals.info/values/30A-kgz","None")</f>
        <v>None</v>
      </c>
      <c r="C117" s="2" t="str">
        <f t="shared" si="1"/>
        <v>Number of Genders</v>
      </c>
      <c r="D117" s="2" t="str">
        <f>HYPERLINK("https://wals.info/languoid/lect/wals_code_kgz","Kirghiz")</f>
        <v>Kirghiz</v>
      </c>
      <c r="E117" s="1"/>
      <c r="F117" s="1"/>
      <c r="G117" s="1" t="s">
        <v>234</v>
      </c>
    </row>
    <row r="118" ht="12.75" customHeight="1">
      <c r="A118" s="1" t="s">
        <v>235</v>
      </c>
      <c r="B118" s="2" t="str">
        <f>HYPERLINK("https://wals.info/values/30A-kis","Five or more")</f>
        <v>Five or more</v>
      </c>
      <c r="C118" s="2" t="str">
        <f t="shared" si="1"/>
        <v>Number of Genders</v>
      </c>
      <c r="D118" s="2" t="str">
        <f>HYPERLINK("https://wals.info/languoid/lect/wals_code_kis","Kisi")</f>
        <v>Kisi</v>
      </c>
      <c r="E118" s="1"/>
      <c r="F118" s="1"/>
      <c r="G118" s="1" t="s">
        <v>236</v>
      </c>
    </row>
    <row r="119" ht="12.75" customHeight="1">
      <c r="A119" s="1" t="s">
        <v>237</v>
      </c>
      <c r="B119" s="2" t="str">
        <f>HYPERLINK("https://wals.info/values/30A-koa","None")</f>
        <v>None</v>
      </c>
      <c r="C119" s="2" t="str">
        <f t="shared" si="1"/>
        <v>Number of Genders</v>
      </c>
      <c r="D119" s="2" t="str">
        <f>HYPERLINK("https://wals.info/languoid/lect/wals_code_koa","Koasati")</f>
        <v>Koasati</v>
      </c>
      <c r="E119" s="1"/>
      <c r="F119" s="1"/>
      <c r="G119" s="1" t="s">
        <v>238</v>
      </c>
    </row>
    <row r="120" ht="12.75" customHeight="1">
      <c r="A120" s="1" t="s">
        <v>239</v>
      </c>
      <c r="B120" s="2" t="str">
        <f>HYPERLINK("https://wals.info/values/30A-kob","None")</f>
        <v>None</v>
      </c>
      <c r="C120" s="2" t="str">
        <f t="shared" si="1"/>
        <v>Number of Genders</v>
      </c>
      <c r="D120" s="2" t="str">
        <f>HYPERLINK("https://wals.info/languoid/lect/wals_code_kob","Kobon")</f>
        <v>Kobon</v>
      </c>
      <c r="E120" s="1"/>
      <c r="F120" s="1"/>
      <c r="G120" s="1" t="s">
        <v>240</v>
      </c>
    </row>
    <row r="121" ht="12.75" customHeight="1">
      <c r="A121" s="1" t="s">
        <v>241</v>
      </c>
      <c r="B121" s="2" t="str">
        <f>HYPERLINK("https://wals.info/values/30A-kol","Two")</f>
        <v>Two</v>
      </c>
      <c r="C121" s="2" t="str">
        <f t="shared" si="1"/>
        <v>Number of Genders</v>
      </c>
      <c r="D121" s="2" t="str">
        <f>HYPERLINK("https://wals.info/languoid/lect/wals_code_kol","Kolami")</f>
        <v>Kolami</v>
      </c>
      <c r="E121" s="1"/>
      <c r="F121" s="1"/>
      <c r="G121" s="1" t="s">
        <v>242</v>
      </c>
    </row>
    <row r="122" ht="12.75" customHeight="1">
      <c r="A122" s="1" t="s">
        <v>243</v>
      </c>
      <c r="B122" s="2" t="str">
        <f>HYPERLINK("https://wals.info/values/30A-kon","Five or more")</f>
        <v>Five or more</v>
      </c>
      <c r="C122" s="2" t="str">
        <f t="shared" si="1"/>
        <v>Number of Genders</v>
      </c>
      <c r="D122" s="2" t="str">
        <f>HYPERLINK("https://wals.info/languoid/lect/wals_code_kon","Kongo")</f>
        <v>Kongo</v>
      </c>
      <c r="E122" s="1"/>
      <c r="F122" s="1"/>
      <c r="G122" s="1" t="s">
        <v>244</v>
      </c>
    </row>
    <row r="123" ht="12.75" customHeight="1">
      <c r="A123" s="1" t="s">
        <v>245</v>
      </c>
      <c r="B123" s="2" t="str">
        <f>HYPERLINK("https://wals.info/values/30A-kfe","Three")</f>
        <v>Three</v>
      </c>
      <c r="C123" s="2" t="str">
        <f t="shared" si="1"/>
        <v>Number of Genders</v>
      </c>
      <c r="D123" s="2" t="str">
        <f>HYPERLINK("https://wals.info/languoid/lect/wals_code_kfe","Koromfe")</f>
        <v>Koromfe</v>
      </c>
      <c r="E123" s="1"/>
      <c r="F123" s="1"/>
      <c r="G123" s="1" t="s">
        <v>246</v>
      </c>
    </row>
    <row r="124" ht="12.75" customHeight="1">
      <c r="A124" s="1" t="s">
        <v>247</v>
      </c>
      <c r="B124" s="2" t="str">
        <f>HYPERLINK("https://wals.info/values/30A-kse","None")</f>
        <v>None</v>
      </c>
      <c r="C124" s="2" t="str">
        <f t="shared" si="1"/>
        <v>Number of Genders</v>
      </c>
      <c r="D124" s="2" t="str">
        <f>HYPERLINK("https://wals.info/languoid/lect/wals_code_kse","Koyraboro Senni")</f>
        <v>Koyraboro Senni</v>
      </c>
      <c r="E124" s="1"/>
      <c r="F124" s="1"/>
      <c r="G124" s="1" t="s">
        <v>248</v>
      </c>
    </row>
    <row r="125" ht="12.75" customHeight="1">
      <c r="A125" s="1" t="s">
        <v>249</v>
      </c>
      <c r="B125" s="2" t="str">
        <f>HYPERLINK("https://wals.info/values/30A-kut","None")</f>
        <v>None</v>
      </c>
      <c r="C125" s="2" t="str">
        <f t="shared" si="1"/>
        <v>Number of Genders</v>
      </c>
      <c r="D125" s="2" t="str">
        <f>HYPERLINK("https://wals.info/languoid/lect/wals_code_kut","Kutenai")</f>
        <v>Kutenai</v>
      </c>
      <c r="E125" s="1"/>
      <c r="F125" s="1"/>
      <c r="G125" s="1" t="s">
        <v>250</v>
      </c>
    </row>
    <row r="126" ht="12.75" customHeight="1">
      <c r="A126" s="1" t="s">
        <v>251</v>
      </c>
      <c r="B126" s="2" t="str">
        <f>HYPERLINK("https://wals.info/values/30A-lad","None")</f>
        <v>None</v>
      </c>
      <c r="C126" s="2" t="str">
        <f t="shared" si="1"/>
        <v>Number of Genders</v>
      </c>
      <c r="D126" s="2" t="str">
        <f>HYPERLINK("https://wals.info/languoid/lect/wals_code_lad","Ladakhi")</f>
        <v>Ladakhi</v>
      </c>
      <c r="E126" s="1"/>
      <c r="F126" s="1"/>
      <c r="G126" s="1" t="s">
        <v>252</v>
      </c>
    </row>
    <row r="127" ht="12.75" customHeight="1">
      <c r="A127" s="1" t="s">
        <v>253</v>
      </c>
      <c r="B127" s="2" t="str">
        <f>HYPERLINK("https://wals.info/values/30A-lah","None")</f>
        <v>None</v>
      </c>
      <c r="C127" s="2" t="str">
        <f t="shared" si="1"/>
        <v>Number of Genders</v>
      </c>
      <c r="D127" s="2" t="str">
        <f>HYPERLINK("https://wals.info/languoid/lect/wals_code_lah","Lahu")</f>
        <v>Lahu</v>
      </c>
      <c r="E127" s="1"/>
      <c r="F127" s="1"/>
      <c r="G127" s="1" t="s">
        <v>254</v>
      </c>
    </row>
    <row r="128" ht="12.75" customHeight="1">
      <c r="A128" s="1" t="s">
        <v>255</v>
      </c>
      <c r="B128" s="2" t="str">
        <f>HYPERLINK("https://wals.info/values/30A-lak","Four")</f>
        <v>Four</v>
      </c>
      <c r="C128" s="2" t="str">
        <f t="shared" si="1"/>
        <v>Number of Genders</v>
      </c>
      <c r="D128" s="2" t="str">
        <f>HYPERLINK("https://wals.info/languoid/lect/wals_code_lak","Lak")</f>
        <v>Lak</v>
      </c>
      <c r="E128" s="1"/>
      <c r="F128" s="1"/>
      <c r="G128" s="1" t="s">
        <v>256</v>
      </c>
    </row>
    <row r="129" ht="12.75" customHeight="1">
      <c r="A129" s="1" t="s">
        <v>257</v>
      </c>
      <c r="B129" s="2" t="str">
        <f>HYPERLINK("https://wals.info/values/30A-lan","None")</f>
        <v>None</v>
      </c>
      <c r="C129" s="2" t="str">
        <f t="shared" si="1"/>
        <v>Number of Genders</v>
      </c>
      <c r="D129" s="2" t="str">
        <f>HYPERLINK("https://wals.info/languoid/lect/wals_code_lan","Lango")</f>
        <v>Lango</v>
      </c>
      <c r="E129" s="1"/>
      <c r="F129" s="1"/>
      <c r="G129" s="1" t="s">
        <v>258</v>
      </c>
    </row>
    <row r="130" ht="12.75" customHeight="1">
      <c r="A130" s="1" t="s">
        <v>259</v>
      </c>
      <c r="B130" s="2" t="str">
        <f>HYPERLINK("https://wals.info/values/30A-lat","Two")</f>
        <v>Two</v>
      </c>
      <c r="C130" s="2" t="str">
        <f t="shared" si="1"/>
        <v>Number of Genders</v>
      </c>
      <c r="D130" s="2" t="str">
        <f>HYPERLINK("https://wals.info/languoid/lect/wals_code_lat","Latvian")</f>
        <v>Latvian</v>
      </c>
      <c r="E130" s="1"/>
      <c r="F130" s="1"/>
      <c r="G130" s="1" t="s">
        <v>260</v>
      </c>
    </row>
    <row r="131" ht="12.75" customHeight="1">
      <c r="A131" s="1" t="s">
        <v>261</v>
      </c>
      <c r="B131" s="2" t="str">
        <f>HYPERLINK("https://wals.info/values/30A-lav","Three")</f>
        <v>Three</v>
      </c>
      <c r="C131" s="2" t="str">
        <f t="shared" si="1"/>
        <v>Number of Genders</v>
      </c>
      <c r="D131" s="2" t="str">
        <f>HYPERLINK("https://wals.info/languoid/lect/wals_code_lav","Lavukaleve")</f>
        <v>Lavukaleve</v>
      </c>
      <c r="E131" s="1"/>
      <c r="F131" s="1"/>
      <c r="G131" s="1" t="s">
        <v>262</v>
      </c>
    </row>
    <row r="132" ht="12.75" customHeight="1">
      <c r="A132" s="1" t="s">
        <v>263</v>
      </c>
      <c r="B132" s="2" t="str">
        <f>HYPERLINK("https://wals.info/values/30A-lel","Two")</f>
        <v>Two</v>
      </c>
      <c r="C132" s="2" t="str">
        <f t="shared" si="1"/>
        <v>Number of Genders</v>
      </c>
      <c r="D132" s="2" t="str">
        <f>HYPERLINK("https://wals.info/languoid/lect/wals_code_lel","Lele")</f>
        <v>Lele</v>
      </c>
      <c r="E132" s="1"/>
      <c r="F132" s="1"/>
      <c r="G132" s="1" t="s">
        <v>264</v>
      </c>
    </row>
    <row r="133" ht="12.75" customHeight="1">
      <c r="A133" s="1" t="s">
        <v>265</v>
      </c>
      <c r="B133" s="2" t="str">
        <f>HYPERLINK("https://wals.info/values/30A-lep","None")</f>
        <v>None</v>
      </c>
      <c r="C133" s="2" t="str">
        <f t="shared" si="1"/>
        <v>Number of Genders</v>
      </c>
      <c r="D133" s="2" t="str">
        <f>HYPERLINK("https://wals.info/languoid/lect/wals_code_lep","Lepcha")</f>
        <v>Lepcha</v>
      </c>
      <c r="E133" s="1"/>
      <c r="F133" s="1"/>
      <c r="G133" s="1" t="s">
        <v>266</v>
      </c>
    </row>
    <row r="134" ht="12.75" customHeight="1">
      <c r="A134" s="1" t="s">
        <v>267</v>
      </c>
      <c r="B134" s="2" t="str">
        <f>HYPERLINK("https://wals.info/values/30A-lez","None")</f>
        <v>None</v>
      </c>
      <c r="C134" s="2" t="str">
        <f t="shared" si="1"/>
        <v>Number of Genders</v>
      </c>
      <c r="D134" s="2" t="str">
        <f>HYPERLINK("https://wals.info/languoid/lect/wals_code_lez","Lezgian")</f>
        <v>Lezgian</v>
      </c>
      <c r="E134" s="1"/>
      <c r="F134" s="1"/>
      <c r="G134" s="1" t="s">
        <v>268</v>
      </c>
    </row>
    <row r="135" ht="12.75" customHeight="1">
      <c r="A135" s="1" t="s">
        <v>269</v>
      </c>
      <c r="B135" s="2" t="str">
        <f>HYPERLINK("https://wals.info/values/30A-lin","Five or more")</f>
        <v>Five or more</v>
      </c>
      <c r="C135" s="2" t="str">
        <f t="shared" si="1"/>
        <v>Number of Genders</v>
      </c>
      <c r="D135" s="2" t="str">
        <f>HYPERLINK("https://wals.info/languoid/lect/wals_code_lin","Lingala")</f>
        <v>Lingala</v>
      </c>
      <c r="E135" s="1"/>
      <c r="F135" s="1"/>
      <c r="G135" s="1" t="s">
        <v>270</v>
      </c>
    </row>
    <row r="136" ht="12.75" customHeight="1">
      <c r="A136" s="1" t="s">
        <v>271</v>
      </c>
      <c r="B136" s="2" t="str">
        <f>HYPERLINK("https://wals.info/values/30A-luv","Five or more")</f>
        <v>Five or more</v>
      </c>
      <c r="C136" s="2" t="str">
        <f t="shared" si="1"/>
        <v>Number of Genders</v>
      </c>
      <c r="D136" s="2" t="str">
        <f>HYPERLINK("https://wals.info/languoid/lect/wals_code_luv","Luvale")</f>
        <v>Luvale</v>
      </c>
      <c r="E136" s="1"/>
      <c r="F136" s="1"/>
      <c r="G136" s="1" t="s">
        <v>272</v>
      </c>
    </row>
    <row r="137" ht="12.75" customHeight="1">
      <c r="A137" s="1" t="s">
        <v>273</v>
      </c>
      <c r="B137" s="2" t="str">
        <f>HYPERLINK("https://wals.info/values/30A-mac","Two")</f>
        <v>Two</v>
      </c>
      <c r="C137" s="2" t="str">
        <f t="shared" si="1"/>
        <v>Number of Genders</v>
      </c>
      <c r="D137" s="2" t="str">
        <f>HYPERLINK("https://wals.info/languoid/lect/wals_code_mac","Macushi")</f>
        <v>Macushi</v>
      </c>
      <c r="E137" s="1"/>
      <c r="F137" s="1"/>
      <c r="G137" s="1" t="s">
        <v>274</v>
      </c>
    </row>
    <row r="138" ht="12.75" customHeight="1">
      <c r="A138" s="1" t="s">
        <v>275</v>
      </c>
      <c r="B138" s="2" t="str">
        <f>HYPERLINK("https://wals.info/values/30A-mak","None")</f>
        <v>None</v>
      </c>
      <c r="C138" s="2" t="str">
        <f t="shared" si="1"/>
        <v>Number of Genders</v>
      </c>
      <c r="D138" s="2" t="str">
        <f>HYPERLINK("https://wals.info/languoid/lect/wals_code_mak","Makah")</f>
        <v>Makah</v>
      </c>
      <c r="E138" s="1"/>
      <c r="F138" s="1"/>
      <c r="G138" s="1"/>
    </row>
    <row r="139" ht="12.75" customHeight="1">
      <c r="A139" s="1" t="s">
        <v>276</v>
      </c>
      <c r="B139" s="2" t="str">
        <f>HYPERLINK("https://wals.info/values/30A-mal","None")</f>
        <v>None</v>
      </c>
      <c r="C139" s="2" t="str">
        <f t="shared" si="1"/>
        <v>Number of Genders</v>
      </c>
      <c r="D139" s="2" t="str">
        <f>HYPERLINK("https://wals.info/languoid/lect/wals_code_mal","Malagasy")</f>
        <v>Malagasy</v>
      </c>
      <c r="E139" s="1"/>
      <c r="F139" s="1"/>
      <c r="G139" s="1"/>
    </row>
    <row r="140" ht="12.75" customHeight="1">
      <c r="A140" s="1" t="s">
        <v>277</v>
      </c>
      <c r="B140" s="2" t="str">
        <f>HYPERLINK("https://wals.info/values/30A-mlt","Two")</f>
        <v>Two</v>
      </c>
      <c r="C140" s="2" t="str">
        <f t="shared" si="1"/>
        <v>Number of Genders</v>
      </c>
      <c r="D140" s="2" t="str">
        <f>HYPERLINK("https://wals.info/languoid/lect/wals_code_mlt","Maltese")</f>
        <v>Maltese</v>
      </c>
      <c r="E140" s="1"/>
      <c r="F140" s="1"/>
      <c r="G140" s="1" t="s">
        <v>278</v>
      </c>
    </row>
    <row r="141" ht="12.75" customHeight="1">
      <c r="A141" s="1" t="s">
        <v>279</v>
      </c>
      <c r="B141" s="2" t="str">
        <f>HYPERLINK("https://wals.info/values/30A-mnd","None")</f>
        <v>None</v>
      </c>
      <c r="C141" s="2" t="str">
        <f t="shared" si="1"/>
        <v>Number of Genders</v>
      </c>
      <c r="D141" s="2" t="str">
        <f>HYPERLINK("https://wals.info/languoid/lect/wals_code_mnd","Mandarin")</f>
        <v>Mandarin</v>
      </c>
      <c r="E141" s="1"/>
      <c r="F141" s="1"/>
      <c r="G141" s="1" t="s">
        <v>280</v>
      </c>
    </row>
    <row r="142" ht="12.75" customHeight="1">
      <c r="A142" s="1" t="s">
        <v>281</v>
      </c>
      <c r="B142" s="2" t="str">
        <f>HYPERLINK("https://wals.info/values/30A-myi","Three")</f>
        <v>Three</v>
      </c>
      <c r="C142" s="2" t="str">
        <f t="shared" si="1"/>
        <v>Number of Genders</v>
      </c>
      <c r="D142" s="2" t="str">
        <f>HYPERLINK("https://wals.info/languoid/lect/wals_code_myi","Mangarrayi")</f>
        <v>Mangarrayi</v>
      </c>
      <c r="E142" s="1"/>
      <c r="F142" s="1"/>
      <c r="G142" s="1" t="s">
        <v>282</v>
      </c>
    </row>
    <row r="143" ht="12.75" customHeight="1">
      <c r="A143" s="1" t="s">
        <v>283</v>
      </c>
      <c r="B143" s="2" t="str">
        <f>HYPERLINK("https://wals.info/values/30A-mns","None")</f>
        <v>None</v>
      </c>
      <c r="C143" s="2" t="str">
        <f t="shared" si="1"/>
        <v>Number of Genders</v>
      </c>
      <c r="D143" s="2" t="str">
        <f>HYPERLINK("https://wals.info/languoid/lect/wals_code_mns","Mansi")</f>
        <v>Mansi</v>
      </c>
      <c r="E143" s="1"/>
      <c r="F143" s="1"/>
      <c r="G143" s="1" t="s">
        <v>284</v>
      </c>
    </row>
    <row r="144" ht="12.75" customHeight="1">
      <c r="A144" s="1" t="s">
        <v>285</v>
      </c>
      <c r="B144" s="2" t="str">
        <f>HYPERLINK("https://wals.info/values/30A-mao","None")</f>
        <v>None</v>
      </c>
      <c r="C144" s="2" t="str">
        <f t="shared" si="1"/>
        <v>Number of Genders</v>
      </c>
      <c r="D144" s="2" t="str">
        <f>HYPERLINK("https://wals.info/languoid/lect/wals_code_mao","Maori")</f>
        <v>Maori</v>
      </c>
      <c r="E144" s="1"/>
      <c r="F144" s="1"/>
      <c r="G144" s="1" t="s">
        <v>286</v>
      </c>
    </row>
    <row r="145" ht="12.75" customHeight="1">
      <c r="A145" s="1" t="s">
        <v>287</v>
      </c>
      <c r="B145" s="2" t="str">
        <f>HYPERLINK("https://wals.info/values/30A-map","None")</f>
        <v>None</v>
      </c>
      <c r="C145" s="2" t="str">
        <f t="shared" si="1"/>
        <v>Number of Genders</v>
      </c>
      <c r="D145" s="2" t="str">
        <f>HYPERLINK("https://wals.info/languoid/lect/wals_code_map","Mapudungun")</f>
        <v>Mapudungun</v>
      </c>
      <c r="E145" s="1"/>
      <c r="F145" s="1"/>
      <c r="G145" s="1" t="s">
        <v>288</v>
      </c>
    </row>
    <row r="146" ht="12.75" customHeight="1">
      <c r="A146" s="1" t="s">
        <v>289</v>
      </c>
      <c r="B146" s="2" t="str">
        <f>HYPERLINK("https://wals.info/values/30A-mhi","Three")</f>
        <v>Three</v>
      </c>
      <c r="C146" s="2" t="str">
        <f t="shared" si="1"/>
        <v>Number of Genders</v>
      </c>
      <c r="D146" s="2" t="str">
        <f>HYPERLINK("https://wals.info/languoid/lect/wals_code_mhi","Marathi")</f>
        <v>Marathi</v>
      </c>
      <c r="E146" s="1"/>
      <c r="F146" s="1"/>
      <c r="G146" s="1" t="s">
        <v>290</v>
      </c>
    </row>
    <row r="147" ht="12.75" customHeight="1">
      <c r="A147" s="1" t="s">
        <v>291</v>
      </c>
      <c r="B147" s="2" t="str">
        <f>HYPERLINK("https://wals.info/values/30A-mny","None")</f>
        <v>None</v>
      </c>
      <c r="C147" s="2" t="str">
        <f t="shared" si="1"/>
        <v>Number of Genders</v>
      </c>
      <c r="D147" s="2" t="str">
        <f>HYPERLINK("https://wals.info/languoid/lect/wals_code_mny","Margany")</f>
        <v>Margany</v>
      </c>
      <c r="E147" s="1"/>
      <c r="F147" s="1"/>
      <c r="G147" s="1" t="s">
        <v>292</v>
      </c>
    </row>
    <row r="148" ht="12.75" customHeight="1">
      <c r="A148" s="1" t="s">
        <v>293</v>
      </c>
      <c r="B148" s="2" t="str">
        <f>HYPERLINK("https://wals.info/values/30A-mar","None")</f>
        <v>None</v>
      </c>
      <c r="C148" s="2" t="str">
        <f t="shared" si="1"/>
        <v>Number of Genders</v>
      </c>
      <c r="D148" s="2" t="str">
        <f>HYPERLINK("https://wals.info/languoid/lect/wals_code_mar","Maricopa")</f>
        <v>Maricopa</v>
      </c>
      <c r="E148" s="1"/>
      <c r="F148" s="1"/>
      <c r="G148" s="1" t="s">
        <v>294</v>
      </c>
    </row>
    <row r="149" ht="12.75" customHeight="1">
      <c r="A149" s="1" t="s">
        <v>295</v>
      </c>
      <c r="B149" s="2" t="str">
        <f>HYPERLINK("https://wals.info/values/30A-mrd","Four")</f>
        <v>Four</v>
      </c>
      <c r="C149" s="2" t="str">
        <f t="shared" si="1"/>
        <v>Number of Genders</v>
      </c>
      <c r="D149" s="2" t="str">
        <f>HYPERLINK("https://wals.info/languoid/lect/wals_code_mrd","Marind")</f>
        <v>Marind</v>
      </c>
      <c r="E149" s="1"/>
      <c r="F149" s="1"/>
      <c r="G149" s="1" t="s">
        <v>296</v>
      </c>
    </row>
    <row r="150" ht="12.75" customHeight="1">
      <c r="A150" s="1" t="s">
        <v>297</v>
      </c>
      <c r="B150" s="2" t="str">
        <f>HYPERLINK("https://wals.info/values/30A-mrt","None")</f>
        <v>None</v>
      </c>
      <c r="C150" s="2" t="str">
        <f t="shared" si="1"/>
        <v>Number of Genders</v>
      </c>
      <c r="D150" s="2" t="str">
        <f>HYPERLINK("https://wals.info/languoid/lect/wals_code_mrt","Martuthunira")</f>
        <v>Martuthunira</v>
      </c>
      <c r="E150" s="1"/>
      <c r="F150" s="1"/>
      <c r="G150" s="1" t="s">
        <v>298</v>
      </c>
    </row>
    <row r="151" ht="12.75" customHeight="1">
      <c r="A151" s="1" t="s">
        <v>299</v>
      </c>
      <c r="B151" s="2" t="str">
        <f>HYPERLINK("https://wals.info/values/30A-mau","Five or more")</f>
        <v>Five or more</v>
      </c>
      <c r="C151" s="2" t="str">
        <f t="shared" si="1"/>
        <v>Number of Genders</v>
      </c>
      <c r="D151" s="2" t="str">
        <f>HYPERLINK("https://wals.info/languoid/lect/wals_code_mau","Maung")</f>
        <v>Maung</v>
      </c>
      <c r="E151" s="1"/>
      <c r="F151" s="1"/>
      <c r="G151" s="1" t="s">
        <v>300</v>
      </c>
    </row>
    <row r="152" ht="12.75" customHeight="1">
      <c r="A152" s="1" t="s">
        <v>301</v>
      </c>
      <c r="B152" s="2" t="str">
        <f>HYPERLINK("https://wals.info/values/30A-may","Two")</f>
        <v>Two</v>
      </c>
      <c r="C152" s="2" t="str">
        <f t="shared" si="1"/>
        <v>Number of Genders</v>
      </c>
      <c r="D152" s="2" t="str">
        <f>HYPERLINK("https://wals.info/languoid/lect/wals_code_may","Maybrat")</f>
        <v>Maybrat</v>
      </c>
      <c r="E152" s="1"/>
      <c r="F152" s="1"/>
      <c r="G152" s="1" t="s">
        <v>302</v>
      </c>
    </row>
    <row r="153" ht="12.75" customHeight="1">
      <c r="A153" s="1" t="s">
        <v>303</v>
      </c>
      <c r="B153" s="2" t="str">
        <f>HYPERLINK("https://wals.info/values/30A-mei","None")</f>
        <v>None</v>
      </c>
      <c r="C153" s="2" t="str">
        <f t="shared" si="1"/>
        <v>Number of Genders</v>
      </c>
      <c r="D153" s="2" t="str">
        <f>HYPERLINK("https://wals.info/languoid/lect/wals_code_mei","Meithei")</f>
        <v>Meithei</v>
      </c>
      <c r="E153" s="1"/>
      <c r="F153" s="1"/>
      <c r="G153" s="1" t="s">
        <v>304</v>
      </c>
    </row>
    <row r="154" ht="12.75" customHeight="1">
      <c r="A154" s="1" t="s">
        <v>305</v>
      </c>
      <c r="B154" s="2" t="str">
        <f>HYPERLINK("https://wals.info/values/30A-mss","None")</f>
        <v>None</v>
      </c>
      <c r="C154" s="2" t="str">
        <f t="shared" si="1"/>
        <v>Number of Genders</v>
      </c>
      <c r="D154" s="2" t="str">
        <f>HYPERLINK("https://wals.info/languoid/lect/wals_code_mss","Miwok (Southern Sierra)")</f>
        <v>Miwok (Southern Sierra)</v>
      </c>
      <c r="E154" s="1"/>
      <c r="F154" s="1"/>
      <c r="G154" s="1" t="s">
        <v>306</v>
      </c>
    </row>
    <row r="155" ht="12.75" customHeight="1">
      <c r="A155" s="1" t="s">
        <v>307</v>
      </c>
      <c r="B155" s="2" t="str">
        <f>HYPERLINK("https://wals.info/values/30A-mxc","Five or more")</f>
        <v>Five or more</v>
      </c>
      <c r="C155" s="2" t="str">
        <f t="shared" si="1"/>
        <v>Number of Genders</v>
      </c>
      <c r="D155" s="2" t="str">
        <f>HYPERLINK("https://wals.info/languoid/lect/wals_code_mxc","Mixtec (Chalcatongo)")</f>
        <v>Mixtec (Chalcatongo)</v>
      </c>
      <c r="E155" s="1"/>
      <c r="F155" s="1"/>
      <c r="G155" s="1" t="s">
        <v>308</v>
      </c>
    </row>
    <row r="156" ht="12.75" customHeight="1">
      <c r="A156" s="1" t="s">
        <v>309</v>
      </c>
      <c r="B156" s="2" t="str">
        <f>HYPERLINK("https://wals.info/values/30A-miy","Two")</f>
        <v>Two</v>
      </c>
      <c r="C156" s="2" t="str">
        <f t="shared" si="1"/>
        <v>Number of Genders</v>
      </c>
      <c r="D156" s="2" t="str">
        <f>HYPERLINK("https://wals.info/languoid/lect/wals_code_miy","Miya")</f>
        <v>Miya</v>
      </c>
      <c r="E156" s="1"/>
      <c r="F156" s="1"/>
      <c r="G156" s="1" t="s">
        <v>310</v>
      </c>
    </row>
    <row r="157" ht="12.75" customHeight="1">
      <c r="A157" s="1" t="s">
        <v>311</v>
      </c>
      <c r="B157" s="2" t="str">
        <f>HYPERLINK("https://wals.info/values/30A-mok","None")</f>
        <v>None</v>
      </c>
      <c r="C157" s="2" t="str">
        <f t="shared" si="1"/>
        <v>Number of Genders</v>
      </c>
      <c r="D157" s="2" t="str">
        <f>HYPERLINK("https://wals.info/languoid/lect/wals_code_mok","Mokilese")</f>
        <v>Mokilese</v>
      </c>
      <c r="E157" s="1"/>
      <c r="F157" s="1"/>
      <c r="G157" s="1" t="s">
        <v>312</v>
      </c>
    </row>
    <row r="158" ht="12.75" customHeight="1">
      <c r="A158" s="1" t="s">
        <v>313</v>
      </c>
      <c r="B158" s="2" t="str">
        <f>HYPERLINK("https://wals.info/values/30A-mos","Two")</f>
        <v>Two</v>
      </c>
      <c r="C158" s="2" t="str">
        <f t="shared" si="1"/>
        <v>Number of Genders</v>
      </c>
      <c r="D158" s="2" t="str">
        <f>HYPERLINK("https://wals.info/languoid/lect/wals_code_mos","Mosetén")</f>
        <v>Mosetén</v>
      </c>
      <c r="E158" s="1"/>
      <c r="F158" s="1"/>
      <c r="G158" s="1" t="s">
        <v>314</v>
      </c>
    </row>
    <row r="159" ht="12.75" customHeight="1">
      <c r="A159" s="1" t="s">
        <v>315</v>
      </c>
      <c r="B159" s="2" t="str">
        <f>HYPERLINK("https://wals.info/values/30A-mun","Two")</f>
        <v>Two</v>
      </c>
      <c r="C159" s="2" t="str">
        <f t="shared" si="1"/>
        <v>Number of Genders</v>
      </c>
      <c r="D159" s="2" t="str">
        <f>HYPERLINK("https://wals.info/languoid/lect/wals_code_mun","Mundari")</f>
        <v>Mundari</v>
      </c>
      <c r="E159" s="1"/>
      <c r="F159" s="1"/>
      <c r="G159" s="1" t="s">
        <v>316</v>
      </c>
    </row>
    <row r="160" ht="12.75" customHeight="1">
      <c r="A160" s="1" t="s">
        <v>317</v>
      </c>
      <c r="B160" s="2" t="str">
        <f>HYPERLINK("https://wals.info/values/30A-mrl","None")</f>
        <v>None</v>
      </c>
      <c r="C160" s="2" t="str">
        <f t="shared" si="1"/>
        <v>Number of Genders</v>
      </c>
      <c r="D160" s="2" t="str">
        <f>HYPERLINK("https://wals.info/languoid/lect/wals_code_mrl","Murle")</f>
        <v>Murle</v>
      </c>
      <c r="E160" s="1"/>
      <c r="F160" s="1"/>
      <c r="G160" s="1" t="s">
        <v>318</v>
      </c>
    </row>
    <row r="161" ht="12.75" customHeight="1">
      <c r="A161" s="1" t="s">
        <v>319</v>
      </c>
      <c r="B161" s="2" t="str">
        <f>HYPERLINK("https://wals.info/values/30A-nht","None")</f>
        <v>None</v>
      </c>
      <c r="C161" s="2" t="str">
        <f t="shared" si="1"/>
        <v>Number of Genders</v>
      </c>
      <c r="D161" s="2" t="str">
        <f>HYPERLINK("https://wals.info/languoid/lect/wals_code_nht","Nahuatl (Tetelcingo)")</f>
        <v>Nahuatl (Tetelcingo)</v>
      </c>
      <c r="E161" s="1"/>
      <c r="F161" s="1"/>
      <c r="G161" s="1" t="s">
        <v>320</v>
      </c>
    </row>
    <row r="162" ht="12.75" customHeight="1">
      <c r="A162" s="1" t="s">
        <v>321</v>
      </c>
      <c r="B162" s="2" t="str">
        <f>HYPERLINK("https://wals.info/values/30A-ndy","None")</f>
        <v>None</v>
      </c>
      <c r="C162" s="2" t="str">
        <f t="shared" si="1"/>
        <v>Number of Genders</v>
      </c>
      <c r="D162" s="2" t="str">
        <f>HYPERLINK("https://wals.info/languoid/lect/wals_code_ndy","Ndyuka")</f>
        <v>Ndyuka</v>
      </c>
      <c r="E162" s="1"/>
      <c r="F162" s="1"/>
      <c r="G162" s="1" t="s">
        <v>322</v>
      </c>
    </row>
    <row r="163" ht="12.75" customHeight="1">
      <c r="A163" s="1" t="s">
        <v>323</v>
      </c>
      <c r="B163" s="2" t="str">
        <f>HYPERLINK("https://wals.info/values/30A-nen","None")</f>
        <v>None</v>
      </c>
      <c r="C163" s="2" t="str">
        <f t="shared" si="1"/>
        <v>Number of Genders</v>
      </c>
      <c r="D163" s="2" t="str">
        <f>HYPERLINK("https://wals.info/languoid/lect/wals_code_nen","Nenets")</f>
        <v>Nenets</v>
      </c>
      <c r="E163" s="1"/>
      <c r="F163" s="1"/>
      <c r="G163" s="1" t="s">
        <v>324</v>
      </c>
    </row>
    <row r="164" ht="12.75" customHeight="1">
      <c r="A164" s="1" t="s">
        <v>325</v>
      </c>
      <c r="B164" s="2" t="str">
        <f>HYPERLINK("https://wals.info/values/30A-nez","None")</f>
        <v>None</v>
      </c>
      <c r="C164" s="2" t="str">
        <f t="shared" si="1"/>
        <v>Number of Genders</v>
      </c>
      <c r="D164" s="2" t="str">
        <f>HYPERLINK("https://wals.info/languoid/lect/wals_code_nez","Nez Perce")</f>
        <v>Nez Perce</v>
      </c>
      <c r="E164" s="1"/>
      <c r="F164" s="1"/>
      <c r="G164" s="1" t="s">
        <v>326</v>
      </c>
    </row>
    <row r="165" ht="12.75" customHeight="1">
      <c r="A165" s="1" t="s">
        <v>327</v>
      </c>
      <c r="B165" s="2" t="str">
        <f>HYPERLINK("https://wals.info/values/30A-ngg","Five or more")</f>
        <v>Five or more</v>
      </c>
      <c r="C165" s="2" t="str">
        <f t="shared" si="1"/>
        <v>Number of Genders</v>
      </c>
      <c r="D165" s="2" t="str">
        <f>HYPERLINK("https://wals.info/languoid/lect/wals_code_ngg","Ngan'gityemerri")</f>
        <v>Ngan'gityemerri</v>
      </c>
      <c r="E165" s="1"/>
      <c r="F165" s="1"/>
      <c r="G165" s="1" t="s">
        <v>328</v>
      </c>
    </row>
    <row r="166" ht="12.75" customHeight="1">
      <c r="A166" s="1" t="s">
        <v>329</v>
      </c>
      <c r="B166" s="2" t="str">
        <f>HYPERLINK("https://wals.info/values/30A-ngi","None")</f>
        <v>None</v>
      </c>
      <c r="C166" s="2" t="str">
        <f t="shared" si="1"/>
        <v>Number of Genders</v>
      </c>
      <c r="D166" s="2" t="str">
        <f>HYPERLINK("https://wals.info/languoid/lect/wals_code_ngi","Ngiyambaa")</f>
        <v>Ngiyambaa</v>
      </c>
      <c r="E166" s="1"/>
      <c r="F166" s="1"/>
      <c r="G166" s="1" t="s">
        <v>330</v>
      </c>
    </row>
    <row r="167" ht="12.75" customHeight="1">
      <c r="A167" s="1" t="s">
        <v>331</v>
      </c>
      <c r="B167" s="2" t="str">
        <f>HYPERLINK("https://wals.info/values/30A-nca","Three")</f>
        <v>Three</v>
      </c>
      <c r="C167" s="2" t="str">
        <f t="shared" si="1"/>
        <v>Number of Genders</v>
      </c>
      <c r="D167" s="2" t="str">
        <f>HYPERLINK("https://wals.info/languoid/lect/wals_code_nca","Nicobarese (Car)")</f>
        <v>Nicobarese (Car)</v>
      </c>
      <c r="E167" s="1"/>
      <c r="F167" s="1"/>
      <c r="G167" s="1" t="s">
        <v>332</v>
      </c>
    </row>
    <row r="168" ht="12.75" customHeight="1">
      <c r="A168" s="1" t="s">
        <v>333</v>
      </c>
      <c r="B168" s="2" t="str">
        <f>HYPERLINK("https://wals.info/values/30A-niv","None")</f>
        <v>None</v>
      </c>
      <c r="C168" s="2" t="str">
        <f t="shared" si="1"/>
        <v>Number of Genders</v>
      </c>
      <c r="D168" s="2" t="str">
        <f>HYPERLINK("https://wals.info/languoid/lect/wals_code_niv","Nivkh")</f>
        <v>Nivkh</v>
      </c>
      <c r="E168" s="1"/>
      <c r="F168" s="1"/>
      <c r="G168" s="1"/>
    </row>
    <row r="169" ht="12.75" customHeight="1">
      <c r="A169" s="1" t="s">
        <v>334</v>
      </c>
      <c r="B169" s="2" t="str">
        <f>HYPERLINK("https://wals.info/values/30A-nko","Five or more")</f>
        <v>Five or more</v>
      </c>
      <c r="C169" s="2" t="str">
        <f t="shared" si="1"/>
        <v>Number of Genders</v>
      </c>
      <c r="D169" s="2" t="str">
        <f>HYPERLINK("https://wals.info/languoid/lect/wals_code_nko","Nkore-Kiga")</f>
        <v>Nkore-Kiga</v>
      </c>
      <c r="E169" s="1"/>
      <c r="F169" s="1"/>
      <c r="G169" s="1" t="s">
        <v>335</v>
      </c>
    </row>
    <row r="170" ht="12.75" customHeight="1">
      <c r="A170" s="1" t="s">
        <v>336</v>
      </c>
      <c r="B170" s="2" t="str">
        <f>HYPERLINK("https://wals.info/values/30A-nbd","None")</f>
        <v>None</v>
      </c>
      <c r="C170" s="2" t="str">
        <f t="shared" si="1"/>
        <v>Number of Genders</v>
      </c>
      <c r="D170" s="2" t="str">
        <f>HYPERLINK("https://wals.info/languoid/lect/wals_code_nbd","Nubian (Dongolese)")</f>
        <v>Nubian (Dongolese)</v>
      </c>
      <c r="E170" s="1"/>
      <c r="F170" s="1"/>
      <c r="G170" s="1" t="s">
        <v>337</v>
      </c>
    </row>
    <row r="171" ht="12.75" customHeight="1">
      <c r="A171" s="1" t="s">
        <v>338</v>
      </c>
      <c r="B171" s="2" t="str">
        <f>HYPERLINK("https://wals.info/values/30A-nug","Five or more")</f>
        <v>Five or more</v>
      </c>
      <c r="C171" s="2" t="str">
        <f t="shared" si="1"/>
        <v>Number of Genders</v>
      </c>
      <c r="D171" s="2" t="str">
        <f>HYPERLINK("https://wals.info/languoid/lect/wals_code_nug","Nunggubuyu")</f>
        <v>Nunggubuyu</v>
      </c>
      <c r="E171" s="1"/>
      <c r="F171" s="1"/>
      <c r="G171" s="1" t="s">
        <v>339</v>
      </c>
    </row>
    <row r="172" ht="12.75" customHeight="1">
      <c r="A172" s="1" t="s">
        <v>340</v>
      </c>
      <c r="B172" s="2" t="str">
        <f>HYPERLINK("https://wals.info/values/30A-nym","Five or more")</f>
        <v>Five or more</v>
      </c>
      <c r="C172" s="2" t="str">
        <f t="shared" si="1"/>
        <v>Number of Genders</v>
      </c>
      <c r="D172" s="2" t="str">
        <f>HYPERLINK("https://wals.info/languoid/lect/wals_code_nym","Nyamwezi")</f>
        <v>Nyamwezi</v>
      </c>
      <c r="E172" s="1"/>
      <c r="F172" s="1"/>
      <c r="G172" s="1" t="s">
        <v>341</v>
      </c>
    </row>
    <row r="173" ht="12.75" customHeight="1">
      <c r="A173" s="1" t="s">
        <v>342</v>
      </c>
      <c r="B173" s="2" t="str">
        <f>HYPERLINK("https://wals.info/values/30A-nyh","Five or more")</f>
        <v>Five or more</v>
      </c>
      <c r="C173" s="2" t="str">
        <f t="shared" si="1"/>
        <v>Number of Genders</v>
      </c>
      <c r="D173" s="2" t="str">
        <f>HYPERLINK("https://wals.info/languoid/lect/wals_code_nyh","Nyiha")</f>
        <v>Nyiha</v>
      </c>
      <c r="E173" s="1"/>
      <c r="F173" s="1"/>
      <c r="G173" s="1" t="s">
        <v>343</v>
      </c>
    </row>
    <row r="174" ht="12.75" customHeight="1">
      <c r="A174" s="1" t="s">
        <v>344</v>
      </c>
      <c r="B174" s="2" t="str">
        <f>HYPERLINK("https://wals.info/values/30A-oji","Two")</f>
        <v>Two</v>
      </c>
      <c r="C174" s="2" t="str">
        <f t="shared" si="1"/>
        <v>Number of Genders</v>
      </c>
      <c r="D174" s="2" t="str">
        <f>HYPERLINK("https://wals.info/languoid/lect/wals_code_oji","Ojibwa (Eastern)")</f>
        <v>Ojibwa (Eastern)</v>
      </c>
      <c r="E174" s="1"/>
      <c r="F174" s="1"/>
      <c r="G174" s="1" t="s">
        <v>345</v>
      </c>
    </row>
    <row r="175" ht="12.75" customHeight="1">
      <c r="A175" s="1" t="s">
        <v>346</v>
      </c>
      <c r="B175" s="2" t="str">
        <f>HYPERLINK("https://wals.info/values/30A-ond","Three")</f>
        <v>Three</v>
      </c>
      <c r="C175" s="2" t="str">
        <f t="shared" si="1"/>
        <v>Number of Genders</v>
      </c>
      <c r="D175" s="2" t="str">
        <f>HYPERLINK("https://wals.info/languoid/lect/wals_code_ond","Oneida")</f>
        <v>Oneida</v>
      </c>
      <c r="E175" s="1"/>
      <c r="F175" s="1"/>
      <c r="G175" s="1" t="s">
        <v>347</v>
      </c>
    </row>
    <row r="176" ht="12.75" customHeight="1">
      <c r="A176" s="1" t="s">
        <v>348</v>
      </c>
      <c r="B176" s="2" t="str">
        <f>HYPERLINK("https://wals.info/values/30A-ork","None")</f>
        <v>None</v>
      </c>
      <c r="C176" s="2" t="str">
        <f t="shared" si="1"/>
        <v>Number of Genders</v>
      </c>
      <c r="D176" s="2" t="str">
        <f>HYPERLINK("https://wals.info/languoid/lect/wals_code_ork","Orok")</f>
        <v>Orok</v>
      </c>
      <c r="E176" s="1"/>
      <c r="F176" s="1"/>
      <c r="G176" s="1" t="s">
        <v>349</v>
      </c>
    </row>
    <row r="177" ht="12.75" customHeight="1">
      <c r="A177" s="1" t="s">
        <v>350</v>
      </c>
      <c r="B177" s="2" t="str">
        <f>HYPERLINK("https://wals.info/values/30A-orh","Two")</f>
        <v>Two</v>
      </c>
      <c r="C177" s="2" t="str">
        <f t="shared" si="1"/>
        <v>Number of Genders</v>
      </c>
      <c r="D177" s="2" t="str">
        <f>HYPERLINK("https://wals.info/languoid/lect/wals_code_orh","Oromo (Harar)")</f>
        <v>Oromo (Harar)</v>
      </c>
      <c r="E177" s="1"/>
      <c r="F177" s="1"/>
      <c r="G177" s="1" t="s">
        <v>351</v>
      </c>
    </row>
    <row r="178" ht="12.75" customHeight="1">
      <c r="A178" s="1" t="s">
        <v>352</v>
      </c>
      <c r="B178" s="2" t="str">
        <f>HYPERLINK("https://wals.info/values/30A-otm","None")</f>
        <v>None</v>
      </c>
      <c r="C178" s="2" t="str">
        <f t="shared" si="1"/>
        <v>Number of Genders</v>
      </c>
      <c r="D178" s="2" t="str">
        <f>HYPERLINK("https://wals.info/languoid/lect/wals_code_otm","Otomí (Mezquital)")</f>
        <v>Otomí (Mezquital)</v>
      </c>
      <c r="E178" s="1"/>
      <c r="F178" s="1"/>
      <c r="G178" s="1" t="s">
        <v>353</v>
      </c>
    </row>
    <row r="179" ht="12.75" customHeight="1">
      <c r="A179" s="1" t="s">
        <v>354</v>
      </c>
      <c r="B179" s="2" t="str">
        <f>HYPERLINK("https://wals.info/values/30A-pai","None")</f>
        <v>None</v>
      </c>
      <c r="C179" s="2" t="str">
        <f t="shared" si="1"/>
        <v>Number of Genders</v>
      </c>
      <c r="D179" s="2" t="str">
        <f>HYPERLINK("https://wals.info/languoid/lect/wals_code_pai","Paiwan")</f>
        <v>Paiwan</v>
      </c>
      <c r="E179" s="1"/>
      <c r="F179" s="1"/>
      <c r="G179" s="1" t="s">
        <v>355</v>
      </c>
    </row>
    <row r="180" ht="12.75" customHeight="1">
      <c r="A180" s="1" t="s">
        <v>356</v>
      </c>
      <c r="B180" s="2" t="str">
        <f>HYPERLINK("https://wals.info/values/30A-pal","None")</f>
        <v>None</v>
      </c>
      <c r="C180" s="2" t="str">
        <f t="shared" si="1"/>
        <v>Number of Genders</v>
      </c>
      <c r="D180" s="2" t="str">
        <f>HYPERLINK("https://wals.info/languoid/lect/wals_code_pal","Palauan")</f>
        <v>Palauan</v>
      </c>
      <c r="E180" s="1"/>
      <c r="F180" s="1"/>
      <c r="G180" s="1" t="s">
        <v>357</v>
      </c>
    </row>
    <row r="181" ht="12.75" customHeight="1">
      <c r="A181" s="1" t="s">
        <v>358</v>
      </c>
      <c r="B181" s="2" t="str">
        <f>HYPERLINK("https://wals.info/values/30A-pan","Two")</f>
        <v>Two</v>
      </c>
      <c r="C181" s="2" t="str">
        <f t="shared" si="1"/>
        <v>Number of Genders</v>
      </c>
      <c r="D181" s="2" t="str">
        <f>HYPERLINK("https://wals.info/languoid/lect/wals_code_pan","Panjabi")</f>
        <v>Panjabi</v>
      </c>
      <c r="E181" s="1"/>
      <c r="F181" s="1"/>
      <c r="G181" s="1" t="s">
        <v>359</v>
      </c>
    </row>
    <row r="182" ht="12.75" customHeight="1">
      <c r="A182" s="1" t="s">
        <v>360</v>
      </c>
      <c r="B182" s="2" t="str">
        <f>HYPERLINK("https://wals.info/values/30A-psh","Two")</f>
        <v>Two</v>
      </c>
      <c r="C182" s="2" t="str">
        <f t="shared" si="1"/>
        <v>Number of Genders</v>
      </c>
      <c r="D182" s="2" t="str">
        <f>HYPERLINK("https://wals.info/languoid/lect/wals_code_psh","Pashto")</f>
        <v>Pashto</v>
      </c>
      <c r="E182" s="1"/>
      <c r="F182" s="1"/>
      <c r="G182" s="1" t="s">
        <v>361</v>
      </c>
    </row>
    <row r="183" ht="12.75" customHeight="1">
      <c r="A183" s="1" t="s">
        <v>362</v>
      </c>
      <c r="B183" s="2" t="str">
        <f>HYPERLINK("https://wals.info/values/30A-psm","Two")</f>
        <v>Two</v>
      </c>
      <c r="C183" s="2" t="str">
        <f t="shared" si="1"/>
        <v>Number of Genders</v>
      </c>
      <c r="D183" s="2" t="str">
        <f>HYPERLINK("https://wals.info/languoid/lect/wals_code_psm","Passamaquoddy-Maliseet")</f>
        <v>Passamaquoddy-Maliseet</v>
      </c>
      <c r="E183" s="1"/>
      <c r="F183" s="1"/>
      <c r="G183" s="1" t="s">
        <v>363</v>
      </c>
    </row>
    <row r="184" ht="12.75" customHeight="1">
      <c r="A184" s="1" t="s">
        <v>364</v>
      </c>
      <c r="B184" s="2" t="str">
        <f>HYPERLINK("https://wals.info/values/30A-pau","Four")</f>
        <v>Four</v>
      </c>
      <c r="C184" s="2" t="str">
        <f t="shared" si="1"/>
        <v>Number of Genders</v>
      </c>
      <c r="D184" s="2" t="str">
        <f>HYPERLINK("https://wals.info/languoid/lect/wals_code_pau","Paumarí")</f>
        <v>Paumarí</v>
      </c>
      <c r="E184" s="1"/>
      <c r="F184" s="1"/>
      <c r="G184" s="1" t="s">
        <v>365</v>
      </c>
    </row>
    <row r="185" ht="12.75" customHeight="1">
      <c r="A185" s="1" t="s">
        <v>366</v>
      </c>
      <c r="B185" s="2" t="str">
        <f>HYPERLINK("https://wals.info/values/30A-prs","None")</f>
        <v>None</v>
      </c>
      <c r="C185" s="2" t="str">
        <f t="shared" si="1"/>
        <v>Number of Genders</v>
      </c>
      <c r="D185" s="2" t="str">
        <f>HYPERLINK("https://wals.info/languoid/lect/wals_code_prs","Persian")</f>
        <v>Persian</v>
      </c>
      <c r="E185" s="1"/>
      <c r="F185" s="1"/>
      <c r="G185" s="1" t="s">
        <v>367</v>
      </c>
    </row>
    <row r="186" ht="12.75" customHeight="1">
      <c r="A186" s="1" t="s">
        <v>368</v>
      </c>
      <c r="B186" s="2" t="str">
        <f>HYPERLINK("https://wals.info/values/30A-pil","None")</f>
        <v>None</v>
      </c>
      <c r="C186" s="2" t="str">
        <f t="shared" si="1"/>
        <v>Number of Genders</v>
      </c>
      <c r="D186" s="2" t="str">
        <f>HYPERLINK("https://wals.info/languoid/lect/wals_code_pil","Pileni")</f>
        <v>Pileni</v>
      </c>
      <c r="E186" s="1"/>
      <c r="F186" s="1"/>
      <c r="G186" s="1" t="s">
        <v>369</v>
      </c>
    </row>
    <row r="187" ht="12.75" customHeight="1">
      <c r="A187" s="1" t="s">
        <v>370</v>
      </c>
      <c r="B187" s="2" t="str">
        <f>HYPERLINK("https://wals.info/values/30A-pip","None")</f>
        <v>None</v>
      </c>
      <c r="C187" s="2" t="str">
        <f t="shared" si="1"/>
        <v>Number of Genders</v>
      </c>
      <c r="D187" s="2" t="str">
        <f>HYPERLINK("https://wals.info/languoid/lect/wals_code_pip","Pipil")</f>
        <v>Pipil</v>
      </c>
      <c r="E187" s="1"/>
      <c r="F187" s="1"/>
      <c r="G187" s="1" t="s">
        <v>371</v>
      </c>
    </row>
    <row r="188" ht="12.75" customHeight="1">
      <c r="A188" s="1" t="s">
        <v>372</v>
      </c>
      <c r="B188" s="2" t="str">
        <f>HYPERLINK("https://wals.info/values/30A-prh","Four")</f>
        <v>Four</v>
      </c>
      <c r="C188" s="2" t="str">
        <f t="shared" si="1"/>
        <v>Number of Genders</v>
      </c>
      <c r="D188" s="2" t="str">
        <f>HYPERLINK("https://wals.info/languoid/lect/wals_code_prh","Pirahã")</f>
        <v>Pirahã</v>
      </c>
      <c r="E188" s="1"/>
      <c r="F188" s="1"/>
      <c r="G188" s="1" t="s">
        <v>373</v>
      </c>
    </row>
    <row r="189" ht="12.75" customHeight="1">
      <c r="A189" s="1" t="s">
        <v>374</v>
      </c>
      <c r="B189" s="2" t="str">
        <f>HYPERLINK("https://wals.info/values/30A-pit","None")</f>
        <v>None</v>
      </c>
      <c r="C189" s="2" t="str">
        <f t="shared" si="1"/>
        <v>Number of Genders</v>
      </c>
      <c r="D189" s="2" t="str">
        <f>HYPERLINK("https://wals.info/languoid/lect/wals_code_pit","Pitjantjatjara")</f>
        <v>Pitjantjatjara</v>
      </c>
      <c r="E189" s="1"/>
      <c r="F189" s="1"/>
      <c r="G189" s="1" t="s">
        <v>375</v>
      </c>
    </row>
    <row r="190" ht="12.75" customHeight="1">
      <c r="A190" s="1" t="s">
        <v>376</v>
      </c>
      <c r="B190" s="2" t="str">
        <f>HYPERLINK("https://wals.info/values/30A-ppi","Two")</f>
        <v>Two</v>
      </c>
      <c r="C190" s="2" t="str">
        <f t="shared" si="1"/>
        <v>Number of Genders</v>
      </c>
      <c r="D190" s="2" t="str">
        <f>HYPERLINK("https://wals.info/languoid/lect/wals_code_ppi","Pitta Pitta")</f>
        <v>Pitta Pitta</v>
      </c>
      <c r="E190" s="1"/>
      <c r="F190" s="1"/>
      <c r="G190" s="1" t="s">
        <v>377</v>
      </c>
    </row>
    <row r="191" ht="12.75" customHeight="1">
      <c r="A191" s="1" t="s">
        <v>378</v>
      </c>
      <c r="B191" s="2" t="str">
        <f>HYPERLINK("https://wals.info/values/30A-pmc","None")</f>
        <v>None</v>
      </c>
      <c r="C191" s="2" t="str">
        <f t="shared" si="1"/>
        <v>Number of Genders</v>
      </c>
      <c r="D191" s="2" t="str">
        <f>HYPERLINK("https://wals.info/languoid/lect/wals_code_pmc","Pomo (Central)")</f>
        <v>Pomo (Central)</v>
      </c>
      <c r="E191" s="1"/>
      <c r="F191" s="1"/>
      <c r="G191" s="1" t="s">
        <v>379</v>
      </c>
    </row>
    <row r="192" ht="12.75" customHeight="1">
      <c r="A192" s="1" t="s">
        <v>380</v>
      </c>
      <c r="B192" s="2" t="str">
        <f>HYPERLINK("https://wals.info/values/30A-qaf","Two")</f>
        <v>Two</v>
      </c>
      <c r="C192" s="2" t="str">
        <f t="shared" si="1"/>
        <v>Number of Genders</v>
      </c>
      <c r="D192" s="2" t="str">
        <f>HYPERLINK("https://wals.info/languoid/lect/wals_code_qaf","Qafar")</f>
        <v>Qafar</v>
      </c>
      <c r="E192" s="1"/>
      <c r="F192" s="1"/>
      <c r="G192" s="1" t="s">
        <v>381</v>
      </c>
    </row>
    <row r="193" ht="12.75" customHeight="1">
      <c r="A193" s="1" t="s">
        <v>382</v>
      </c>
      <c r="B193" s="2" t="str">
        <f>HYPERLINK("https://wals.info/values/30A-qim","None")</f>
        <v>None</v>
      </c>
      <c r="C193" s="2" t="str">
        <f t="shared" si="1"/>
        <v>Number of Genders</v>
      </c>
      <c r="D193" s="2" t="str">
        <f>HYPERLINK("https://wals.info/languoid/lect/wals_code_qim","Quechua (Imbabura)")</f>
        <v>Quechua (Imbabura)</v>
      </c>
      <c r="E193" s="1"/>
      <c r="F193" s="1"/>
      <c r="G193" s="1" t="s">
        <v>383</v>
      </c>
    </row>
    <row r="194" ht="12.75" customHeight="1">
      <c r="A194" s="1" t="s">
        <v>384</v>
      </c>
      <c r="B194" s="2" t="str">
        <f>HYPERLINK("https://wals.info/values/30A-ram","None")</f>
        <v>None</v>
      </c>
      <c r="C194" s="2" t="str">
        <f t="shared" si="1"/>
        <v>Number of Genders</v>
      </c>
      <c r="D194" s="2" t="str">
        <f>HYPERLINK("https://wals.info/languoid/lect/wals_code_ram","Rama")</f>
        <v>Rama</v>
      </c>
      <c r="E194" s="1"/>
      <c r="F194" s="1"/>
      <c r="G194" s="1" t="s">
        <v>385</v>
      </c>
    </row>
    <row r="195" ht="12.75" customHeight="1">
      <c r="A195" s="1" t="s">
        <v>386</v>
      </c>
      <c r="B195" s="2" t="str">
        <f>HYPERLINK("https://wals.info/values/30A-rap","None")</f>
        <v>None</v>
      </c>
      <c r="C195" s="2" t="str">
        <f t="shared" si="1"/>
        <v>Number of Genders</v>
      </c>
      <c r="D195" s="2" t="str">
        <f>HYPERLINK("https://wals.info/languoid/lect/wals_code_rap","Rapanui")</f>
        <v>Rapanui</v>
      </c>
      <c r="E195" s="1"/>
      <c r="F195" s="1"/>
      <c r="G195" s="1" t="s">
        <v>387</v>
      </c>
    </row>
    <row r="196" ht="12.75" customHeight="1">
      <c r="A196" s="1" t="s">
        <v>388</v>
      </c>
      <c r="B196" s="2" t="str">
        <f>HYPERLINK("https://wals.info/values/30A-ren","Two")</f>
        <v>Two</v>
      </c>
      <c r="C196" s="2" t="str">
        <f t="shared" si="1"/>
        <v>Number of Genders</v>
      </c>
      <c r="D196" s="2" t="str">
        <f>HYPERLINK("https://wals.info/languoid/lect/wals_code_ren","Rendille")</f>
        <v>Rendille</v>
      </c>
      <c r="E196" s="1"/>
      <c r="F196" s="1"/>
      <c r="G196" s="1" t="s">
        <v>389</v>
      </c>
    </row>
    <row r="197" ht="12.75" customHeight="1">
      <c r="A197" s="1" t="s">
        <v>390</v>
      </c>
      <c r="B197" s="2" t="str">
        <f>HYPERLINK("https://wals.info/values/30A-ret","Three")</f>
        <v>Three</v>
      </c>
      <c r="C197" s="2" t="str">
        <f t="shared" si="1"/>
        <v>Number of Genders</v>
      </c>
      <c r="D197" s="2" t="str">
        <f>HYPERLINK("https://wals.info/languoid/lect/wals_code_ret","Retuarã")</f>
        <v>Retuarã</v>
      </c>
      <c r="E197" s="1"/>
      <c r="F197" s="1"/>
      <c r="G197" s="1" t="s">
        <v>391</v>
      </c>
    </row>
    <row r="198" ht="12.75" customHeight="1">
      <c r="A198" s="1" t="s">
        <v>392</v>
      </c>
      <c r="B198" s="2" t="str">
        <f>HYPERLINK("https://wals.info/values/30A-rus","Three")</f>
        <v>Three</v>
      </c>
      <c r="C198" s="2" t="str">
        <f t="shared" si="1"/>
        <v>Number of Genders</v>
      </c>
      <c r="D198" s="2" t="str">
        <f>HYPERLINK("https://wals.info/languoid/lect/wals_code_rus","Russian")</f>
        <v>Russian</v>
      </c>
      <c r="E198" s="1"/>
      <c r="F198" s="1"/>
      <c r="G198" s="1" t="s">
        <v>393</v>
      </c>
    </row>
    <row r="199" ht="12.75" customHeight="1">
      <c r="A199" s="1" t="s">
        <v>394</v>
      </c>
      <c r="B199" s="2" t="str">
        <f>HYPERLINK("https://wals.info/values/30A-smt","None")</f>
        <v>None</v>
      </c>
      <c r="C199" s="2" t="str">
        <f t="shared" si="1"/>
        <v>Number of Genders</v>
      </c>
      <c r="D199" s="2" t="str">
        <f>HYPERLINK("https://wals.info/languoid/lect/wals_code_smt","Sahaptin (Umatilla)")</f>
        <v>Sahaptin (Umatilla)</v>
      </c>
      <c r="E199" s="1"/>
      <c r="F199" s="1"/>
      <c r="G199" s="1" t="s">
        <v>395</v>
      </c>
    </row>
    <row r="200" ht="12.75" customHeight="1">
      <c r="A200" s="1" t="s">
        <v>396</v>
      </c>
      <c r="B200" s="2" t="str">
        <f>HYPERLINK("https://wals.info/values/30A-san","None")</f>
        <v>None</v>
      </c>
      <c r="C200" s="2" t="str">
        <f t="shared" si="1"/>
        <v>Number of Genders</v>
      </c>
      <c r="D200" s="2" t="str">
        <f>HYPERLINK("https://wals.info/languoid/lect/wals_code_san","Sango")</f>
        <v>Sango</v>
      </c>
      <c r="E200" s="1"/>
      <c r="F200" s="1"/>
      <c r="G200" s="1" t="s">
        <v>397</v>
      </c>
    </row>
    <row r="201" ht="12.75" customHeight="1">
      <c r="A201" s="1" t="s">
        <v>398</v>
      </c>
      <c r="B201" s="2" t="str">
        <f>HYPERLINK("https://wals.info/values/30A-saw","None")</f>
        <v>None</v>
      </c>
      <c r="C201" s="2" t="str">
        <f t="shared" si="1"/>
        <v>Number of Genders</v>
      </c>
      <c r="D201" s="2" t="str">
        <f>HYPERLINK("https://wals.info/languoid/lect/wals_code_saw","Sawu")</f>
        <v>Sawu</v>
      </c>
      <c r="E201" s="1"/>
      <c r="F201" s="1"/>
      <c r="G201" s="1" t="s">
        <v>399</v>
      </c>
    </row>
    <row r="202" ht="12.75" customHeight="1">
      <c r="A202" s="1" t="s">
        <v>400</v>
      </c>
      <c r="B202" s="2" t="str">
        <f>HYPERLINK("https://wals.info/values/30A-sml","None")</f>
        <v>None</v>
      </c>
      <c r="C202" s="2" t="str">
        <f t="shared" si="1"/>
        <v>Number of Genders</v>
      </c>
      <c r="D202" s="2" t="str">
        <f>HYPERLINK("https://wals.info/languoid/lect/wals_code_sml","Semelai")</f>
        <v>Semelai</v>
      </c>
      <c r="E202" s="1"/>
      <c r="F202" s="1"/>
      <c r="G202" s="1" t="s">
        <v>401</v>
      </c>
    </row>
    <row r="203" ht="12.75" customHeight="1">
      <c r="A203" s="1" t="s">
        <v>402</v>
      </c>
      <c r="B203" s="2" t="str">
        <f>HYPERLINK("https://wals.info/values/30A-snc","Three")</f>
        <v>Three</v>
      </c>
      <c r="C203" s="2" t="str">
        <f t="shared" si="1"/>
        <v>Number of Genders</v>
      </c>
      <c r="D203" s="2" t="str">
        <f>HYPERLINK("https://wals.info/languoid/lect/wals_code_snc","Seneca")</f>
        <v>Seneca</v>
      </c>
      <c r="E203" s="1"/>
      <c r="F203" s="1"/>
      <c r="G203" s="1" t="s">
        <v>403</v>
      </c>
    </row>
    <row r="204" ht="12.75" customHeight="1">
      <c r="A204" s="1" t="s">
        <v>404</v>
      </c>
      <c r="B204" s="2" t="str">
        <f>HYPERLINK("https://wals.info/values/30A-snt","None")</f>
        <v>None</v>
      </c>
      <c r="C204" s="2" t="str">
        <f t="shared" si="1"/>
        <v>Number of Genders</v>
      </c>
      <c r="D204" s="2" t="str">
        <f>HYPERLINK("https://wals.info/languoid/lect/wals_code_snt","Sentani")</f>
        <v>Sentani</v>
      </c>
      <c r="E204" s="1"/>
      <c r="F204" s="1"/>
      <c r="G204" s="1" t="s">
        <v>405</v>
      </c>
    </row>
    <row r="205" ht="12.75" customHeight="1">
      <c r="A205" s="1" t="s">
        <v>406</v>
      </c>
      <c r="B205" s="2" t="str">
        <f>HYPERLINK("https://wals.info/values/30A-shk","None")</f>
        <v>None</v>
      </c>
      <c r="C205" s="2" t="str">
        <f t="shared" si="1"/>
        <v>Number of Genders</v>
      </c>
      <c r="D205" s="2" t="str">
        <f>HYPERLINK("https://wals.info/languoid/lect/wals_code_shk","Shipibo-Konibo")</f>
        <v>Shipibo-Konibo</v>
      </c>
      <c r="E205" s="1"/>
      <c r="F205" s="1"/>
      <c r="G205" s="1" t="s">
        <v>407</v>
      </c>
    </row>
    <row r="206" ht="12.75" customHeight="1">
      <c r="A206" s="1" t="s">
        <v>408</v>
      </c>
      <c r="B206" s="2" t="str">
        <f>HYPERLINK("https://wals.info/values/30A-shn","Five or more")</f>
        <v>Five or more</v>
      </c>
      <c r="C206" s="2" t="str">
        <f t="shared" si="1"/>
        <v>Number of Genders</v>
      </c>
      <c r="D206" s="2" t="str">
        <f>HYPERLINK("https://wals.info/languoid/lect/wals_code_shn","Shona")</f>
        <v>Shona</v>
      </c>
      <c r="E206" s="1"/>
      <c r="F206" s="1"/>
      <c r="G206" s="1" t="s">
        <v>409</v>
      </c>
    </row>
    <row r="207" ht="12.75" customHeight="1">
      <c r="A207" s="1" t="s">
        <v>410</v>
      </c>
      <c r="B207" s="2" t="str">
        <f>HYPERLINK("https://wals.info/values/30A-srn","None")</f>
        <v>None</v>
      </c>
      <c r="C207" s="2" t="str">
        <f t="shared" si="1"/>
        <v>Number of Genders</v>
      </c>
      <c r="D207" s="2" t="str">
        <f>HYPERLINK("https://wals.info/languoid/lect/wals_code_srn","Sirionó")</f>
        <v>Sirionó</v>
      </c>
      <c r="E207" s="1"/>
      <c r="F207" s="1"/>
      <c r="G207" s="1" t="s">
        <v>411</v>
      </c>
    </row>
    <row r="208" ht="12.75" customHeight="1">
      <c r="A208" s="1" t="s">
        <v>412</v>
      </c>
      <c r="B208" s="2" t="str">
        <f>HYPERLINK("https://wals.info/values/30A-spa","Two")</f>
        <v>Two</v>
      </c>
      <c r="C208" s="2" t="str">
        <f t="shared" si="1"/>
        <v>Number of Genders</v>
      </c>
      <c r="D208" s="2" t="str">
        <f>HYPERLINK("https://wals.info/languoid/lect/wals_code_spa","Spanish")</f>
        <v>Spanish</v>
      </c>
      <c r="E208" s="1"/>
      <c r="F208" s="1"/>
      <c r="G208" s="1"/>
    </row>
    <row r="209" ht="12.75" customHeight="1">
      <c r="A209" s="1" t="s">
        <v>413</v>
      </c>
      <c r="B209" s="2" t="str">
        <f>HYPERLINK("https://wals.info/values/30A-sue","None")</f>
        <v>None</v>
      </c>
      <c r="C209" s="2" t="str">
        <f t="shared" si="1"/>
        <v>Number of Genders</v>
      </c>
      <c r="D209" s="2" t="str">
        <f>HYPERLINK("https://wals.info/languoid/lect/wals_code_sue","Suena")</f>
        <v>Suena</v>
      </c>
      <c r="E209" s="1"/>
      <c r="F209" s="1"/>
      <c r="G209" s="1" t="s">
        <v>414</v>
      </c>
    </row>
    <row r="210" ht="12.75" customHeight="1">
      <c r="A210" s="1" t="s">
        <v>415</v>
      </c>
      <c r="B210" s="2" t="str">
        <f>HYPERLINK("https://wals.info/values/30A-sup","Five or more")</f>
        <v>Five or more</v>
      </c>
      <c r="C210" s="2" t="str">
        <f t="shared" si="1"/>
        <v>Number of Genders</v>
      </c>
      <c r="D210" s="2" t="str">
        <f>HYPERLINK("https://wals.info/languoid/lect/wals_code_sup","Supyire")</f>
        <v>Supyire</v>
      </c>
      <c r="E210" s="1"/>
      <c r="F210" s="1"/>
      <c r="G210" s="1" t="s">
        <v>416</v>
      </c>
    </row>
    <row r="211" ht="12.75" customHeight="1">
      <c r="A211" s="1" t="s">
        <v>417</v>
      </c>
      <c r="B211" s="2" t="str">
        <f>HYPERLINK("https://wals.info/values/30A-swa","Five or more")</f>
        <v>Five or more</v>
      </c>
      <c r="C211" s="2" t="str">
        <f t="shared" si="1"/>
        <v>Number of Genders</v>
      </c>
      <c r="D211" s="2" t="str">
        <f>HYPERLINK("https://wals.info/languoid/lect/wals_code_swa","Swahili")</f>
        <v>Swahili</v>
      </c>
      <c r="E211" s="1"/>
      <c r="F211" s="1"/>
      <c r="G211" s="1" t="s">
        <v>418</v>
      </c>
    </row>
    <row r="212" ht="12.75" customHeight="1">
      <c r="A212" s="1" t="s">
        <v>419</v>
      </c>
      <c r="B212" s="2" t="str">
        <f>HYPERLINK("https://wals.info/values/30A-tab","None")</f>
        <v>None</v>
      </c>
      <c r="C212" s="2" t="str">
        <f t="shared" si="1"/>
        <v>Number of Genders</v>
      </c>
      <c r="D212" s="2" t="str">
        <f>HYPERLINK("https://wals.info/languoid/lect/wals_code_tab","Taba")</f>
        <v>Taba</v>
      </c>
      <c r="E212" s="1"/>
      <c r="F212" s="1"/>
      <c r="G212" s="1" t="s">
        <v>420</v>
      </c>
    </row>
    <row r="213" ht="12.75" customHeight="1">
      <c r="A213" s="1" t="s">
        <v>421</v>
      </c>
      <c r="B213" s="2" t="str">
        <f>HYPERLINK("https://wals.info/values/30A-tag","Two")</f>
        <v>Two</v>
      </c>
      <c r="C213" s="2" t="str">
        <f t="shared" si="1"/>
        <v>Number of Genders</v>
      </c>
      <c r="D213" s="2" t="str">
        <f>HYPERLINK("https://wals.info/languoid/lect/wals_code_tag","Tagalog")</f>
        <v>Tagalog</v>
      </c>
      <c r="E213" s="1"/>
      <c r="F213" s="1"/>
      <c r="G213" s="1" t="s">
        <v>422</v>
      </c>
    </row>
    <row r="214" ht="12.75" customHeight="1">
      <c r="A214" s="1" t="s">
        <v>423</v>
      </c>
      <c r="B214" s="2" t="str">
        <f>HYPERLINK("https://wals.info/values/30A-tap","Two")</f>
        <v>Two</v>
      </c>
      <c r="C214" s="2" t="str">
        <f t="shared" si="1"/>
        <v>Number of Genders</v>
      </c>
      <c r="D214" s="2" t="str">
        <f>HYPERLINK("https://wals.info/languoid/lect/wals_code_tap","Taiap")</f>
        <v>Taiap</v>
      </c>
      <c r="E214" s="1"/>
      <c r="F214" s="1"/>
      <c r="G214" s="1" t="s">
        <v>424</v>
      </c>
    </row>
    <row r="215" ht="12.75" customHeight="1">
      <c r="A215" s="1" t="s">
        <v>425</v>
      </c>
      <c r="B215" s="2" t="str">
        <f>HYPERLINK("https://wals.info/values/30A-tml","Three")</f>
        <v>Three</v>
      </c>
      <c r="C215" s="2" t="str">
        <f t="shared" si="1"/>
        <v>Number of Genders</v>
      </c>
      <c r="D215" s="2" t="str">
        <f>HYPERLINK("https://wals.info/languoid/lect/wals_code_tml","Tamil")</f>
        <v>Tamil</v>
      </c>
      <c r="E215" s="1"/>
      <c r="F215" s="1"/>
      <c r="G215" s="1" t="s">
        <v>426</v>
      </c>
    </row>
    <row r="216" ht="12.75" customHeight="1">
      <c r="A216" s="1" t="s">
        <v>427</v>
      </c>
      <c r="B216" s="2" t="str">
        <f>HYPERLINK("https://wals.info/values/30A-tha","None")</f>
        <v>None</v>
      </c>
      <c r="C216" s="2" t="str">
        <f t="shared" si="1"/>
        <v>Number of Genders</v>
      </c>
      <c r="D216" s="2" t="str">
        <f>HYPERLINK("https://wals.info/languoid/lect/wals_code_tha","Thai")</f>
        <v>Thai</v>
      </c>
      <c r="E216" s="1"/>
      <c r="F216" s="1"/>
      <c r="G216" s="1" t="s">
        <v>428</v>
      </c>
    </row>
    <row r="217" ht="12.75" customHeight="1">
      <c r="A217" s="1" t="s">
        <v>429</v>
      </c>
      <c r="B217" s="2" t="str">
        <f>HYPERLINK("https://wals.info/values/30A-tho","None")</f>
        <v>None</v>
      </c>
      <c r="C217" s="2" t="str">
        <f t="shared" si="1"/>
        <v>Number of Genders</v>
      </c>
      <c r="D217" s="2" t="str">
        <f>HYPERLINK("https://wals.info/languoid/lect/wals_code_tho","Thompson")</f>
        <v>Thompson</v>
      </c>
      <c r="E217" s="1"/>
      <c r="F217" s="1"/>
      <c r="G217" s="1" t="s">
        <v>430</v>
      </c>
    </row>
    <row r="218" ht="12.75" customHeight="1">
      <c r="A218" s="1" t="s">
        <v>431</v>
      </c>
      <c r="B218" s="2" t="str">
        <f>HYPERLINK("https://wals.info/values/30A-tib","None")</f>
        <v>None</v>
      </c>
      <c r="C218" s="2" t="str">
        <f t="shared" si="1"/>
        <v>Number of Genders</v>
      </c>
      <c r="D218" s="2" t="str">
        <f>HYPERLINK("https://wals.info/languoid/lect/wals_code_tib","Tibetan (Standard Spoken)")</f>
        <v>Tibetan (Standard Spoken)</v>
      </c>
      <c r="E218" s="1"/>
      <c r="F218" s="1"/>
      <c r="G218" s="1" t="s">
        <v>432</v>
      </c>
    </row>
    <row r="219" ht="12.75" customHeight="1">
      <c r="A219" s="1" t="s">
        <v>433</v>
      </c>
      <c r="B219" s="2" t="str">
        <f>HYPERLINK("https://wals.info/values/30A-tid","Three")</f>
        <v>Three</v>
      </c>
      <c r="C219" s="2" t="str">
        <f t="shared" si="1"/>
        <v>Number of Genders</v>
      </c>
      <c r="D219" s="2" t="str">
        <f>HYPERLINK("https://wals.info/languoid/lect/wals_code_tid","Tidore")</f>
        <v>Tidore</v>
      </c>
      <c r="E219" s="1"/>
      <c r="F219" s="1"/>
      <c r="G219" s="1" t="s">
        <v>434</v>
      </c>
    </row>
    <row r="220" ht="12.75" customHeight="1">
      <c r="A220" s="1" t="s">
        <v>435</v>
      </c>
      <c r="B220" s="2" t="str">
        <f>HYPERLINK("https://wals.info/values/30A-tgr","Two")</f>
        <v>Two</v>
      </c>
      <c r="C220" s="2" t="str">
        <f t="shared" si="1"/>
        <v>Number of Genders</v>
      </c>
      <c r="D220" s="2" t="str">
        <f>HYPERLINK("https://wals.info/languoid/lect/wals_code_tgr","Tigré")</f>
        <v>Tigré</v>
      </c>
      <c r="E220" s="1"/>
      <c r="F220" s="1"/>
      <c r="G220" s="1" t="s">
        <v>436</v>
      </c>
    </row>
    <row r="221" ht="12.75" customHeight="1">
      <c r="A221" s="1" t="s">
        <v>437</v>
      </c>
      <c r="B221" s="2" t="str">
        <f>HYPERLINK("https://wals.info/values/30A-tiw","Two")</f>
        <v>Two</v>
      </c>
      <c r="C221" s="2" t="str">
        <f t="shared" si="1"/>
        <v>Number of Genders</v>
      </c>
      <c r="D221" s="2" t="str">
        <f>HYPERLINK("https://wals.info/languoid/lect/wals_code_tiw","Tiwi")</f>
        <v>Tiwi</v>
      </c>
      <c r="E221" s="1"/>
      <c r="F221" s="1"/>
      <c r="G221" s="1" t="s">
        <v>438</v>
      </c>
    </row>
    <row r="222" ht="12.75" customHeight="1">
      <c r="A222" s="1" t="s">
        <v>439</v>
      </c>
      <c r="B222" s="2" t="str">
        <f>HYPERLINK("https://wals.info/values/30A-tol","None")</f>
        <v>None</v>
      </c>
      <c r="C222" s="2" t="str">
        <f t="shared" si="1"/>
        <v>Number of Genders</v>
      </c>
      <c r="D222" s="2" t="str">
        <f>HYPERLINK("https://wals.info/languoid/lect/wals_code_tol","Tol")</f>
        <v>Tol</v>
      </c>
      <c r="E222" s="1"/>
      <c r="F222" s="1"/>
      <c r="G222" s="1" t="s">
        <v>440</v>
      </c>
    </row>
    <row r="223" ht="12.75" customHeight="1">
      <c r="A223" s="1" t="s">
        <v>441</v>
      </c>
      <c r="B223" s="2" t="str">
        <f>HYPERLINK("https://wals.info/values/30A-tot","None")</f>
        <v>None</v>
      </c>
      <c r="C223" s="2" t="str">
        <f t="shared" si="1"/>
        <v>Number of Genders</v>
      </c>
      <c r="D223" s="2" t="str">
        <f>HYPERLINK("https://wals.info/languoid/lect/wals_code_tot","Totonac (Misantla)")</f>
        <v>Totonac (Misantla)</v>
      </c>
      <c r="E223" s="1"/>
      <c r="F223" s="1"/>
      <c r="G223" s="1" t="s">
        <v>442</v>
      </c>
    </row>
    <row r="224" ht="12.75" customHeight="1">
      <c r="A224" s="1" t="s">
        <v>443</v>
      </c>
      <c r="B224" s="2" t="str">
        <f>HYPERLINK("https://wals.info/values/30A-tsz","Four")</f>
        <v>Four</v>
      </c>
      <c r="C224" s="2" t="str">
        <f t="shared" si="1"/>
        <v>Number of Genders</v>
      </c>
      <c r="D224" s="2" t="str">
        <f>HYPERLINK("https://wals.info/languoid/lect/wals_code_tsz","Tsez")</f>
        <v>Tsez</v>
      </c>
      <c r="E224" s="1"/>
      <c r="F224" s="1"/>
      <c r="G224" s="1" t="s">
        <v>444</v>
      </c>
    </row>
    <row r="225" ht="12.75" customHeight="1">
      <c r="A225" s="1" t="s">
        <v>445</v>
      </c>
      <c r="B225" s="2" t="str">
        <f>HYPERLINK("https://wals.info/values/30A-tsi","None")</f>
        <v>None</v>
      </c>
      <c r="C225" s="2" t="str">
        <f t="shared" si="1"/>
        <v>Number of Genders</v>
      </c>
      <c r="D225" s="2" t="str">
        <f>HYPERLINK("https://wals.info/languoid/lect/wals_code_tsi","Tsimshian (Coast)")</f>
        <v>Tsimshian (Coast)</v>
      </c>
      <c r="E225" s="1"/>
      <c r="F225" s="1"/>
      <c r="G225" s="1" t="s">
        <v>446</v>
      </c>
    </row>
    <row r="226" ht="12.75" customHeight="1">
      <c r="A226" s="1" t="s">
        <v>447</v>
      </c>
      <c r="B226" s="2" t="str">
        <f>HYPERLINK("https://wals.info/values/30A-tuk","None")</f>
        <v>None</v>
      </c>
      <c r="C226" s="2" t="str">
        <f t="shared" si="1"/>
        <v>Number of Genders</v>
      </c>
      <c r="D226" s="2" t="str">
        <f>HYPERLINK("https://wals.info/languoid/lect/wals_code_tuk","Tukang Besi")</f>
        <v>Tukang Besi</v>
      </c>
      <c r="E226" s="1"/>
      <c r="F226" s="1"/>
      <c r="G226" s="1" t="s">
        <v>448</v>
      </c>
    </row>
    <row r="227" ht="12.75" customHeight="1">
      <c r="A227" s="1" t="s">
        <v>449</v>
      </c>
      <c r="B227" s="2" t="str">
        <f>HYPERLINK("https://wals.info/values/30A-tsh","None")</f>
        <v>None</v>
      </c>
      <c r="C227" s="2" t="str">
        <f t="shared" si="1"/>
        <v>Number of Genders</v>
      </c>
      <c r="D227" s="2" t="str">
        <f>HYPERLINK("https://wals.info/languoid/lect/wals_code_tsh","Tümpisa Shoshone")</f>
        <v>Tümpisa Shoshone</v>
      </c>
      <c r="E227" s="1"/>
      <c r="F227" s="1"/>
      <c r="G227" s="1" t="s">
        <v>450</v>
      </c>
    </row>
    <row r="228" ht="12.75" customHeight="1">
      <c r="A228" s="1" t="s">
        <v>451</v>
      </c>
      <c r="B228" s="2" t="str">
        <f>HYPERLINK("https://wals.info/values/30A-tun","Two")</f>
        <v>Two</v>
      </c>
      <c r="C228" s="2" t="str">
        <f t="shared" si="1"/>
        <v>Number of Genders</v>
      </c>
      <c r="D228" s="2" t="str">
        <f>HYPERLINK("https://wals.info/languoid/lect/wals_code_tun","Tunica")</f>
        <v>Tunica</v>
      </c>
      <c r="E228" s="1"/>
      <c r="F228" s="1"/>
      <c r="G228" s="1" t="s">
        <v>452</v>
      </c>
    </row>
    <row r="229" ht="12.75" customHeight="1">
      <c r="A229" s="1" t="s">
        <v>453</v>
      </c>
      <c r="B229" s="2" t="str">
        <f>HYPERLINK("https://wals.info/values/30A-tur","None")</f>
        <v>None</v>
      </c>
      <c r="C229" s="2" t="str">
        <f t="shared" si="1"/>
        <v>Number of Genders</v>
      </c>
      <c r="D229" s="2" t="str">
        <f>HYPERLINK("https://wals.info/languoid/lect/wals_code_tur","Turkish")</f>
        <v>Turkish</v>
      </c>
      <c r="E229" s="1"/>
      <c r="F229" s="1"/>
      <c r="G229" s="1" t="s">
        <v>454</v>
      </c>
    </row>
    <row r="230" ht="12.75" customHeight="1">
      <c r="A230" s="1" t="s">
        <v>455</v>
      </c>
      <c r="B230" s="2" t="str">
        <f>HYPERLINK("https://wals.info/values/30A-tvl","None")</f>
        <v>None</v>
      </c>
      <c r="C230" s="2" t="str">
        <f t="shared" si="1"/>
        <v>Number of Genders</v>
      </c>
      <c r="D230" s="2" t="str">
        <f>HYPERLINK("https://wals.info/languoid/lect/wals_code_tvl","Tuvaluan")</f>
        <v>Tuvaluan</v>
      </c>
      <c r="E230" s="1"/>
      <c r="F230" s="1"/>
      <c r="G230" s="1" t="s">
        <v>456</v>
      </c>
    </row>
    <row r="231" ht="12.75" customHeight="1">
      <c r="A231" s="1" t="s">
        <v>457</v>
      </c>
      <c r="B231" s="2" t="str">
        <f>HYPERLINK("https://wals.info/values/30A-ukr","Three")</f>
        <v>Three</v>
      </c>
      <c r="C231" s="2" t="str">
        <f t="shared" si="1"/>
        <v>Number of Genders</v>
      </c>
      <c r="D231" s="2" t="str">
        <f>HYPERLINK("https://wals.info/languoid/lect/wals_code_ukr","Ukrainian")</f>
        <v>Ukrainian</v>
      </c>
      <c r="E231" s="1"/>
      <c r="F231" s="1"/>
      <c r="G231" s="1" t="s">
        <v>458</v>
      </c>
    </row>
    <row r="232" ht="12.75" customHeight="1">
      <c r="A232" s="1" t="s">
        <v>459</v>
      </c>
      <c r="B232" s="2" t="str">
        <f>HYPERLINK("https://wals.info/values/30A-una","None")</f>
        <v>None</v>
      </c>
      <c r="C232" s="2" t="str">
        <f t="shared" si="1"/>
        <v>Number of Genders</v>
      </c>
      <c r="D232" s="2" t="str">
        <f>HYPERLINK("https://wals.info/languoid/lect/wals_code_una","Una")</f>
        <v>Una</v>
      </c>
      <c r="E232" s="1"/>
      <c r="F232" s="1"/>
      <c r="G232" s="1" t="s">
        <v>460</v>
      </c>
    </row>
    <row r="233" ht="12.75" customHeight="1">
      <c r="A233" s="1" t="s">
        <v>461</v>
      </c>
      <c r="B233" s="2" t="str">
        <f>HYPERLINK("https://wals.info/values/30A-uhi","None")</f>
        <v>None</v>
      </c>
      <c r="C233" s="2" t="str">
        <f t="shared" si="1"/>
        <v>Number of Genders</v>
      </c>
      <c r="D233" s="2" t="str">
        <f>HYPERLINK("https://wals.info/languoid/lect/wals_code_uhi","Uradhi")</f>
        <v>Uradhi</v>
      </c>
      <c r="E233" s="1"/>
      <c r="F233" s="1"/>
      <c r="G233" s="1" t="s">
        <v>462</v>
      </c>
    </row>
    <row r="234" ht="12.75" customHeight="1">
      <c r="A234" s="1" t="s">
        <v>463</v>
      </c>
      <c r="B234" s="2" t="str">
        <f>HYPERLINK("https://wals.info/values/30A-urk","None")</f>
        <v>None</v>
      </c>
      <c r="C234" s="2" t="str">
        <f t="shared" si="1"/>
        <v>Number of Genders</v>
      </c>
      <c r="D234" s="2" t="str">
        <f>HYPERLINK("https://wals.info/languoid/lect/wals_code_urk","Urubú-Kaapor")</f>
        <v>Urubú-Kaapor</v>
      </c>
      <c r="E234" s="1"/>
      <c r="F234" s="1"/>
      <c r="G234" s="1" t="s">
        <v>464</v>
      </c>
    </row>
    <row r="235" ht="12.75" customHeight="1">
      <c r="A235" s="1" t="s">
        <v>465</v>
      </c>
      <c r="B235" s="2" t="str">
        <f>HYPERLINK("https://wals.info/values/30A-usa","None")</f>
        <v>None</v>
      </c>
      <c r="C235" s="2" t="str">
        <f t="shared" si="1"/>
        <v>Number of Genders</v>
      </c>
      <c r="D235" s="2" t="str">
        <f>HYPERLINK("https://wals.info/languoid/lect/wals_code_usa","Usan")</f>
        <v>Usan</v>
      </c>
      <c r="E235" s="1"/>
      <c r="F235" s="1"/>
      <c r="G235" s="1" t="s">
        <v>466</v>
      </c>
    </row>
    <row r="236" ht="12.75" customHeight="1">
      <c r="A236" s="1" t="s">
        <v>467</v>
      </c>
      <c r="B236" s="2" t="str">
        <f>HYPERLINK("https://wals.info/values/30A-uzb","None")</f>
        <v>None</v>
      </c>
      <c r="C236" s="2" t="str">
        <f t="shared" si="1"/>
        <v>Number of Genders</v>
      </c>
      <c r="D236" s="2" t="str">
        <f>HYPERLINK("https://wals.info/languoid/lect/wals_code_uzb","Uzbek")</f>
        <v>Uzbek</v>
      </c>
      <c r="E236" s="1"/>
      <c r="F236" s="1"/>
      <c r="G236" s="1" t="s">
        <v>468</v>
      </c>
    </row>
    <row r="237" ht="12.75" customHeight="1">
      <c r="A237" s="1" t="s">
        <v>469</v>
      </c>
      <c r="B237" s="2" t="str">
        <f>HYPERLINK("https://wals.info/values/30A-vie","None")</f>
        <v>None</v>
      </c>
      <c r="C237" s="2" t="str">
        <f t="shared" si="1"/>
        <v>Number of Genders</v>
      </c>
      <c r="D237" s="2" t="str">
        <f>HYPERLINK("https://wals.info/languoid/lect/wals_code_vie","Vietnamese")</f>
        <v>Vietnamese</v>
      </c>
      <c r="E237" s="1"/>
      <c r="F237" s="1"/>
      <c r="G237" s="1" t="s">
        <v>470</v>
      </c>
    </row>
    <row r="238" ht="12.75" customHeight="1">
      <c r="A238" s="1" t="s">
        <v>471</v>
      </c>
      <c r="B238" s="2" t="str">
        <f>HYPERLINK("https://wals.info/values/30A-wam","Four")</f>
        <v>Four</v>
      </c>
      <c r="C238" s="2" t="str">
        <f t="shared" si="1"/>
        <v>Number of Genders</v>
      </c>
      <c r="D238" s="2" t="str">
        <f>HYPERLINK("https://wals.info/languoid/lect/wals_code_wam","Wambaya")</f>
        <v>Wambaya</v>
      </c>
      <c r="E238" s="1"/>
      <c r="F238" s="1"/>
      <c r="G238" s="1" t="s">
        <v>472</v>
      </c>
    </row>
    <row r="239" ht="12.75" customHeight="1">
      <c r="A239" s="1" t="s">
        <v>473</v>
      </c>
      <c r="B239" s="2" t="str">
        <f>HYPERLINK("https://wals.info/values/30A-wra","None")</f>
        <v>None</v>
      </c>
      <c r="C239" s="2" t="str">
        <f t="shared" si="1"/>
        <v>Number of Genders</v>
      </c>
      <c r="D239" s="2" t="str">
        <f>HYPERLINK("https://wals.info/languoid/lect/wals_code_wra","Warao")</f>
        <v>Warao</v>
      </c>
      <c r="E239" s="1"/>
      <c r="F239" s="1"/>
      <c r="G239" s="1" t="s">
        <v>474</v>
      </c>
    </row>
    <row r="240" ht="12.75" customHeight="1">
      <c r="A240" s="1" t="s">
        <v>475</v>
      </c>
      <c r="B240" s="2" t="str">
        <f>HYPERLINK("https://wals.info/values/30A-wrd","Three")</f>
        <v>Three</v>
      </c>
      <c r="C240" s="2" t="str">
        <f t="shared" si="1"/>
        <v>Number of Genders</v>
      </c>
      <c r="D240" s="2" t="str">
        <f>HYPERLINK("https://wals.info/languoid/lect/wals_code_wrd","Wardaman")</f>
        <v>Wardaman</v>
      </c>
      <c r="E240" s="1"/>
      <c r="F240" s="1"/>
      <c r="G240" s="1" t="s">
        <v>476</v>
      </c>
    </row>
    <row r="241" ht="12.75" customHeight="1">
      <c r="A241" s="1" t="s">
        <v>477</v>
      </c>
      <c r="B241" s="2" t="str">
        <f>HYPERLINK("https://wals.info/values/30A-war","Three")</f>
        <v>Three</v>
      </c>
      <c r="C241" s="2" t="str">
        <f t="shared" si="1"/>
        <v>Number of Genders</v>
      </c>
      <c r="D241" s="2" t="str">
        <f>HYPERLINK("https://wals.info/languoid/lect/wals_code_war","Wari'")</f>
        <v>Wari'</v>
      </c>
      <c r="E241" s="1"/>
      <c r="F241" s="1"/>
      <c r="G241" s="1" t="s">
        <v>478</v>
      </c>
    </row>
    <row r="242" ht="12.75" customHeight="1">
      <c r="A242" s="1" t="s">
        <v>479</v>
      </c>
      <c r="B242" s="2" t="str">
        <f>HYPERLINK("https://wals.info/values/30A-wat","None")</f>
        <v>None</v>
      </c>
      <c r="C242" s="2" t="str">
        <f t="shared" si="1"/>
        <v>Number of Genders</v>
      </c>
      <c r="D242" s="2" t="str">
        <f>HYPERLINK("https://wals.info/languoid/lect/wals_code_wat","Watjarri")</f>
        <v>Watjarri</v>
      </c>
      <c r="E242" s="1"/>
      <c r="F242" s="1"/>
      <c r="G242" s="1" t="s">
        <v>480</v>
      </c>
    </row>
    <row r="243" ht="12.75" customHeight="1">
      <c r="A243" s="1" t="s">
        <v>481</v>
      </c>
      <c r="B243" s="2" t="str">
        <f>HYPERLINK("https://wals.info/values/30A-wic","None")</f>
        <v>None</v>
      </c>
      <c r="C243" s="2" t="str">
        <f t="shared" si="1"/>
        <v>Number of Genders</v>
      </c>
      <c r="D243" s="2" t="str">
        <f>HYPERLINK("https://wals.info/languoid/lect/wals_code_wic","Wichita")</f>
        <v>Wichita</v>
      </c>
      <c r="E243" s="1"/>
      <c r="F243" s="1"/>
      <c r="G243" s="1" t="s">
        <v>482</v>
      </c>
    </row>
    <row r="244" ht="12.75" customHeight="1">
      <c r="A244" s="1" t="s">
        <v>483</v>
      </c>
      <c r="B244" s="2" t="str">
        <f>HYPERLINK("https://wals.info/values/30A-ykt","None")</f>
        <v>None</v>
      </c>
      <c r="C244" s="2" t="str">
        <f t="shared" si="1"/>
        <v>Number of Genders</v>
      </c>
      <c r="D244" s="2" t="str">
        <f>HYPERLINK("https://wals.info/languoid/lect/wals_code_ykt","Yakut")</f>
        <v>Yakut</v>
      </c>
      <c r="E244" s="1"/>
      <c r="F244" s="1"/>
      <c r="G244" s="1" t="s">
        <v>484</v>
      </c>
    </row>
    <row r="245" ht="12.75" customHeight="1">
      <c r="A245" s="1" t="s">
        <v>485</v>
      </c>
      <c r="B245" s="2" t="str">
        <f>HYPERLINK("https://wals.info/values/30A-yaq","None")</f>
        <v>None</v>
      </c>
      <c r="C245" s="2" t="str">
        <f t="shared" si="1"/>
        <v>Number of Genders</v>
      </c>
      <c r="D245" s="2" t="str">
        <f>HYPERLINK("https://wals.info/languoid/lect/wals_code_yaq","Yaqui")</f>
        <v>Yaqui</v>
      </c>
      <c r="E245" s="1"/>
      <c r="F245" s="1"/>
      <c r="G245" s="1" t="s">
        <v>486</v>
      </c>
    </row>
    <row r="246" ht="12.75" customHeight="1">
      <c r="A246" s="1" t="s">
        <v>487</v>
      </c>
      <c r="B246" s="2" t="str">
        <f>HYPERLINK("https://wals.info/values/30A-yaz","Two")</f>
        <v>Two</v>
      </c>
      <c r="C246" s="2" t="str">
        <f t="shared" si="1"/>
        <v>Number of Genders</v>
      </c>
      <c r="D246" s="2" t="str">
        <f>HYPERLINK("https://wals.info/languoid/lect/wals_code_yaz","Yazgulyam")</f>
        <v>Yazgulyam</v>
      </c>
      <c r="E246" s="1"/>
      <c r="F246" s="1"/>
      <c r="G246" s="1" t="s">
        <v>488</v>
      </c>
    </row>
    <row r="247" ht="12.75" customHeight="1">
      <c r="A247" s="1" t="s">
        <v>489</v>
      </c>
      <c r="B247" s="2" t="str">
        <f>HYPERLINK("https://wals.info/values/30A-yel","None")</f>
        <v>None</v>
      </c>
      <c r="C247" s="2" t="str">
        <f t="shared" si="1"/>
        <v>Number of Genders</v>
      </c>
      <c r="D247" s="2" t="str">
        <f>HYPERLINK("https://wals.info/languoid/lect/wals_code_yel","Yelî Dnye")</f>
        <v>Yelî Dnye</v>
      </c>
      <c r="E247" s="1"/>
      <c r="F247" s="1"/>
      <c r="G247" s="1" t="s">
        <v>490</v>
      </c>
    </row>
    <row r="248" ht="12.75" customHeight="1">
      <c r="A248" s="1" t="s">
        <v>491</v>
      </c>
      <c r="B248" s="2" t="str">
        <f>HYPERLINK("https://wals.info/values/30A-yid","None")</f>
        <v>None</v>
      </c>
      <c r="C248" s="2" t="str">
        <f t="shared" si="1"/>
        <v>Number of Genders</v>
      </c>
      <c r="D248" s="2" t="str">
        <f>HYPERLINK("https://wals.info/languoid/lect/wals_code_yid","Yidiny")</f>
        <v>Yidiny</v>
      </c>
      <c r="E248" s="1"/>
      <c r="F248" s="1"/>
      <c r="G248" s="1" t="s">
        <v>492</v>
      </c>
    </row>
    <row r="249" ht="12.75" customHeight="1">
      <c r="A249" s="1" t="s">
        <v>493</v>
      </c>
      <c r="B249" s="2" t="str">
        <f>HYPERLINK("https://wals.info/values/30A-yim","Five or more")</f>
        <v>Five or more</v>
      </c>
      <c r="C249" s="2" t="str">
        <f t="shared" si="1"/>
        <v>Number of Genders</v>
      </c>
      <c r="D249" s="2" t="str">
        <f>HYPERLINK("https://wals.info/languoid/lect/wals_code_yim","Yimas")</f>
        <v>Yimas</v>
      </c>
      <c r="E249" s="1"/>
      <c r="F249" s="1"/>
      <c r="G249" s="1" t="s">
        <v>494</v>
      </c>
    </row>
    <row r="250" ht="12.75" customHeight="1">
      <c r="A250" s="1" t="s">
        <v>495</v>
      </c>
      <c r="B250" s="2" t="str">
        <f>HYPERLINK("https://wals.info/values/30A-yor","None")</f>
        <v>None</v>
      </c>
      <c r="C250" s="2" t="str">
        <f t="shared" si="1"/>
        <v>Number of Genders</v>
      </c>
      <c r="D250" s="2" t="str">
        <f>HYPERLINK("https://wals.info/languoid/lect/wals_code_yor","Yoruba")</f>
        <v>Yoruba</v>
      </c>
      <c r="E250" s="1"/>
      <c r="F250" s="1"/>
      <c r="G250" s="1" t="s">
        <v>496</v>
      </c>
    </row>
    <row r="251" ht="12.75" customHeight="1">
      <c r="A251" s="1" t="s">
        <v>497</v>
      </c>
      <c r="B251" s="2" t="str">
        <f>HYPERLINK("https://wals.info/values/30A-yko","None")</f>
        <v>None</v>
      </c>
      <c r="C251" s="2" t="str">
        <f t="shared" si="1"/>
        <v>Number of Genders</v>
      </c>
      <c r="D251" s="2" t="str">
        <f>HYPERLINK("https://wals.info/languoid/lect/wals_code_yko","Yukaghir (Kolyma)")</f>
        <v>Yukaghir (Kolyma)</v>
      </c>
      <c r="E251" s="1"/>
      <c r="F251" s="1"/>
      <c r="G251" s="1" t="s">
        <v>498</v>
      </c>
    </row>
    <row r="252" ht="12.75" customHeight="1">
      <c r="A252" s="1" t="s">
        <v>499</v>
      </c>
      <c r="B252" s="2" t="str">
        <f>HYPERLINK("https://wals.info/values/30A-ylb","None")</f>
        <v>None</v>
      </c>
      <c r="C252" s="2" t="str">
        <f t="shared" si="1"/>
        <v>Number of Genders</v>
      </c>
      <c r="D252" s="2" t="str">
        <f>HYPERLINK("https://wals.info/languoid/lect/wals_code_ylb","Yulparija")</f>
        <v>Yulparija</v>
      </c>
      <c r="E252" s="1"/>
      <c r="F252" s="1"/>
      <c r="G252" s="1" t="s">
        <v>500</v>
      </c>
    </row>
    <row r="253" ht="12.75" customHeight="1">
      <c r="A253" s="1" t="s">
        <v>501</v>
      </c>
      <c r="B253" s="2" t="str">
        <f>HYPERLINK("https://wals.info/values/30A-ypk","None")</f>
        <v>None</v>
      </c>
      <c r="C253" s="2" t="str">
        <f t="shared" si="1"/>
        <v>Number of Genders</v>
      </c>
      <c r="D253" s="2" t="str">
        <f>HYPERLINK("https://wals.info/languoid/lect/wals_code_ypk","Yup'ik (Central)")</f>
        <v>Yup'ik (Central)</v>
      </c>
      <c r="E253" s="1"/>
      <c r="F253" s="1"/>
      <c r="G253" s="1" t="s">
        <v>502</v>
      </c>
    </row>
    <row r="254" ht="12.75" customHeight="1">
      <c r="A254" s="1" t="s">
        <v>503</v>
      </c>
      <c r="B254" s="2" t="str">
        <f>HYPERLINK("https://wals.info/values/30A-yur","None")</f>
        <v>None</v>
      </c>
      <c r="C254" s="2" t="str">
        <f t="shared" si="1"/>
        <v>Number of Genders</v>
      </c>
      <c r="D254" s="2" t="str">
        <f>HYPERLINK("https://wals.info/languoid/lect/wals_code_yur","Yurok")</f>
        <v>Yurok</v>
      </c>
      <c r="E254" s="1"/>
      <c r="F254" s="1"/>
      <c r="G254" s="1" t="s">
        <v>504</v>
      </c>
    </row>
    <row r="255" ht="12.75" customHeight="1">
      <c r="A255" s="1" t="s">
        <v>505</v>
      </c>
      <c r="B255" s="2" t="str">
        <f>HYPERLINK("https://wals.info/values/30A-zan","Four")</f>
        <v>Four</v>
      </c>
      <c r="C255" s="2" t="str">
        <f t="shared" si="1"/>
        <v>Number of Genders</v>
      </c>
      <c r="D255" s="2" t="str">
        <f>HYPERLINK("https://wals.info/languoid/lect/wals_code_zan","Zande")</f>
        <v>Zande</v>
      </c>
      <c r="E255" s="1"/>
      <c r="F255" s="1"/>
      <c r="G255" s="1" t="s">
        <v>506</v>
      </c>
    </row>
    <row r="256" ht="12.75" customHeight="1">
      <c r="A256" s="1" t="s">
        <v>507</v>
      </c>
      <c r="B256" s="2" t="str">
        <f>HYPERLINK("https://wals.info/values/30A-zqc","None")</f>
        <v>None</v>
      </c>
      <c r="C256" s="2" t="str">
        <f t="shared" si="1"/>
        <v>Number of Genders</v>
      </c>
      <c r="D256" s="2" t="str">
        <f>HYPERLINK("https://wals.info/languoid/lect/wals_code_zqc","Zoque (Copainalá)")</f>
        <v>Zoque (Copainalá)</v>
      </c>
      <c r="E256" s="1"/>
      <c r="F256" s="1"/>
      <c r="G256" s="1" t="s">
        <v>508</v>
      </c>
    </row>
    <row r="257" ht="12.75" customHeight="1">
      <c r="A257" s="1" t="s">
        <v>509</v>
      </c>
      <c r="B257" s="2" t="str">
        <f>HYPERLINK("https://wals.info/values/30A-zul","Five or more")</f>
        <v>Five or more</v>
      </c>
      <c r="C257" s="2" t="str">
        <f t="shared" si="1"/>
        <v>Number of Genders</v>
      </c>
      <c r="D257" s="2" t="str">
        <f>HYPERLINK("https://wals.info/languoid/lect/wals_code_zul","Zulu")</f>
        <v>Zulu</v>
      </c>
      <c r="E257" s="1"/>
      <c r="F257" s="1"/>
      <c r="G257" s="1" t="s">
        <v>510</v>
      </c>
    </row>
    <row r="258" ht="12.75" customHeight="1">
      <c r="A258" s="1" t="s">
        <v>511</v>
      </c>
      <c r="B258" s="2" t="str">
        <f>HYPERLINK("https://wals.info/values/30A-zun","None")</f>
        <v>None</v>
      </c>
      <c r="C258" s="2" t="str">
        <f t="shared" si="1"/>
        <v>Number of Genders</v>
      </c>
      <c r="D258" s="2" t="str">
        <f>HYPERLINK("https://wals.info/languoid/lect/wals_code_zun","Zuni")</f>
        <v>Zuni</v>
      </c>
      <c r="E258" s="1"/>
      <c r="F258" s="1"/>
      <c r="G258" s="1" t="s">
        <v>512</v>
      </c>
    </row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