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alues" sheetId="1" r:id="rId3"/>
  </sheets>
  <definedNames/>
  <calcPr/>
</workbook>
</file>

<file path=xl/sharedStrings.xml><?xml version="1.0" encoding="utf-8"?>
<sst xmlns="http://schemas.openxmlformats.org/spreadsheetml/2006/main" count="443" uniqueCount="323">
  <si>
    <t>ID</t>
  </si>
  <si>
    <t>Name</t>
  </si>
  <si>
    <t>Parameter</t>
  </si>
  <si>
    <t>Language</t>
  </si>
  <si>
    <t>Frequency</t>
  </si>
  <si>
    <t>Confidence</t>
  </si>
  <si>
    <t>References</t>
  </si>
  <si>
    <t>138A-abz</t>
  </si>
  <si>
    <t>Anonymous 1956</t>
  </si>
  <si>
    <t>138A-ace</t>
  </si>
  <si>
    <t>Aboe Bakar et al. 1985</t>
  </si>
  <si>
    <t>138A-afr</t>
  </si>
  <si>
    <t>Malherbe and Rosenberg 1996</t>
  </si>
  <si>
    <t>138A-aht</t>
  </si>
  <si>
    <t>Kari 1990</t>
  </si>
  <si>
    <t>138A-abm</t>
  </si>
  <si>
    <t>Sylestine et al. n.d.</t>
  </si>
  <si>
    <t>138A-alb</t>
  </si>
  <si>
    <t>138A-alt</t>
  </si>
  <si>
    <t>138A-amh</t>
  </si>
  <si>
    <t>138A-aeg</t>
  </si>
  <si>
    <t>138A-arm</t>
  </si>
  <si>
    <t>138A-ass</t>
  </si>
  <si>
    <t>138A-ast</t>
  </si>
  <si>
    <t>138A-ata</t>
  </si>
  <si>
    <t>Egerod 1980</t>
  </si>
  <si>
    <t>138A-aze</t>
  </si>
  <si>
    <t>138A-bdg</t>
  </si>
  <si>
    <t>Hockings and Pilot-Raichoor 1992</t>
  </si>
  <si>
    <t>138A-bal</t>
  </si>
  <si>
    <t>Sugiarto 1993</t>
  </si>
  <si>
    <t>138A-blc</t>
  </si>
  <si>
    <t>138A-bam</t>
  </si>
  <si>
    <t>138A-bsk</t>
  </si>
  <si>
    <t>Poppe 1964</t>
  </si>
  <si>
    <t>138A-bsq</t>
  </si>
  <si>
    <t>138A-blr</t>
  </si>
  <si>
    <t>138A-ben</t>
  </si>
  <si>
    <t>138A-bma</t>
  </si>
  <si>
    <t>138A-bre</t>
  </si>
  <si>
    <t>138A-bru</t>
  </si>
  <si>
    <t>Miller and Nuan 1974</t>
  </si>
  <si>
    <t>138A-bul</t>
  </si>
  <si>
    <t>138A-but</t>
  </si>
  <si>
    <t>Cydenbambaev and Imechenov 1962</t>
  </si>
  <si>
    <t>138A-brj</t>
  </si>
  <si>
    <t>Sasse 1982</t>
  </si>
  <si>
    <t>138A-brm</t>
  </si>
  <si>
    <t>138A-bur</t>
  </si>
  <si>
    <t>138A-cnt</t>
  </si>
  <si>
    <t>138A-ctl</t>
  </si>
  <si>
    <t>138A-ceb</t>
  </si>
  <si>
    <t>138A-cme</t>
  </si>
  <si>
    <t>138A-cha</t>
  </si>
  <si>
    <t>138A-chn</t>
  </si>
  <si>
    <t>Noonan and Bhulanja 1999</t>
  </si>
  <si>
    <t>138A-chc</t>
  </si>
  <si>
    <t>Digaev et al. 2002</t>
  </si>
  <si>
    <t>138A-cmh</t>
  </si>
  <si>
    <t>Press 1979</t>
  </si>
  <si>
    <t>138A-che</t>
  </si>
  <si>
    <t>138A-cyn</t>
  </si>
  <si>
    <t>138A-cic</t>
  </si>
  <si>
    <t>138A-chp</t>
  </si>
  <si>
    <t>138A-chr</t>
  </si>
  <si>
    <t>Jaken and Thomas 1974</t>
  </si>
  <si>
    <t>138A-crh</t>
  </si>
  <si>
    <t>Fuller et al. 1974</t>
  </si>
  <si>
    <t>138A-chv</t>
  </si>
  <si>
    <t>Krueger 1961</t>
  </si>
  <si>
    <t>138A-ccp</t>
  </si>
  <si>
    <t>Crawford 1989</t>
  </si>
  <si>
    <t>138A-com</t>
  </si>
  <si>
    <t>138A-cre</t>
  </si>
  <si>
    <t>Wolfart and Ahenakew 1998</t>
  </si>
  <si>
    <t>138A-cua</t>
  </si>
  <si>
    <t>Dinh Dô et al. 1974</t>
  </si>
  <si>
    <t>138A-cze</t>
  </si>
  <si>
    <t>138A-dga</t>
  </si>
  <si>
    <t>138A-dah</t>
  </si>
  <si>
    <t>Tosco 1991</t>
  </si>
  <si>
    <t>138A-dsh</t>
  </si>
  <si>
    <t>138A-dhi</t>
  </si>
  <si>
    <t>Cain and Gair 2000</t>
  </si>
  <si>
    <t>138A-din</t>
  </si>
  <si>
    <t>138A-dio</t>
  </si>
  <si>
    <t>138A-dua</t>
  </si>
  <si>
    <t>138A-dut</t>
  </si>
  <si>
    <t>138A-eng</t>
  </si>
  <si>
    <t>138A-est</t>
  </si>
  <si>
    <t>138A-evn</t>
  </si>
  <si>
    <t>Cincius and Rises 1952</t>
  </si>
  <si>
    <t>138A-eve</t>
  </si>
  <si>
    <t>Ikegami 1975</t>
  </si>
  <si>
    <t>138A-ewe</t>
  </si>
  <si>
    <t>138A-ewo</t>
  </si>
  <si>
    <t>138A-fin</t>
  </si>
  <si>
    <t>138A-fre</t>
  </si>
  <si>
    <t>138A-fua</t>
  </si>
  <si>
    <t>De Wolf 1995</t>
  </si>
  <si>
    <t>138A-fli</t>
  </si>
  <si>
    <t>138A-gml</t>
  </si>
  <si>
    <t>Austin and Nathan 1998</t>
  </si>
  <si>
    <t>138A-geo</t>
  </si>
  <si>
    <t>138A-ger</t>
  </si>
  <si>
    <t>138A-grt</t>
  </si>
  <si>
    <t>Padeta 1977</t>
  </si>
  <si>
    <t>138A-grk</t>
  </si>
  <si>
    <t>138A-gdl</t>
  </si>
  <si>
    <t>138A-gua</t>
  </si>
  <si>
    <t>138A-guj</t>
  </si>
  <si>
    <t>138A-hau</t>
  </si>
  <si>
    <t>138A-haw</t>
  </si>
  <si>
    <t>138A-heb</t>
  </si>
  <si>
    <t>138A-hil</t>
  </si>
  <si>
    <t>Ibelgaufts and Ibelgaufts 1999</t>
  </si>
  <si>
    <t>138A-hin</t>
  </si>
  <si>
    <t>138A-hre</t>
  </si>
  <si>
    <t>Trebilco et al. 1974</t>
  </si>
  <si>
    <t>138A-hun</t>
  </si>
  <si>
    <t>138A-ice</t>
  </si>
  <si>
    <t>138A-ind</t>
  </si>
  <si>
    <t>138A-ing</t>
  </si>
  <si>
    <t>138A-inu</t>
  </si>
  <si>
    <t>Webster and Zibell n.d.</t>
  </si>
  <si>
    <t>138A-iri</t>
  </si>
  <si>
    <t>138A-ita</t>
  </si>
  <si>
    <t>138A-jpn</t>
  </si>
  <si>
    <t>138A-jav</t>
  </si>
  <si>
    <t>138A-juh</t>
  </si>
  <si>
    <t>Dickens 1994</t>
  </si>
  <si>
    <t>138A-jmo</t>
  </si>
  <si>
    <t>Persson and Persson 1991</t>
  </si>
  <si>
    <t>138A-kab</t>
  </si>
  <si>
    <t>Kardanov and Bicoev 1955</t>
  </si>
  <si>
    <t>138A-kbl</t>
  </si>
  <si>
    <t>138A-kmk</t>
  </si>
  <si>
    <t>Zwick 1854</t>
  </si>
  <si>
    <t>138A-knr</t>
  </si>
  <si>
    <t>Cyffer and Hutchison 1990</t>
  </si>
  <si>
    <t>138A-krm</t>
  </si>
  <si>
    <t>Kowalski 1929</t>
  </si>
  <si>
    <t>138A-kkp</t>
  </si>
  <si>
    <t>Baskakov 1958</t>
  </si>
  <si>
    <t>138A-ksg</t>
  </si>
  <si>
    <t>138A-krk</t>
  </si>
  <si>
    <t>Bright 1957</t>
  </si>
  <si>
    <t>138A-kaz</t>
  </si>
  <si>
    <t>138A-keu</t>
  </si>
  <si>
    <t>138A-ket</t>
  </si>
  <si>
    <t>Werner 1997a</t>
  </si>
  <si>
    <t>138A-khk</t>
  </si>
  <si>
    <t>Baskakov and Inkizekova-Grekyl 1953</t>
  </si>
  <si>
    <t>138A-kha</t>
  </si>
  <si>
    <t>138A-khs</t>
  </si>
  <si>
    <t>Rabel 1961</t>
  </si>
  <si>
    <t>138A-khm</t>
  </si>
  <si>
    <t>138A-kik</t>
  </si>
  <si>
    <t>138A-kin</t>
  </si>
  <si>
    <t>138A-kgz</t>
  </si>
  <si>
    <t>Hebert and Poppe 1963</t>
  </si>
  <si>
    <t>138A-koi</t>
  </si>
  <si>
    <t>Dutton 1992</t>
  </si>
  <si>
    <t>138A-kkn</t>
  </si>
  <si>
    <t>138A-kor</t>
  </si>
  <si>
    <t>138A-kry</t>
  </si>
  <si>
    <t>Zukova 1967</t>
  </si>
  <si>
    <t>138A-kos</t>
  </si>
  <si>
    <t>Lee 1976</t>
  </si>
  <si>
    <t>138A-kse</t>
  </si>
  <si>
    <t>138A-kro</t>
  </si>
  <si>
    <t>Reh 1985</t>
  </si>
  <si>
    <t>138A-kuq</t>
  </si>
  <si>
    <t>Bammatov 1960</t>
  </si>
  <si>
    <t>138A-kjn</t>
  </si>
  <si>
    <t>Hamilton 1998</t>
  </si>
  <si>
    <t>138A-kji</t>
  </si>
  <si>
    <t>138A-lad</t>
  </si>
  <si>
    <t>138A-lmp</t>
  </si>
  <si>
    <t>Junaiyah 1985</t>
  </si>
  <si>
    <t>138A-lao</t>
  </si>
  <si>
    <t>138A-lat</t>
  </si>
  <si>
    <t>138A-lcr</t>
  </si>
  <si>
    <t>138A-lin</t>
  </si>
  <si>
    <t>138A-lis</t>
  </si>
  <si>
    <t>Bradley 1994</t>
  </si>
  <si>
    <t>138A-lit</t>
  </si>
  <si>
    <t>138A-lon</t>
  </si>
  <si>
    <t>Hamel 1994</t>
  </si>
  <si>
    <t>138A-lda</t>
  </si>
  <si>
    <t>138A-luo</t>
  </si>
  <si>
    <t>138A-lux</t>
  </si>
  <si>
    <t>138A-mdr</t>
  </si>
  <si>
    <t>138A-mks</t>
  </si>
  <si>
    <t>138A-mal</t>
  </si>
  <si>
    <t>138A-mym</t>
  </si>
  <si>
    <t>138A-mlt</t>
  </si>
  <si>
    <t>138A-mnd</t>
  </si>
  <si>
    <t>138A-mao</t>
  </si>
  <si>
    <t>Biggs 1994</t>
  </si>
  <si>
    <t>138A-mku</t>
  </si>
  <si>
    <t>Tryon 1970b</t>
  </si>
  <si>
    <t>138A-mhi</t>
  </si>
  <si>
    <t>138A-mme</t>
  </si>
  <si>
    <t>Moisio 1992</t>
  </si>
  <si>
    <t>138A-msh</t>
  </si>
  <si>
    <t>Abo et al. 1976</t>
  </si>
  <si>
    <t>138A-mby</t>
  </si>
  <si>
    <t>Keegan 1996</t>
  </si>
  <si>
    <t>138A-mnt</t>
  </si>
  <si>
    <t>Syamsir et al 1985</t>
  </si>
  <si>
    <t>138A-min</t>
  </si>
  <si>
    <t>138A-mss</t>
  </si>
  <si>
    <t>Broadbent 1964</t>
  </si>
  <si>
    <t>138A-mol</t>
  </si>
  <si>
    <t>Gajdarzi and Baskakov 1973</t>
  </si>
  <si>
    <t>138A-moe</t>
  </si>
  <si>
    <t>Paasonen 1909</t>
  </si>
  <si>
    <t>138A-nai</t>
  </si>
  <si>
    <t>Petrova 1960</t>
  </si>
  <si>
    <t>138A-nep</t>
  </si>
  <si>
    <t>138A-new</t>
  </si>
  <si>
    <t>138A-nog</t>
  </si>
  <si>
    <t>Baskakov and Abdulzalilov 1956</t>
  </si>
  <si>
    <t>138A-nor</t>
  </si>
  <si>
    <t>138A-nbd</t>
  </si>
  <si>
    <t>Armbruster 1965</t>
  </si>
  <si>
    <t>138A-nun</t>
  </si>
  <si>
    <t>Vy Thi Bé and Saul 1974</t>
  </si>
  <si>
    <t>138A-nyl</t>
  </si>
  <si>
    <t>Ozanne-Rivierre 1998</t>
  </si>
  <si>
    <t>138A-occ</t>
  </si>
  <si>
    <t>138A-ojm</t>
  </si>
  <si>
    <t>Nichols and Nyholm 1995</t>
  </si>
  <si>
    <t>138A-oya</t>
  </si>
  <si>
    <t>138A-orh</t>
  </si>
  <si>
    <t>Owens 1985</t>
  </si>
  <si>
    <t>138A-owc</t>
  </si>
  <si>
    <t>138A-oss</t>
  </si>
  <si>
    <t>138A-pak</t>
  </si>
  <si>
    <t>138A-pan</t>
  </si>
  <si>
    <t>138A-psh</t>
  </si>
  <si>
    <t>138A-psm</t>
  </si>
  <si>
    <t>Francis and Leavitt 1998</t>
  </si>
  <si>
    <t>138A-prs</t>
  </si>
  <si>
    <t>138A-poh</t>
  </si>
  <si>
    <t>Rehg and Sohl 1979</t>
  </si>
  <si>
    <t>138A-pol</t>
  </si>
  <si>
    <t>138A-por</t>
  </si>
  <si>
    <t>138A-pro</t>
  </si>
  <si>
    <t>138A-qaf</t>
  </si>
  <si>
    <t>138A-qay</t>
  </si>
  <si>
    <t>Parker 1969</t>
  </si>
  <si>
    <t>138A-ren</t>
  </si>
  <si>
    <t>Pillinger and Galboran 1999</t>
  </si>
  <si>
    <t>138A-rbg</t>
  </si>
  <si>
    <t>Matras et al. 2002</t>
  </si>
  <si>
    <t>138A-rka</t>
  </si>
  <si>
    <t>138A-rlo</t>
  </si>
  <si>
    <t>138A-rse</t>
  </si>
  <si>
    <t>138A-rmc</t>
  </si>
  <si>
    <t>138A-rus</t>
  </si>
  <si>
    <t>138A-sno</t>
  </si>
  <si>
    <t>138A-san</t>
  </si>
  <si>
    <t>138A-scr</t>
  </si>
  <si>
    <t>138A-ses</t>
  </si>
  <si>
    <t>138A-ssh</t>
  </si>
  <si>
    <t>Lamberti 1993a</t>
  </si>
  <si>
    <t>138A-sdh</t>
  </si>
  <si>
    <t>138A-snh</t>
  </si>
  <si>
    <t>138A-svk</t>
  </si>
  <si>
    <t>138A-slo</t>
  </si>
  <si>
    <t>138A-som</t>
  </si>
  <si>
    <t>138A-snn</t>
  </si>
  <si>
    <t>138A-spa</t>
  </si>
  <si>
    <t>138A-sra</t>
  </si>
  <si>
    <t>138A-sun</t>
  </si>
  <si>
    <t>138A-swa</t>
  </si>
  <si>
    <t>138A-swe</t>
  </si>
  <si>
    <t>138A-tag</t>
  </si>
  <si>
    <t>138A-tah</t>
  </si>
  <si>
    <t>138A-taq</t>
  </si>
  <si>
    <t>138A-taj</t>
  </si>
  <si>
    <t>138A-tvo</t>
  </si>
  <si>
    <t>Dmitriev 1955</t>
  </si>
  <si>
    <t>138A-tel</t>
  </si>
  <si>
    <t>138A-tha</t>
  </si>
  <si>
    <t>138A-tib</t>
  </si>
  <si>
    <t>138A-tiw</t>
  </si>
  <si>
    <t>Osborne 1974</t>
  </si>
  <si>
    <t>138A-tsw</t>
  </si>
  <si>
    <t>138A-tun</t>
  </si>
  <si>
    <t>Haas 1953</t>
  </si>
  <si>
    <t>138A-tur</t>
  </si>
  <si>
    <t>138A-tkm</t>
  </si>
  <si>
    <t>Baskakov and Hamzaev 1956</t>
  </si>
  <si>
    <t>138A-tuv</t>
  </si>
  <si>
    <t>Mongus 1980</t>
  </si>
  <si>
    <t>138A-udm</t>
  </si>
  <si>
    <t>Vaxrushev 1983</t>
  </si>
  <si>
    <t>138A-ukr</t>
  </si>
  <si>
    <t>138A-uyg</t>
  </si>
  <si>
    <t>138A-uzb</t>
  </si>
  <si>
    <t>138A-vie</t>
  </si>
  <si>
    <t>138A-wam</t>
  </si>
  <si>
    <t>Nordlinger 1998</t>
  </si>
  <si>
    <t>138A-wel</t>
  </si>
  <si>
    <t>138A-wlo</t>
  </si>
  <si>
    <t>Husen et al. 1985</t>
  </si>
  <si>
    <t>138A-wlf</t>
  </si>
  <si>
    <t>138A-xho</t>
  </si>
  <si>
    <t>138A-xoo</t>
  </si>
  <si>
    <t>Traill 1994</t>
  </si>
  <si>
    <t>138A-ykt</t>
  </si>
  <si>
    <t>138A-yms</t>
  </si>
  <si>
    <t>Lamberti 1993b</t>
  </si>
  <si>
    <t>138A-yor</t>
  </si>
  <si>
    <t>138A-ypk</t>
  </si>
  <si>
    <t>Jacobson 1984a</t>
  </si>
  <si>
    <t>138A-zar</t>
  </si>
  <si>
    <t>138A-zqc</t>
  </si>
  <si>
    <t>Harrison et al. 1981</t>
  </si>
  <si>
    <t>138A-zul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</si>
</sst>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2.75" customHeight="1">
      <c r="A2" s="1" t="s">
        <v>7</v>
      </c>
      <c r="B2" s="2" t="str">
        <f>HYPERLINK("https://wals.info/values/138A-abz","Words derived from Sinitic cha")</f>
        <v>Words derived from Sinitic cha</v>
      </c>
      <c r="C2" s="2" t="str">
        <f t="shared" ref="C2:C231" si="1">HYPERLINK("https://wals.info/feature/138A","Tea")</f>
        <v>Tea</v>
      </c>
      <c r="D2" s="2" t="str">
        <f>HYPERLINK("https://wals.info/languoid/lect/wals_code_abz","Abaza")</f>
        <v>Abaza</v>
      </c>
      <c r="E2" s="1"/>
      <c r="F2" s="1"/>
      <c r="G2" s="1" t="s">
        <v>8</v>
      </c>
    </row>
    <row r="3" ht="12.75" customHeight="1">
      <c r="A3" s="1" t="s">
        <v>9</v>
      </c>
      <c r="B3" s="2" t="str">
        <f>HYPERLINK("https://wals.info/values/138A-ace","Words derived from Min Nan Chinese te")</f>
        <v>Words derived from Min Nan Chinese te</v>
      </c>
      <c r="C3" s="2" t="str">
        <f t="shared" si="1"/>
        <v>Tea</v>
      </c>
      <c r="D3" s="2" t="str">
        <f>HYPERLINK("https://wals.info/languoid/lect/wals_code_ace","Acehnese")</f>
        <v>Acehnese</v>
      </c>
      <c r="E3" s="1"/>
      <c r="F3" s="1"/>
      <c r="G3" s="1" t="s">
        <v>10</v>
      </c>
    </row>
    <row r="4" ht="12.75" customHeight="1">
      <c r="A4" s="1" t="s">
        <v>11</v>
      </c>
      <c r="B4" s="2" t="str">
        <f>HYPERLINK("https://wals.info/values/138A-afr","Words derived from Min Nan Chinese te")</f>
        <v>Words derived from Min Nan Chinese te</v>
      </c>
      <c r="C4" s="2" t="str">
        <f t="shared" si="1"/>
        <v>Tea</v>
      </c>
      <c r="D4" s="2" t="str">
        <f>HYPERLINK("https://wals.info/languoid/lect/wals_code_afr","Afrikaans")</f>
        <v>Afrikaans</v>
      </c>
      <c r="E4" s="1"/>
      <c r="F4" s="1"/>
      <c r="G4" s="1" t="s">
        <v>12</v>
      </c>
    </row>
    <row r="5" ht="12.75" customHeight="1">
      <c r="A5" s="1" t="s">
        <v>13</v>
      </c>
      <c r="B5" s="2" t="str">
        <f>HYPERLINK("https://wals.info/values/138A-aht","Words derived from Sinitic cha")</f>
        <v>Words derived from Sinitic cha</v>
      </c>
      <c r="C5" s="2" t="str">
        <f t="shared" si="1"/>
        <v>Tea</v>
      </c>
      <c r="D5" s="2" t="str">
        <f>HYPERLINK("https://wals.info/languoid/lect/wals_code_aht","Ahtna")</f>
        <v>Ahtna</v>
      </c>
      <c r="E5" s="1"/>
      <c r="F5" s="1"/>
      <c r="G5" s="1" t="s">
        <v>14</v>
      </c>
    </row>
    <row r="6" ht="12.75" customHeight="1">
      <c r="A6" s="1" t="s">
        <v>15</v>
      </c>
      <c r="B6" s="2" t="str">
        <f>HYPERLINK("https://wals.info/values/138A-abm","Others")</f>
        <v>Others</v>
      </c>
      <c r="C6" s="2" t="str">
        <f t="shared" si="1"/>
        <v>Tea</v>
      </c>
      <c r="D6" s="2" t="str">
        <f>HYPERLINK("https://wals.info/languoid/lect/wals_code_abm","Alabama")</f>
        <v>Alabama</v>
      </c>
      <c r="E6" s="1"/>
      <c r="F6" s="1"/>
      <c r="G6" s="1" t="s">
        <v>16</v>
      </c>
    </row>
    <row r="7" ht="12.75" customHeight="1">
      <c r="A7" s="1" t="s">
        <v>17</v>
      </c>
      <c r="B7" s="2" t="str">
        <f>HYPERLINK("https://wals.info/values/138A-alb","Words derived from Sinitic cha")</f>
        <v>Words derived from Sinitic cha</v>
      </c>
      <c r="C7" s="2" t="str">
        <f t="shared" si="1"/>
        <v>Tea</v>
      </c>
      <c r="D7" s="2" t="str">
        <f>HYPERLINK("https://wals.info/languoid/lect/wals_code_alb","Albanian")</f>
        <v>Albanian</v>
      </c>
      <c r="E7" s="1"/>
      <c r="F7" s="1"/>
      <c r="G7" s="1"/>
    </row>
    <row r="8" ht="12.75" customHeight="1">
      <c r="A8" s="1" t="s">
        <v>18</v>
      </c>
      <c r="B8" s="2" t="str">
        <f>HYPERLINK("https://wals.info/values/138A-alt","Words derived from Min Nan Chinese te")</f>
        <v>Words derived from Min Nan Chinese te</v>
      </c>
      <c r="C8" s="2" t="str">
        <f t="shared" si="1"/>
        <v>Tea</v>
      </c>
      <c r="D8" s="2" t="str">
        <f>HYPERLINK("https://wals.info/languoid/lect/wals_code_alt","Alsatian")</f>
        <v>Alsatian</v>
      </c>
      <c r="E8" s="1"/>
      <c r="F8" s="1"/>
      <c r="G8" s="1" t="s">
        <v>12</v>
      </c>
    </row>
    <row r="9" ht="12.75" customHeight="1">
      <c r="A9" s="1" t="s">
        <v>19</v>
      </c>
      <c r="B9" s="2" t="str">
        <f>HYPERLINK("https://wals.info/values/138A-amh","Words derived from Sinitic cha")</f>
        <v>Words derived from Sinitic cha</v>
      </c>
      <c r="C9" s="2" t="str">
        <f t="shared" si="1"/>
        <v>Tea</v>
      </c>
      <c r="D9" s="2" t="str">
        <f>HYPERLINK("https://wals.info/languoid/lect/wals_code_amh","Amharic")</f>
        <v>Amharic</v>
      </c>
      <c r="E9" s="1"/>
      <c r="F9" s="1"/>
      <c r="G9" s="1" t="s">
        <v>12</v>
      </c>
    </row>
    <row r="10" ht="12.75" customHeight="1">
      <c r="A10" s="1" t="s">
        <v>20</v>
      </c>
      <c r="B10" s="2" t="str">
        <f>HYPERLINK("https://wals.info/values/138A-aeg","Words derived from Sinitic cha")</f>
        <v>Words derived from Sinitic cha</v>
      </c>
      <c r="C10" s="2" t="str">
        <f t="shared" si="1"/>
        <v>Tea</v>
      </c>
      <c r="D10" s="2" t="str">
        <f>HYPERLINK("https://wals.info/languoid/lect/wals_code_aeg","Arabic (Egyptian)")</f>
        <v>Arabic (Egyptian)</v>
      </c>
      <c r="E10" s="1"/>
      <c r="F10" s="1"/>
      <c r="G10" s="1" t="s">
        <v>12</v>
      </c>
    </row>
    <row r="11" ht="12.75" customHeight="1">
      <c r="A11" s="1" t="s">
        <v>21</v>
      </c>
      <c r="B11" s="2" t="str">
        <f>HYPERLINK("https://wals.info/values/138A-arm","Words derived from Min Nan Chinese te")</f>
        <v>Words derived from Min Nan Chinese te</v>
      </c>
      <c r="C11" s="2" t="str">
        <f t="shared" si="1"/>
        <v>Tea</v>
      </c>
      <c r="D11" s="2" t="str">
        <f>HYPERLINK("https://wals.info/languoid/lect/wals_code_arm","Armenian (Eastern)")</f>
        <v>Armenian (Eastern)</v>
      </c>
      <c r="E11" s="1"/>
      <c r="F11" s="1"/>
      <c r="G11" s="1" t="s">
        <v>12</v>
      </c>
    </row>
    <row r="12" ht="12.75" customHeight="1">
      <c r="A12" s="1" t="s">
        <v>22</v>
      </c>
      <c r="B12" s="2" t="str">
        <f>HYPERLINK("https://wals.info/values/138A-ass","Words derived from Sinitic cha")</f>
        <v>Words derived from Sinitic cha</v>
      </c>
      <c r="C12" s="2" t="str">
        <f t="shared" si="1"/>
        <v>Tea</v>
      </c>
      <c r="D12" s="2" t="str">
        <f>HYPERLINK("https://wals.info/languoid/lect/wals_code_ass","Assamese")</f>
        <v>Assamese</v>
      </c>
      <c r="E12" s="1"/>
      <c r="F12" s="1"/>
      <c r="G12" s="1" t="s">
        <v>12</v>
      </c>
    </row>
    <row r="13" ht="12.75" customHeight="1">
      <c r="A13" s="1" t="s">
        <v>23</v>
      </c>
      <c r="B13" s="2" t="str">
        <f>HYPERLINK("https://wals.info/values/138A-ast","Words derived from Min Nan Chinese te")</f>
        <v>Words derived from Min Nan Chinese te</v>
      </c>
      <c r="C13" s="2" t="str">
        <f t="shared" si="1"/>
        <v>Tea</v>
      </c>
      <c r="D13" s="2" t="str">
        <f>HYPERLINK("https://wals.info/languoid/lect/wals_code_ast","Asturian")</f>
        <v>Asturian</v>
      </c>
      <c r="E13" s="1"/>
      <c r="F13" s="1"/>
      <c r="G13" s="1"/>
    </row>
    <row r="14" ht="12.75" customHeight="1">
      <c r="A14" s="1" t="s">
        <v>24</v>
      </c>
      <c r="B14" s="2" t="str">
        <f>HYPERLINK("https://wals.info/values/138A-ata","Others")</f>
        <v>Others</v>
      </c>
      <c r="C14" s="2" t="str">
        <f t="shared" si="1"/>
        <v>Tea</v>
      </c>
      <c r="D14" s="2" t="str">
        <f>HYPERLINK("https://wals.info/languoid/lect/wals_code_ata","Atayal")</f>
        <v>Atayal</v>
      </c>
      <c r="E14" s="1"/>
      <c r="F14" s="1"/>
      <c r="G14" s="1" t="s">
        <v>25</v>
      </c>
    </row>
    <row r="15" ht="12.75" customHeight="1">
      <c r="A15" s="1" t="s">
        <v>26</v>
      </c>
      <c r="B15" s="2" t="str">
        <f>HYPERLINK("https://wals.info/values/138A-aze","Words derived from Sinitic cha")</f>
        <v>Words derived from Sinitic cha</v>
      </c>
      <c r="C15" s="2" t="str">
        <f t="shared" si="1"/>
        <v>Tea</v>
      </c>
      <c r="D15" s="2" t="str">
        <f>HYPERLINK("https://wals.info/languoid/lect/wals_code_aze","Azerbaijani")</f>
        <v>Azerbaijani</v>
      </c>
      <c r="E15" s="1"/>
      <c r="F15" s="1"/>
      <c r="G15" s="1" t="s">
        <v>12</v>
      </c>
    </row>
    <row r="16" ht="12.75" customHeight="1">
      <c r="A16" s="1" t="s">
        <v>27</v>
      </c>
      <c r="B16" s="2" t="str">
        <f>HYPERLINK("https://wals.info/values/138A-bdg","Words derived from Min Nan Chinese te")</f>
        <v>Words derived from Min Nan Chinese te</v>
      </c>
      <c r="C16" s="2" t="str">
        <f t="shared" si="1"/>
        <v>Tea</v>
      </c>
      <c r="D16" s="2" t="str">
        <f>HYPERLINK("https://wals.info/languoid/lect/wals_code_bdg","Badaga")</f>
        <v>Badaga</v>
      </c>
      <c r="E16" s="1"/>
      <c r="F16" s="1"/>
      <c r="G16" s="1" t="s">
        <v>28</v>
      </c>
    </row>
    <row r="17" ht="12.75" customHeight="1">
      <c r="A17" s="1" t="s">
        <v>29</v>
      </c>
      <c r="B17" s="2" t="str">
        <f>HYPERLINK("https://wals.info/values/138A-bal","Words derived from Min Nan Chinese te")</f>
        <v>Words derived from Min Nan Chinese te</v>
      </c>
      <c r="C17" s="2" t="str">
        <f t="shared" si="1"/>
        <v>Tea</v>
      </c>
      <c r="D17" s="2" t="str">
        <f>HYPERLINK("https://wals.info/languoid/lect/wals_code_bal","Balinese")</f>
        <v>Balinese</v>
      </c>
      <c r="E17" s="1"/>
      <c r="F17" s="1"/>
      <c r="G17" s="1" t="s">
        <v>30</v>
      </c>
    </row>
    <row r="18" ht="12.75" customHeight="1">
      <c r="A18" s="1" t="s">
        <v>31</v>
      </c>
      <c r="B18" s="2" t="str">
        <f>HYPERLINK("https://wals.info/values/138A-blc","Words derived from Sinitic cha")</f>
        <v>Words derived from Sinitic cha</v>
      </c>
      <c r="C18" s="2" t="str">
        <f t="shared" si="1"/>
        <v>Tea</v>
      </c>
      <c r="D18" s="2" t="str">
        <f>HYPERLINK("https://wals.info/languoid/lect/wals_code_blc","Baluchi")</f>
        <v>Baluchi</v>
      </c>
      <c r="E18" s="1"/>
      <c r="F18" s="1"/>
      <c r="G18" s="1" t="s">
        <v>12</v>
      </c>
    </row>
    <row r="19" ht="12.75" customHeight="1">
      <c r="A19" s="1" t="s">
        <v>32</v>
      </c>
      <c r="B19" s="2" t="str">
        <f>HYPERLINK("https://wals.info/values/138A-bam","Others")</f>
        <v>Others</v>
      </c>
      <c r="C19" s="2" t="str">
        <f t="shared" si="1"/>
        <v>Tea</v>
      </c>
      <c r="D19" s="2" t="str">
        <f>HYPERLINK("https://wals.info/languoid/lect/wals_code_bam","Bambara")</f>
        <v>Bambara</v>
      </c>
      <c r="E19" s="1"/>
      <c r="F19" s="1"/>
      <c r="G19" s="1" t="s">
        <v>12</v>
      </c>
    </row>
    <row r="20" ht="12.75" customHeight="1">
      <c r="A20" s="1" t="s">
        <v>33</v>
      </c>
      <c r="B20" s="2" t="str">
        <f>HYPERLINK("https://wals.info/values/138A-bsk","Words derived from Sinitic cha")</f>
        <v>Words derived from Sinitic cha</v>
      </c>
      <c r="C20" s="2" t="str">
        <f t="shared" si="1"/>
        <v>Tea</v>
      </c>
      <c r="D20" s="2" t="str">
        <f>HYPERLINK("https://wals.info/languoid/lect/wals_code_bsk","Bashkir")</f>
        <v>Bashkir</v>
      </c>
      <c r="E20" s="1"/>
      <c r="F20" s="1"/>
      <c r="G20" s="1" t="s">
        <v>34</v>
      </c>
    </row>
    <row r="21" ht="12.75" customHeight="1">
      <c r="A21" s="1" t="s">
        <v>35</v>
      </c>
      <c r="B21" s="2" t="str">
        <f>HYPERLINK("https://wals.info/values/138A-bsq","Words derived from Sinitic cha")</f>
        <v>Words derived from Sinitic cha</v>
      </c>
      <c r="C21" s="2" t="str">
        <f t="shared" si="1"/>
        <v>Tea</v>
      </c>
      <c r="D21" s="2" t="str">
        <f>HYPERLINK("https://wals.info/languoid/lect/wals_code_bsq","Basque")</f>
        <v>Basque</v>
      </c>
      <c r="E21" s="1"/>
      <c r="F21" s="1"/>
      <c r="G21" s="1" t="s">
        <v>12</v>
      </c>
    </row>
    <row r="22" ht="12.75" customHeight="1">
      <c r="A22" s="1" t="s">
        <v>36</v>
      </c>
      <c r="B22" s="2" t="str">
        <f>HYPERLINK("https://wals.info/values/138A-blr","Words derived from Sinitic cha")</f>
        <v>Words derived from Sinitic cha</v>
      </c>
      <c r="C22" s="2" t="str">
        <f t="shared" si="1"/>
        <v>Tea</v>
      </c>
      <c r="D22" s="2" t="str">
        <f>HYPERLINK("https://wals.info/languoid/lect/wals_code_blr","Belorussian")</f>
        <v>Belorussian</v>
      </c>
      <c r="E22" s="1"/>
      <c r="F22" s="1"/>
      <c r="G22" s="1" t="s">
        <v>12</v>
      </c>
    </row>
    <row r="23" ht="12.75" customHeight="1">
      <c r="A23" s="1" t="s">
        <v>37</v>
      </c>
      <c r="B23" s="2" t="str">
        <f>HYPERLINK("https://wals.info/values/138A-ben","Words derived from Sinitic cha")</f>
        <v>Words derived from Sinitic cha</v>
      </c>
      <c r="C23" s="2" t="str">
        <f t="shared" si="1"/>
        <v>Tea</v>
      </c>
      <c r="D23" s="2" t="str">
        <f>HYPERLINK("https://wals.info/languoid/lect/wals_code_ben","Bengali")</f>
        <v>Bengali</v>
      </c>
      <c r="E23" s="1"/>
      <c r="F23" s="1"/>
      <c r="G23" s="1" t="s">
        <v>12</v>
      </c>
    </row>
    <row r="24" ht="12.75" customHeight="1">
      <c r="A24" s="1" t="s">
        <v>38</v>
      </c>
      <c r="B24" s="2" t="str">
        <f>HYPERLINK("https://wals.info/values/138A-bma","Others")</f>
        <v>Others</v>
      </c>
      <c r="C24" s="2" t="str">
        <f t="shared" si="1"/>
        <v>Tea</v>
      </c>
      <c r="D24" s="2" t="str">
        <f>HYPERLINK("https://wals.info/languoid/lect/wals_code_bma","Berber (Middle Atlas)")</f>
        <v>Berber (Middle Atlas)</v>
      </c>
      <c r="E24" s="1"/>
      <c r="F24" s="1"/>
      <c r="G24" s="1" t="s">
        <v>12</v>
      </c>
    </row>
    <row r="25" ht="12.75" customHeight="1">
      <c r="A25" s="1" t="s">
        <v>39</v>
      </c>
      <c r="B25" s="2" t="str">
        <f>HYPERLINK("https://wals.info/values/138A-bre","Words derived from Min Nan Chinese te")</f>
        <v>Words derived from Min Nan Chinese te</v>
      </c>
      <c r="C25" s="2" t="str">
        <f t="shared" si="1"/>
        <v>Tea</v>
      </c>
      <c r="D25" s="2" t="str">
        <f>HYPERLINK("https://wals.info/languoid/lect/wals_code_bre","Breton")</f>
        <v>Breton</v>
      </c>
      <c r="E25" s="1"/>
      <c r="F25" s="1"/>
      <c r="G25" s="1" t="s">
        <v>12</v>
      </c>
    </row>
    <row r="26" ht="12.75" customHeight="1">
      <c r="A26" s="1" t="s">
        <v>40</v>
      </c>
      <c r="B26" s="2" t="str">
        <f>HYPERLINK("https://wals.info/values/138A-bru","Words derived from Min Nan Chinese te")</f>
        <v>Words derived from Min Nan Chinese te</v>
      </c>
      <c r="C26" s="2" t="str">
        <f t="shared" si="1"/>
        <v>Tea</v>
      </c>
      <c r="D26" s="2" t="str">
        <f>HYPERLINK("https://wals.info/languoid/lect/wals_code_bru","Bru (Eastern)")</f>
        <v>Bru (Eastern)</v>
      </c>
      <c r="E26" s="1"/>
      <c r="F26" s="1"/>
      <c r="G26" s="1" t="s">
        <v>41</v>
      </c>
    </row>
    <row r="27" ht="12.75" customHeight="1">
      <c r="A27" s="1" t="s">
        <v>42</v>
      </c>
      <c r="B27" s="2" t="str">
        <f>HYPERLINK("https://wals.info/values/138A-bul","Words derived from Sinitic cha")</f>
        <v>Words derived from Sinitic cha</v>
      </c>
      <c r="C27" s="2" t="str">
        <f t="shared" si="1"/>
        <v>Tea</v>
      </c>
      <c r="D27" s="2" t="str">
        <f>HYPERLINK("https://wals.info/languoid/lect/wals_code_bul","Bulgarian")</f>
        <v>Bulgarian</v>
      </c>
      <c r="E27" s="1"/>
      <c r="F27" s="1"/>
      <c r="G27" s="1" t="s">
        <v>12</v>
      </c>
    </row>
    <row r="28" ht="12.75" customHeight="1">
      <c r="A28" s="1" t="s">
        <v>43</v>
      </c>
      <c r="B28" s="2" t="str">
        <f>HYPERLINK("https://wals.info/values/138A-but","Words derived from Sinitic cha")</f>
        <v>Words derived from Sinitic cha</v>
      </c>
      <c r="C28" s="2" t="str">
        <f t="shared" si="1"/>
        <v>Tea</v>
      </c>
      <c r="D28" s="2" t="str">
        <f>HYPERLINK("https://wals.info/languoid/lect/wals_code_but","Buriat")</f>
        <v>Buriat</v>
      </c>
      <c r="E28" s="1"/>
      <c r="F28" s="1"/>
      <c r="G28" s="1" t="s">
        <v>44</v>
      </c>
    </row>
    <row r="29" ht="12.75" customHeight="1">
      <c r="A29" s="1" t="s">
        <v>45</v>
      </c>
      <c r="B29" s="2" t="str">
        <f>HYPERLINK("https://wals.info/values/138A-brj","Words derived from Sinitic cha")</f>
        <v>Words derived from Sinitic cha</v>
      </c>
      <c r="C29" s="2" t="str">
        <f t="shared" si="1"/>
        <v>Tea</v>
      </c>
      <c r="D29" s="2" t="str">
        <f>HYPERLINK("https://wals.info/languoid/lect/wals_code_brj","Burji")</f>
        <v>Burji</v>
      </c>
      <c r="E29" s="1"/>
      <c r="F29" s="1"/>
      <c r="G29" s="1" t="s">
        <v>46</v>
      </c>
    </row>
    <row r="30" ht="12.75" customHeight="1">
      <c r="A30" s="1" t="s">
        <v>47</v>
      </c>
      <c r="B30" s="2" t="str">
        <f>HYPERLINK("https://wals.info/values/138A-brm","Others")</f>
        <v>Others</v>
      </c>
      <c r="C30" s="2" t="str">
        <f t="shared" si="1"/>
        <v>Tea</v>
      </c>
      <c r="D30" s="2" t="str">
        <f>HYPERLINK("https://wals.info/languoid/lect/wals_code_brm","Burmese")</f>
        <v>Burmese</v>
      </c>
      <c r="E30" s="1"/>
      <c r="F30" s="1"/>
      <c r="G30" s="1" t="s">
        <v>12</v>
      </c>
    </row>
    <row r="31" ht="12.75" customHeight="1">
      <c r="A31" s="1" t="s">
        <v>48</v>
      </c>
      <c r="B31" s="2" t="str">
        <f>HYPERLINK("https://wals.info/values/138A-bur","Words derived from Sinitic cha")</f>
        <v>Words derived from Sinitic cha</v>
      </c>
      <c r="C31" s="2" t="str">
        <f t="shared" si="1"/>
        <v>Tea</v>
      </c>
      <c r="D31" s="2" t="str">
        <f>HYPERLINK("https://wals.info/languoid/lect/wals_code_bur","Burushaski")</f>
        <v>Burushaski</v>
      </c>
      <c r="E31" s="1"/>
      <c r="F31" s="1"/>
      <c r="G31" s="1" t="s">
        <v>12</v>
      </c>
    </row>
    <row r="32" ht="12.75" customHeight="1">
      <c r="A32" s="1" t="s">
        <v>49</v>
      </c>
      <c r="B32" s="2" t="str">
        <f>HYPERLINK("https://wals.info/values/138A-cnt","Words derived from Sinitic cha")</f>
        <v>Words derived from Sinitic cha</v>
      </c>
      <c r="C32" s="2" t="str">
        <f t="shared" si="1"/>
        <v>Tea</v>
      </c>
      <c r="D32" s="2" t="str">
        <f>HYPERLINK("https://wals.info/languoid/lect/wals_code_cnt","Cantonese")</f>
        <v>Cantonese</v>
      </c>
      <c r="E32" s="1"/>
      <c r="F32" s="1"/>
      <c r="G32" s="1" t="s">
        <v>12</v>
      </c>
    </row>
    <row r="33" ht="12.75" customHeight="1">
      <c r="A33" s="1" t="s">
        <v>50</v>
      </c>
      <c r="B33" s="2" t="str">
        <f>HYPERLINK("https://wals.info/values/138A-ctl","Words derived from Min Nan Chinese te")</f>
        <v>Words derived from Min Nan Chinese te</v>
      </c>
      <c r="C33" s="2" t="str">
        <f t="shared" si="1"/>
        <v>Tea</v>
      </c>
      <c r="D33" s="2" t="str">
        <f>HYPERLINK("https://wals.info/languoid/lect/wals_code_ctl","Catalan")</f>
        <v>Catalan</v>
      </c>
      <c r="E33" s="1"/>
      <c r="F33" s="1"/>
      <c r="G33" s="1" t="s">
        <v>12</v>
      </c>
    </row>
    <row r="34" ht="12.75" customHeight="1">
      <c r="A34" s="1" t="s">
        <v>51</v>
      </c>
      <c r="B34" s="2" t="str">
        <f>HYPERLINK("https://wals.info/values/138A-ceb","Words derived from Sinitic cha")</f>
        <v>Words derived from Sinitic cha</v>
      </c>
      <c r="C34" s="2" t="str">
        <f t="shared" si="1"/>
        <v>Tea</v>
      </c>
      <c r="D34" s="2" t="str">
        <f>HYPERLINK("https://wals.info/languoid/lect/wals_code_ceb","Cebuano")</f>
        <v>Cebuano</v>
      </c>
      <c r="E34" s="1"/>
      <c r="F34" s="1"/>
      <c r="G34" s="1" t="s">
        <v>12</v>
      </c>
    </row>
    <row r="35" ht="12.75" customHeight="1">
      <c r="A35" s="1" t="s">
        <v>52</v>
      </c>
      <c r="B35" s="2" t="str">
        <f>HYPERLINK("https://wals.info/values/138A-cme","Words derived from Sinitic cha")</f>
        <v>Words derived from Sinitic cha</v>
      </c>
      <c r="C35" s="2" t="str">
        <f t="shared" si="1"/>
        <v>Tea</v>
      </c>
      <c r="D35" s="2" t="str">
        <f>HYPERLINK("https://wals.info/languoid/lect/wals_code_cme","Cham (Eastern)")</f>
        <v>Cham (Eastern)</v>
      </c>
      <c r="E35" s="1"/>
      <c r="F35" s="1"/>
      <c r="G35" s="1" t="s">
        <v>12</v>
      </c>
    </row>
    <row r="36" ht="12.75" customHeight="1">
      <c r="A36" s="1" t="s">
        <v>53</v>
      </c>
      <c r="B36" s="2" t="str">
        <f>HYPERLINK("https://wals.info/values/138A-cha","Words derived from Sinitic cha")</f>
        <v>Words derived from Sinitic cha</v>
      </c>
      <c r="C36" s="2" t="str">
        <f t="shared" si="1"/>
        <v>Tea</v>
      </c>
      <c r="D36" s="2" t="str">
        <f>HYPERLINK("https://wals.info/languoid/lect/wals_code_cha","Chamorro")</f>
        <v>Chamorro</v>
      </c>
      <c r="E36" s="1"/>
      <c r="F36" s="1"/>
      <c r="G36" s="1" t="s">
        <v>12</v>
      </c>
    </row>
    <row r="37" ht="12.75" customHeight="1">
      <c r="A37" s="1" t="s">
        <v>54</v>
      </c>
      <c r="B37" s="2" t="str">
        <f>HYPERLINK("https://wals.info/values/138A-chn","Words derived from Sinitic cha")</f>
        <v>Words derived from Sinitic cha</v>
      </c>
      <c r="C37" s="2" t="str">
        <f t="shared" si="1"/>
        <v>Tea</v>
      </c>
      <c r="D37" s="2" t="str">
        <f>HYPERLINK("https://wals.info/languoid/lect/wals_code_chn","Chantyal")</f>
        <v>Chantyal</v>
      </c>
      <c r="E37" s="1"/>
      <c r="F37" s="1"/>
      <c r="G37" s="1" t="s">
        <v>55</v>
      </c>
    </row>
    <row r="38" ht="12.75" customHeight="1">
      <c r="A38" s="1" t="s">
        <v>56</v>
      </c>
      <c r="B38" s="2" t="str">
        <f>HYPERLINK("https://wals.info/values/138A-chc","Words derived from Sinitic cha")</f>
        <v>Words derived from Sinitic cha</v>
      </c>
      <c r="C38" s="2" t="str">
        <f t="shared" si="1"/>
        <v>Tea</v>
      </c>
      <c r="D38" s="2" t="str">
        <f>HYPERLINK("https://wals.info/languoid/lect/wals_code_chc","Chechen")</f>
        <v>Chechen</v>
      </c>
      <c r="E38" s="1"/>
      <c r="F38" s="1"/>
      <c r="G38" s="1" t="s">
        <v>57</v>
      </c>
    </row>
    <row r="39" ht="12.75" customHeight="1">
      <c r="A39" s="1" t="s">
        <v>58</v>
      </c>
      <c r="B39" s="2" t="str">
        <f>HYPERLINK("https://wals.info/values/138A-cmh","Words derived from Min Nan Chinese te")</f>
        <v>Words derived from Min Nan Chinese te</v>
      </c>
      <c r="C39" s="2" t="str">
        <f t="shared" si="1"/>
        <v>Tea</v>
      </c>
      <c r="D39" s="2" t="str">
        <f>HYPERLINK("https://wals.info/languoid/lect/wals_code_cmh","Chemehuevi")</f>
        <v>Chemehuevi</v>
      </c>
      <c r="E39" s="1"/>
      <c r="F39" s="1"/>
      <c r="G39" s="1" t="s">
        <v>59</v>
      </c>
    </row>
    <row r="40" ht="12.75" customHeight="1">
      <c r="A40" s="1" t="s">
        <v>60</v>
      </c>
      <c r="B40" s="2" t="str">
        <f>HYPERLINK("https://wals.info/values/138A-che","Others")</f>
        <v>Others</v>
      </c>
      <c r="C40" s="2" t="str">
        <f t="shared" si="1"/>
        <v>Tea</v>
      </c>
      <c r="D40" s="2" t="str">
        <f>HYPERLINK("https://wals.info/languoid/lect/wals_code_che","Cherokee")</f>
        <v>Cherokee</v>
      </c>
      <c r="E40" s="1"/>
      <c r="F40" s="1"/>
      <c r="G40" s="1"/>
    </row>
    <row r="41" ht="12.75" customHeight="1">
      <c r="A41" s="1" t="s">
        <v>61</v>
      </c>
      <c r="B41" s="2" t="str">
        <f>HYPERLINK("https://wals.info/values/138A-cyn","Others")</f>
        <v>Others</v>
      </c>
      <c r="C41" s="2" t="str">
        <f t="shared" si="1"/>
        <v>Tea</v>
      </c>
      <c r="D41" s="2" t="str">
        <f>HYPERLINK("https://wals.info/languoid/lect/wals_code_cyn","Cheyenne")</f>
        <v>Cheyenne</v>
      </c>
      <c r="E41" s="1"/>
      <c r="F41" s="1"/>
      <c r="G41" s="1"/>
    </row>
    <row r="42" ht="12.75" customHeight="1">
      <c r="A42" s="1" t="s">
        <v>62</v>
      </c>
      <c r="B42" s="2" t="str">
        <f>HYPERLINK("https://wals.info/values/138A-cic","Words derived from Min Nan Chinese te")</f>
        <v>Words derived from Min Nan Chinese te</v>
      </c>
      <c r="C42" s="2" t="str">
        <f t="shared" si="1"/>
        <v>Tea</v>
      </c>
      <c r="D42" s="2" t="str">
        <f>HYPERLINK("https://wals.info/languoid/lect/wals_code_cic","Chichewa")</f>
        <v>Chichewa</v>
      </c>
      <c r="E42" s="1"/>
      <c r="F42" s="1"/>
      <c r="G42" s="1" t="s">
        <v>12</v>
      </c>
    </row>
    <row r="43" ht="12.75" customHeight="1">
      <c r="A43" s="1" t="s">
        <v>63</v>
      </c>
      <c r="B43" s="2" t="str">
        <f>HYPERLINK("https://wals.info/values/138A-chp","Words derived from Min Nan Chinese te")</f>
        <v>Words derived from Min Nan Chinese te</v>
      </c>
      <c r="C43" s="2" t="str">
        <f t="shared" si="1"/>
        <v>Tea</v>
      </c>
      <c r="D43" s="2" t="str">
        <f>HYPERLINK("https://wals.info/languoid/lect/wals_code_chp","Chipewyan")</f>
        <v>Chipewyan</v>
      </c>
      <c r="E43" s="1"/>
      <c r="F43" s="1"/>
      <c r="G43" s="1"/>
    </row>
    <row r="44" ht="12.75" customHeight="1">
      <c r="A44" s="1" t="s">
        <v>64</v>
      </c>
      <c r="B44" s="2" t="str">
        <f>HYPERLINK("https://wals.info/values/138A-chr","Words derived from Sinitic cha")</f>
        <v>Words derived from Sinitic cha</v>
      </c>
      <c r="C44" s="2" t="str">
        <f t="shared" si="1"/>
        <v>Tea</v>
      </c>
      <c r="D44" s="2" t="str">
        <f>HYPERLINK("https://wals.info/languoid/lect/wals_code_chr","Chrau")</f>
        <v>Chrau</v>
      </c>
      <c r="E44" s="1"/>
      <c r="F44" s="1"/>
      <c r="G44" s="1" t="s">
        <v>65</v>
      </c>
    </row>
    <row r="45" ht="12.75" customHeight="1">
      <c r="A45" s="1" t="s">
        <v>66</v>
      </c>
      <c r="B45" s="2" t="str">
        <f>HYPERLINK("https://wals.info/values/138A-crh","Words derived from Min Nan Chinese te")</f>
        <v>Words derived from Min Nan Chinese te</v>
      </c>
      <c r="C45" s="2" t="str">
        <f t="shared" si="1"/>
        <v>Tea</v>
      </c>
      <c r="D45" s="2" t="str">
        <f>HYPERLINK("https://wals.info/languoid/lect/wals_code_crh","Chru")</f>
        <v>Chru</v>
      </c>
      <c r="E45" s="1"/>
      <c r="F45" s="1"/>
      <c r="G45" s="1" t="s">
        <v>67</v>
      </c>
    </row>
    <row r="46" ht="12.75" customHeight="1">
      <c r="A46" s="1" t="s">
        <v>68</v>
      </c>
      <c r="B46" s="2" t="str">
        <f>HYPERLINK("https://wals.info/values/138A-chv","Words derived from Sinitic cha")</f>
        <v>Words derived from Sinitic cha</v>
      </c>
      <c r="C46" s="2" t="str">
        <f t="shared" si="1"/>
        <v>Tea</v>
      </c>
      <c r="D46" s="2" t="str">
        <f>HYPERLINK("https://wals.info/languoid/lect/wals_code_chv","Chuvash")</f>
        <v>Chuvash</v>
      </c>
      <c r="E46" s="1"/>
      <c r="F46" s="1"/>
      <c r="G46" s="1" t="s">
        <v>69</v>
      </c>
    </row>
    <row r="47" ht="12.75" customHeight="1">
      <c r="A47" s="1" t="s">
        <v>70</v>
      </c>
      <c r="B47" s="2" t="str">
        <f>HYPERLINK("https://wals.info/values/138A-ccp","Words derived from Min Nan Chinese te")</f>
        <v>Words derived from Min Nan Chinese te</v>
      </c>
      <c r="C47" s="2" t="str">
        <f t="shared" si="1"/>
        <v>Tea</v>
      </c>
      <c r="D47" s="2" t="str">
        <f>HYPERLINK("https://wals.info/languoid/lect/wals_code_ccp","Cocopa")</f>
        <v>Cocopa</v>
      </c>
      <c r="E47" s="1"/>
      <c r="F47" s="1"/>
      <c r="G47" s="1" t="s">
        <v>71</v>
      </c>
    </row>
    <row r="48" ht="12.75" customHeight="1">
      <c r="A48" s="1" t="s">
        <v>72</v>
      </c>
      <c r="B48" s="2" t="str">
        <f>HYPERLINK("https://wals.info/values/138A-com","Words derived from Sinitic cha")</f>
        <v>Words derived from Sinitic cha</v>
      </c>
      <c r="C48" s="2" t="str">
        <f t="shared" si="1"/>
        <v>Tea</v>
      </c>
      <c r="D48" s="2" t="str">
        <f>HYPERLINK("https://wals.info/languoid/lect/wals_code_com","Comorian")</f>
        <v>Comorian</v>
      </c>
      <c r="E48" s="1"/>
      <c r="F48" s="1"/>
      <c r="G48" s="1" t="s">
        <v>12</v>
      </c>
    </row>
    <row r="49" ht="12.75" customHeight="1">
      <c r="A49" s="1" t="s">
        <v>73</v>
      </c>
      <c r="B49" s="2" t="str">
        <f>HYPERLINK("https://wals.info/values/138A-cre","Others")</f>
        <v>Others</v>
      </c>
      <c r="C49" s="2" t="str">
        <f t="shared" si="1"/>
        <v>Tea</v>
      </c>
      <c r="D49" s="2" t="str">
        <f>HYPERLINK("https://wals.info/languoid/lect/wals_code_cre","Cree (Plains)")</f>
        <v>Cree (Plains)</v>
      </c>
      <c r="E49" s="1"/>
      <c r="F49" s="1"/>
      <c r="G49" s="1" t="s">
        <v>74</v>
      </c>
    </row>
    <row r="50" ht="12.75" customHeight="1">
      <c r="A50" s="1" t="s">
        <v>75</v>
      </c>
      <c r="B50" s="2" t="str">
        <f>HYPERLINK("https://wals.info/values/138A-cua","Words derived from Min Nan Chinese te")</f>
        <v>Words derived from Min Nan Chinese te</v>
      </c>
      <c r="C50" s="2" t="str">
        <f t="shared" si="1"/>
        <v>Tea</v>
      </c>
      <c r="D50" s="2" t="str">
        <f>HYPERLINK("https://wals.info/languoid/lect/wals_code_cua","Cua")</f>
        <v>Cua</v>
      </c>
      <c r="E50" s="1"/>
      <c r="F50" s="1"/>
      <c r="G50" s="1" t="s">
        <v>76</v>
      </c>
    </row>
    <row r="51" ht="12.75" customHeight="1">
      <c r="A51" s="1" t="s">
        <v>77</v>
      </c>
      <c r="B51" s="2" t="str">
        <f>HYPERLINK("https://wals.info/values/138A-cze","Words derived from Sinitic cha")</f>
        <v>Words derived from Sinitic cha</v>
      </c>
      <c r="C51" s="2" t="str">
        <f t="shared" si="1"/>
        <v>Tea</v>
      </c>
      <c r="D51" s="2" t="str">
        <f>HYPERLINK("https://wals.info/languoid/lect/wals_code_cze","Czech")</f>
        <v>Czech</v>
      </c>
      <c r="E51" s="1"/>
      <c r="F51" s="1"/>
      <c r="G51" s="1" t="s">
        <v>12</v>
      </c>
    </row>
    <row r="52" ht="12.75" customHeight="1">
      <c r="A52" s="1" t="s">
        <v>78</v>
      </c>
      <c r="B52" s="2" t="str">
        <f>HYPERLINK("https://wals.info/values/138A-dga","Words derived from Min Nan Chinese te")</f>
        <v>Words derived from Min Nan Chinese te</v>
      </c>
      <c r="C52" s="2" t="str">
        <f t="shared" si="1"/>
        <v>Tea</v>
      </c>
      <c r="D52" s="2" t="str">
        <f>HYPERLINK("https://wals.info/languoid/lect/wals_code_dga","Dagaare")</f>
        <v>Dagaare</v>
      </c>
      <c r="E52" s="1"/>
      <c r="F52" s="1"/>
      <c r="G52" s="1"/>
    </row>
    <row r="53" ht="12.75" customHeight="1">
      <c r="A53" s="1" t="s">
        <v>79</v>
      </c>
      <c r="B53" s="2" t="str">
        <f>HYPERLINK("https://wals.info/values/138A-dah","Words derived from Sinitic cha")</f>
        <v>Words derived from Sinitic cha</v>
      </c>
      <c r="C53" s="2" t="str">
        <f t="shared" si="1"/>
        <v>Tea</v>
      </c>
      <c r="D53" s="2" t="str">
        <f>HYPERLINK("https://wals.info/languoid/lect/wals_code_dah","Dahalo")</f>
        <v>Dahalo</v>
      </c>
      <c r="E53" s="1"/>
      <c r="F53" s="1"/>
      <c r="G53" s="1" t="s">
        <v>80</v>
      </c>
    </row>
    <row r="54" ht="12.75" customHeight="1">
      <c r="A54" s="1" t="s">
        <v>81</v>
      </c>
      <c r="B54" s="2" t="str">
        <f>HYPERLINK("https://wals.info/values/138A-dsh","Words derived from Min Nan Chinese te")</f>
        <v>Words derived from Min Nan Chinese te</v>
      </c>
      <c r="C54" s="2" t="str">
        <f t="shared" si="1"/>
        <v>Tea</v>
      </c>
      <c r="D54" s="2" t="str">
        <f>HYPERLINK("https://wals.info/languoid/lect/wals_code_dsh","Danish")</f>
        <v>Danish</v>
      </c>
      <c r="E54" s="1"/>
      <c r="F54" s="1"/>
      <c r="G54" s="1"/>
    </row>
    <row r="55" ht="12.75" customHeight="1">
      <c r="A55" s="1" t="s">
        <v>82</v>
      </c>
      <c r="B55" s="2" t="str">
        <f>HYPERLINK("https://wals.info/values/138A-dhi","Words derived from Sinitic cha")</f>
        <v>Words derived from Sinitic cha</v>
      </c>
      <c r="C55" s="2" t="str">
        <f t="shared" si="1"/>
        <v>Tea</v>
      </c>
      <c r="D55" s="2" t="str">
        <f>HYPERLINK("https://wals.info/languoid/lect/wals_code_dhi","Dhivehi")</f>
        <v>Dhivehi</v>
      </c>
      <c r="E55" s="1"/>
      <c r="F55" s="1"/>
      <c r="G55" s="1" t="s">
        <v>83</v>
      </c>
    </row>
    <row r="56" ht="12.75" customHeight="1">
      <c r="A56" s="1" t="s">
        <v>84</v>
      </c>
      <c r="B56" s="2" t="str">
        <f>HYPERLINK("https://wals.info/values/138A-din","Words derived from Sinitic cha")</f>
        <v>Words derived from Sinitic cha</v>
      </c>
      <c r="C56" s="2" t="str">
        <f t="shared" si="1"/>
        <v>Tea</v>
      </c>
      <c r="D56" s="2" t="str">
        <f>HYPERLINK("https://wals.info/languoid/lect/wals_code_din","Dinka")</f>
        <v>Dinka</v>
      </c>
      <c r="E56" s="1"/>
      <c r="F56" s="1"/>
      <c r="G56" s="1" t="s">
        <v>12</v>
      </c>
    </row>
    <row r="57" ht="12.75" customHeight="1">
      <c r="A57" s="1" t="s">
        <v>85</v>
      </c>
      <c r="B57" s="2" t="str">
        <f>HYPERLINK("https://wals.info/values/138A-dio","Words derived from Min Nan Chinese te")</f>
        <v>Words derived from Min Nan Chinese te</v>
      </c>
      <c r="C57" s="2" t="str">
        <f t="shared" si="1"/>
        <v>Tea</v>
      </c>
      <c r="D57" s="2" t="str">
        <f>HYPERLINK("https://wals.info/languoid/lect/wals_code_dio","Diola-Fogny")</f>
        <v>Diola-Fogny</v>
      </c>
      <c r="E57" s="1"/>
      <c r="F57" s="1"/>
      <c r="G57" s="1" t="s">
        <v>12</v>
      </c>
    </row>
    <row r="58" ht="12.75" customHeight="1">
      <c r="A58" s="1" t="s">
        <v>86</v>
      </c>
      <c r="B58" s="2" t="str">
        <f>HYPERLINK("https://wals.info/values/138A-dua","Words derived from Min Nan Chinese te")</f>
        <v>Words derived from Min Nan Chinese te</v>
      </c>
      <c r="C58" s="2" t="str">
        <f t="shared" si="1"/>
        <v>Tea</v>
      </c>
      <c r="D58" s="2" t="str">
        <f>HYPERLINK("https://wals.info/languoid/lect/wals_code_dua","Duala")</f>
        <v>Duala</v>
      </c>
      <c r="E58" s="1"/>
      <c r="F58" s="1"/>
      <c r="G58" s="1" t="s">
        <v>12</v>
      </c>
    </row>
    <row r="59" ht="12.75" customHeight="1">
      <c r="A59" s="1" t="s">
        <v>87</v>
      </c>
      <c r="B59" s="2" t="str">
        <f>HYPERLINK("https://wals.info/values/138A-dut","Words derived from Min Nan Chinese te")</f>
        <v>Words derived from Min Nan Chinese te</v>
      </c>
      <c r="C59" s="2" t="str">
        <f t="shared" si="1"/>
        <v>Tea</v>
      </c>
      <c r="D59" s="2" t="str">
        <f>HYPERLINK("https://wals.info/languoid/lect/wals_code_dut","Dutch")</f>
        <v>Dutch</v>
      </c>
      <c r="E59" s="1"/>
      <c r="F59" s="1"/>
      <c r="G59" s="1" t="s">
        <v>12</v>
      </c>
    </row>
    <row r="60" ht="12.75" customHeight="1">
      <c r="A60" s="1" t="s">
        <v>88</v>
      </c>
      <c r="B60" s="2" t="str">
        <f>HYPERLINK("https://wals.info/values/138A-eng","Words derived from Min Nan Chinese te")</f>
        <v>Words derived from Min Nan Chinese te</v>
      </c>
      <c r="C60" s="2" t="str">
        <f t="shared" si="1"/>
        <v>Tea</v>
      </c>
      <c r="D60" s="2" t="str">
        <f>HYPERLINK("https://wals.info/languoid/lect/wals_code_eng","English")</f>
        <v>English</v>
      </c>
      <c r="E60" s="1"/>
      <c r="F60" s="1"/>
      <c r="G60" s="1"/>
    </row>
    <row r="61" ht="12.75" customHeight="1">
      <c r="A61" s="1" t="s">
        <v>89</v>
      </c>
      <c r="B61" s="2" t="str">
        <f>HYPERLINK("https://wals.info/values/138A-est","Words derived from Min Nan Chinese te")</f>
        <v>Words derived from Min Nan Chinese te</v>
      </c>
      <c r="C61" s="2" t="str">
        <f t="shared" si="1"/>
        <v>Tea</v>
      </c>
      <c r="D61" s="2" t="str">
        <f>HYPERLINK("https://wals.info/languoid/lect/wals_code_est","Estonian")</f>
        <v>Estonian</v>
      </c>
      <c r="E61" s="1"/>
      <c r="F61" s="1"/>
      <c r="G61" s="1" t="s">
        <v>12</v>
      </c>
    </row>
    <row r="62" ht="12.75" customHeight="1">
      <c r="A62" s="1" t="s">
        <v>90</v>
      </c>
      <c r="B62" s="2" t="str">
        <f>HYPERLINK("https://wals.info/values/138A-evn","Words derived from Sinitic cha")</f>
        <v>Words derived from Sinitic cha</v>
      </c>
      <c r="C62" s="2" t="str">
        <f t="shared" si="1"/>
        <v>Tea</v>
      </c>
      <c r="D62" s="2" t="str">
        <f>HYPERLINK("https://wals.info/languoid/lect/wals_code_evn","Even")</f>
        <v>Even</v>
      </c>
      <c r="E62" s="1"/>
      <c r="F62" s="1"/>
      <c r="G62" s="1" t="s">
        <v>91</v>
      </c>
    </row>
    <row r="63" ht="12.75" customHeight="1">
      <c r="A63" s="1" t="s">
        <v>92</v>
      </c>
      <c r="B63" s="2" t="str">
        <f>HYPERLINK("https://wals.info/values/138A-eve","Words derived from Sinitic cha")</f>
        <v>Words derived from Sinitic cha</v>
      </c>
      <c r="C63" s="2" t="str">
        <f t="shared" si="1"/>
        <v>Tea</v>
      </c>
      <c r="D63" s="2" t="str">
        <f>HYPERLINK("https://wals.info/languoid/lect/wals_code_eve","Evenki")</f>
        <v>Evenki</v>
      </c>
      <c r="E63" s="1"/>
      <c r="F63" s="1"/>
      <c r="G63" s="1" t="s">
        <v>93</v>
      </c>
    </row>
    <row r="64" ht="12.75" customHeight="1">
      <c r="A64" s="1" t="s">
        <v>94</v>
      </c>
      <c r="B64" s="2" t="str">
        <f>HYPERLINK("https://wals.info/values/138A-ewe","Words derived from Min Nan Chinese te")</f>
        <v>Words derived from Min Nan Chinese te</v>
      </c>
      <c r="C64" s="2" t="str">
        <f t="shared" si="1"/>
        <v>Tea</v>
      </c>
      <c r="D64" s="2" t="str">
        <f>HYPERLINK("https://wals.info/languoid/lect/wals_code_ewe","Ewe")</f>
        <v>Ewe</v>
      </c>
      <c r="E64" s="1"/>
      <c r="F64" s="1"/>
      <c r="G64" s="1" t="s">
        <v>12</v>
      </c>
    </row>
    <row r="65" ht="12.75" customHeight="1">
      <c r="A65" s="1" t="s">
        <v>95</v>
      </c>
      <c r="B65" s="2" t="str">
        <f>HYPERLINK("https://wals.info/values/138A-ewo","Words derived from Min Nan Chinese te")</f>
        <v>Words derived from Min Nan Chinese te</v>
      </c>
      <c r="C65" s="2" t="str">
        <f t="shared" si="1"/>
        <v>Tea</v>
      </c>
      <c r="D65" s="2" t="str">
        <f>HYPERLINK("https://wals.info/languoid/lect/wals_code_ewo","Ewondo")</f>
        <v>Ewondo</v>
      </c>
      <c r="E65" s="1"/>
      <c r="F65" s="1"/>
      <c r="G65" s="1" t="s">
        <v>12</v>
      </c>
    </row>
    <row r="66" ht="12.75" customHeight="1">
      <c r="A66" s="1" t="s">
        <v>96</v>
      </c>
      <c r="B66" s="2" t="str">
        <f>HYPERLINK("https://wals.info/values/138A-fin","Words derived from Min Nan Chinese te")</f>
        <v>Words derived from Min Nan Chinese te</v>
      </c>
      <c r="C66" s="2" t="str">
        <f t="shared" si="1"/>
        <v>Tea</v>
      </c>
      <c r="D66" s="2" t="str">
        <f>HYPERLINK("https://wals.info/languoid/lect/wals_code_fin","Finnish")</f>
        <v>Finnish</v>
      </c>
      <c r="E66" s="1"/>
      <c r="F66" s="1"/>
      <c r="G66" s="1"/>
    </row>
    <row r="67" ht="12.75" customHeight="1">
      <c r="A67" s="1" t="s">
        <v>97</v>
      </c>
      <c r="B67" s="2" t="str">
        <f>HYPERLINK("https://wals.info/values/138A-fre","Words derived from Min Nan Chinese te")</f>
        <v>Words derived from Min Nan Chinese te</v>
      </c>
      <c r="C67" s="2" t="str">
        <f t="shared" si="1"/>
        <v>Tea</v>
      </c>
      <c r="D67" s="2" t="str">
        <f>HYPERLINK("https://wals.info/languoid/lect/wals_code_fre","French")</f>
        <v>French</v>
      </c>
      <c r="E67" s="1"/>
      <c r="F67" s="1"/>
      <c r="G67" s="1"/>
    </row>
    <row r="68" ht="12.75" customHeight="1">
      <c r="A68" s="1" t="s">
        <v>98</v>
      </c>
      <c r="B68" s="2" t="str">
        <f>HYPERLINK("https://wals.info/values/138A-fua","Words derived from Sinitic cha")</f>
        <v>Words derived from Sinitic cha</v>
      </c>
      <c r="C68" s="2" t="str">
        <f t="shared" si="1"/>
        <v>Tea</v>
      </c>
      <c r="D68" s="2" t="str">
        <f>HYPERLINK("https://wals.info/languoid/lect/wals_code_fua","Fula (Cameroonian)")</f>
        <v>Fula (Cameroonian)</v>
      </c>
      <c r="E68" s="1"/>
      <c r="F68" s="1"/>
      <c r="G68" s="1" t="s">
        <v>99</v>
      </c>
    </row>
    <row r="69" ht="12.75" customHeight="1">
      <c r="A69" s="1" t="s">
        <v>100</v>
      </c>
      <c r="B69" s="2" t="str">
        <f>HYPERLINK("https://wals.info/values/138A-fli","Others")</f>
        <v>Others</v>
      </c>
      <c r="C69" s="2" t="str">
        <f t="shared" si="1"/>
        <v>Tea</v>
      </c>
      <c r="D69" s="2" t="str">
        <f>HYPERLINK("https://wals.info/languoid/lect/wals_code_fli","Ful (Liptako)")</f>
        <v>Ful (Liptako)</v>
      </c>
      <c r="E69" s="1"/>
      <c r="F69" s="1"/>
      <c r="G69" s="1" t="s">
        <v>99</v>
      </c>
    </row>
    <row r="70" ht="12.75" customHeight="1">
      <c r="A70" s="1" t="s">
        <v>101</v>
      </c>
      <c r="B70" s="2" t="str">
        <f>HYPERLINK("https://wals.info/values/138A-gml","Words derived from Min Nan Chinese te")</f>
        <v>Words derived from Min Nan Chinese te</v>
      </c>
      <c r="C70" s="2" t="str">
        <f t="shared" si="1"/>
        <v>Tea</v>
      </c>
      <c r="D70" s="2" t="str">
        <f>HYPERLINK("https://wals.info/languoid/lect/wals_code_gml","Gamilaraay")</f>
        <v>Gamilaraay</v>
      </c>
      <c r="E70" s="1"/>
      <c r="F70" s="1"/>
      <c r="G70" s="1" t="s">
        <v>102</v>
      </c>
    </row>
    <row r="71" ht="12.75" customHeight="1">
      <c r="A71" s="1" t="s">
        <v>103</v>
      </c>
      <c r="B71" s="2" t="str">
        <f>HYPERLINK("https://wals.info/values/138A-geo","Words derived from Sinitic cha")</f>
        <v>Words derived from Sinitic cha</v>
      </c>
      <c r="C71" s="2" t="str">
        <f t="shared" si="1"/>
        <v>Tea</v>
      </c>
      <c r="D71" s="2" t="str">
        <f>HYPERLINK("https://wals.info/languoid/lect/wals_code_geo","Georgian")</f>
        <v>Georgian</v>
      </c>
      <c r="E71" s="1"/>
      <c r="F71" s="1"/>
      <c r="G71" s="1" t="s">
        <v>12</v>
      </c>
    </row>
    <row r="72" ht="12.75" customHeight="1">
      <c r="A72" s="1" t="s">
        <v>104</v>
      </c>
      <c r="B72" s="2" t="str">
        <f>HYPERLINK("https://wals.info/values/138A-ger","Words derived from Min Nan Chinese te")</f>
        <v>Words derived from Min Nan Chinese te</v>
      </c>
      <c r="C72" s="2" t="str">
        <f t="shared" si="1"/>
        <v>Tea</v>
      </c>
      <c r="D72" s="2" t="str">
        <f>HYPERLINK("https://wals.info/languoid/lect/wals_code_ger","German")</f>
        <v>German</v>
      </c>
      <c r="E72" s="1"/>
      <c r="F72" s="1"/>
      <c r="G72" s="1"/>
    </row>
    <row r="73" ht="12.75" customHeight="1">
      <c r="A73" s="1" t="s">
        <v>105</v>
      </c>
      <c r="B73" s="2" t="str">
        <f>HYPERLINK("https://wals.info/values/138A-grt","Words derived from Min Nan Chinese te")</f>
        <v>Words derived from Min Nan Chinese te</v>
      </c>
      <c r="C73" s="2" t="str">
        <f t="shared" si="1"/>
        <v>Tea</v>
      </c>
      <c r="D73" s="2" t="str">
        <f>HYPERLINK("https://wals.info/languoid/lect/wals_code_grt","Gorontalo")</f>
        <v>Gorontalo</v>
      </c>
      <c r="E73" s="1"/>
      <c r="F73" s="1"/>
      <c r="G73" s="1" t="s">
        <v>106</v>
      </c>
    </row>
    <row r="74" ht="12.75" customHeight="1">
      <c r="A74" s="1" t="s">
        <v>107</v>
      </c>
      <c r="B74" s="2" t="str">
        <f>HYPERLINK("https://wals.info/values/138A-grk","Words derived from Sinitic cha")</f>
        <v>Words derived from Sinitic cha</v>
      </c>
      <c r="C74" s="2" t="str">
        <f t="shared" si="1"/>
        <v>Tea</v>
      </c>
      <c r="D74" s="2" t="str">
        <f>HYPERLINK("https://wals.info/languoid/lect/wals_code_grk","Greek (Modern)")</f>
        <v>Greek (Modern)</v>
      </c>
      <c r="E74" s="1"/>
      <c r="F74" s="1"/>
      <c r="G74" s="1" t="s">
        <v>12</v>
      </c>
    </row>
    <row r="75" ht="12.75" customHeight="1">
      <c r="A75" s="1" t="s">
        <v>108</v>
      </c>
      <c r="B75" s="2" t="str">
        <f>HYPERLINK("https://wals.info/values/138A-gdl","Words derived from Min Nan Chinese te")</f>
        <v>Words derived from Min Nan Chinese te</v>
      </c>
      <c r="C75" s="2" t="str">
        <f t="shared" si="1"/>
        <v>Tea</v>
      </c>
      <c r="D75" s="2" t="str">
        <f>HYPERLINK("https://wals.info/languoid/lect/wals_code_gdl","Guadeloupe Creole")</f>
        <v>Guadeloupe Creole</v>
      </c>
      <c r="E75" s="1"/>
      <c r="F75" s="1"/>
      <c r="G75" s="1" t="s">
        <v>12</v>
      </c>
    </row>
    <row r="76" ht="12.75" customHeight="1">
      <c r="A76" s="1" t="s">
        <v>109</v>
      </c>
      <c r="B76" s="2" t="str">
        <f>HYPERLINK("https://wals.info/values/138A-gua","Words derived from Min Nan Chinese te")</f>
        <v>Words derived from Min Nan Chinese te</v>
      </c>
      <c r="C76" s="2" t="str">
        <f t="shared" si="1"/>
        <v>Tea</v>
      </c>
      <c r="D76" s="2" t="str">
        <f>HYPERLINK("https://wals.info/languoid/lect/wals_code_gua","Guaraní")</f>
        <v>Guaraní</v>
      </c>
      <c r="E76" s="1"/>
      <c r="F76" s="1"/>
      <c r="G76" s="1" t="s">
        <v>12</v>
      </c>
    </row>
    <row r="77" ht="12.75" customHeight="1">
      <c r="A77" s="1" t="s">
        <v>110</v>
      </c>
      <c r="B77" s="2" t="str">
        <f>HYPERLINK("https://wals.info/values/138A-guj","Words derived from Sinitic cha")</f>
        <v>Words derived from Sinitic cha</v>
      </c>
      <c r="C77" s="2" t="str">
        <f t="shared" si="1"/>
        <v>Tea</v>
      </c>
      <c r="D77" s="2" t="str">
        <f>HYPERLINK("https://wals.info/languoid/lect/wals_code_guj","Gujarati")</f>
        <v>Gujarati</v>
      </c>
      <c r="E77" s="1"/>
      <c r="F77" s="1"/>
      <c r="G77" s="1" t="s">
        <v>12</v>
      </c>
    </row>
    <row r="78" ht="12.75" customHeight="1">
      <c r="A78" s="1" t="s">
        <v>111</v>
      </c>
      <c r="B78" s="2" t="str">
        <f>HYPERLINK("https://wals.info/values/138A-hau","Words derived from Sinitic cha")</f>
        <v>Words derived from Sinitic cha</v>
      </c>
      <c r="C78" s="2" t="str">
        <f t="shared" si="1"/>
        <v>Tea</v>
      </c>
      <c r="D78" s="2" t="str">
        <f>HYPERLINK("https://wals.info/languoid/lect/wals_code_hau","Hausa")</f>
        <v>Hausa</v>
      </c>
      <c r="E78" s="1"/>
      <c r="F78" s="1"/>
      <c r="G78" s="1" t="s">
        <v>12</v>
      </c>
    </row>
    <row r="79" ht="12.75" customHeight="1">
      <c r="A79" s="1" t="s">
        <v>112</v>
      </c>
      <c r="B79" s="2" t="str">
        <f>HYPERLINK("https://wals.info/values/138A-haw","Others")</f>
        <v>Others</v>
      </c>
      <c r="C79" s="2" t="str">
        <f t="shared" si="1"/>
        <v>Tea</v>
      </c>
      <c r="D79" s="2" t="str">
        <f>HYPERLINK("https://wals.info/languoid/lect/wals_code_haw","Hawaiian")</f>
        <v>Hawaiian</v>
      </c>
      <c r="E79" s="1"/>
      <c r="F79" s="1"/>
      <c r="G79" s="1"/>
    </row>
    <row r="80" ht="12.75" customHeight="1">
      <c r="A80" s="1" t="s">
        <v>113</v>
      </c>
      <c r="B80" s="2" t="str">
        <f>HYPERLINK("https://wals.info/values/138A-heb","Words derived from Min Nan Chinese te")</f>
        <v>Words derived from Min Nan Chinese te</v>
      </c>
      <c r="C80" s="2" t="str">
        <f t="shared" si="1"/>
        <v>Tea</v>
      </c>
      <c r="D80" s="2" t="str">
        <f>HYPERLINK("https://wals.info/languoid/lect/wals_code_heb","Hebrew (Modern)")</f>
        <v>Hebrew (Modern)</v>
      </c>
      <c r="E80" s="1"/>
      <c r="F80" s="1"/>
      <c r="G80" s="1" t="s">
        <v>12</v>
      </c>
    </row>
    <row r="81" ht="12.75" customHeight="1">
      <c r="A81" s="1" t="s">
        <v>114</v>
      </c>
      <c r="B81" s="2" t="str">
        <f>HYPERLINK("https://wals.info/values/138A-hil","Words derived from Sinitic cha")</f>
        <v>Words derived from Sinitic cha</v>
      </c>
      <c r="C81" s="2" t="str">
        <f t="shared" si="1"/>
        <v>Tea</v>
      </c>
      <c r="D81" s="2" t="str">
        <f>HYPERLINK("https://wals.info/languoid/lect/wals_code_hil","Hiligaynon")</f>
        <v>Hiligaynon</v>
      </c>
      <c r="E81" s="1"/>
      <c r="F81" s="1"/>
      <c r="G81" s="1" t="s">
        <v>115</v>
      </c>
    </row>
    <row r="82" ht="12.75" customHeight="1">
      <c r="A82" s="1" t="s">
        <v>116</v>
      </c>
      <c r="B82" s="2" t="str">
        <f>HYPERLINK("https://wals.info/values/138A-hin","Words derived from Sinitic cha")</f>
        <v>Words derived from Sinitic cha</v>
      </c>
      <c r="C82" s="2" t="str">
        <f t="shared" si="1"/>
        <v>Tea</v>
      </c>
      <c r="D82" s="2" t="str">
        <f>HYPERLINK("https://wals.info/languoid/lect/wals_code_hin","Hindi")</f>
        <v>Hindi</v>
      </c>
      <c r="E82" s="1"/>
      <c r="F82" s="1"/>
      <c r="G82" s="1" t="s">
        <v>12</v>
      </c>
    </row>
    <row r="83" ht="12.75" customHeight="1">
      <c r="A83" s="1" t="s">
        <v>117</v>
      </c>
      <c r="B83" s="2" t="str">
        <f>HYPERLINK("https://wals.info/values/138A-hre","Words derived from Min Nan Chinese te")</f>
        <v>Words derived from Min Nan Chinese te</v>
      </c>
      <c r="C83" s="2" t="str">
        <f t="shared" si="1"/>
        <v>Tea</v>
      </c>
      <c r="D83" s="2" t="str">
        <f>HYPERLINK("https://wals.info/languoid/lect/wals_code_hre","Hre")</f>
        <v>Hre</v>
      </c>
      <c r="E83" s="1"/>
      <c r="F83" s="1"/>
      <c r="G83" s="1" t="s">
        <v>118</v>
      </c>
    </row>
    <row r="84" ht="12.75" customHeight="1">
      <c r="A84" s="1" t="s">
        <v>119</v>
      </c>
      <c r="B84" s="2" t="str">
        <f>HYPERLINK("https://wals.info/values/138A-hun","Words derived from Min Nan Chinese te")</f>
        <v>Words derived from Min Nan Chinese te</v>
      </c>
      <c r="C84" s="2" t="str">
        <f t="shared" si="1"/>
        <v>Tea</v>
      </c>
      <c r="D84" s="2" t="str">
        <f>HYPERLINK("https://wals.info/languoid/lect/wals_code_hun","Hungarian")</f>
        <v>Hungarian</v>
      </c>
      <c r="E84" s="1"/>
      <c r="F84" s="1"/>
      <c r="G84" s="1" t="s">
        <v>12</v>
      </c>
    </row>
    <row r="85" ht="12.75" customHeight="1">
      <c r="A85" s="1" t="s">
        <v>120</v>
      </c>
      <c r="B85" s="2" t="str">
        <f>HYPERLINK("https://wals.info/values/138A-ice","Words derived from Min Nan Chinese te")</f>
        <v>Words derived from Min Nan Chinese te</v>
      </c>
      <c r="C85" s="2" t="str">
        <f t="shared" si="1"/>
        <v>Tea</v>
      </c>
      <c r="D85" s="2" t="str">
        <f>HYPERLINK("https://wals.info/languoid/lect/wals_code_ice","Icelandic")</f>
        <v>Icelandic</v>
      </c>
      <c r="E85" s="1"/>
      <c r="F85" s="1"/>
      <c r="G85" s="1" t="s">
        <v>12</v>
      </c>
    </row>
    <row r="86" ht="12.75" customHeight="1">
      <c r="A86" s="1" t="s">
        <v>121</v>
      </c>
      <c r="B86" s="2" t="str">
        <f>HYPERLINK("https://wals.info/values/138A-ind","Words derived from Min Nan Chinese te")</f>
        <v>Words derived from Min Nan Chinese te</v>
      </c>
      <c r="C86" s="2" t="str">
        <f t="shared" si="1"/>
        <v>Tea</v>
      </c>
      <c r="D86" s="2" t="str">
        <f>HYPERLINK("https://wals.info/languoid/lect/wals_code_ind","Indonesian")</f>
        <v>Indonesian</v>
      </c>
      <c r="E86" s="1"/>
      <c r="F86" s="1"/>
      <c r="G86" s="1" t="s">
        <v>12</v>
      </c>
    </row>
    <row r="87" ht="12.75" customHeight="1">
      <c r="A87" s="1" t="s">
        <v>122</v>
      </c>
      <c r="B87" s="2" t="str">
        <f>HYPERLINK("https://wals.info/values/138A-ing","Words derived from Sinitic cha")</f>
        <v>Words derived from Sinitic cha</v>
      </c>
      <c r="C87" s="2" t="str">
        <f t="shared" si="1"/>
        <v>Tea</v>
      </c>
      <c r="D87" s="2" t="str">
        <f>HYPERLINK("https://wals.info/languoid/lect/wals_code_ing","Ingush")</f>
        <v>Ingush</v>
      </c>
      <c r="E87" s="1"/>
      <c r="F87" s="1"/>
      <c r="G87" s="1" t="s">
        <v>12</v>
      </c>
    </row>
    <row r="88" ht="12.75" customHeight="1">
      <c r="A88" s="1" t="s">
        <v>123</v>
      </c>
      <c r="B88" s="2" t="str">
        <f>HYPERLINK("https://wals.info/values/138A-inu","Others")</f>
        <v>Others</v>
      </c>
      <c r="C88" s="2" t="str">
        <f t="shared" si="1"/>
        <v>Tea</v>
      </c>
      <c r="D88" s="2" t="str">
        <f>HYPERLINK("https://wals.info/languoid/lect/wals_code_inu","Iñupiaq")</f>
        <v>Iñupiaq</v>
      </c>
      <c r="E88" s="1"/>
      <c r="F88" s="1"/>
      <c r="G88" s="1" t="s">
        <v>124</v>
      </c>
    </row>
    <row r="89" ht="12.75" customHeight="1">
      <c r="A89" s="1" t="s">
        <v>125</v>
      </c>
      <c r="B89" s="2" t="str">
        <f>HYPERLINK("https://wals.info/values/138A-iri","Words derived from Min Nan Chinese te")</f>
        <v>Words derived from Min Nan Chinese te</v>
      </c>
      <c r="C89" s="2" t="str">
        <f t="shared" si="1"/>
        <v>Tea</v>
      </c>
      <c r="D89" s="2" t="str">
        <f>HYPERLINK("https://wals.info/languoid/lect/wals_code_iri","Irish")</f>
        <v>Irish</v>
      </c>
      <c r="E89" s="1"/>
      <c r="F89" s="1"/>
      <c r="G89" s="1" t="s">
        <v>12</v>
      </c>
    </row>
    <row r="90" ht="12.75" customHeight="1">
      <c r="A90" s="1" t="s">
        <v>126</v>
      </c>
      <c r="B90" s="2" t="str">
        <f>HYPERLINK("https://wals.info/values/138A-ita","Words derived from Min Nan Chinese te")</f>
        <v>Words derived from Min Nan Chinese te</v>
      </c>
      <c r="C90" s="2" t="str">
        <f t="shared" si="1"/>
        <v>Tea</v>
      </c>
      <c r="D90" s="2" t="str">
        <f>HYPERLINK("https://wals.info/languoid/lect/wals_code_ita","Italian")</f>
        <v>Italian</v>
      </c>
      <c r="E90" s="1"/>
      <c r="F90" s="1"/>
      <c r="G90" s="1" t="s">
        <v>12</v>
      </c>
    </row>
    <row r="91" ht="12.75" customHeight="1">
      <c r="A91" s="1" t="s">
        <v>127</v>
      </c>
      <c r="B91" s="2" t="str">
        <f>HYPERLINK("https://wals.info/values/138A-jpn","Words derived from Sinitic cha")</f>
        <v>Words derived from Sinitic cha</v>
      </c>
      <c r="C91" s="2" t="str">
        <f t="shared" si="1"/>
        <v>Tea</v>
      </c>
      <c r="D91" s="2" t="str">
        <f>HYPERLINK("https://wals.info/languoid/lect/wals_code_jpn","Japanese")</f>
        <v>Japanese</v>
      </c>
      <c r="E91" s="1"/>
      <c r="F91" s="1"/>
      <c r="G91" s="1" t="s">
        <v>12</v>
      </c>
    </row>
    <row r="92" ht="12.75" customHeight="1">
      <c r="A92" s="1" t="s">
        <v>128</v>
      </c>
      <c r="B92" s="2" t="str">
        <f>HYPERLINK("https://wals.info/values/138A-jav","Words derived from Min Nan Chinese te")</f>
        <v>Words derived from Min Nan Chinese te</v>
      </c>
      <c r="C92" s="2" t="str">
        <f t="shared" si="1"/>
        <v>Tea</v>
      </c>
      <c r="D92" s="2" t="str">
        <f>HYPERLINK("https://wals.info/languoid/lect/wals_code_jav","Javanese")</f>
        <v>Javanese</v>
      </c>
      <c r="E92" s="1"/>
      <c r="F92" s="1"/>
      <c r="G92" s="1" t="s">
        <v>30</v>
      </c>
    </row>
    <row r="93" ht="12.75" customHeight="1">
      <c r="A93" s="1" t="s">
        <v>129</v>
      </c>
      <c r="B93" s="2" t="str">
        <f>HYPERLINK("https://wals.info/values/138A-juh","Words derived from Min Nan Chinese te")</f>
        <v>Words derived from Min Nan Chinese te</v>
      </c>
      <c r="C93" s="2" t="str">
        <f t="shared" si="1"/>
        <v>Tea</v>
      </c>
      <c r="D93" s="2" t="str">
        <f>HYPERLINK("https://wals.info/languoid/lect/wals_code_juh","Ju|'hoan")</f>
        <v>Ju|'hoan</v>
      </c>
      <c r="E93" s="1"/>
      <c r="F93" s="1"/>
      <c r="G93" s="1" t="s">
        <v>130</v>
      </c>
    </row>
    <row r="94" ht="12.75" customHeight="1">
      <c r="A94" s="1" t="s">
        <v>131</v>
      </c>
      <c r="B94" s="2" t="str">
        <f>HYPERLINK("https://wals.info/values/138A-jmo","Words derived from Sinitic cha")</f>
        <v>Words derived from Sinitic cha</v>
      </c>
      <c r="C94" s="2" t="str">
        <f t="shared" si="1"/>
        <v>Tea</v>
      </c>
      <c r="D94" s="2" t="str">
        <f>HYPERLINK("https://wals.info/languoid/lect/wals_code_jmo","Jur Mödö")</f>
        <v>Jur Mödö</v>
      </c>
      <c r="E94" s="1"/>
      <c r="F94" s="1"/>
      <c r="G94" s="1" t="s">
        <v>132</v>
      </c>
    </row>
    <row r="95" ht="12.75" customHeight="1">
      <c r="A95" s="1" t="s">
        <v>133</v>
      </c>
      <c r="B95" s="2" t="str">
        <f>HYPERLINK("https://wals.info/values/138A-kab","Words derived from Sinitic cha")</f>
        <v>Words derived from Sinitic cha</v>
      </c>
      <c r="C95" s="2" t="str">
        <f t="shared" si="1"/>
        <v>Tea</v>
      </c>
      <c r="D95" s="2" t="str">
        <f>HYPERLINK("https://wals.info/languoid/lect/wals_code_kab","Kabardian")</f>
        <v>Kabardian</v>
      </c>
      <c r="E95" s="1"/>
      <c r="F95" s="1"/>
      <c r="G95" s="1" t="s">
        <v>134</v>
      </c>
    </row>
    <row r="96" ht="12.75" customHeight="1">
      <c r="A96" s="1" t="s">
        <v>135</v>
      </c>
      <c r="B96" s="2" t="str">
        <f>HYPERLINK("https://wals.info/values/138A-kbl","Others")</f>
        <v>Others</v>
      </c>
      <c r="C96" s="2" t="str">
        <f t="shared" si="1"/>
        <v>Tea</v>
      </c>
      <c r="D96" s="2" t="str">
        <f>HYPERLINK("https://wals.info/languoid/lect/wals_code_kbl","Kabyle")</f>
        <v>Kabyle</v>
      </c>
      <c r="E96" s="1"/>
      <c r="F96" s="1"/>
      <c r="G96" s="1" t="s">
        <v>12</v>
      </c>
    </row>
    <row r="97" ht="12.75" customHeight="1">
      <c r="A97" s="1" t="s">
        <v>136</v>
      </c>
      <c r="B97" s="2" t="str">
        <f>HYPERLINK("https://wals.info/values/138A-kmk","Words derived from Sinitic cha")</f>
        <v>Words derived from Sinitic cha</v>
      </c>
      <c r="C97" s="2" t="str">
        <f t="shared" si="1"/>
        <v>Tea</v>
      </c>
      <c r="D97" s="2" t="str">
        <f>HYPERLINK("https://wals.info/languoid/lect/wals_code_kmk","Kalmyk")</f>
        <v>Kalmyk</v>
      </c>
      <c r="E97" s="1"/>
      <c r="F97" s="1"/>
      <c r="G97" s="1" t="s">
        <v>137</v>
      </c>
    </row>
    <row r="98" ht="12.75" customHeight="1">
      <c r="A98" s="1" t="s">
        <v>138</v>
      </c>
      <c r="B98" s="2" t="str">
        <f>HYPERLINK("https://wals.info/values/138A-knr","Words derived from Min Nan Chinese te")</f>
        <v>Words derived from Min Nan Chinese te</v>
      </c>
      <c r="C98" s="2" t="str">
        <f t="shared" si="1"/>
        <v>Tea</v>
      </c>
      <c r="D98" s="2" t="str">
        <f>HYPERLINK("https://wals.info/languoid/lect/wals_code_knr","Kanuri")</f>
        <v>Kanuri</v>
      </c>
      <c r="E98" s="1"/>
      <c r="F98" s="1"/>
      <c r="G98" s="1" t="s">
        <v>139</v>
      </c>
    </row>
    <row r="99" ht="12.75" customHeight="1">
      <c r="A99" s="1" t="s">
        <v>140</v>
      </c>
      <c r="B99" s="2" t="str">
        <f>HYPERLINK("https://wals.info/values/138A-krm","Words derived from Sinitic cha")</f>
        <v>Words derived from Sinitic cha</v>
      </c>
      <c r="C99" s="2" t="str">
        <f t="shared" si="1"/>
        <v>Tea</v>
      </c>
      <c r="D99" s="2" t="str">
        <f>HYPERLINK("https://wals.info/languoid/lect/wals_code_krm","Karaim")</f>
        <v>Karaim</v>
      </c>
      <c r="E99" s="1"/>
      <c r="F99" s="1"/>
      <c r="G99" s="1" t="s">
        <v>141</v>
      </c>
    </row>
    <row r="100" ht="12.75" customHeight="1">
      <c r="A100" s="1" t="s">
        <v>142</v>
      </c>
      <c r="B100" s="2" t="str">
        <f>HYPERLINK("https://wals.info/values/138A-kkp","Words derived from Sinitic cha")</f>
        <v>Words derived from Sinitic cha</v>
      </c>
      <c r="C100" s="2" t="str">
        <f t="shared" si="1"/>
        <v>Tea</v>
      </c>
      <c r="D100" s="2" t="str">
        <f>HYPERLINK("https://wals.info/languoid/lect/wals_code_kkp","Karakalpak")</f>
        <v>Karakalpak</v>
      </c>
      <c r="E100" s="1"/>
      <c r="F100" s="1"/>
      <c r="G100" s="1" t="s">
        <v>143</v>
      </c>
    </row>
    <row r="101" ht="12.75" customHeight="1">
      <c r="A101" s="1" t="s">
        <v>144</v>
      </c>
      <c r="B101" s="2" t="str">
        <f>HYPERLINK("https://wals.info/values/138A-ksg","Others")</f>
        <v>Others</v>
      </c>
      <c r="C101" s="2" t="str">
        <f t="shared" si="1"/>
        <v>Tea</v>
      </c>
      <c r="D101" s="2" t="str">
        <f>HYPERLINK("https://wals.info/languoid/lect/wals_code_ksg","Karen (Sgaw)")</f>
        <v>Karen (Sgaw)</v>
      </c>
      <c r="E101" s="1"/>
      <c r="F101" s="1"/>
      <c r="G101" s="1" t="s">
        <v>12</v>
      </c>
    </row>
    <row r="102" ht="12.75" customHeight="1">
      <c r="A102" s="1" t="s">
        <v>145</v>
      </c>
      <c r="B102" s="2" t="str">
        <f>HYPERLINK("https://wals.info/values/138A-krk","Others")</f>
        <v>Others</v>
      </c>
      <c r="C102" s="2" t="str">
        <f t="shared" si="1"/>
        <v>Tea</v>
      </c>
      <c r="D102" s="2" t="str">
        <f>HYPERLINK("https://wals.info/languoid/lect/wals_code_krk","Karok")</f>
        <v>Karok</v>
      </c>
      <c r="E102" s="1"/>
      <c r="F102" s="1"/>
      <c r="G102" s="1" t="s">
        <v>146</v>
      </c>
    </row>
    <row r="103" ht="12.75" customHeight="1">
      <c r="A103" s="1" t="s">
        <v>147</v>
      </c>
      <c r="B103" s="2" t="str">
        <f>HYPERLINK("https://wals.info/values/138A-kaz","Words derived from Sinitic cha")</f>
        <v>Words derived from Sinitic cha</v>
      </c>
      <c r="C103" s="2" t="str">
        <f t="shared" si="1"/>
        <v>Tea</v>
      </c>
      <c r="D103" s="2" t="str">
        <f>HYPERLINK("https://wals.info/languoid/lect/wals_code_kaz","Kazakh")</f>
        <v>Kazakh</v>
      </c>
      <c r="E103" s="1"/>
      <c r="F103" s="1"/>
      <c r="G103" s="1" t="s">
        <v>12</v>
      </c>
    </row>
    <row r="104" ht="12.75" customHeight="1">
      <c r="A104" s="1" t="s">
        <v>148</v>
      </c>
      <c r="B104" s="2" t="str">
        <f>HYPERLINK("https://wals.info/values/138A-keu","Words derived from Min Nan Chinese te")</f>
        <v>Words derived from Min Nan Chinese te</v>
      </c>
      <c r="C104" s="2" t="str">
        <f t="shared" si="1"/>
        <v>Tea</v>
      </c>
      <c r="D104" s="2" t="str">
        <f>HYPERLINK("https://wals.info/languoid/lect/wals_code_keu","Kenyah (Uma' Lung)")</f>
        <v>Kenyah (Uma' Lung)</v>
      </c>
      <c r="E104" s="1"/>
      <c r="F104" s="1"/>
      <c r="G104" s="1"/>
    </row>
    <row r="105" ht="12.75" customHeight="1">
      <c r="A105" s="1" t="s">
        <v>149</v>
      </c>
      <c r="B105" s="2" t="str">
        <f>HYPERLINK("https://wals.info/values/138A-ket","Others")</f>
        <v>Others</v>
      </c>
      <c r="C105" s="2" t="str">
        <f t="shared" si="1"/>
        <v>Tea</v>
      </c>
      <c r="D105" s="2" t="str">
        <f>HYPERLINK("https://wals.info/languoid/lect/wals_code_ket","Ket")</f>
        <v>Ket</v>
      </c>
      <c r="E105" s="1"/>
      <c r="F105" s="1"/>
      <c r="G105" s="1" t="s">
        <v>150</v>
      </c>
    </row>
    <row r="106" ht="12.75" customHeight="1">
      <c r="A106" s="1" t="s">
        <v>151</v>
      </c>
      <c r="B106" s="2" t="str">
        <f>HYPERLINK("https://wals.info/values/138A-khk","Words derived from Sinitic cha")</f>
        <v>Words derived from Sinitic cha</v>
      </c>
      <c r="C106" s="2" t="str">
        <f t="shared" si="1"/>
        <v>Tea</v>
      </c>
      <c r="D106" s="2" t="str">
        <f>HYPERLINK("https://wals.info/languoid/lect/wals_code_khk","Khakas")</f>
        <v>Khakas</v>
      </c>
      <c r="E106" s="1"/>
      <c r="F106" s="1"/>
      <c r="G106" s="1" t="s">
        <v>152</v>
      </c>
    </row>
    <row r="107" ht="12.75" customHeight="1">
      <c r="A107" s="1" t="s">
        <v>153</v>
      </c>
      <c r="B107" s="2" t="str">
        <f>HYPERLINK("https://wals.info/values/138A-kha","Words derived from Sinitic cha")</f>
        <v>Words derived from Sinitic cha</v>
      </c>
      <c r="C107" s="2" t="str">
        <f t="shared" si="1"/>
        <v>Tea</v>
      </c>
      <c r="D107" s="2" t="str">
        <f>HYPERLINK("https://wals.info/languoid/lect/wals_code_kha","Khalkha")</f>
        <v>Khalkha</v>
      </c>
      <c r="E107" s="1"/>
      <c r="F107" s="1"/>
      <c r="G107" s="1" t="s">
        <v>12</v>
      </c>
    </row>
    <row r="108" ht="12.75" customHeight="1">
      <c r="A108" s="1" t="s">
        <v>154</v>
      </c>
      <c r="B108" s="2" t="str">
        <f>HYPERLINK("https://wals.info/values/138A-khs","Words derived from Sinitic cha")</f>
        <v>Words derived from Sinitic cha</v>
      </c>
      <c r="C108" s="2" t="str">
        <f t="shared" si="1"/>
        <v>Tea</v>
      </c>
      <c r="D108" s="2" t="str">
        <f>HYPERLINK("https://wals.info/languoid/lect/wals_code_khs","Khasi")</f>
        <v>Khasi</v>
      </c>
      <c r="E108" s="1"/>
      <c r="F108" s="1"/>
      <c r="G108" s="1" t="s">
        <v>155</v>
      </c>
    </row>
    <row r="109" ht="12.75" customHeight="1">
      <c r="A109" s="1" t="s">
        <v>156</v>
      </c>
      <c r="B109" s="2" t="str">
        <f>HYPERLINK("https://wals.info/values/138A-khm","Words derived from Min Nan Chinese te")</f>
        <v>Words derived from Min Nan Chinese te</v>
      </c>
      <c r="C109" s="2" t="str">
        <f t="shared" si="1"/>
        <v>Tea</v>
      </c>
      <c r="D109" s="2" t="str">
        <f>HYPERLINK("https://wals.info/languoid/lect/wals_code_khm","Khmer")</f>
        <v>Khmer</v>
      </c>
      <c r="E109" s="1"/>
      <c r="F109" s="1"/>
      <c r="G109" s="1" t="s">
        <v>12</v>
      </c>
    </row>
    <row r="110" ht="12.75" customHeight="1">
      <c r="A110" s="1" t="s">
        <v>157</v>
      </c>
      <c r="B110" s="2" t="str">
        <f>HYPERLINK("https://wals.info/values/138A-kik","Words derived from Sinitic cha")</f>
        <v>Words derived from Sinitic cha</v>
      </c>
      <c r="C110" s="2" t="str">
        <f t="shared" si="1"/>
        <v>Tea</v>
      </c>
      <c r="D110" s="2" t="str">
        <f>HYPERLINK("https://wals.info/languoid/lect/wals_code_kik","Kikuyu")</f>
        <v>Kikuyu</v>
      </c>
      <c r="E110" s="1"/>
      <c r="F110" s="1"/>
      <c r="G110" s="1" t="s">
        <v>12</v>
      </c>
    </row>
    <row r="111" ht="12.75" customHeight="1">
      <c r="A111" s="1" t="s">
        <v>158</v>
      </c>
      <c r="B111" s="2" t="str">
        <f>HYPERLINK("https://wals.info/values/138A-kin","Words derived from Sinitic cha")</f>
        <v>Words derived from Sinitic cha</v>
      </c>
      <c r="C111" s="2" t="str">
        <f t="shared" si="1"/>
        <v>Tea</v>
      </c>
      <c r="D111" s="2" t="str">
        <f>HYPERLINK("https://wals.info/languoid/lect/wals_code_kin","Kinyarwanda")</f>
        <v>Kinyarwanda</v>
      </c>
      <c r="E111" s="1"/>
      <c r="F111" s="1"/>
      <c r="G111" s="1" t="s">
        <v>12</v>
      </c>
    </row>
    <row r="112" ht="12.75" customHeight="1">
      <c r="A112" s="1" t="s">
        <v>159</v>
      </c>
      <c r="B112" s="2" t="str">
        <f>HYPERLINK("https://wals.info/values/138A-kgz","Words derived from Sinitic cha")</f>
        <v>Words derived from Sinitic cha</v>
      </c>
      <c r="C112" s="2" t="str">
        <f t="shared" si="1"/>
        <v>Tea</v>
      </c>
      <c r="D112" s="2" t="str">
        <f>HYPERLINK("https://wals.info/languoid/lect/wals_code_kgz","Kirghiz")</f>
        <v>Kirghiz</v>
      </c>
      <c r="E112" s="1"/>
      <c r="F112" s="1"/>
      <c r="G112" s="1" t="s">
        <v>160</v>
      </c>
    </row>
    <row r="113" ht="12.75" customHeight="1">
      <c r="A113" s="1" t="s">
        <v>161</v>
      </c>
      <c r="B113" s="2" t="str">
        <f>HYPERLINK("https://wals.info/values/138A-koi","Words derived from Min Nan Chinese te")</f>
        <v>Words derived from Min Nan Chinese te</v>
      </c>
      <c r="C113" s="2" t="str">
        <f t="shared" si="1"/>
        <v>Tea</v>
      </c>
      <c r="D113" s="2" t="str">
        <f>HYPERLINK("https://wals.info/languoid/lect/wals_code_koi","Koiari")</f>
        <v>Koiari</v>
      </c>
      <c r="E113" s="1"/>
      <c r="F113" s="1"/>
      <c r="G113" s="1" t="s">
        <v>162</v>
      </c>
    </row>
    <row r="114" ht="12.75" customHeight="1">
      <c r="A114" s="1" t="s">
        <v>163</v>
      </c>
      <c r="B114" s="2" t="str">
        <f>HYPERLINK("https://wals.info/values/138A-kkn","Words derived from Sinitic cha")</f>
        <v>Words derived from Sinitic cha</v>
      </c>
      <c r="C114" s="2" t="str">
        <f t="shared" si="1"/>
        <v>Tea</v>
      </c>
      <c r="D114" s="2" t="str">
        <f>HYPERLINK("https://wals.info/languoid/lect/wals_code_kkn","Konkani")</f>
        <v>Konkani</v>
      </c>
      <c r="E114" s="1"/>
      <c r="F114" s="1"/>
      <c r="G114" s="1" t="s">
        <v>12</v>
      </c>
    </row>
    <row r="115" ht="12.75" customHeight="1">
      <c r="A115" s="1" t="s">
        <v>164</v>
      </c>
      <c r="B115" s="2" t="str">
        <f>HYPERLINK("https://wals.info/values/138A-kor","Words derived from Sinitic cha")</f>
        <v>Words derived from Sinitic cha</v>
      </c>
      <c r="C115" s="2" t="str">
        <f t="shared" si="1"/>
        <v>Tea</v>
      </c>
      <c r="D115" s="2" t="str">
        <f>HYPERLINK("https://wals.info/languoid/lect/wals_code_kor","Korean")</f>
        <v>Korean</v>
      </c>
      <c r="E115" s="1"/>
      <c r="F115" s="1"/>
      <c r="G115" s="1" t="s">
        <v>12</v>
      </c>
    </row>
    <row r="116" ht="12.75" customHeight="1">
      <c r="A116" s="1" t="s">
        <v>165</v>
      </c>
      <c r="B116" s="2" t="str">
        <f>HYPERLINK("https://wals.info/values/138A-kry","Words derived from Sinitic cha")</f>
        <v>Words derived from Sinitic cha</v>
      </c>
      <c r="C116" s="2" t="str">
        <f t="shared" si="1"/>
        <v>Tea</v>
      </c>
      <c r="D116" s="2" t="str">
        <f>HYPERLINK("https://wals.info/languoid/lect/wals_code_kry","Koryak")</f>
        <v>Koryak</v>
      </c>
      <c r="E116" s="1"/>
      <c r="F116" s="1"/>
      <c r="G116" s="1" t="s">
        <v>166</v>
      </c>
    </row>
    <row r="117" ht="12.75" customHeight="1">
      <c r="A117" s="1" t="s">
        <v>167</v>
      </c>
      <c r="B117" s="2" t="str">
        <f>HYPERLINK("https://wals.info/values/138A-kos","Words derived from Min Nan Chinese te")</f>
        <v>Words derived from Min Nan Chinese te</v>
      </c>
      <c r="C117" s="2" t="str">
        <f t="shared" si="1"/>
        <v>Tea</v>
      </c>
      <c r="D117" s="2" t="str">
        <f>HYPERLINK("https://wals.info/languoid/lect/wals_code_kos","Kosraean")</f>
        <v>Kosraean</v>
      </c>
      <c r="E117" s="1"/>
      <c r="F117" s="1"/>
      <c r="G117" s="1" t="s">
        <v>168</v>
      </c>
    </row>
    <row r="118" ht="12.75" customHeight="1">
      <c r="A118" s="1" t="s">
        <v>169</v>
      </c>
      <c r="B118" s="2" t="str">
        <f>HYPERLINK("https://wals.info/values/138A-kse","Others")</f>
        <v>Others</v>
      </c>
      <c r="C118" s="2" t="str">
        <f t="shared" si="1"/>
        <v>Tea</v>
      </c>
      <c r="D118" s="2" t="str">
        <f>HYPERLINK("https://wals.info/languoid/lect/wals_code_kse","Koyraboro Senni")</f>
        <v>Koyraboro Senni</v>
      </c>
      <c r="E118" s="1"/>
      <c r="F118" s="1"/>
      <c r="G118" s="1" t="s">
        <v>12</v>
      </c>
    </row>
    <row r="119" ht="12.75" customHeight="1">
      <c r="A119" s="1" t="s">
        <v>170</v>
      </c>
      <c r="B119" s="2" t="str">
        <f>HYPERLINK("https://wals.info/values/138A-kro","Words derived from Sinitic cha")</f>
        <v>Words derived from Sinitic cha</v>
      </c>
      <c r="C119" s="2" t="str">
        <f t="shared" si="1"/>
        <v>Tea</v>
      </c>
      <c r="D119" s="2" t="str">
        <f>HYPERLINK("https://wals.info/languoid/lect/wals_code_kro","Krongo")</f>
        <v>Krongo</v>
      </c>
      <c r="E119" s="1"/>
      <c r="F119" s="1"/>
      <c r="G119" s="1" t="s">
        <v>171</v>
      </c>
    </row>
    <row r="120" ht="12.75" customHeight="1">
      <c r="A120" s="1" t="s">
        <v>172</v>
      </c>
      <c r="B120" s="2" t="str">
        <f>HYPERLINK("https://wals.info/values/138A-kuq","Words derived from Sinitic cha")</f>
        <v>Words derived from Sinitic cha</v>
      </c>
      <c r="C120" s="2" t="str">
        <f t="shared" si="1"/>
        <v>Tea</v>
      </c>
      <c r="D120" s="2" t="str">
        <f>HYPERLINK("https://wals.info/languoid/lect/wals_code_kuq","Kumyk")</f>
        <v>Kumyk</v>
      </c>
      <c r="E120" s="1"/>
      <c r="F120" s="1"/>
      <c r="G120" s="1" t="s">
        <v>173</v>
      </c>
    </row>
    <row r="121" ht="12.75" customHeight="1">
      <c r="A121" s="1" t="s">
        <v>174</v>
      </c>
      <c r="B121" s="2" t="str">
        <f>HYPERLINK("https://wals.info/values/138A-kjn","Others")</f>
        <v>Others</v>
      </c>
      <c r="C121" s="2" t="str">
        <f t="shared" si="1"/>
        <v>Tea</v>
      </c>
      <c r="D121" s="2" t="str">
        <f>HYPERLINK("https://wals.info/languoid/lect/wals_code_kjn","Kunjen")</f>
        <v>Kunjen</v>
      </c>
      <c r="E121" s="1"/>
      <c r="F121" s="1"/>
      <c r="G121" s="1" t="s">
        <v>175</v>
      </c>
    </row>
    <row r="122" ht="12.75" customHeight="1">
      <c r="A122" s="1" t="s">
        <v>176</v>
      </c>
      <c r="B122" s="2" t="str">
        <f>HYPERLINK("https://wals.info/values/138A-kji","Words derived from Sinitic cha")</f>
        <v>Words derived from Sinitic cha</v>
      </c>
      <c r="C122" s="2" t="str">
        <f t="shared" si="1"/>
        <v>Tea</v>
      </c>
      <c r="D122" s="2" t="str">
        <f>HYPERLINK("https://wals.info/languoid/lect/wals_code_kji","Kurmanji")</f>
        <v>Kurmanji</v>
      </c>
      <c r="E122" s="1"/>
      <c r="F122" s="1"/>
      <c r="G122" s="1" t="s">
        <v>12</v>
      </c>
    </row>
    <row r="123" ht="12.75" customHeight="1">
      <c r="A123" s="1" t="s">
        <v>177</v>
      </c>
      <c r="B123" s="2" t="str">
        <f>HYPERLINK("https://wals.info/values/138A-lad","Others")</f>
        <v>Others</v>
      </c>
      <c r="C123" s="2" t="str">
        <f t="shared" si="1"/>
        <v>Tea</v>
      </c>
      <c r="D123" s="2" t="str">
        <f>HYPERLINK("https://wals.info/languoid/lect/wals_code_lad","Ladakhi")</f>
        <v>Ladakhi</v>
      </c>
      <c r="E123" s="1"/>
      <c r="F123" s="1"/>
      <c r="G123" s="1" t="s">
        <v>12</v>
      </c>
    </row>
    <row r="124" ht="12.75" customHeight="1">
      <c r="A124" s="1" t="s">
        <v>178</v>
      </c>
      <c r="B124" s="2" t="str">
        <f>HYPERLINK("https://wals.info/values/138A-lmp","Words derived from Min Nan Chinese te")</f>
        <v>Words derived from Min Nan Chinese te</v>
      </c>
      <c r="C124" s="2" t="str">
        <f t="shared" si="1"/>
        <v>Tea</v>
      </c>
      <c r="D124" s="2" t="str">
        <f>HYPERLINK("https://wals.info/languoid/lect/wals_code_lmp","Lampung")</f>
        <v>Lampung</v>
      </c>
      <c r="E124" s="1"/>
      <c r="F124" s="1"/>
      <c r="G124" s="1" t="s">
        <v>179</v>
      </c>
    </row>
    <row r="125" ht="12.75" customHeight="1">
      <c r="A125" s="1" t="s">
        <v>180</v>
      </c>
      <c r="B125" s="2" t="str">
        <f>HYPERLINK("https://wals.info/values/138A-lao","Others")</f>
        <v>Others</v>
      </c>
      <c r="C125" s="2" t="str">
        <f t="shared" si="1"/>
        <v>Tea</v>
      </c>
      <c r="D125" s="2" t="str">
        <f>HYPERLINK("https://wals.info/languoid/lect/wals_code_lao","Lao")</f>
        <v>Lao</v>
      </c>
      <c r="E125" s="1"/>
      <c r="F125" s="1"/>
      <c r="G125" s="1" t="s">
        <v>12</v>
      </c>
    </row>
    <row r="126" ht="12.75" customHeight="1">
      <c r="A126" s="1" t="s">
        <v>181</v>
      </c>
      <c r="B126" s="2" t="str">
        <f>HYPERLINK("https://wals.info/values/138A-lat","Words derived from Min Nan Chinese te")</f>
        <v>Words derived from Min Nan Chinese te</v>
      </c>
      <c r="C126" s="2" t="str">
        <f t="shared" si="1"/>
        <v>Tea</v>
      </c>
      <c r="D126" s="2" t="str">
        <f>HYPERLINK("https://wals.info/languoid/lect/wals_code_lat","Latvian")</f>
        <v>Latvian</v>
      </c>
      <c r="E126" s="1"/>
      <c r="F126" s="1"/>
      <c r="G126" s="1" t="s">
        <v>12</v>
      </c>
    </row>
    <row r="127" ht="12.75" customHeight="1">
      <c r="A127" s="1" t="s">
        <v>182</v>
      </c>
      <c r="B127" s="2" t="str">
        <f>HYPERLINK("https://wals.info/values/138A-lcr","Words derived from Sinitic cha")</f>
        <v>Words derived from Sinitic cha</v>
      </c>
      <c r="C127" s="2" t="str">
        <f t="shared" si="1"/>
        <v>Tea</v>
      </c>
      <c r="D127" s="2" t="str">
        <f>HYPERLINK("https://wals.info/languoid/lect/wals_code_lcr","Lesser Antillean French Creole")</f>
        <v>Lesser Antillean French Creole</v>
      </c>
      <c r="E127" s="1"/>
      <c r="F127" s="1"/>
      <c r="G127" s="1"/>
    </row>
    <row r="128" ht="12.75" customHeight="1">
      <c r="A128" s="1" t="s">
        <v>183</v>
      </c>
      <c r="B128" s="2" t="str">
        <f>HYPERLINK("https://wals.info/values/138A-lin","Words derived from Min Nan Chinese te")</f>
        <v>Words derived from Min Nan Chinese te</v>
      </c>
      <c r="C128" s="2" t="str">
        <f t="shared" si="1"/>
        <v>Tea</v>
      </c>
      <c r="D128" s="2" t="str">
        <f>HYPERLINK("https://wals.info/languoid/lect/wals_code_lin","Lingala")</f>
        <v>Lingala</v>
      </c>
      <c r="E128" s="1"/>
      <c r="F128" s="1"/>
      <c r="G128" s="1" t="s">
        <v>12</v>
      </c>
    </row>
    <row r="129" ht="12.75" customHeight="1">
      <c r="A129" s="1" t="s">
        <v>184</v>
      </c>
      <c r="B129" s="2" t="str">
        <f>HYPERLINK("https://wals.info/values/138A-lis","Others")</f>
        <v>Others</v>
      </c>
      <c r="C129" s="2" t="str">
        <f t="shared" si="1"/>
        <v>Tea</v>
      </c>
      <c r="D129" s="2" t="str">
        <f>HYPERLINK("https://wals.info/languoid/lect/wals_code_lis","Lisu")</f>
        <v>Lisu</v>
      </c>
      <c r="E129" s="1"/>
      <c r="F129" s="1"/>
      <c r="G129" s="1" t="s">
        <v>185</v>
      </c>
    </row>
    <row r="130" ht="12.75" customHeight="1">
      <c r="A130" s="1" t="s">
        <v>186</v>
      </c>
      <c r="B130" s="2" t="str">
        <f>HYPERLINK("https://wals.info/values/138A-lit","Others")</f>
        <v>Others</v>
      </c>
      <c r="C130" s="2" t="str">
        <f t="shared" si="1"/>
        <v>Tea</v>
      </c>
      <c r="D130" s="2" t="str">
        <f>HYPERLINK("https://wals.info/languoid/lect/wals_code_lit","Lithuanian")</f>
        <v>Lithuanian</v>
      </c>
      <c r="E130" s="1"/>
      <c r="F130" s="1"/>
      <c r="G130" s="1" t="s">
        <v>12</v>
      </c>
    </row>
    <row r="131" ht="12.75" customHeight="1">
      <c r="A131" s="1" t="s">
        <v>187</v>
      </c>
      <c r="B131" s="2" t="str">
        <f>HYPERLINK("https://wals.info/values/138A-lon","Others")</f>
        <v>Others</v>
      </c>
      <c r="C131" s="2" t="str">
        <f t="shared" si="1"/>
        <v>Tea</v>
      </c>
      <c r="D131" s="2" t="str">
        <f>HYPERLINK("https://wals.info/languoid/lect/wals_code_lon","Loniu")</f>
        <v>Loniu</v>
      </c>
      <c r="E131" s="1"/>
      <c r="F131" s="1"/>
      <c r="G131" s="1" t="s">
        <v>188</v>
      </c>
    </row>
    <row r="132" ht="12.75" customHeight="1">
      <c r="A132" s="1" t="s">
        <v>189</v>
      </c>
      <c r="B132" s="2" t="str">
        <f>HYPERLINK("https://wals.info/values/138A-lda","Words derived from Sinitic cha")</f>
        <v>Words derived from Sinitic cha</v>
      </c>
      <c r="C132" s="2" t="str">
        <f t="shared" si="1"/>
        <v>Tea</v>
      </c>
      <c r="D132" s="2" t="str">
        <f>HYPERLINK("https://wals.info/languoid/lect/wals_code_lda","Luganda")</f>
        <v>Luganda</v>
      </c>
      <c r="E132" s="1"/>
      <c r="F132" s="1"/>
      <c r="G132" s="1" t="s">
        <v>12</v>
      </c>
    </row>
    <row r="133" ht="12.75" customHeight="1">
      <c r="A133" s="1" t="s">
        <v>190</v>
      </c>
      <c r="B133" s="2" t="str">
        <f>HYPERLINK("https://wals.info/values/138A-luo","Words derived from Sinitic cha")</f>
        <v>Words derived from Sinitic cha</v>
      </c>
      <c r="C133" s="2" t="str">
        <f t="shared" si="1"/>
        <v>Tea</v>
      </c>
      <c r="D133" s="2" t="str">
        <f>HYPERLINK("https://wals.info/languoid/lect/wals_code_luo","Luo")</f>
        <v>Luo</v>
      </c>
      <c r="E133" s="1"/>
      <c r="F133" s="1"/>
      <c r="G133" s="1" t="s">
        <v>12</v>
      </c>
    </row>
    <row r="134" ht="12.75" customHeight="1">
      <c r="A134" s="1" t="s">
        <v>191</v>
      </c>
      <c r="B134" s="2" t="str">
        <f>HYPERLINK("https://wals.info/values/138A-lux","Words derived from Min Nan Chinese te")</f>
        <v>Words derived from Min Nan Chinese te</v>
      </c>
      <c r="C134" s="2" t="str">
        <f t="shared" si="1"/>
        <v>Tea</v>
      </c>
      <c r="D134" s="2" t="str">
        <f>HYPERLINK("https://wals.info/languoid/lect/wals_code_lux","Luxemburgeois")</f>
        <v>Luxemburgeois</v>
      </c>
      <c r="E134" s="1"/>
      <c r="F134" s="1"/>
      <c r="G134" s="1" t="s">
        <v>12</v>
      </c>
    </row>
    <row r="135" ht="12.75" customHeight="1">
      <c r="A135" s="1" t="s">
        <v>192</v>
      </c>
      <c r="B135" s="2" t="str">
        <f>HYPERLINK("https://wals.info/values/138A-mdr","Words derived from Min Nan Chinese te")</f>
        <v>Words derived from Min Nan Chinese te</v>
      </c>
      <c r="C135" s="2" t="str">
        <f t="shared" si="1"/>
        <v>Tea</v>
      </c>
      <c r="D135" s="2" t="str">
        <f>HYPERLINK("https://wals.info/languoid/lect/wals_code_mdr","Madurese")</f>
        <v>Madurese</v>
      </c>
      <c r="E135" s="1"/>
      <c r="F135" s="1"/>
      <c r="G135" s="1" t="s">
        <v>30</v>
      </c>
    </row>
    <row r="136" ht="12.75" customHeight="1">
      <c r="A136" s="1" t="s">
        <v>193</v>
      </c>
      <c r="B136" s="2" t="str">
        <f>HYPERLINK("https://wals.info/values/138A-mks","Words derived from Min Nan Chinese te")</f>
        <v>Words derived from Min Nan Chinese te</v>
      </c>
      <c r="C136" s="2" t="str">
        <f t="shared" si="1"/>
        <v>Tea</v>
      </c>
      <c r="D136" s="2" t="str">
        <f>HYPERLINK("https://wals.info/languoid/lect/wals_code_mks","Makassar")</f>
        <v>Makassar</v>
      </c>
      <c r="E136" s="1"/>
      <c r="F136" s="1"/>
      <c r="G136" s="1"/>
    </row>
    <row r="137" ht="12.75" customHeight="1">
      <c r="A137" s="1" t="s">
        <v>194</v>
      </c>
      <c r="B137" s="2" t="str">
        <f>HYPERLINK("https://wals.info/values/138A-mal","Words derived from Min Nan Chinese te")</f>
        <v>Words derived from Min Nan Chinese te</v>
      </c>
      <c r="C137" s="2" t="str">
        <f t="shared" si="1"/>
        <v>Tea</v>
      </c>
      <c r="D137" s="2" t="str">
        <f>HYPERLINK("https://wals.info/languoid/lect/wals_code_mal","Malagasy")</f>
        <v>Malagasy</v>
      </c>
      <c r="E137" s="1"/>
      <c r="F137" s="1"/>
      <c r="G137" s="1" t="s">
        <v>12</v>
      </c>
    </row>
    <row r="138" ht="12.75" customHeight="1">
      <c r="A138" s="1" t="s">
        <v>195</v>
      </c>
      <c r="B138" s="2" t="str">
        <f>HYPERLINK("https://wals.info/values/138A-mym","Words derived from Sinitic cha")</f>
        <v>Words derived from Sinitic cha</v>
      </c>
      <c r="C138" s="2" t="str">
        <f t="shared" si="1"/>
        <v>Tea</v>
      </c>
      <c r="D138" s="2" t="str">
        <f>HYPERLINK("https://wals.info/languoid/lect/wals_code_mym","Malayalam")</f>
        <v>Malayalam</v>
      </c>
      <c r="E138" s="1"/>
      <c r="F138" s="1"/>
      <c r="G138" s="1" t="s">
        <v>12</v>
      </c>
    </row>
    <row r="139" ht="12.75" customHeight="1">
      <c r="A139" s="1" t="s">
        <v>196</v>
      </c>
      <c r="B139" s="2" t="str">
        <f>HYPERLINK("https://wals.info/values/138A-mlt","Words derived from Min Nan Chinese te")</f>
        <v>Words derived from Min Nan Chinese te</v>
      </c>
      <c r="C139" s="2" t="str">
        <f t="shared" si="1"/>
        <v>Tea</v>
      </c>
      <c r="D139" s="2" t="str">
        <f>HYPERLINK("https://wals.info/languoid/lect/wals_code_mlt","Maltese")</f>
        <v>Maltese</v>
      </c>
      <c r="E139" s="1"/>
      <c r="F139" s="1"/>
      <c r="G139" s="1" t="s">
        <v>12</v>
      </c>
    </row>
    <row r="140" ht="12.75" customHeight="1">
      <c r="A140" s="1" t="s">
        <v>197</v>
      </c>
      <c r="B140" s="2" t="str">
        <f>HYPERLINK("https://wals.info/values/138A-mnd","Words derived from Sinitic cha")</f>
        <v>Words derived from Sinitic cha</v>
      </c>
      <c r="C140" s="2" t="str">
        <f t="shared" si="1"/>
        <v>Tea</v>
      </c>
      <c r="D140" s="2" t="str">
        <f>HYPERLINK("https://wals.info/languoid/lect/wals_code_mnd","Mandarin")</f>
        <v>Mandarin</v>
      </c>
      <c r="E140" s="1"/>
      <c r="F140" s="1"/>
      <c r="G140" s="1" t="s">
        <v>12</v>
      </c>
    </row>
    <row r="141" ht="12.75" customHeight="1">
      <c r="A141" s="1" t="s">
        <v>198</v>
      </c>
      <c r="B141" s="2" t="str">
        <f>HYPERLINK("https://wals.info/values/138A-mao","Words derived from Min Nan Chinese te")</f>
        <v>Words derived from Min Nan Chinese te</v>
      </c>
      <c r="C141" s="2" t="str">
        <f t="shared" si="1"/>
        <v>Tea</v>
      </c>
      <c r="D141" s="2" t="str">
        <f>HYPERLINK("https://wals.info/languoid/lect/wals_code_mao","Maori")</f>
        <v>Maori</v>
      </c>
      <c r="E141" s="1"/>
      <c r="F141" s="1"/>
      <c r="G141" s="1" t="s">
        <v>199</v>
      </c>
    </row>
    <row r="142" ht="12.75" customHeight="1">
      <c r="A142" s="1" t="s">
        <v>200</v>
      </c>
      <c r="B142" s="2" t="str">
        <f>HYPERLINK("https://wals.info/values/138A-mku","Others")</f>
        <v>Others</v>
      </c>
      <c r="C142" s="2" t="str">
        <f t="shared" si="1"/>
        <v>Tea</v>
      </c>
      <c r="D142" s="2" t="str">
        <f>HYPERLINK("https://wals.info/languoid/lect/wals_code_mku","Maranungku")</f>
        <v>Maranungku</v>
      </c>
      <c r="E142" s="1"/>
      <c r="F142" s="1"/>
      <c r="G142" s="1" t="s">
        <v>201</v>
      </c>
    </row>
    <row r="143" ht="12.75" customHeight="1">
      <c r="A143" s="1" t="s">
        <v>202</v>
      </c>
      <c r="B143" s="2" t="str">
        <f>HYPERLINK("https://wals.info/values/138A-mhi","Words derived from Sinitic cha")</f>
        <v>Words derived from Sinitic cha</v>
      </c>
      <c r="C143" s="2" t="str">
        <f t="shared" si="1"/>
        <v>Tea</v>
      </c>
      <c r="D143" s="2" t="str">
        <f>HYPERLINK("https://wals.info/languoid/lect/wals_code_mhi","Marathi")</f>
        <v>Marathi</v>
      </c>
      <c r="E143" s="1"/>
      <c r="F143" s="1"/>
      <c r="G143" s="1" t="s">
        <v>12</v>
      </c>
    </row>
    <row r="144" ht="12.75" customHeight="1">
      <c r="A144" s="1" t="s">
        <v>203</v>
      </c>
      <c r="B144" s="2" t="str">
        <f>HYPERLINK("https://wals.info/values/138A-mme","Words derived from Sinitic cha")</f>
        <v>Words derived from Sinitic cha</v>
      </c>
      <c r="C144" s="2" t="str">
        <f t="shared" si="1"/>
        <v>Tea</v>
      </c>
      <c r="D144" s="2" t="str">
        <f>HYPERLINK("https://wals.info/languoid/lect/wals_code_mme","Mari (Meadow)")</f>
        <v>Mari (Meadow)</v>
      </c>
      <c r="E144" s="1"/>
      <c r="F144" s="1"/>
      <c r="G144" s="1" t="s">
        <v>204</v>
      </c>
    </row>
    <row r="145" ht="12.75" customHeight="1">
      <c r="A145" s="1" t="s">
        <v>205</v>
      </c>
      <c r="B145" s="2" t="str">
        <f>HYPERLINK("https://wals.info/values/138A-msh","Words derived from Min Nan Chinese te")</f>
        <v>Words derived from Min Nan Chinese te</v>
      </c>
      <c r="C145" s="2" t="str">
        <f t="shared" si="1"/>
        <v>Tea</v>
      </c>
      <c r="D145" s="2" t="str">
        <f>HYPERLINK("https://wals.info/languoid/lect/wals_code_msh","Marshallese")</f>
        <v>Marshallese</v>
      </c>
      <c r="E145" s="1"/>
      <c r="F145" s="1"/>
      <c r="G145" s="1" t="s">
        <v>206</v>
      </c>
    </row>
    <row r="146" ht="12.75" customHeight="1">
      <c r="A146" s="1" t="s">
        <v>207</v>
      </c>
      <c r="B146" s="2" t="str">
        <f>HYPERLINK("https://wals.info/values/138A-mby","Words derived from Sinitic cha")</f>
        <v>Words derived from Sinitic cha</v>
      </c>
      <c r="C146" s="2" t="str">
        <f t="shared" si="1"/>
        <v>Tea</v>
      </c>
      <c r="D146" s="2" t="str">
        <f>HYPERLINK("https://wals.info/languoid/lect/wals_code_mby","Mbay")</f>
        <v>Mbay</v>
      </c>
      <c r="E146" s="1"/>
      <c r="F146" s="1"/>
      <c r="G146" s="1" t="s">
        <v>208</v>
      </c>
    </row>
    <row r="147" ht="12.75" customHeight="1">
      <c r="A147" s="1" t="s">
        <v>209</v>
      </c>
      <c r="B147" s="2" t="str">
        <f>HYPERLINK("https://wals.info/values/138A-mnt","Words derived from Min Nan Chinese te")</f>
        <v>Words derived from Min Nan Chinese te</v>
      </c>
      <c r="C147" s="2" t="str">
        <f t="shared" si="1"/>
        <v>Tea</v>
      </c>
      <c r="D147" s="2" t="str">
        <f>HYPERLINK("https://wals.info/languoid/lect/wals_code_mnt","Mentawai")</f>
        <v>Mentawai</v>
      </c>
      <c r="E147" s="1"/>
      <c r="F147" s="1"/>
      <c r="G147" s="1" t="s">
        <v>210</v>
      </c>
    </row>
    <row r="148" ht="12.75" customHeight="1">
      <c r="A148" s="1" t="s">
        <v>211</v>
      </c>
      <c r="B148" s="2" t="str">
        <f>HYPERLINK("https://wals.info/values/138A-min","Words derived from Min Nan Chinese te")</f>
        <v>Words derived from Min Nan Chinese te</v>
      </c>
      <c r="C148" s="2" t="str">
        <f t="shared" si="1"/>
        <v>Tea</v>
      </c>
      <c r="D148" s="2" t="str">
        <f>HYPERLINK("https://wals.info/languoid/lect/wals_code_min","Minangkabau")</f>
        <v>Minangkabau</v>
      </c>
      <c r="E148" s="1"/>
      <c r="F148" s="1"/>
      <c r="G148" s="1"/>
    </row>
    <row r="149" ht="12.75" customHeight="1">
      <c r="A149" s="1" t="s">
        <v>212</v>
      </c>
      <c r="B149" s="2" t="str">
        <f>HYPERLINK("https://wals.info/values/138A-mss","Words derived from Min Nan Chinese te")</f>
        <v>Words derived from Min Nan Chinese te</v>
      </c>
      <c r="C149" s="2" t="str">
        <f t="shared" si="1"/>
        <v>Tea</v>
      </c>
      <c r="D149" s="2" t="str">
        <f>HYPERLINK("https://wals.info/languoid/lect/wals_code_mss","Miwok (Southern Sierra)")</f>
        <v>Miwok (Southern Sierra)</v>
      </c>
      <c r="E149" s="1"/>
      <c r="F149" s="1"/>
      <c r="G149" s="1" t="s">
        <v>213</v>
      </c>
    </row>
    <row r="150" ht="12.75" customHeight="1">
      <c r="A150" s="1" t="s">
        <v>214</v>
      </c>
      <c r="B150" s="2" t="str">
        <f>HYPERLINK("https://wals.info/values/138A-mol","Words derived from Sinitic cha")</f>
        <v>Words derived from Sinitic cha</v>
      </c>
      <c r="C150" s="2" t="str">
        <f t="shared" si="1"/>
        <v>Tea</v>
      </c>
      <c r="D150" s="2" t="str">
        <f>HYPERLINK("https://wals.info/languoid/lect/wals_code_mol","Moldavian")</f>
        <v>Moldavian</v>
      </c>
      <c r="E150" s="1"/>
      <c r="F150" s="1"/>
      <c r="G150" s="1" t="s">
        <v>215</v>
      </c>
    </row>
    <row r="151" ht="12.75" customHeight="1">
      <c r="A151" s="1" t="s">
        <v>216</v>
      </c>
      <c r="B151" s="2" t="str">
        <f>HYPERLINK("https://wals.info/values/138A-moe","Words derived from Sinitic cha")</f>
        <v>Words derived from Sinitic cha</v>
      </c>
      <c r="C151" s="2" t="str">
        <f t="shared" si="1"/>
        <v>Tea</v>
      </c>
      <c r="D151" s="2" t="str">
        <f>HYPERLINK("https://wals.info/languoid/lect/wals_code_moe","Mordvin (Erzya)")</f>
        <v>Mordvin (Erzya)</v>
      </c>
      <c r="E151" s="1"/>
      <c r="F151" s="1"/>
      <c r="G151" s="1" t="s">
        <v>217</v>
      </c>
    </row>
    <row r="152" ht="12.75" customHeight="1">
      <c r="A152" s="1" t="s">
        <v>218</v>
      </c>
      <c r="B152" s="2" t="str">
        <f>HYPERLINK("https://wals.info/values/138A-nai","Words derived from Sinitic cha")</f>
        <v>Words derived from Sinitic cha</v>
      </c>
      <c r="C152" s="2" t="str">
        <f t="shared" si="1"/>
        <v>Tea</v>
      </c>
      <c r="D152" s="2" t="str">
        <f>HYPERLINK("https://wals.info/languoid/lect/wals_code_nai","Nanai")</f>
        <v>Nanai</v>
      </c>
      <c r="E152" s="1"/>
      <c r="F152" s="1"/>
      <c r="G152" s="1" t="s">
        <v>219</v>
      </c>
    </row>
    <row r="153" ht="12.75" customHeight="1">
      <c r="A153" s="1" t="s">
        <v>220</v>
      </c>
      <c r="B153" s="2" t="str">
        <f>HYPERLINK("https://wals.info/values/138A-nep","Words derived from Sinitic cha")</f>
        <v>Words derived from Sinitic cha</v>
      </c>
      <c r="C153" s="2" t="str">
        <f t="shared" si="1"/>
        <v>Tea</v>
      </c>
      <c r="D153" s="2" t="str">
        <f>HYPERLINK("https://wals.info/languoid/lect/wals_code_nep","Nepali")</f>
        <v>Nepali</v>
      </c>
      <c r="E153" s="1"/>
      <c r="F153" s="1"/>
      <c r="G153" s="1" t="s">
        <v>12</v>
      </c>
    </row>
    <row r="154" ht="12.75" customHeight="1">
      <c r="A154" s="1" t="s">
        <v>221</v>
      </c>
      <c r="B154" s="2" t="str">
        <f>HYPERLINK("https://wals.info/values/138A-new","Words derived from Sinitic cha")</f>
        <v>Words derived from Sinitic cha</v>
      </c>
      <c r="C154" s="2" t="str">
        <f t="shared" si="1"/>
        <v>Tea</v>
      </c>
      <c r="D154" s="2" t="str">
        <f>HYPERLINK("https://wals.info/languoid/lect/wals_code_new","Newari (Kathmandu)")</f>
        <v>Newari (Kathmandu)</v>
      </c>
      <c r="E154" s="1"/>
      <c r="F154" s="1"/>
      <c r="G154" s="1" t="s">
        <v>12</v>
      </c>
    </row>
    <row r="155" ht="12.75" customHeight="1">
      <c r="A155" s="1" t="s">
        <v>222</v>
      </c>
      <c r="B155" s="2" t="str">
        <f>HYPERLINK("https://wals.info/values/138A-nog","Words derived from Sinitic cha")</f>
        <v>Words derived from Sinitic cha</v>
      </c>
      <c r="C155" s="2" t="str">
        <f t="shared" si="1"/>
        <v>Tea</v>
      </c>
      <c r="D155" s="2" t="str">
        <f>HYPERLINK("https://wals.info/languoid/lect/wals_code_nog","Noghay")</f>
        <v>Noghay</v>
      </c>
      <c r="E155" s="1"/>
      <c r="F155" s="1"/>
      <c r="G155" s="1" t="s">
        <v>223</v>
      </c>
    </row>
    <row r="156" ht="12.75" customHeight="1">
      <c r="A156" s="1" t="s">
        <v>224</v>
      </c>
      <c r="B156" s="2" t="str">
        <f>HYPERLINK("https://wals.info/values/138A-nor","Words derived from Min Nan Chinese te")</f>
        <v>Words derived from Min Nan Chinese te</v>
      </c>
      <c r="C156" s="2" t="str">
        <f t="shared" si="1"/>
        <v>Tea</v>
      </c>
      <c r="D156" s="2" t="str">
        <f>HYPERLINK("https://wals.info/languoid/lect/wals_code_nor","Norwegian")</f>
        <v>Norwegian</v>
      </c>
      <c r="E156" s="1"/>
      <c r="F156" s="1"/>
      <c r="G156" s="1"/>
    </row>
    <row r="157" ht="12.75" customHeight="1">
      <c r="A157" s="1" t="s">
        <v>225</v>
      </c>
      <c r="B157" s="2" t="str">
        <f>HYPERLINK("https://wals.info/values/138A-nbd","Words derived from Sinitic cha")</f>
        <v>Words derived from Sinitic cha</v>
      </c>
      <c r="C157" s="2" t="str">
        <f t="shared" si="1"/>
        <v>Tea</v>
      </c>
      <c r="D157" s="2" t="str">
        <f>HYPERLINK("https://wals.info/languoid/lect/wals_code_nbd","Nubian (Dongolese)")</f>
        <v>Nubian (Dongolese)</v>
      </c>
      <c r="E157" s="1"/>
      <c r="F157" s="1"/>
      <c r="G157" s="1" t="s">
        <v>226</v>
      </c>
    </row>
    <row r="158" ht="12.75" customHeight="1">
      <c r="A158" s="1" t="s">
        <v>227</v>
      </c>
      <c r="B158" s="2" t="str">
        <f>HYPERLINK("https://wals.info/values/138A-nun","Words derived from Sinitic cha")</f>
        <v>Words derived from Sinitic cha</v>
      </c>
      <c r="C158" s="2" t="str">
        <f t="shared" si="1"/>
        <v>Tea</v>
      </c>
      <c r="D158" s="2" t="str">
        <f>HYPERLINK("https://wals.info/languoid/lect/wals_code_nun","Nung (in Vietnam)")</f>
        <v>Nung (in Vietnam)</v>
      </c>
      <c r="E158" s="1"/>
      <c r="F158" s="1"/>
      <c r="G158" s="1" t="s">
        <v>228</v>
      </c>
    </row>
    <row r="159" ht="12.75" customHeight="1">
      <c r="A159" s="1" t="s">
        <v>229</v>
      </c>
      <c r="B159" s="2" t="str">
        <f>HYPERLINK("https://wals.info/values/138A-nyl","Words derived from Min Nan Chinese te")</f>
        <v>Words derived from Min Nan Chinese te</v>
      </c>
      <c r="C159" s="2" t="str">
        <f t="shared" si="1"/>
        <v>Tea</v>
      </c>
      <c r="D159" s="2" t="str">
        <f>HYPERLINK("https://wals.info/languoid/lect/wals_code_nyl","Nyelâyu")</f>
        <v>Nyelâyu</v>
      </c>
      <c r="E159" s="1"/>
      <c r="F159" s="1"/>
      <c r="G159" s="1" t="s">
        <v>230</v>
      </c>
    </row>
    <row r="160" ht="12.75" customHeight="1">
      <c r="A160" s="1" t="s">
        <v>231</v>
      </c>
      <c r="B160" s="2" t="str">
        <f>HYPERLINK("https://wals.info/values/138A-occ","Words derived from Min Nan Chinese te")</f>
        <v>Words derived from Min Nan Chinese te</v>
      </c>
      <c r="C160" s="2" t="str">
        <f t="shared" si="1"/>
        <v>Tea</v>
      </c>
      <c r="D160" s="2" t="str">
        <f>HYPERLINK("https://wals.info/languoid/lect/wals_code_occ","Occitan")</f>
        <v>Occitan</v>
      </c>
      <c r="E160" s="1"/>
      <c r="F160" s="1"/>
      <c r="G160" s="1" t="s">
        <v>12</v>
      </c>
    </row>
    <row r="161" ht="12.75" customHeight="1">
      <c r="A161" s="1" t="s">
        <v>232</v>
      </c>
      <c r="B161" s="2" t="str">
        <f>HYPERLINK("https://wals.info/values/138A-ojm","Others")</f>
        <v>Others</v>
      </c>
      <c r="C161" s="2" t="str">
        <f t="shared" si="1"/>
        <v>Tea</v>
      </c>
      <c r="D161" s="2" t="str">
        <f>HYPERLINK("https://wals.info/languoid/lect/wals_code_ojm","Ojibwe (Minnesota)")</f>
        <v>Ojibwe (Minnesota)</v>
      </c>
      <c r="E161" s="1"/>
      <c r="F161" s="1"/>
      <c r="G161" s="1" t="s">
        <v>233</v>
      </c>
    </row>
    <row r="162" ht="12.75" customHeight="1">
      <c r="A162" s="1" t="s">
        <v>234</v>
      </c>
      <c r="B162" s="2" t="str">
        <f>HYPERLINK("https://wals.info/values/138A-oya","Words derived from Sinitic cha")</f>
        <v>Words derived from Sinitic cha</v>
      </c>
      <c r="C162" s="2" t="str">
        <f t="shared" si="1"/>
        <v>Tea</v>
      </c>
      <c r="D162" s="2" t="str">
        <f>HYPERLINK("https://wals.info/languoid/lect/wals_code_oya","Oriya")</f>
        <v>Oriya</v>
      </c>
      <c r="E162" s="1"/>
      <c r="F162" s="1"/>
      <c r="G162" s="1" t="s">
        <v>12</v>
      </c>
    </row>
    <row r="163" ht="12.75" customHeight="1">
      <c r="A163" s="1" t="s">
        <v>235</v>
      </c>
      <c r="B163" s="2" t="str">
        <f>HYPERLINK("https://wals.info/values/138A-orh","Words derived from Sinitic cha")</f>
        <v>Words derived from Sinitic cha</v>
      </c>
      <c r="C163" s="2" t="str">
        <f t="shared" si="1"/>
        <v>Tea</v>
      </c>
      <c r="D163" s="2" t="str">
        <f>HYPERLINK("https://wals.info/languoid/lect/wals_code_orh","Oromo (Harar)")</f>
        <v>Oromo (Harar)</v>
      </c>
      <c r="E163" s="1"/>
      <c r="F163" s="1"/>
      <c r="G163" s="1" t="s">
        <v>236</v>
      </c>
    </row>
    <row r="164" ht="12.75" customHeight="1">
      <c r="A164" s="1" t="s">
        <v>237</v>
      </c>
      <c r="B164" s="2" t="str">
        <f>HYPERLINK("https://wals.info/values/138A-owc","Words derived from Sinitic cha")</f>
        <v>Words derived from Sinitic cha</v>
      </c>
      <c r="C164" s="2" t="str">
        <f t="shared" si="1"/>
        <v>Tea</v>
      </c>
      <c r="D164" s="2" t="str">
        <f>HYPERLINK("https://wals.info/languoid/lect/wals_code_owc","Oromo (West-Central)")</f>
        <v>Oromo (West-Central)</v>
      </c>
      <c r="E164" s="1"/>
      <c r="F164" s="1"/>
      <c r="G164" s="1" t="s">
        <v>12</v>
      </c>
    </row>
    <row r="165" ht="12.75" customHeight="1">
      <c r="A165" s="1" t="s">
        <v>238</v>
      </c>
      <c r="B165" s="2" t="str">
        <f>HYPERLINK("https://wals.info/values/138A-oss","Words derived from Sinitic cha")</f>
        <v>Words derived from Sinitic cha</v>
      </c>
      <c r="C165" s="2" t="str">
        <f t="shared" si="1"/>
        <v>Tea</v>
      </c>
      <c r="D165" s="2" t="str">
        <f>HYPERLINK("https://wals.info/languoid/lect/wals_code_oss","Ossetic")</f>
        <v>Ossetic</v>
      </c>
      <c r="E165" s="1"/>
      <c r="F165" s="1"/>
      <c r="G165" s="1" t="s">
        <v>12</v>
      </c>
    </row>
    <row r="166" ht="12.75" customHeight="1">
      <c r="A166" s="1" t="s">
        <v>239</v>
      </c>
      <c r="B166" s="2" t="str">
        <f>HYPERLINK("https://wals.info/values/138A-pak","Others")</f>
        <v>Others</v>
      </c>
      <c r="C166" s="2" t="str">
        <f t="shared" si="1"/>
        <v>Tea</v>
      </c>
      <c r="D166" s="2" t="str">
        <f>HYPERLINK("https://wals.info/languoid/lect/wals_code_pak","Pakanha")</f>
        <v>Pakanha</v>
      </c>
      <c r="E166" s="1"/>
      <c r="F166" s="1"/>
      <c r="G166" s="1" t="s">
        <v>175</v>
      </c>
    </row>
    <row r="167" ht="12.75" customHeight="1">
      <c r="A167" s="1" t="s">
        <v>240</v>
      </c>
      <c r="B167" s="2" t="str">
        <f>HYPERLINK("https://wals.info/values/138A-pan","Words derived from Sinitic cha")</f>
        <v>Words derived from Sinitic cha</v>
      </c>
      <c r="C167" s="2" t="str">
        <f t="shared" si="1"/>
        <v>Tea</v>
      </c>
      <c r="D167" s="2" t="str">
        <f>HYPERLINK("https://wals.info/languoid/lect/wals_code_pan","Panjabi")</f>
        <v>Panjabi</v>
      </c>
      <c r="E167" s="1"/>
      <c r="F167" s="1"/>
      <c r="G167" s="1" t="s">
        <v>12</v>
      </c>
    </row>
    <row r="168" ht="12.75" customHeight="1">
      <c r="A168" s="1" t="s">
        <v>241</v>
      </c>
      <c r="B168" s="2" t="str">
        <f>HYPERLINK("https://wals.info/values/138A-psh","Words derived from Sinitic cha")</f>
        <v>Words derived from Sinitic cha</v>
      </c>
      <c r="C168" s="2" t="str">
        <f t="shared" si="1"/>
        <v>Tea</v>
      </c>
      <c r="D168" s="2" t="str">
        <f>HYPERLINK("https://wals.info/languoid/lect/wals_code_psh","Pashto")</f>
        <v>Pashto</v>
      </c>
      <c r="E168" s="1"/>
      <c r="F168" s="1"/>
      <c r="G168" s="1" t="s">
        <v>12</v>
      </c>
    </row>
    <row r="169" ht="12.75" customHeight="1">
      <c r="A169" s="1" t="s">
        <v>242</v>
      </c>
      <c r="B169" s="2" t="str">
        <f>HYPERLINK("https://wals.info/values/138A-psm","Others")</f>
        <v>Others</v>
      </c>
      <c r="C169" s="2" t="str">
        <f t="shared" si="1"/>
        <v>Tea</v>
      </c>
      <c r="D169" s="2" t="str">
        <f>HYPERLINK("https://wals.info/languoid/lect/wals_code_psm","Passamaquoddy-Maliseet")</f>
        <v>Passamaquoddy-Maliseet</v>
      </c>
      <c r="E169" s="1"/>
      <c r="F169" s="1"/>
      <c r="G169" s="1" t="s">
        <v>243</v>
      </c>
    </row>
    <row r="170" ht="12.75" customHeight="1">
      <c r="A170" s="1" t="s">
        <v>244</v>
      </c>
      <c r="B170" s="2" t="str">
        <f>HYPERLINK("https://wals.info/values/138A-prs","Words derived from Sinitic cha")</f>
        <v>Words derived from Sinitic cha</v>
      </c>
      <c r="C170" s="2" t="str">
        <f t="shared" si="1"/>
        <v>Tea</v>
      </c>
      <c r="D170" s="2" t="str">
        <f>HYPERLINK("https://wals.info/languoid/lect/wals_code_prs","Persian")</f>
        <v>Persian</v>
      </c>
      <c r="E170" s="1"/>
      <c r="F170" s="1"/>
      <c r="G170" s="1" t="s">
        <v>12</v>
      </c>
    </row>
    <row r="171" ht="12.75" customHeight="1">
      <c r="A171" s="1" t="s">
        <v>245</v>
      </c>
      <c r="B171" s="2" t="str">
        <f>HYPERLINK("https://wals.info/values/138A-poh","Words derived from Min Nan Chinese te")</f>
        <v>Words derived from Min Nan Chinese te</v>
      </c>
      <c r="C171" s="2" t="str">
        <f t="shared" si="1"/>
        <v>Tea</v>
      </c>
      <c r="D171" s="2" t="str">
        <f>HYPERLINK("https://wals.info/languoid/lect/wals_code_poh","Pohnpeian")</f>
        <v>Pohnpeian</v>
      </c>
      <c r="E171" s="1"/>
      <c r="F171" s="1"/>
      <c r="G171" s="1" t="s">
        <v>246</v>
      </c>
    </row>
    <row r="172" ht="12.75" customHeight="1">
      <c r="A172" s="1" t="s">
        <v>247</v>
      </c>
      <c r="B172" s="2" t="str">
        <f>HYPERLINK("https://wals.info/values/138A-pol","Others")</f>
        <v>Others</v>
      </c>
      <c r="C172" s="2" t="str">
        <f t="shared" si="1"/>
        <v>Tea</v>
      </c>
      <c r="D172" s="2" t="str">
        <f>HYPERLINK("https://wals.info/languoid/lect/wals_code_pol","Polish")</f>
        <v>Polish</v>
      </c>
      <c r="E172" s="1"/>
      <c r="F172" s="1"/>
      <c r="G172" s="1"/>
    </row>
    <row r="173" ht="12.75" customHeight="1">
      <c r="A173" s="1" t="s">
        <v>248</v>
      </c>
      <c r="B173" s="2" t="str">
        <f>HYPERLINK("https://wals.info/values/138A-por","Words derived from Sinitic cha")</f>
        <v>Words derived from Sinitic cha</v>
      </c>
      <c r="C173" s="2" t="str">
        <f t="shared" si="1"/>
        <v>Tea</v>
      </c>
      <c r="D173" s="2" t="str">
        <f>HYPERLINK("https://wals.info/languoid/lect/wals_code_por","Portuguese")</f>
        <v>Portuguese</v>
      </c>
      <c r="E173" s="1"/>
      <c r="F173" s="1"/>
      <c r="G173" s="1" t="s">
        <v>12</v>
      </c>
    </row>
    <row r="174" ht="12.75" customHeight="1">
      <c r="A174" s="1" t="s">
        <v>249</v>
      </c>
      <c r="B174" s="2" t="str">
        <f>HYPERLINK("https://wals.info/values/138A-pro","Words derived from Min Nan Chinese te")</f>
        <v>Words derived from Min Nan Chinese te</v>
      </c>
      <c r="C174" s="2" t="str">
        <f t="shared" si="1"/>
        <v>Tea</v>
      </c>
      <c r="D174" s="2" t="str">
        <f>HYPERLINK("https://wals.info/languoid/lect/wals_code_pro","Provençal")</f>
        <v>Provençal</v>
      </c>
      <c r="E174" s="1"/>
      <c r="F174" s="1"/>
      <c r="G174" s="1" t="s">
        <v>12</v>
      </c>
    </row>
    <row r="175" ht="12.75" customHeight="1">
      <c r="A175" s="1" t="s">
        <v>250</v>
      </c>
      <c r="B175" s="2" t="str">
        <f>HYPERLINK("https://wals.info/values/138A-qaf","Words derived from Sinitic cha")</f>
        <v>Words derived from Sinitic cha</v>
      </c>
      <c r="C175" s="2" t="str">
        <f t="shared" si="1"/>
        <v>Tea</v>
      </c>
      <c r="D175" s="2" t="str">
        <f>HYPERLINK("https://wals.info/languoid/lect/wals_code_qaf","Qafar")</f>
        <v>Qafar</v>
      </c>
      <c r="E175" s="1"/>
      <c r="F175" s="1"/>
      <c r="G175" s="1" t="s">
        <v>12</v>
      </c>
    </row>
    <row r="176" ht="12.75" customHeight="1">
      <c r="A176" s="1" t="s">
        <v>251</v>
      </c>
      <c r="B176" s="2" t="str">
        <f>HYPERLINK("https://wals.info/values/138A-qay","Words derived from Min Nan Chinese te")</f>
        <v>Words derived from Min Nan Chinese te</v>
      </c>
      <c r="C176" s="2" t="str">
        <f t="shared" si="1"/>
        <v>Tea</v>
      </c>
      <c r="D176" s="2" t="str">
        <f>HYPERLINK("https://wals.info/languoid/lect/wals_code_qay","Quechua (Ayacucho)")</f>
        <v>Quechua (Ayacucho)</v>
      </c>
      <c r="E176" s="1"/>
      <c r="F176" s="1"/>
      <c r="G176" s="1" t="s">
        <v>252</v>
      </c>
    </row>
    <row r="177" ht="12.75" customHeight="1">
      <c r="A177" s="1" t="s">
        <v>253</v>
      </c>
      <c r="B177" s="2" t="str">
        <f>HYPERLINK("https://wals.info/values/138A-ren","Others")</f>
        <v>Others</v>
      </c>
      <c r="C177" s="2" t="str">
        <f t="shared" si="1"/>
        <v>Tea</v>
      </c>
      <c r="D177" s="2" t="str">
        <f>HYPERLINK("https://wals.info/languoid/lect/wals_code_ren","Rendille")</f>
        <v>Rendille</v>
      </c>
      <c r="E177" s="1"/>
      <c r="F177" s="1"/>
      <c r="G177" s="1" t="s">
        <v>254</v>
      </c>
    </row>
    <row r="178" ht="12.75" customHeight="1">
      <c r="A178" s="1" t="s">
        <v>255</v>
      </c>
      <c r="B178" s="2" t="str">
        <f>HYPERLINK("https://wals.info/values/138A-rbg","Words derived from Min Nan Chinese te")</f>
        <v>Words derived from Min Nan Chinese te</v>
      </c>
      <c r="C178" s="2" t="str">
        <f t="shared" si="1"/>
        <v>Tea</v>
      </c>
      <c r="D178" s="2" t="str">
        <f>HYPERLINK("https://wals.info/languoid/lect/wals_code_rbg","Romani (Burgenland)")</f>
        <v>Romani (Burgenland)</v>
      </c>
      <c r="E178" s="1"/>
      <c r="F178" s="1"/>
      <c r="G178" s="1" t="s">
        <v>256</v>
      </c>
    </row>
    <row r="179" ht="12.75" customHeight="1">
      <c r="A179" s="1" t="s">
        <v>257</v>
      </c>
      <c r="B179" s="2" t="str">
        <f>HYPERLINK("https://wals.info/values/138A-rka","Others")</f>
        <v>Others</v>
      </c>
      <c r="C179" s="2" t="str">
        <f t="shared" si="1"/>
        <v>Tea</v>
      </c>
      <c r="D179" s="2" t="str">
        <f>HYPERLINK("https://wals.info/languoid/lect/wals_code_rka","Romani (Kalderash)")</f>
        <v>Romani (Kalderash)</v>
      </c>
      <c r="E179" s="1"/>
      <c r="F179" s="1"/>
      <c r="G179" s="1" t="s">
        <v>256</v>
      </c>
    </row>
    <row r="180" ht="12.75" customHeight="1">
      <c r="A180" s="1" t="s">
        <v>258</v>
      </c>
      <c r="B180" s="2" t="str">
        <f>HYPERLINK("https://wals.info/values/138A-rlo","Words derived from Min Nan Chinese te")</f>
        <v>Words derived from Min Nan Chinese te</v>
      </c>
      <c r="C180" s="2" t="str">
        <f t="shared" si="1"/>
        <v>Tea</v>
      </c>
      <c r="D180" s="2" t="str">
        <f>HYPERLINK("https://wals.info/languoid/lect/wals_code_rlo","Romani (Lovari)")</f>
        <v>Romani (Lovari)</v>
      </c>
      <c r="E180" s="1"/>
      <c r="F180" s="1"/>
      <c r="G180" s="1" t="s">
        <v>256</v>
      </c>
    </row>
    <row r="181" ht="12.75" customHeight="1">
      <c r="A181" s="1" t="s">
        <v>259</v>
      </c>
      <c r="B181" s="2" t="str">
        <f>HYPERLINK("https://wals.info/values/138A-rse","Words derived from Sinitic cha")</f>
        <v>Words derived from Sinitic cha</v>
      </c>
      <c r="C181" s="2" t="str">
        <f t="shared" si="1"/>
        <v>Tea</v>
      </c>
      <c r="D181" s="2" t="str">
        <f>HYPERLINK("https://wals.info/languoid/lect/wals_code_rse","Romani (Sepecides)")</f>
        <v>Romani (Sepecides)</v>
      </c>
      <c r="E181" s="1"/>
      <c r="F181" s="1"/>
      <c r="G181" s="1" t="s">
        <v>256</v>
      </c>
    </row>
    <row r="182" ht="12.75" customHeight="1">
      <c r="A182" s="1" t="s">
        <v>260</v>
      </c>
      <c r="B182" s="2" t="str">
        <f>HYPERLINK("https://wals.info/values/138A-rmc","Words derived from Min Nan Chinese te")</f>
        <v>Words derived from Min Nan Chinese te</v>
      </c>
      <c r="C182" s="2" t="str">
        <f t="shared" si="1"/>
        <v>Tea</v>
      </c>
      <c r="D182" s="2" t="str">
        <f>HYPERLINK("https://wals.info/languoid/lect/wals_code_rmc","Romansch")</f>
        <v>Romansch</v>
      </c>
      <c r="E182" s="1"/>
      <c r="F182" s="1"/>
      <c r="G182" s="1" t="s">
        <v>12</v>
      </c>
    </row>
    <row r="183" ht="12.75" customHeight="1">
      <c r="A183" s="1" t="s">
        <v>261</v>
      </c>
      <c r="B183" s="2" t="str">
        <f>HYPERLINK("https://wals.info/values/138A-rus","Words derived from Sinitic cha")</f>
        <v>Words derived from Sinitic cha</v>
      </c>
      <c r="C183" s="2" t="str">
        <f t="shared" si="1"/>
        <v>Tea</v>
      </c>
      <c r="D183" s="2" t="str">
        <f>HYPERLINK("https://wals.info/languoid/lect/wals_code_rus","Russian")</f>
        <v>Russian</v>
      </c>
      <c r="E183" s="1"/>
      <c r="F183" s="1"/>
      <c r="G183" s="1"/>
    </row>
    <row r="184" ht="12.75" customHeight="1">
      <c r="A184" s="1" t="s">
        <v>262</v>
      </c>
      <c r="B184" s="2" t="str">
        <f>HYPERLINK("https://wals.info/values/138A-sno","Words derived from Min Nan Chinese te")</f>
        <v>Words derived from Min Nan Chinese te</v>
      </c>
      <c r="C184" s="2" t="str">
        <f t="shared" si="1"/>
        <v>Tea</v>
      </c>
      <c r="D184" s="2" t="str">
        <f>HYPERLINK("https://wals.info/languoid/lect/wals_code_sno","Saami (Northern)")</f>
        <v>Saami (Northern)</v>
      </c>
      <c r="E184" s="1"/>
      <c r="F184" s="1"/>
      <c r="G184" s="1" t="s">
        <v>12</v>
      </c>
    </row>
    <row r="185" ht="12.75" customHeight="1">
      <c r="A185" s="1" t="s">
        <v>263</v>
      </c>
      <c r="B185" s="2" t="str">
        <f>HYPERLINK("https://wals.info/values/138A-san","Words derived from Sinitic cha")</f>
        <v>Words derived from Sinitic cha</v>
      </c>
      <c r="C185" s="2" t="str">
        <f t="shared" si="1"/>
        <v>Tea</v>
      </c>
      <c r="D185" s="2" t="str">
        <f>HYPERLINK("https://wals.info/languoid/lect/wals_code_san","Sango")</f>
        <v>Sango</v>
      </c>
      <c r="E185" s="1"/>
      <c r="F185" s="1"/>
      <c r="G185" s="1" t="s">
        <v>12</v>
      </c>
    </row>
    <row r="186" ht="12.75" customHeight="1">
      <c r="A186" s="1" t="s">
        <v>264</v>
      </c>
      <c r="B186" s="2" t="str">
        <f>HYPERLINK("https://wals.info/values/138A-scr","Words derived from Sinitic cha")</f>
        <v>Words derived from Sinitic cha</v>
      </c>
      <c r="C186" s="2" t="str">
        <f t="shared" si="1"/>
        <v>Tea</v>
      </c>
      <c r="D186" s="2" t="str">
        <f>HYPERLINK("https://wals.info/languoid/lect/wals_code_scr","Serbian-Croatian")</f>
        <v>Serbian-Croatian</v>
      </c>
      <c r="E186" s="1"/>
      <c r="F186" s="1"/>
      <c r="G186" s="1" t="s">
        <v>12</v>
      </c>
    </row>
    <row r="187" ht="12.75" customHeight="1">
      <c r="A187" s="1" t="s">
        <v>265</v>
      </c>
      <c r="B187" s="2" t="str">
        <f>HYPERLINK("https://wals.info/values/138A-ses","Words derived from Min Nan Chinese te")</f>
        <v>Words derived from Min Nan Chinese te</v>
      </c>
      <c r="C187" s="2" t="str">
        <f t="shared" si="1"/>
        <v>Tea</v>
      </c>
      <c r="D187" s="2" t="str">
        <f>HYPERLINK("https://wals.info/languoid/lect/wals_code_ses","Sesotho")</f>
        <v>Sesotho</v>
      </c>
      <c r="E187" s="1"/>
      <c r="F187" s="1"/>
      <c r="G187" s="1" t="s">
        <v>12</v>
      </c>
    </row>
    <row r="188" ht="12.75" customHeight="1">
      <c r="A188" s="1" t="s">
        <v>266</v>
      </c>
      <c r="B188" s="2" t="str">
        <f>HYPERLINK("https://wals.info/values/138A-ssh","Words derived from Sinitic cha")</f>
        <v>Words derived from Sinitic cha</v>
      </c>
      <c r="C188" s="2" t="str">
        <f t="shared" si="1"/>
        <v>Tea</v>
      </c>
      <c r="D188" s="2" t="str">
        <f>HYPERLINK("https://wals.info/languoid/lect/wals_code_ssh","Shinassha")</f>
        <v>Shinassha</v>
      </c>
      <c r="E188" s="1"/>
      <c r="F188" s="1"/>
      <c r="G188" s="1" t="s">
        <v>267</v>
      </c>
    </row>
    <row r="189" ht="12.75" customHeight="1">
      <c r="A189" s="1" t="s">
        <v>268</v>
      </c>
      <c r="B189" s="2" t="str">
        <f>HYPERLINK("https://wals.info/values/138A-sdh","Words derived from Sinitic cha")</f>
        <v>Words derived from Sinitic cha</v>
      </c>
      <c r="C189" s="2" t="str">
        <f t="shared" si="1"/>
        <v>Tea</v>
      </c>
      <c r="D189" s="2" t="str">
        <f>HYPERLINK("https://wals.info/languoid/lect/wals_code_sdh","Sindhi")</f>
        <v>Sindhi</v>
      </c>
      <c r="E189" s="1"/>
      <c r="F189" s="1"/>
      <c r="G189" s="1" t="s">
        <v>12</v>
      </c>
    </row>
    <row r="190" ht="12.75" customHeight="1">
      <c r="A190" s="1" t="s">
        <v>269</v>
      </c>
      <c r="B190" s="2" t="str">
        <f>HYPERLINK("https://wals.info/values/138A-snh","Words derived from Min Nan Chinese te")</f>
        <v>Words derived from Min Nan Chinese te</v>
      </c>
      <c r="C190" s="2" t="str">
        <f t="shared" si="1"/>
        <v>Tea</v>
      </c>
      <c r="D190" s="2" t="str">
        <f>HYPERLINK("https://wals.info/languoid/lect/wals_code_snh","Sinhala")</f>
        <v>Sinhala</v>
      </c>
      <c r="E190" s="1"/>
      <c r="F190" s="1"/>
      <c r="G190" s="1" t="s">
        <v>12</v>
      </c>
    </row>
    <row r="191" ht="12.75" customHeight="1">
      <c r="A191" s="1" t="s">
        <v>270</v>
      </c>
      <c r="B191" s="2" t="str">
        <f>HYPERLINK("https://wals.info/values/138A-svk","Words derived from Sinitic cha")</f>
        <v>Words derived from Sinitic cha</v>
      </c>
      <c r="C191" s="2" t="str">
        <f t="shared" si="1"/>
        <v>Tea</v>
      </c>
      <c r="D191" s="2" t="str">
        <f>HYPERLINK("https://wals.info/languoid/lect/wals_code_svk","Slovak")</f>
        <v>Slovak</v>
      </c>
      <c r="E191" s="1"/>
      <c r="F191" s="1"/>
      <c r="G191" s="1" t="s">
        <v>12</v>
      </c>
    </row>
    <row r="192" ht="12.75" customHeight="1">
      <c r="A192" s="1" t="s">
        <v>271</v>
      </c>
      <c r="B192" s="2" t="str">
        <f>HYPERLINK("https://wals.info/values/138A-slo","Words derived from Sinitic cha")</f>
        <v>Words derived from Sinitic cha</v>
      </c>
      <c r="C192" s="2" t="str">
        <f t="shared" si="1"/>
        <v>Tea</v>
      </c>
      <c r="D192" s="2" t="str">
        <f>HYPERLINK("https://wals.info/languoid/lect/wals_code_slo","Slovene")</f>
        <v>Slovene</v>
      </c>
      <c r="E192" s="1"/>
      <c r="F192" s="1"/>
      <c r="G192" s="1" t="s">
        <v>12</v>
      </c>
    </row>
    <row r="193" ht="12.75" customHeight="1">
      <c r="A193" s="1" t="s">
        <v>272</v>
      </c>
      <c r="B193" s="2" t="str">
        <f>HYPERLINK("https://wals.info/values/138A-som","Words derived from Sinitic cha")</f>
        <v>Words derived from Sinitic cha</v>
      </c>
      <c r="C193" s="2" t="str">
        <f t="shared" si="1"/>
        <v>Tea</v>
      </c>
      <c r="D193" s="2" t="str">
        <f>HYPERLINK("https://wals.info/languoid/lect/wals_code_som","Somali")</f>
        <v>Somali</v>
      </c>
      <c r="E193" s="1"/>
      <c r="F193" s="1"/>
      <c r="G193" s="1" t="s">
        <v>12</v>
      </c>
    </row>
    <row r="194" ht="12.75" customHeight="1">
      <c r="A194" s="1" t="s">
        <v>273</v>
      </c>
      <c r="B194" s="2" t="str">
        <f>HYPERLINK("https://wals.info/values/138A-snn","Others")</f>
        <v>Others</v>
      </c>
      <c r="C194" s="2" t="str">
        <f t="shared" si="1"/>
        <v>Tea</v>
      </c>
      <c r="D194" s="2" t="str">
        <f>HYPERLINK("https://wals.info/languoid/lect/wals_code_snn","Soninke")</f>
        <v>Soninke</v>
      </c>
      <c r="E194" s="1"/>
      <c r="F194" s="1"/>
      <c r="G194" s="1" t="s">
        <v>12</v>
      </c>
    </row>
    <row r="195" ht="12.75" customHeight="1">
      <c r="A195" s="1" t="s">
        <v>274</v>
      </c>
      <c r="B195" s="2" t="str">
        <f>HYPERLINK("https://wals.info/values/138A-spa","Words derived from Min Nan Chinese te")</f>
        <v>Words derived from Min Nan Chinese te</v>
      </c>
      <c r="C195" s="2" t="str">
        <f t="shared" si="1"/>
        <v>Tea</v>
      </c>
      <c r="D195" s="2" t="str">
        <f>HYPERLINK("https://wals.info/languoid/lect/wals_code_spa","Spanish")</f>
        <v>Spanish</v>
      </c>
      <c r="E195" s="1"/>
      <c r="F195" s="1"/>
      <c r="G195" s="1"/>
    </row>
    <row r="196" ht="12.75" customHeight="1">
      <c r="A196" s="1" t="s">
        <v>275</v>
      </c>
      <c r="B196" s="2" t="str">
        <f>HYPERLINK("https://wals.info/values/138A-sra","Words derived from Min Nan Chinese te")</f>
        <v>Words derived from Min Nan Chinese te</v>
      </c>
      <c r="C196" s="2" t="str">
        <f t="shared" si="1"/>
        <v>Tea</v>
      </c>
      <c r="D196" s="2" t="str">
        <f>HYPERLINK("https://wals.info/languoid/lect/wals_code_sra","Sranan")</f>
        <v>Sranan</v>
      </c>
      <c r="E196" s="1"/>
      <c r="F196" s="1"/>
      <c r="G196" s="1" t="s">
        <v>12</v>
      </c>
    </row>
    <row r="197" ht="12.75" customHeight="1">
      <c r="A197" s="1" t="s">
        <v>276</v>
      </c>
      <c r="B197" s="2" t="str">
        <f>HYPERLINK("https://wals.info/values/138A-sun","Words derived from Min Nan Chinese te")</f>
        <v>Words derived from Min Nan Chinese te</v>
      </c>
      <c r="C197" s="2" t="str">
        <f t="shared" si="1"/>
        <v>Tea</v>
      </c>
      <c r="D197" s="2" t="str">
        <f>HYPERLINK("https://wals.info/languoid/lect/wals_code_sun","Sundanese")</f>
        <v>Sundanese</v>
      </c>
      <c r="E197" s="1"/>
      <c r="F197" s="1"/>
      <c r="G197" s="1" t="s">
        <v>30</v>
      </c>
    </row>
    <row r="198" ht="12.75" customHeight="1">
      <c r="A198" s="1" t="s">
        <v>277</v>
      </c>
      <c r="B198" s="2" t="str">
        <f>HYPERLINK("https://wals.info/values/138A-swa","Words derived from Sinitic cha")</f>
        <v>Words derived from Sinitic cha</v>
      </c>
      <c r="C198" s="2" t="str">
        <f t="shared" si="1"/>
        <v>Tea</v>
      </c>
      <c r="D198" s="2" t="str">
        <f>HYPERLINK("https://wals.info/languoid/lect/wals_code_swa","Swahili")</f>
        <v>Swahili</v>
      </c>
      <c r="E198" s="1"/>
      <c r="F198" s="1"/>
      <c r="G198" s="1" t="s">
        <v>12</v>
      </c>
    </row>
    <row r="199" ht="12.75" customHeight="1">
      <c r="A199" s="1" t="s">
        <v>278</v>
      </c>
      <c r="B199" s="2" t="str">
        <f>HYPERLINK("https://wals.info/values/138A-swe","Words derived from Min Nan Chinese te")</f>
        <v>Words derived from Min Nan Chinese te</v>
      </c>
      <c r="C199" s="2" t="str">
        <f t="shared" si="1"/>
        <v>Tea</v>
      </c>
      <c r="D199" s="2" t="str">
        <f>HYPERLINK("https://wals.info/languoid/lect/wals_code_swe","Swedish")</f>
        <v>Swedish</v>
      </c>
      <c r="E199" s="1"/>
      <c r="F199" s="1"/>
      <c r="G199" s="1"/>
    </row>
    <row r="200" ht="12.75" customHeight="1">
      <c r="A200" s="1" t="s">
        <v>279</v>
      </c>
      <c r="B200" s="2" t="str">
        <f>HYPERLINK("https://wals.info/values/138A-tag","Words derived from Sinitic cha")</f>
        <v>Words derived from Sinitic cha</v>
      </c>
      <c r="C200" s="2" t="str">
        <f t="shared" si="1"/>
        <v>Tea</v>
      </c>
      <c r="D200" s="2" t="str">
        <f>HYPERLINK("https://wals.info/languoid/lect/wals_code_tag","Tagalog")</f>
        <v>Tagalog</v>
      </c>
      <c r="E200" s="1"/>
      <c r="F200" s="1"/>
      <c r="G200" s="1" t="s">
        <v>12</v>
      </c>
    </row>
    <row r="201" ht="12.75" customHeight="1">
      <c r="A201" s="1" t="s">
        <v>280</v>
      </c>
      <c r="B201" s="2" t="str">
        <f>HYPERLINK("https://wals.info/values/138A-tah","Words derived from Min Nan Chinese te")</f>
        <v>Words derived from Min Nan Chinese te</v>
      </c>
      <c r="C201" s="2" t="str">
        <f t="shared" si="1"/>
        <v>Tea</v>
      </c>
      <c r="D201" s="2" t="str">
        <f>HYPERLINK("https://wals.info/languoid/lect/wals_code_tah","Tahitian")</f>
        <v>Tahitian</v>
      </c>
      <c r="E201" s="1"/>
      <c r="F201" s="1"/>
      <c r="G201" s="1" t="s">
        <v>12</v>
      </c>
    </row>
    <row r="202" ht="12.75" customHeight="1">
      <c r="A202" s="1" t="s">
        <v>281</v>
      </c>
      <c r="B202" s="2" t="str">
        <f>HYPERLINK("https://wals.info/values/138A-taq","Words derived from Min Nan Chinese te")</f>
        <v>Words derived from Min Nan Chinese te</v>
      </c>
      <c r="C202" s="2" t="str">
        <f t="shared" si="1"/>
        <v>Tea</v>
      </c>
      <c r="D202" s="2" t="str">
        <f>HYPERLINK("https://wals.info/languoid/lect/wals_code_taq","Taiwanese")</f>
        <v>Taiwanese</v>
      </c>
      <c r="E202" s="1"/>
      <c r="F202" s="1"/>
      <c r="G202" s="1"/>
    </row>
    <row r="203" ht="12.75" customHeight="1">
      <c r="A203" s="1" t="s">
        <v>282</v>
      </c>
      <c r="B203" s="2" t="str">
        <f>HYPERLINK("https://wals.info/values/138A-taj","Words derived from Sinitic cha")</f>
        <v>Words derived from Sinitic cha</v>
      </c>
      <c r="C203" s="2" t="str">
        <f t="shared" si="1"/>
        <v>Tea</v>
      </c>
      <c r="D203" s="2" t="str">
        <f>HYPERLINK("https://wals.info/languoid/lect/wals_code_taj","Tajik")</f>
        <v>Tajik</v>
      </c>
      <c r="E203" s="1"/>
      <c r="F203" s="1"/>
      <c r="G203" s="1" t="s">
        <v>12</v>
      </c>
    </row>
    <row r="204" ht="12.75" customHeight="1">
      <c r="A204" s="1" t="s">
        <v>283</v>
      </c>
      <c r="B204" s="2" t="str">
        <f>HYPERLINK("https://wals.info/values/138A-tvo","Words derived from Sinitic cha")</f>
        <v>Words derived from Sinitic cha</v>
      </c>
      <c r="C204" s="2" t="str">
        <f t="shared" si="1"/>
        <v>Tea</v>
      </c>
      <c r="D204" s="2" t="str">
        <f>HYPERLINK("https://wals.info/languoid/lect/wals_code_tvo","Tatar")</f>
        <v>Tatar</v>
      </c>
      <c r="E204" s="1"/>
      <c r="F204" s="1"/>
      <c r="G204" s="1" t="s">
        <v>284</v>
      </c>
    </row>
    <row r="205" ht="12.75" customHeight="1">
      <c r="A205" s="1" t="s">
        <v>285</v>
      </c>
      <c r="B205" s="2" t="str">
        <f>HYPERLINK("https://wals.info/values/138A-tel","Words derived from Min Nan Chinese te")</f>
        <v>Words derived from Min Nan Chinese te</v>
      </c>
      <c r="C205" s="2" t="str">
        <f t="shared" si="1"/>
        <v>Tea</v>
      </c>
      <c r="D205" s="2" t="str">
        <f>HYPERLINK("https://wals.info/languoid/lect/wals_code_tel","Telugu")</f>
        <v>Telugu</v>
      </c>
      <c r="E205" s="1"/>
      <c r="F205" s="1"/>
      <c r="G205" s="1" t="s">
        <v>12</v>
      </c>
    </row>
    <row r="206" ht="12.75" customHeight="1">
      <c r="A206" s="1" t="s">
        <v>286</v>
      </c>
      <c r="B206" s="2" t="str">
        <f>HYPERLINK("https://wals.info/values/138A-tha","Words derived from Sinitic cha")</f>
        <v>Words derived from Sinitic cha</v>
      </c>
      <c r="C206" s="2" t="str">
        <f t="shared" si="1"/>
        <v>Tea</v>
      </c>
      <c r="D206" s="2" t="str">
        <f>HYPERLINK("https://wals.info/languoid/lect/wals_code_tha","Thai")</f>
        <v>Thai</v>
      </c>
      <c r="E206" s="1"/>
      <c r="F206" s="1"/>
      <c r="G206" s="1" t="s">
        <v>12</v>
      </c>
    </row>
    <row r="207" ht="12.75" customHeight="1">
      <c r="A207" s="1" t="s">
        <v>287</v>
      </c>
      <c r="B207" s="2" t="str">
        <f>HYPERLINK("https://wals.info/values/138A-tib","Words derived from Sinitic cha")</f>
        <v>Words derived from Sinitic cha</v>
      </c>
      <c r="C207" s="2" t="str">
        <f t="shared" si="1"/>
        <v>Tea</v>
      </c>
      <c r="D207" s="2" t="str">
        <f>HYPERLINK("https://wals.info/languoid/lect/wals_code_tib","Tibetan (Standard Spoken)")</f>
        <v>Tibetan (Standard Spoken)</v>
      </c>
      <c r="E207" s="1"/>
      <c r="F207" s="1"/>
      <c r="G207" s="1" t="s">
        <v>12</v>
      </c>
    </row>
    <row r="208" ht="12.75" customHeight="1">
      <c r="A208" s="1" t="s">
        <v>288</v>
      </c>
      <c r="B208" s="2" t="str">
        <f>HYPERLINK("https://wals.info/values/138A-tiw","Others")</f>
        <v>Others</v>
      </c>
      <c r="C208" s="2" t="str">
        <f t="shared" si="1"/>
        <v>Tea</v>
      </c>
      <c r="D208" s="2" t="str">
        <f>HYPERLINK("https://wals.info/languoid/lect/wals_code_tiw","Tiwi")</f>
        <v>Tiwi</v>
      </c>
      <c r="E208" s="1"/>
      <c r="F208" s="1"/>
      <c r="G208" s="1" t="s">
        <v>289</v>
      </c>
    </row>
    <row r="209" ht="12.75" customHeight="1">
      <c r="A209" s="1" t="s">
        <v>290</v>
      </c>
      <c r="B209" s="2" t="str">
        <f>HYPERLINK("https://wals.info/values/138A-tsw","Words derived from Min Nan Chinese te")</f>
        <v>Words derived from Min Nan Chinese te</v>
      </c>
      <c r="C209" s="2" t="str">
        <f t="shared" si="1"/>
        <v>Tea</v>
      </c>
      <c r="D209" s="2" t="str">
        <f>HYPERLINK("https://wals.info/languoid/lect/wals_code_tsw","Tswana")</f>
        <v>Tswana</v>
      </c>
      <c r="E209" s="1"/>
      <c r="F209" s="1"/>
      <c r="G209" s="1"/>
    </row>
    <row r="210" ht="12.75" customHeight="1">
      <c r="A210" s="1" t="s">
        <v>291</v>
      </c>
      <c r="B210" s="2" t="str">
        <f>HYPERLINK("https://wals.info/values/138A-tun","Others")</f>
        <v>Others</v>
      </c>
      <c r="C210" s="2" t="str">
        <f t="shared" si="1"/>
        <v>Tea</v>
      </c>
      <c r="D210" s="2" t="str">
        <f>HYPERLINK("https://wals.info/languoid/lect/wals_code_tun","Tunica")</f>
        <v>Tunica</v>
      </c>
      <c r="E210" s="1"/>
      <c r="F210" s="1"/>
      <c r="G210" s="1" t="s">
        <v>292</v>
      </c>
    </row>
    <row r="211" ht="12.75" customHeight="1">
      <c r="A211" s="1" t="s">
        <v>293</v>
      </c>
      <c r="B211" s="2" t="str">
        <f>HYPERLINK("https://wals.info/values/138A-tur","Words derived from Sinitic cha")</f>
        <v>Words derived from Sinitic cha</v>
      </c>
      <c r="C211" s="2" t="str">
        <f t="shared" si="1"/>
        <v>Tea</v>
      </c>
      <c r="D211" s="2" t="str">
        <f>HYPERLINK("https://wals.info/languoid/lect/wals_code_tur","Turkish")</f>
        <v>Turkish</v>
      </c>
      <c r="E211" s="1"/>
      <c r="F211" s="1"/>
      <c r="G211" s="1" t="s">
        <v>12</v>
      </c>
    </row>
    <row r="212" ht="12.75" customHeight="1">
      <c r="A212" s="1" t="s">
        <v>294</v>
      </c>
      <c r="B212" s="2" t="str">
        <f>HYPERLINK("https://wals.info/values/138A-tkm","Words derived from Sinitic cha")</f>
        <v>Words derived from Sinitic cha</v>
      </c>
      <c r="C212" s="2" t="str">
        <f t="shared" si="1"/>
        <v>Tea</v>
      </c>
      <c r="D212" s="2" t="str">
        <f>HYPERLINK("https://wals.info/languoid/lect/wals_code_tkm","Turkmen")</f>
        <v>Turkmen</v>
      </c>
      <c r="E212" s="1"/>
      <c r="F212" s="1"/>
      <c r="G212" s="1" t="s">
        <v>295</v>
      </c>
    </row>
    <row r="213" ht="12.75" customHeight="1">
      <c r="A213" s="1" t="s">
        <v>296</v>
      </c>
      <c r="B213" s="2" t="str">
        <f>HYPERLINK("https://wals.info/values/138A-tuv","Words derived from Sinitic cha")</f>
        <v>Words derived from Sinitic cha</v>
      </c>
      <c r="C213" s="2" t="str">
        <f t="shared" si="1"/>
        <v>Tea</v>
      </c>
      <c r="D213" s="2" t="str">
        <f>HYPERLINK("https://wals.info/languoid/lect/wals_code_tuv","Tuvan")</f>
        <v>Tuvan</v>
      </c>
      <c r="E213" s="1"/>
      <c r="F213" s="1"/>
      <c r="G213" s="1" t="s">
        <v>297</v>
      </c>
    </row>
    <row r="214" ht="12.75" customHeight="1">
      <c r="A214" s="1" t="s">
        <v>298</v>
      </c>
      <c r="B214" s="2" t="str">
        <f>HYPERLINK("https://wals.info/values/138A-udm","Words derived from Sinitic cha")</f>
        <v>Words derived from Sinitic cha</v>
      </c>
      <c r="C214" s="2" t="str">
        <f t="shared" si="1"/>
        <v>Tea</v>
      </c>
      <c r="D214" s="2" t="str">
        <f>HYPERLINK("https://wals.info/languoid/lect/wals_code_udm","Udmurt")</f>
        <v>Udmurt</v>
      </c>
      <c r="E214" s="1"/>
      <c r="F214" s="1"/>
      <c r="G214" s="1" t="s">
        <v>299</v>
      </c>
    </row>
    <row r="215" ht="12.75" customHeight="1">
      <c r="A215" s="1" t="s">
        <v>300</v>
      </c>
      <c r="B215" s="2" t="str">
        <f>HYPERLINK("https://wals.info/values/138A-ukr","Words derived from Sinitic cha")</f>
        <v>Words derived from Sinitic cha</v>
      </c>
      <c r="C215" s="2" t="str">
        <f t="shared" si="1"/>
        <v>Tea</v>
      </c>
      <c r="D215" s="2" t="str">
        <f>HYPERLINK("https://wals.info/languoid/lect/wals_code_ukr","Ukrainian")</f>
        <v>Ukrainian</v>
      </c>
      <c r="E215" s="1"/>
      <c r="F215" s="1"/>
      <c r="G215" s="1" t="s">
        <v>12</v>
      </c>
    </row>
    <row r="216" ht="12.75" customHeight="1">
      <c r="A216" s="1" t="s">
        <v>301</v>
      </c>
      <c r="B216" s="2" t="str">
        <f>HYPERLINK("https://wals.info/values/138A-uyg","Words derived from Sinitic cha")</f>
        <v>Words derived from Sinitic cha</v>
      </c>
      <c r="C216" s="2" t="str">
        <f t="shared" si="1"/>
        <v>Tea</v>
      </c>
      <c r="D216" s="2" t="str">
        <f>HYPERLINK("https://wals.info/languoid/lect/wals_code_uyg","Uyghur")</f>
        <v>Uyghur</v>
      </c>
      <c r="E216" s="1"/>
      <c r="F216" s="1"/>
      <c r="G216" s="1" t="s">
        <v>12</v>
      </c>
    </row>
    <row r="217" ht="12.75" customHeight="1">
      <c r="A217" s="1" t="s">
        <v>302</v>
      </c>
      <c r="B217" s="2" t="str">
        <f>HYPERLINK("https://wals.info/values/138A-uzb","Words derived from Sinitic cha")</f>
        <v>Words derived from Sinitic cha</v>
      </c>
      <c r="C217" s="2" t="str">
        <f t="shared" si="1"/>
        <v>Tea</v>
      </c>
      <c r="D217" s="2" t="str">
        <f>HYPERLINK("https://wals.info/languoid/lect/wals_code_uzb","Uzbek")</f>
        <v>Uzbek</v>
      </c>
      <c r="E217" s="1"/>
      <c r="F217" s="1"/>
      <c r="G217" s="1" t="s">
        <v>12</v>
      </c>
    </row>
    <row r="218" ht="12.75" customHeight="1">
      <c r="A218" s="1" t="s">
        <v>303</v>
      </c>
      <c r="B218" s="2" t="str">
        <f>HYPERLINK("https://wals.info/values/138A-vie","Words derived from Sinitic cha")</f>
        <v>Words derived from Sinitic cha</v>
      </c>
      <c r="C218" s="2" t="str">
        <f t="shared" si="1"/>
        <v>Tea</v>
      </c>
      <c r="D218" s="2" t="str">
        <f>HYPERLINK("https://wals.info/languoid/lect/wals_code_vie","Vietnamese")</f>
        <v>Vietnamese</v>
      </c>
      <c r="E218" s="1"/>
      <c r="F218" s="1"/>
      <c r="G218" s="1" t="s">
        <v>12</v>
      </c>
    </row>
    <row r="219" ht="12.75" customHeight="1">
      <c r="A219" s="1" t="s">
        <v>304</v>
      </c>
      <c r="B219" s="2" t="str">
        <f>HYPERLINK("https://wals.info/values/138A-wam","Others")</f>
        <v>Others</v>
      </c>
      <c r="C219" s="2" t="str">
        <f t="shared" si="1"/>
        <v>Tea</v>
      </c>
      <c r="D219" s="2" t="str">
        <f>HYPERLINK("https://wals.info/languoid/lect/wals_code_wam","Wambaya")</f>
        <v>Wambaya</v>
      </c>
      <c r="E219" s="1"/>
      <c r="F219" s="1"/>
      <c r="G219" s="1" t="s">
        <v>305</v>
      </c>
    </row>
    <row r="220" ht="12.75" customHeight="1">
      <c r="A220" s="1" t="s">
        <v>306</v>
      </c>
      <c r="B220" s="2" t="str">
        <f>HYPERLINK("https://wals.info/values/138A-wel","Words derived from Min Nan Chinese te")</f>
        <v>Words derived from Min Nan Chinese te</v>
      </c>
      <c r="C220" s="2" t="str">
        <f t="shared" si="1"/>
        <v>Tea</v>
      </c>
      <c r="D220" s="2" t="str">
        <f>HYPERLINK("https://wals.info/languoid/lect/wals_code_wel","Welsh")</f>
        <v>Welsh</v>
      </c>
      <c r="E220" s="1"/>
      <c r="F220" s="1"/>
      <c r="G220" s="1" t="s">
        <v>12</v>
      </c>
    </row>
    <row r="221" ht="12.75" customHeight="1">
      <c r="A221" s="1" t="s">
        <v>307</v>
      </c>
      <c r="B221" s="2" t="str">
        <f>HYPERLINK("https://wals.info/values/138A-wlo","Words derived from Min Nan Chinese te")</f>
        <v>Words derived from Min Nan Chinese te</v>
      </c>
      <c r="C221" s="2" t="str">
        <f t="shared" si="1"/>
        <v>Tea</v>
      </c>
      <c r="D221" s="2" t="str">
        <f>HYPERLINK("https://wals.info/languoid/lect/wals_code_wlo","Wolio")</f>
        <v>Wolio</v>
      </c>
      <c r="E221" s="1"/>
      <c r="F221" s="1"/>
      <c r="G221" s="1" t="s">
        <v>308</v>
      </c>
    </row>
    <row r="222" ht="12.75" customHeight="1">
      <c r="A222" s="1" t="s">
        <v>309</v>
      </c>
      <c r="B222" s="2" t="str">
        <f>HYPERLINK("https://wals.info/values/138A-wlf","Others")</f>
        <v>Others</v>
      </c>
      <c r="C222" s="2" t="str">
        <f t="shared" si="1"/>
        <v>Tea</v>
      </c>
      <c r="D222" s="2" t="str">
        <f>HYPERLINK("https://wals.info/languoid/lect/wals_code_wlf","Wolof")</f>
        <v>Wolof</v>
      </c>
      <c r="E222" s="1"/>
      <c r="F222" s="1"/>
      <c r="G222" s="1" t="s">
        <v>12</v>
      </c>
    </row>
    <row r="223" ht="12.75" customHeight="1">
      <c r="A223" s="1" t="s">
        <v>310</v>
      </c>
      <c r="B223" s="2" t="str">
        <f>HYPERLINK("https://wals.info/values/138A-xho","Words derived from Min Nan Chinese te")</f>
        <v>Words derived from Min Nan Chinese te</v>
      </c>
      <c r="C223" s="2" t="str">
        <f t="shared" si="1"/>
        <v>Tea</v>
      </c>
      <c r="D223" s="2" t="str">
        <f>HYPERLINK("https://wals.info/languoid/lect/wals_code_xho","Xhosa")</f>
        <v>Xhosa</v>
      </c>
      <c r="E223" s="1"/>
      <c r="F223" s="1"/>
      <c r="G223" s="1"/>
    </row>
    <row r="224" ht="12.75" customHeight="1">
      <c r="A224" s="1" t="s">
        <v>311</v>
      </c>
      <c r="B224" s="2" t="str">
        <f>HYPERLINK("https://wals.info/values/138A-xoo","Words derived from Min Nan Chinese te")</f>
        <v>Words derived from Min Nan Chinese te</v>
      </c>
      <c r="C224" s="2" t="str">
        <f t="shared" si="1"/>
        <v>Tea</v>
      </c>
      <c r="D224" s="2" t="str">
        <f>HYPERLINK("https://wals.info/languoid/lect/wals_code_xoo","!Xóõ")</f>
        <v>!Xóõ</v>
      </c>
      <c r="E224" s="1"/>
      <c r="F224" s="1"/>
      <c r="G224" s="1" t="s">
        <v>312</v>
      </c>
    </row>
    <row r="225" ht="12.75" customHeight="1">
      <c r="A225" s="1" t="s">
        <v>313</v>
      </c>
      <c r="B225" s="2" t="str">
        <f>HYPERLINK("https://wals.info/values/138A-ykt","Words derived from Sinitic cha")</f>
        <v>Words derived from Sinitic cha</v>
      </c>
      <c r="C225" s="2" t="str">
        <f t="shared" si="1"/>
        <v>Tea</v>
      </c>
      <c r="D225" s="2" t="str">
        <f>HYPERLINK("https://wals.info/languoid/lect/wals_code_ykt","Yakut")</f>
        <v>Yakut</v>
      </c>
      <c r="E225" s="1"/>
      <c r="F225" s="1"/>
      <c r="G225" s="1" t="s">
        <v>12</v>
      </c>
    </row>
    <row r="226" ht="12.75" customHeight="1">
      <c r="A226" s="1" t="s">
        <v>314</v>
      </c>
      <c r="B226" s="2" t="str">
        <f>HYPERLINK("https://wals.info/values/138A-yms","Words derived from Sinitic cha")</f>
        <v>Words derived from Sinitic cha</v>
      </c>
      <c r="C226" s="2" t="str">
        <f t="shared" si="1"/>
        <v>Tea</v>
      </c>
      <c r="D226" s="2" t="str">
        <f>HYPERLINK("https://wals.info/languoid/lect/wals_code_yms","Yemsa")</f>
        <v>Yemsa</v>
      </c>
      <c r="E226" s="1"/>
      <c r="F226" s="1"/>
      <c r="G226" s="1" t="s">
        <v>315</v>
      </c>
    </row>
    <row r="227" ht="12.75" customHeight="1">
      <c r="A227" s="1" t="s">
        <v>316</v>
      </c>
      <c r="B227" s="2" t="str">
        <f>HYPERLINK("https://wals.info/values/138A-yor","Words derived from Min Nan Chinese te")</f>
        <v>Words derived from Min Nan Chinese te</v>
      </c>
      <c r="C227" s="2" t="str">
        <f t="shared" si="1"/>
        <v>Tea</v>
      </c>
      <c r="D227" s="2" t="str">
        <f>HYPERLINK("https://wals.info/languoid/lect/wals_code_yor","Yoruba")</f>
        <v>Yoruba</v>
      </c>
      <c r="E227" s="1"/>
      <c r="F227" s="1"/>
      <c r="G227" s="1" t="s">
        <v>12</v>
      </c>
    </row>
    <row r="228" ht="12.75" customHeight="1">
      <c r="A228" s="1" t="s">
        <v>317</v>
      </c>
      <c r="B228" s="2" t="str">
        <f>HYPERLINK("https://wals.info/values/138A-ypk","Words derived from Sinitic cha")</f>
        <v>Words derived from Sinitic cha</v>
      </c>
      <c r="C228" s="2" t="str">
        <f t="shared" si="1"/>
        <v>Tea</v>
      </c>
      <c r="D228" s="2" t="str">
        <f>HYPERLINK("https://wals.info/languoid/lect/wals_code_ypk","Yup'ik (Central)")</f>
        <v>Yup'ik (Central)</v>
      </c>
      <c r="E228" s="1"/>
      <c r="F228" s="1"/>
      <c r="G228" s="1" t="s">
        <v>318</v>
      </c>
    </row>
    <row r="229" ht="12.75" customHeight="1">
      <c r="A229" s="1" t="s">
        <v>319</v>
      </c>
      <c r="B229" s="2" t="str">
        <f>HYPERLINK("https://wals.info/values/138A-zar","Others")</f>
        <v>Others</v>
      </c>
      <c r="C229" s="2" t="str">
        <f t="shared" si="1"/>
        <v>Tea</v>
      </c>
      <c r="D229" s="2" t="str">
        <f>HYPERLINK("https://wals.info/languoid/lect/wals_code_zar","Zarma")</f>
        <v>Zarma</v>
      </c>
      <c r="E229" s="1"/>
      <c r="F229" s="1"/>
      <c r="G229" s="1" t="s">
        <v>12</v>
      </c>
    </row>
    <row r="230" ht="12.75" customHeight="1">
      <c r="A230" s="1" t="s">
        <v>320</v>
      </c>
      <c r="B230" s="2" t="str">
        <f>HYPERLINK("https://wals.info/values/138A-zqc","Others")</f>
        <v>Others</v>
      </c>
      <c r="C230" s="2" t="str">
        <f t="shared" si="1"/>
        <v>Tea</v>
      </c>
      <c r="D230" s="2" t="str">
        <f>HYPERLINK("https://wals.info/languoid/lect/wals_code_zqc","Zoque (Copainalá)")</f>
        <v>Zoque (Copainalá)</v>
      </c>
      <c r="E230" s="1"/>
      <c r="F230" s="1"/>
      <c r="G230" s="1" t="s">
        <v>321</v>
      </c>
    </row>
    <row r="231" ht="12.75" customHeight="1">
      <c r="A231" s="1" t="s">
        <v>322</v>
      </c>
      <c r="B231" s="2" t="str">
        <f>HYPERLINK("https://wals.info/values/138A-zul","Others")</f>
        <v>Others</v>
      </c>
      <c r="C231" s="2" t="str">
        <f t="shared" si="1"/>
        <v>Tea</v>
      </c>
      <c r="D231" s="2" t="str">
        <f>HYPERLINK("https://wals.info/languoid/lect/wals_code_zul","Zulu")</f>
        <v>Zulu</v>
      </c>
      <c r="E231" s="1"/>
      <c r="F231" s="1"/>
      <c r="G231" s="1" t="s">
        <v>12</v>
      </c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/>
    <oddFooter/>
  </headerFooter>
  <drawing r:id="rId1"/>
</worksheet>
</file>