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</sheets>
  <definedNames/>
  <calcPr/>
</workbook>
</file>

<file path=xl/sharedStrings.xml><?xml version="1.0" encoding="utf-8"?>
<sst xmlns="http://schemas.openxmlformats.org/spreadsheetml/2006/main" count="708" uniqueCount="553">
  <si>
    <t>ID</t>
  </si>
  <si>
    <t>Name</t>
  </si>
  <si>
    <t>Parameter</t>
  </si>
  <si>
    <t>Language</t>
  </si>
  <si>
    <t>Frequency</t>
  </si>
  <si>
    <t>Confidence</t>
  </si>
  <si>
    <t>References</t>
  </si>
  <si>
    <t>55A-abk</t>
  </si>
  <si>
    <t>55A-abu</t>
  </si>
  <si>
    <t>Berry and Berry 1999</t>
  </si>
  <si>
    <t>55A-aco</t>
  </si>
  <si>
    <t>Nichols 1992</t>
  </si>
  <si>
    <t>55A-ain</t>
  </si>
  <si>
    <t>Nichols 1992;Refsing 1986</t>
  </si>
  <si>
    <t>55A-agw</t>
  </si>
  <si>
    <t>55A-ala</t>
  </si>
  <si>
    <t>55A-alb</t>
  </si>
  <si>
    <t>55A-aln</t>
  </si>
  <si>
    <t>55A-amk</t>
  </si>
  <si>
    <t>Derbyshire and Payne 1990</t>
  </si>
  <si>
    <t>55A-aml</t>
  </si>
  <si>
    <t>Hyslop 2001</t>
  </si>
  <si>
    <t>55A-amb</t>
  </si>
  <si>
    <t>55A-ame</t>
  </si>
  <si>
    <t>55A-amh</t>
  </si>
  <si>
    <t>55A-ami</t>
  </si>
  <si>
    <t>55A-apu</t>
  </si>
  <si>
    <t>55A-arb</t>
  </si>
  <si>
    <t>55A-aeg</t>
  </si>
  <si>
    <t>55A-ako</t>
  </si>
  <si>
    <t>55A-amr</t>
  </si>
  <si>
    <t>Harrell et al. 1965</t>
  </si>
  <si>
    <t>55A-ara</t>
  </si>
  <si>
    <t>55A-abo</t>
  </si>
  <si>
    <t>Hayward 1984</t>
  </si>
  <si>
    <t>55A-arm</t>
  </si>
  <si>
    <t>Nichols 1992;Kozintseva 1995</t>
  </si>
  <si>
    <t>55A-arz</t>
  </si>
  <si>
    <t>55A-aro</t>
  </si>
  <si>
    <t>Capell 1971</t>
  </si>
  <si>
    <t>55A-ass</t>
  </si>
  <si>
    <t>55A-atk</t>
  </si>
  <si>
    <t>55A-ata</t>
  </si>
  <si>
    <t>55A-ath</t>
  </si>
  <si>
    <t>Noonan 2003c</t>
  </si>
  <si>
    <t>55A-ava</t>
  </si>
  <si>
    <t>55A-awt</t>
  </si>
  <si>
    <t>55A-aze</t>
  </si>
  <si>
    <t>Householder and Lofti 1965</t>
  </si>
  <si>
    <t>55A-bgv</t>
  </si>
  <si>
    <t>Kibrik 2001</t>
  </si>
  <si>
    <t>55A-bal</t>
  </si>
  <si>
    <t>55A-bnw</t>
  </si>
  <si>
    <t>Aikhenvald 1998</t>
  </si>
  <si>
    <t>55A-brl</t>
  </si>
  <si>
    <t>55A-bae</t>
  </si>
  <si>
    <t>Aikhenvald 1999;Aikhenvald 1996</t>
  </si>
  <si>
    <t>55A-bsq</t>
  </si>
  <si>
    <t>55A-bkr</t>
  </si>
  <si>
    <t>Woollams 1996</t>
  </si>
  <si>
    <t>55A-beg</t>
  </si>
  <si>
    <t>55A-bel</t>
  </si>
  <si>
    <t>55A-ben</t>
  </si>
  <si>
    <t>55A-bit</t>
  </si>
  <si>
    <t>Omar 1983</t>
  </si>
  <si>
    <t>55A-bok</t>
  </si>
  <si>
    <t>Jones 1998b</t>
  </si>
  <si>
    <t>55A-bor</t>
  </si>
  <si>
    <t>55A-brh</t>
  </si>
  <si>
    <t>Bray 1909</t>
  </si>
  <si>
    <t>55A-bul</t>
  </si>
  <si>
    <t>55A-but</t>
  </si>
  <si>
    <t>Poppe 1960</t>
  </si>
  <si>
    <t>55A-brm</t>
  </si>
  <si>
    <t>Okell 1969</t>
  </si>
  <si>
    <t>55A-bur</t>
  </si>
  <si>
    <t>55A-ckr</t>
  </si>
  <si>
    <t>55A-cnt</t>
  </si>
  <si>
    <t>55A-cap</t>
  </si>
  <si>
    <t>55A-crq</t>
  </si>
  <si>
    <t>55A-cyv</t>
  </si>
  <si>
    <t>Aikhenvald and Dixon 1999;Nichols 1992</t>
  </si>
  <si>
    <t>55A-cme</t>
  </si>
  <si>
    <t>Alieva and Bùi Khánh Thê 1999</t>
  </si>
  <si>
    <t>55A-cha</t>
  </si>
  <si>
    <t>55A-chw</t>
  </si>
  <si>
    <t>Baumgartner 1998</t>
  </si>
  <si>
    <t>55A-chn</t>
  </si>
  <si>
    <t>55A-chy</t>
  </si>
  <si>
    <t>55A-chc</t>
  </si>
  <si>
    <t>55A-cpn</t>
  </si>
  <si>
    <t>55A-cjo</t>
  </si>
  <si>
    <t>55A-chi</t>
  </si>
  <si>
    <t>55A-cku</t>
  </si>
  <si>
    <t>55A-ctm</t>
  </si>
  <si>
    <t>55A-cct</t>
  </si>
  <si>
    <t>55A-chx</t>
  </si>
  <si>
    <t>55A-chk</t>
  </si>
  <si>
    <t>55A-cba</t>
  </si>
  <si>
    <t>55A-cin</t>
  </si>
  <si>
    <t>55A-cuu</t>
  </si>
  <si>
    <t>Lynch 1998</t>
  </si>
  <si>
    <t>55A-chv</t>
  </si>
  <si>
    <t>Krueger 1961</t>
  </si>
  <si>
    <t>55A-coo</t>
  </si>
  <si>
    <t>55A-cre</t>
  </si>
  <si>
    <t>55A-cul</t>
  </si>
  <si>
    <t>55A-dga</t>
  </si>
  <si>
    <t>Bodomo 1997</t>
  </si>
  <si>
    <t>55A-drg</t>
  </si>
  <si>
    <t>55A-dat</t>
  </si>
  <si>
    <t>55A-den</t>
  </si>
  <si>
    <t>55A-diz</t>
  </si>
  <si>
    <t>55A-dji</t>
  </si>
  <si>
    <t>55A-dob</t>
  </si>
  <si>
    <t>Hughes 2000</t>
  </si>
  <si>
    <t>55A-dre</t>
  </si>
  <si>
    <t>55A-dum</t>
  </si>
  <si>
    <t>55A-dyi</t>
  </si>
  <si>
    <t>55A-eng</t>
  </si>
  <si>
    <t>55A-epe</t>
  </si>
  <si>
    <t>Harms 1994</t>
  </si>
  <si>
    <t>55A-err</t>
  </si>
  <si>
    <t>Crowley 1998a</t>
  </si>
  <si>
    <t>55A-eve</t>
  </si>
  <si>
    <t>Nedjalkov 1997</t>
  </si>
  <si>
    <t>55A-eya</t>
  </si>
  <si>
    <t>Kinkade 2001</t>
  </si>
  <si>
    <t>55A-fij</t>
  </si>
  <si>
    <t>Schütz 1985</t>
  </si>
  <si>
    <t>55A-fin</t>
  </si>
  <si>
    <t>55A-fre</t>
  </si>
  <si>
    <t>55A-fma</t>
  </si>
  <si>
    <t>55A-fur</t>
  </si>
  <si>
    <t>55A-fut</t>
  </si>
  <si>
    <t>55A-gaa</t>
  </si>
  <si>
    <t>Harvey 1992</t>
  </si>
  <si>
    <t>55A-gar</t>
  </si>
  <si>
    <t>Burling 1961</t>
  </si>
  <si>
    <t>55A-grr</t>
  </si>
  <si>
    <t>55A-gav</t>
  </si>
  <si>
    <t>Moore 1984</t>
  </si>
  <si>
    <t>55A-gbb</t>
  </si>
  <si>
    <t>55A-geo</t>
  </si>
  <si>
    <t>55A-ger</t>
  </si>
  <si>
    <t>55A-gil</t>
  </si>
  <si>
    <t>55A-goo</t>
  </si>
  <si>
    <t>McGregor 1990</t>
  </si>
  <si>
    <t>55A-gua</t>
  </si>
  <si>
    <t>55A-gdf</t>
  </si>
  <si>
    <t>55A-gnn</t>
  </si>
  <si>
    <t>McGregor 1993</t>
  </si>
  <si>
    <t>55A-hai</t>
  </si>
  <si>
    <t>Swanton 1911b</t>
  </si>
  <si>
    <t>55A-hat</t>
  </si>
  <si>
    <t>Reesink 1999;Reesink 1996</t>
  </si>
  <si>
    <t>55A-hau</t>
  </si>
  <si>
    <t>55A-haw</t>
  </si>
  <si>
    <t>Alexander 1968</t>
  </si>
  <si>
    <t>55A-heb</t>
  </si>
  <si>
    <t>55A-hin</t>
  </si>
  <si>
    <t>55A-hix</t>
  </si>
  <si>
    <t>Derbyshire and Payne 1990;Nichols 1992</t>
  </si>
  <si>
    <t>55A-hmd</t>
  </si>
  <si>
    <t>55A-hok</t>
  </si>
  <si>
    <t>55A-hua</t>
  </si>
  <si>
    <t>55A-hun</t>
  </si>
  <si>
    <t>Beckwith 1992</t>
  </si>
  <si>
    <t>55A-hzb</t>
  </si>
  <si>
    <t>55A-hpd</t>
  </si>
  <si>
    <t>55A-hyo</t>
  </si>
  <si>
    <t>55A-iaa</t>
  </si>
  <si>
    <t>Ozanne-Rivierre 1976</t>
  </si>
  <si>
    <t>55A-igb</t>
  </si>
  <si>
    <t>Welmers 1973</t>
  </si>
  <si>
    <t>55A-ika</t>
  </si>
  <si>
    <t>Frank 1990</t>
  </si>
  <si>
    <t>55A-imo</t>
  </si>
  <si>
    <t>Seiler 1985</t>
  </si>
  <si>
    <t>55A-ind</t>
  </si>
  <si>
    <t>55A-ing</t>
  </si>
  <si>
    <t>Nichols 1994b</t>
  </si>
  <si>
    <t>55A-irq</t>
  </si>
  <si>
    <t>55A-jah</t>
  </si>
  <si>
    <t>Burenhult 2000</t>
  </si>
  <si>
    <t>55A-jak</t>
  </si>
  <si>
    <t>Suárez 1983b;Craig 1986</t>
  </si>
  <si>
    <t>55A-jmm</t>
  </si>
  <si>
    <t>55A-jam</t>
  </si>
  <si>
    <t>55A-jpn</t>
  </si>
  <si>
    <t>55A-jaq</t>
  </si>
  <si>
    <t>55A-jav</t>
  </si>
  <si>
    <t>Robson 1992</t>
  </si>
  <si>
    <t>55A-jiv</t>
  </si>
  <si>
    <t>55A-juh</t>
  </si>
  <si>
    <t>55A-klp</t>
  </si>
  <si>
    <t>55A-kam</t>
  </si>
  <si>
    <t>Klamer 1998</t>
  </si>
  <si>
    <t>55A-kan</t>
  </si>
  <si>
    <t>Ikoro 1996;Ikoro 1994</t>
  </si>
  <si>
    <t>55A-knd</t>
  </si>
  <si>
    <t>55A-knr</t>
  </si>
  <si>
    <t>Cyffer 1998</t>
  </si>
  <si>
    <t>55A-krk</t>
  </si>
  <si>
    <t>55A-kat</t>
  </si>
  <si>
    <t>55A-kyl</t>
  </si>
  <si>
    <t>55A-kbr</t>
  </si>
  <si>
    <t>55A-kei</t>
  </si>
  <si>
    <t>55A-klt</t>
  </si>
  <si>
    <t>55A-keu</t>
  </si>
  <si>
    <t>55A-keo</t>
  </si>
  <si>
    <t>Baird 2001</t>
  </si>
  <si>
    <t>55A-ktp</t>
  </si>
  <si>
    <t>55A-kew</t>
  </si>
  <si>
    <t>55A-kha</t>
  </si>
  <si>
    <t>55A-kmh</t>
  </si>
  <si>
    <t>55A-khr</t>
  </si>
  <si>
    <t>55A-khm</t>
  </si>
  <si>
    <t>Ehrman 1972b</t>
  </si>
  <si>
    <t>55A-kmu</t>
  </si>
  <si>
    <t>55A-kho</t>
  </si>
  <si>
    <t>55A-khu</t>
  </si>
  <si>
    <t>55A-klv</t>
  </si>
  <si>
    <t>55A-kio</t>
  </si>
  <si>
    <t>55A-krb</t>
  </si>
  <si>
    <t>Groves et al. 1985</t>
  </si>
  <si>
    <t>55A-kiw</t>
  </si>
  <si>
    <t>55A-klm</t>
  </si>
  <si>
    <t>55A-kob</t>
  </si>
  <si>
    <t>55A-koi</t>
  </si>
  <si>
    <t>Dutton 1996</t>
  </si>
  <si>
    <t>55A-kmb</t>
  </si>
  <si>
    <t>de Vries 1993</t>
  </si>
  <si>
    <t>55A-kag</t>
  </si>
  <si>
    <t>Gani et al. 1986</t>
  </si>
  <si>
    <t>55A-kzy</t>
  </si>
  <si>
    <t>55A-knu</t>
  </si>
  <si>
    <t>55A-krf</t>
  </si>
  <si>
    <t>Farr 1999</t>
  </si>
  <si>
    <t>55A-kor</t>
  </si>
  <si>
    <t>55A-kku</t>
  </si>
  <si>
    <t>Nagaraja 1999</t>
  </si>
  <si>
    <t>55A-kfe</t>
  </si>
  <si>
    <t>Rennison 1997</t>
  </si>
  <si>
    <t>55A-kos</t>
  </si>
  <si>
    <t>Lee 1975</t>
  </si>
  <si>
    <t>55A-kot</t>
  </si>
  <si>
    <t>55A-kch</t>
  </si>
  <si>
    <t>Heath 1999b</t>
  </si>
  <si>
    <t>55A-kpe</t>
  </si>
  <si>
    <t>55A-kua</t>
  </si>
  <si>
    <t>55A-kut</t>
  </si>
  <si>
    <t>55A-kwz</t>
  </si>
  <si>
    <t>55A-lch</t>
  </si>
  <si>
    <t>55A-lah</t>
  </si>
  <si>
    <t>55A-lai</t>
  </si>
  <si>
    <t>55A-lkt</t>
  </si>
  <si>
    <t>Faltz 1995</t>
  </si>
  <si>
    <t>55A-lan</t>
  </si>
  <si>
    <t>Noonan 1992</t>
  </si>
  <si>
    <t>55A-lrk</t>
  </si>
  <si>
    <t>Laidig and Laidig 1995</t>
  </si>
  <si>
    <t>55A-lat</t>
  </si>
  <si>
    <t>Fennell and Gelsen 1980</t>
  </si>
  <si>
    <t>55A-let</t>
  </si>
  <si>
    <t>55A-lez</t>
  </si>
  <si>
    <t>Haspelmath 1993</t>
  </si>
  <si>
    <t>55A-lim</t>
  </si>
  <si>
    <t>55A-lon</t>
  </si>
  <si>
    <t>Hamel 1994</t>
  </si>
  <si>
    <t>55A-lov</t>
  </si>
  <si>
    <t>55A-luc</t>
  </si>
  <si>
    <t>Fleisch 2001</t>
  </si>
  <si>
    <t>55A-lda</t>
  </si>
  <si>
    <t>55A-lug</t>
  </si>
  <si>
    <t>55A-lui</t>
  </si>
  <si>
    <t>55A-lud</t>
  </si>
  <si>
    <t>55A-luo</t>
  </si>
  <si>
    <t>Tucker 1994</t>
  </si>
  <si>
    <t>55A-lur</t>
  </si>
  <si>
    <t>55A-maa</t>
  </si>
  <si>
    <t>55A-msy</t>
  </si>
  <si>
    <t>55A-mhm</t>
  </si>
  <si>
    <t>55A-mne</t>
  </si>
  <si>
    <t>55A-mks</t>
  </si>
  <si>
    <t>55A-mkw</t>
  </si>
  <si>
    <t>Aikhenvald and Dixon 1999</t>
  </si>
  <si>
    <t>55A-mal</t>
  </si>
  <si>
    <t>55A-mlk</t>
  </si>
  <si>
    <t>55A-mym</t>
  </si>
  <si>
    <t>55A-mli</t>
  </si>
  <si>
    <t>Stebbins 2002</t>
  </si>
  <si>
    <t>55A-mdn</t>
  </si>
  <si>
    <t>Mixco 1997</t>
  </si>
  <si>
    <t>55A-mnr</t>
  </si>
  <si>
    <t>Muthalib et al. 1992</t>
  </si>
  <si>
    <t>55A-mnd</t>
  </si>
  <si>
    <t>55A-mdk</t>
  </si>
  <si>
    <t>55A-myi</t>
  </si>
  <si>
    <t>55A-map</t>
  </si>
  <si>
    <t>55A-mhi</t>
  </si>
  <si>
    <t>55A-mrg</t>
  </si>
  <si>
    <t>Hoffmann 1963</t>
  </si>
  <si>
    <t>55A-mar</t>
  </si>
  <si>
    <t>55A-mrt</t>
  </si>
  <si>
    <t>Dench 1995</t>
  </si>
  <si>
    <t>55A-mau</t>
  </si>
  <si>
    <t>55A-may</t>
  </si>
  <si>
    <t>Dol 1999;Reesink 1996</t>
  </si>
  <si>
    <t>55A-mzn</t>
  </si>
  <si>
    <t>55A-mbg</t>
  </si>
  <si>
    <t>55A-mee</t>
  </si>
  <si>
    <t>Will 1989</t>
  </si>
  <si>
    <t>55A-mel</t>
  </si>
  <si>
    <t>55A-mde</t>
  </si>
  <si>
    <t>Innes 1971</t>
  </si>
  <si>
    <t>55A-min</t>
  </si>
  <si>
    <t>55A-mis</t>
  </si>
  <si>
    <t>55A-mit</t>
  </si>
  <si>
    <t>Stappers 1973</t>
  </si>
  <si>
    <t>55A-mss</t>
  </si>
  <si>
    <t>55A-mxc</t>
  </si>
  <si>
    <t>55A-miy</t>
  </si>
  <si>
    <t>Schuh 1998</t>
  </si>
  <si>
    <t>55A-mlm</t>
  </si>
  <si>
    <t>Rischel 1995</t>
  </si>
  <si>
    <t>55A-mok</t>
  </si>
  <si>
    <t>Harrison 1976</t>
  </si>
  <si>
    <t>55A-mll</t>
  </si>
  <si>
    <t>55A-moe</t>
  </si>
  <si>
    <t>55A-mos</t>
  </si>
  <si>
    <t>55A-msc</t>
  </si>
  <si>
    <t>Ostler 1994</t>
  </si>
  <si>
    <t>55A-muu</t>
  </si>
  <si>
    <t>55A-mup</t>
  </si>
  <si>
    <t>Frajzyngier 1993</t>
  </si>
  <si>
    <t>55A-nah</t>
  </si>
  <si>
    <t>55A-nht</t>
  </si>
  <si>
    <t>Tuggy 1979</t>
  </si>
  <si>
    <t>55A-nai</t>
  </si>
  <si>
    <t>55A-npu</t>
  </si>
  <si>
    <t>Garantjang et al. 1989</t>
  </si>
  <si>
    <t>55A-nar</t>
  </si>
  <si>
    <t>55A-nrm</t>
  </si>
  <si>
    <t>55A-nas</t>
  </si>
  <si>
    <t>Nichols 1992;Foley 1986</t>
  </si>
  <si>
    <t>55A-nau</t>
  </si>
  <si>
    <t>Kayser 1993;Lynch 1998</t>
  </si>
  <si>
    <t>55A-nav</t>
  </si>
  <si>
    <t>55A-ndy</t>
  </si>
  <si>
    <t>Huttar and Huttar 1994</t>
  </si>
  <si>
    <t>55A-nel</t>
  </si>
  <si>
    <t>55A-nen</t>
  </si>
  <si>
    <t>55A-naj</t>
  </si>
  <si>
    <t>Khan 1999</t>
  </si>
  <si>
    <t>55A-new</t>
  </si>
  <si>
    <t>55A-ngd</t>
  </si>
  <si>
    <t>Djawanai 2002</t>
  </si>
  <si>
    <t>55A-ngy</t>
  </si>
  <si>
    <t>55A-ngi</t>
  </si>
  <si>
    <t>55A-ngz</t>
  </si>
  <si>
    <t>Schuh 1972</t>
  </si>
  <si>
    <t>55A-nca</t>
  </si>
  <si>
    <t>Braine 1970</t>
  </si>
  <si>
    <t>55A-niv</t>
  </si>
  <si>
    <t>55A-nvs</t>
  </si>
  <si>
    <t>55A-nbd</t>
  </si>
  <si>
    <t>Armbruster 1960</t>
  </si>
  <si>
    <t>55A-nug</t>
  </si>
  <si>
    <t>55A-nyl</t>
  </si>
  <si>
    <t>55A-nyu</t>
  </si>
  <si>
    <t>McGregor 1996</t>
  </si>
  <si>
    <t>55A-oca</t>
  </si>
  <si>
    <t>55A-ood</t>
  </si>
  <si>
    <t>55A-ore</t>
  </si>
  <si>
    <t>55A-ori</t>
  </si>
  <si>
    <t>55A-orh</t>
  </si>
  <si>
    <t>55A-pad</t>
  </si>
  <si>
    <t>Karhunen 1994</t>
  </si>
  <si>
    <t>55A-pno</t>
  </si>
  <si>
    <t>Snapp et al. 1982</t>
  </si>
  <si>
    <t>55A-put</t>
  </si>
  <si>
    <t>55A-plk</t>
  </si>
  <si>
    <t>55A-pnr</t>
  </si>
  <si>
    <t>55A-prc</t>
  </si>
  <si>
    <t>55A-pau</t>
  </si>
  <si>
    <t>55A-pwn</t>
  </si>
  <si>
    <t>55A-prs</t>
  </si>
  <si>
    <t>Mahootian 1997</t>
  </si>
  <si>
    <t>55A-pia</t>
  </si>
  <si>
    <t>55A-pil</t>
  </si>
  <si>
    <t>Næss 2000</t>
  </si>
  <si>
    <t>55A-pba</t>
  </si>
  <si>
    <t>Estrada Fernández 1996</t>
  </si>
  <si>
    <t>55A-pip</t>
  </si>
  <si>
    <t>55A-prh</t>
  </si>
  <si>
    <t>Nichols 1992;Derbyshire and Payne 1990</t>
  </si>
  <si>
    <t>55A-pir</t>
  </si>
  <si>
    <t>55A-poh</t>
  </si>
  <si>
    <t>55A-pur</t>
  </si>
  <si>
    <t>Suárez 1983b;Nichols 1992</t>
  </si>
  <si>
    <t>55A-qcu</t>
  </si>
  <si>
    <t>Faller 2001</t>
  </si>
  <si>
    <t>55A-qhu</t>
  </si>
  <si>
    <t>Weber 1989</t>
  </si>
  <si>
    <t>55A-qim</t>
  </si>
  <si>
    <t>55A-qui</t>
  </si>
  <si>
    <t>55A-rap</t>
  </si>
  <si>
    <t>Chapin 1978</t>
  </si>
  <si>
    <t>55A-rem</t>
  </si>
  <si>
    <t>Fernandez 1967</t>
  </si>
  <si>
    <t>55A-rse</t>
  </si>
  <si>
    <t>Cech and Heinschink 1996</t>
  </si>
  <si>
    <t>55A-ruk</t>
  </si>
  <si>
    <t>55A-rru</t>
  </si>
  <si>
    <t>Rubongoya 1999</t>
  </si>
  <si>
    <t>55A-rus</t>
  </si>
  <si>
    <t>55A-rcp</t>
  </si>
  <si>
    <t>55A-sal</t>
  </si>
  <si>
    <t>55A-syu</t>
  </si>
  <si>
    <t>55A-bjs</t>
  </si>
  <si>
    <t>55A-sam</t>
  </si>
  <si>
    <t>55A-sdw</t>
  </si>
  <si>
    <t>55A-stl</t>
  </si>
  <si>
    <t>Neukom 2001</t>
  </si>
  <si>
    <t>55A-snm</t>
  </si>
  <si>
    <t>55A-saw</t>
  </si>
  <si>
    <t>Walker 1982</t>
  </si>
  <si>
    <t>55A-see</t>
  </si>
  <si>
    <t>Holmer 1996</t>
  </si>
  <si>
    <t>55A-smd</t>
  </si>
  <si>
    <t>55A-sml</t>
  </si>
  <si>
    <t>55A-snc</t>
  </si>
  <si>
    <t>55A-snt</t>
  </si>
  <si>
    <t>55A-ses</t>
  </si>
  <si>
    <t>Guma 1971</t>
  </si>
  <si>
    <t>55A-shs</t>
  </si>
  <si>
    <t>55A-shk</t>
  </si>
  <si>
    <t>55A-sim</t>
  </si>
  <si>
    <t>Abdullah Faridan et al. 1983</t>
  </si>
  <si>
    <t>55A-snh</t>
  </si>
  <si>
    <t>Gair 1970</t>
  </si>
  <si>
    <t>55A-sin</t>
  </si>
  <si>
    <t>55A-siu</t>
  </si>
  <si>
    <t>55A-so</t>
  </si>
  <si>
    <t>55A-sue</t>
  </si>
  <si>
    <t>55A-sul</t>
  </si>
  <si>
    <t>55A-sup</t>
  </si>
  <si>
    <t>Carlson 1994</t>
  </si>
  <si>
    <t>55A-swa</t>
  </si>
  <si>
    <t>55A-swt</t>
  </si>
  <si>
    <t>Taljaard et al. 1991</t>
  </si>
  <si>
    <t>55A-tab</t>
  </si>
  <si>
    <t>Bowden 1997a</t>
  </si>
  <si>
    <t>55A-tag</t>
  </si>
  <si>
    <t>55A-tkl</t>
  </si>
  <si>
    <t>55A-tvo</t>
  </si>
  <si>
    <t>55A-tts</t>
  </si>
  <si>
    <t>55A-tll</t>
  </si>
  <si>
    <t>55A-taw</t>
  </si>
  <si>
    <t>Ezard 1997</t>
  </si>
  <si>
    <t>55A-tht</t>
  </si>
  <si>
    <t>Reesink 1996</t>
  </si>
  <si>
    <t>55A-tlf</t>
  </si>
  <si>
    <t>55A-tmr</t>
  </si>
  <si>
    <t>55A-tps</t>
  </si>
  <si>
    <t>Willett 1991</t>
  </si>
  <si>
    <t>55A-trn</t>
  </si>
  <si>
    <t>55A-trb</t>
  </si>
  <si>
    <t>Quesada 2000</t>
  </si>
  <si>
    <t>55A-ttn</t>
  </si>
  <si>
    <t>van Klinken 1999</t>
  </si>
  <si>
    <t>55A-tha</t>
  </si>
  <si>
    <t>55A-tho</t>
  </si>
  <si>
    <t>Thompson and Thompson 1992</t>
  </si>
  <si>
    <t>55A-tid</t>
  </si>
  <si>
    <t>55A-tim</t>
  </si>
  <si>
    <t>55A-tiw</t>
  </si>
  <si>
    <t>55A-tli</t>
  </si>
  <si>
    <t>55A-tob</t>
  </si>
  <si>
    <t>55A-tol</t>
  </si>
  <si>
    <t>Holt 1999a</t>
  </si>
  <si>
    <t>55A-tla</t>
  </si>
  <si>
    <t>55A-tng</t>
  </si>
  <si>
    <t>55A-ton</t>
  </si>
  <si>
    <t>55A-toq</t>
  </si>
  <si>
    <t>55A-tpa</t>
  </si>
  <si>
    <t>Suárez 1983b</t>
  </si>
  <si>
    <t>55A-tow</t>
  </si>
  <si>
    <t>55A-tsi</t>
  </si>
  <si>
    <t>Boas 1911c</t>
  </si>
  <si>
    <t>55A-tso</t>
  </si>
  <si>
    <t>55A-tgh</t>
  </si>
  <si>
    <t>Nehlil 1909</t>
  </si>
  <si>
    <t>55A-tuc</t>
  </si>
  <si>
    <t>55A-tuk</t>
  </si>
  <si>
    <t>Donohue 1999a</t>
  </si>
  <si>
    <t>55A-tnn</t>
  </si>
  <si>
    <t>55A-tun</t>
  </si>
  <si>
    <t>55A-tur</t>
  </si>
  <si>
    <t>Lewis 1967</t>
  </si>
  <si>
    <t>55A-tvl</t>
  </si>
  <si>
    <t>Besnier 2000</t>
  </si>
  <si>
    <t>55A-tuv</t>
  </si>
  <si>
    <t>55A-tuy</t>
  </si>
  <si>
    <t>Barnes 1990</t>
  </si>
  <si>
    <t>55A-tze</t>
  </si>
  <si>
    <t>55A-uli</t>
  </si>
  <si>
    <t>55A-ung</t>
  </si>
  <si>
    <t>55A-ura</t>
  </si>
  <si>
    <t>Crowley 1998c</t>
  </si>
  <si>
    <t>55A-uhi</t>
  </si>
  <si>
    <t>55A-vaf</t>
  </si>
  <si>
    <t>55A-vie</t>
  </si>
  <si>
    <t>Thompson 1965</t>
  </si>
  <si>
    <t>55A-wgl</t>
  </si>
  <si>
    <t>55A-wao</t>
  </si>
  <si>
    <t>55A-wap</t>
  </si>
  <si>
    <t>55A-wrk</t>
  </si>
  <si>
    <t>55A-war</t>
  </si>
  <si>
    <t>Everett and Kern 1997</t>
  </si>
  <si>
    <t>55A-wrn</t>
  </si>
  <si>
    <t>55A-was</t>
  </si>
  <si>
    <t>Kroeber 1906</t>
  </si>
  <si>
    <t>55A-wur</t>
  </si>
  <si>
    <t>55A-wem</t>
  </si>
  <si>
    <t>55A-win</t>
  </si>
  <si>
    <t>55A-wor</t>
  </si>
  <si>
    <t>Love 2000</t>
  </si>
  <si>
    <t>55A-xam</t>
  </si>
  <si>
    <t>55A-xoo</t>
  </si>
  <si>
    <t>55A-yag</t>
  </si>
  <si>
    <t>55A-ymi</t>
  </si>
  <si>
    <t>55A-yap</t>
  </si>
  <si>
    <t>Jensen et al. 1977;Lynch 1998</t>
  </si>
  <si>
    <t>55A-ywl</t>
  </si>
  <si>
    <t>55A-yes</t>
  </si>
  <si>
    <t>Foreman 1974</t>
  </si>
  <si>
    <t>55A-yid</t>
  </si>
  <si>
    <t>Dixon 1977a</t>
  </si>
  <si>
    <t>55A-yim</t>
  </si>
  <si>
    <t>Foley 1991</t>
  </si>
  <si>
    <t>55A-yng</t>
  </si>
  <si>
    <t>Dench 1998</t>
  </si>
  <si>
    <t>55A-yor</t>
  </si>
  <si>
    <t>Welmers 1973;Nichols 1992</t>
  </si>
  <si>
    <t>55A-yct</t>
  </si>
  <si>
    <t>55A-yuc</t>
  </si>
  <si>
    <t>55A-yko</t>
  </si>
  <si>
    <t>55A-yuk</t>
  </si>
  <si>
    <t>55A-zul</t>
  </si>
  <si>
    <t>Doke 1927</t>
  </si>
  <si>
    <t>55A-zun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</si>
</sst>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 t="str">
        <f>HYPERLINK("https://wals.info/values/55A-abk","Absent")</f>
        <v>Absent</v>
      </c>
      <c r="C2" s="2" t="str">
        <f t="shared" ref="C2:C401" si="1">HYPERLINK("https://wals.info/feature/55A","Numeral Classifiers")</f>
        <v>Numeral Classifiers</v>
      </c>
      <c r="D2" s="2" t="str">
        <f>HYPERLINK("https://wals.info/languoid/lect/wals_code_abk","Abkhaz")</f>
        <v>Abkhaz</v>
      </c>
      <c r="E2" s="1"/>
      <c r="F2" s="1"/>
      <c r="G2" s="1"/>
    </row>
    <row r="3" ht="12.75" customHeight="1">
      <c r="A3" s="1" t="s">
        <v>8</v>
      </c>
      <c r="B3" s="2" t="str">
        <f>HYPERLINK("https://wals.info/values/55A-abu","Obligatory")</f>
        <v>Obligatory</v>
      </c>
      <c r="C3" s="2" t="str">
        <f t="shared" si="1"/>
        <v>Numeral Classifiers</v>
      </c>
      <c r="D3" s="2" t="str">
        <f>HYPERLINK("https://wals.info/languoid/lect/wals_code_abu","Abun")</f>
        <v>Abun</v>
      </c>
      <c r="E3" s="1"/>
      <c r="F3" s="1"/>
      <c r="G3" s="1" t="s">
        <v>9</v>
      </c>
    </row>
    <row r="4" ht="12.75" customHeight="1">
      <c r="A4" s="1" t="s">
        <v>10</v>
      </c>
      <c r="B4" s="2" t="str">
        <f>HYPERLINK("https://wals.info/values/55A-aco","Absent")</f>
        <v>Absent</v>
      </c>
      <c r="C4" s="2" t="str">
        <f t="shared" si="1"/>
        <v>Numeral Classifiers</v>
      </c>
      <c r="D4" s="2" t="str">
        <f>HYPERLINK("https://wals.info/languoid/lect/wals_code_aco","Acoma")</f>
        <v>Acoma</v>
      </c>
      <c r="E4" s="1"/>
      <c r="F4" s="1"/>
      <c r="G4" s="1" t="s">
        <v>11</v>
      </c>
    </row>
    <row r="5" ht="12.75" customHeight="1">
      <c r="A5" s="1" t="s">
        <v>12</v>
      </c>
      <c r="B5" s="2" t="str">
        <f>HYPERLINK("https://wals.info/values/55A-ain","Optional")</f>
        <v>Optional</v>
      </c>
      <c r="C5" s="2" t="str">
        <f t="shared" si="1"/>
        <v>Numeral Classifiers</v>
      </c>
      <c r="D5" s="2" t="str">
        <f>HYPERLINK("https://wals.info/languoid/lect/wals_code_ain","Ainu")</f>
        <v>Ainu</v>
      </c>
      <c r="E5" s="1"/>
      <c r="F5" s="1"/>
      <c r="G5" s="1" t="s">
        <v>13</v>
      </c>
    </row>
    <row r="6" ht="12.75" customHeight="1">
      <c r="A6" s="1" t="s">
        <v>14</v>
      </c>
      <c r="B6" s="2" t="str">
        <f>HYPERLINK("https://wals.info/values/55A-agw","Absent")</f>
        <v>Absent</v>
      </c>
      <c r="C6" s="2" t="str">
        <f t="shared" si="1"/>
        <v>Numeral Classifiers</v>
      </c>
      <c r="D6" s="2" t="str">
        <f>HYPERLINK("https://wals.info/languoid/lect/wals_code_agw","Alagwa")</f>
        <v>Alagwa</v>
      </c>
      <c r="E6" s="1"/>
      <c r="F6" s="1"/>
      <c r="G6" s="1"/>
    </row>
    <row r="7" ht="12.75" customHeight="1">
      <c r="A7" s="1" t="s">
        <v>15</v>
      </c>
      <c r="B7" s="2" t="str">
        <f>HYPERLINK("https://wals.info/values/55A-ala","Absent")</f>
        <v>Absent</v>
      </c>
      <c r="C7" s="2" t="str">
        <f t="shared" si="1"/>
        <v>Numeral Classifiers</v>
      </c>
      <c r="D7" s="2" t="str">
        <f>HYPERLINK("https://wals.info/languoid/lect/wals_code_ala","Alamblak")</f>
        <v>Alamblak</v>
      </c>
      <c r="E7" s="1"/>
      <c r="F7" s="1"/>
      <c r="G7" s="1" t="s">
        <v>11</v>
      </c>
    </row>
    <row r="8" ht="12.75" customHeight="1">
      <c r="A8" s="1" t="s">
        <v>16</v>
      </c>
      <c r="B8" s="2" t="str">
        <f>HYPERLINK("https://wals.info/values/55A-alb","Absent")</f>
        <v>Absent</v>
      </c>
      <c r="C8" s="2" t="str">
        <f t="shared" si="1"/>
        <v>Numeral Classifiers</v>
      </c>
      <c r="D8" s="2" t="str">
        <f>HYPERLINK("https://wals.info/languoid/lect/wals_code_alb","Albanian")</f>
        <v>Albanian</v>
      </c>
      <c r="E8" s="1"/>
      <c r="F8" s="1"/>
      <c r="G8" s="1"/>
    </row>
    <row r="9" ht="12.75" customHeight="1">
      <c r="A9" s="1" t="s">
        <v>17</v>
      </c>
      <c r="B9" s="2" t="str">
        <f>HYPERLINK("https://wals.info/values/55A-aln","Obligatory")</f>
        <v>Obligatory</v>
      </c>
      <c r="C9" s="2" t="str">
        <f t="shared" si="1"/>
        <v>Numeral Classifiers</v>
      </c>
      <c r="D9" s="2" t="str">
        <f>HYPERLINK("https://wals.info/languoid/lect/wals_code_aln","Alune")</f>
        <v>Alune</v>
      </c>
      <c r="E9" s="1"/>
      <c r="F9" s="1"/>
      <c r="G9" s="1"/>
    </row>
    <row r="10" ht="12.75" customHeight="1">
      <c r="A10" s="1" t="s">
        <v>18</v>
      </c>
      <c r="B10" s="2" t="str">
        <f>HYPERLINK("https://wals.info/values/55A-amk","Absent")</f>
        <v>Absent</v>
      </c>
      <c r="C10" s="2" t="str">
        <f t="shared" si="1"/>
        <v>Numeral Classifiers</v>
      </c>
      <c r="D10" s="2" t="str">
        <f>HYPERLINK("https://wals.info/languoid/lect/wals_code_amk","Amarakaeri")</f>
        <v>Amarakaeri</v>
      </c>
      <c r="E10" s="1"/>
      <c r="F10" s="1"/>
      <c r="G10" s="1" t="s">
        <v>19</v>
      </c>
    </row>
    <row r="11" ht="12.75" customHeight="1">
      <c r="A11" s="1" t="s">
        <v>20</v>
      </c>
      <c r="B11" s="2" t="str">
        <f>HYPERLINK("https://wals.info/values/55A-aml","Absent")</f>
        <v>Absent</v>
      </c>
      <c r="C11" s="2" t="str">
        <f t="shared" si="1"/>
        <v>Numeral Classifiers</v>
      </c>
      <c r="D11" s="2" t="str">
        <f>HYPERLINK("https://wals.info/languoid/lect/wals_code_aml","Ambae (Lolovoli Northeast)")</f>
        <v>Ambae (Lolovoli Northeast)</v>
      </c>
      <c r="E11" s="1"/>
      <c r="F11" s="1"/>
      <c r="G11" s="1" t="s">
        <v>21</v>
      </c>
    </row>
    <row r="12" ht="12.75" customHeight="1">
      <c r="A12" s="1" t="s">
        <v>22</v>
      </c>
      <c r="B12" s="2" t="str">
        <f>HYPERLINK("https://wals.info/values/55A-amb","Absent")</f>
        <v>Absent</v>
      </c>
      <c r="C12" s="2" t="str">
        <f t="shared" si="1"/>
        <v>Numeral Classifiers</v>
      </c>
      <c r="D12" s="2" t="str">
        <f>HYPERLINK("https://wals.info/languoid/lect/wals_code_amb","Ambulas")</f>
        <v>Ambulas</v>
      </c>
      <c r="E12" s="1"/>
      <c r="F12" s="1"/>
      <c r="G12" s="1" t="s">
        <v>11</v>
      </c>
    </row>
    <row r="13" ht="12.75" customHeight="1">
      <c r="A13" s="1" t="s">
        <v>23</v>
      </c>
      <c r="B13" s="2" t="str">
        <f>HYPERLINK("https://wals.info/values/55A-ame","Absent")</f>
        <v>Absent</v>
      </c>
      <c r="C13" s="2" t="str">
        <f t="shared" si="1"/>
        <v>Numeral Classifiers</v>
      </c>
      <c r="D13" s="2" t="str">
        <f>HYPERLINK("https://wals.info/languoid/lect/wals_code_ame","Amele")</f>
        <v>Amele</v>
      </c>
      <c r="E13" s="1"/>
      <c r="F13" s="1"/>
      <c r="G13" s="1" t="s">
        <v>11</v>
      </c>
    </row>
    <row r="14" ht="12.75" customHeight="1">
      <c r="A14" s="1" t="s">
        <v>24</v>
      </c>
      <c r="B14" s="2" t="str">
        <f>HYPERLINK("https://wals.info/values/55A-amh","Absent")</f>
        <v>Absent</v>
      </c>
      <c r="C14" s="2" t="str">
        <f t="shared" si="1"/>
        <v>Numeral Classifiers</v>
      </c>
      <c r="D14" s="2" t="str">
        <f>HYPERLINK("https://wals.info/languoid/lect/wals_code_amh","Amharic")</f>
        <v>Amharic</v>
      </c>
      <c r="E14" s="1"/>
      <c r="F14" s="1"/>
      <c r="G14" s="1" t="s">
        <v>11</v>
      </c>
    </row>
    <row r="15" ht="12.75" customHeight="1">
      <c r="A15" s="1" t="s">
        <v>25</v>
      </c>
      <c r="B15" s="2" t="str">
        <f>HYPERLINK("https://wals.info/values/55A-ami","Absent")</f>
        <v>Absent</v>
      </c>
      <c r="C15" s="2" t="str">
        <f t="shared" si="1"/>
        <v>Numeral Classifiers</v>
      </c>
      <c r="D15" s="2" t="str">
        <f>HYPERLINK("https://wals.info/languoid/lect/wals_code_ami","Amis")</f>
        <v>Amis</v>
      </c>
      <c r="E15" s="1"/>
      <c r="F15" s="1"/>
      <c r="G15" s="1"/>
    </row>
    <row r="16" ht="12.75" customHeight="1">
      <c r="A16" s="1" t="s">
        <v>26</v>
      </c>
      <c r="B16" s="2" t="str">
        <f>HYPERLINK("https://wals.info/values/55A-apu","Absent")</f>
        <v>Absent</v>
      </c>
      <c r="C16" s="2" t="str">
        <f t="shared" si="1"/>
        <v>Numeral Classifiers</v>
      </c>
      <c r="D16" s="2" t="str">
        <f>HYPERLINK("https://wals.info/languoid/lect/wals_code_apu","Apurinã")</f>
        <v>Apurinã</v>
      </c>
      <c r="E16" s="1"/>
      <c r="F16" s="1"/>
      <c r="G16" s="1" t="s">
        <v>19</v>
      </c>
    </row>
    <row r="17" ht="12.75" customHeight="1">
      <c r="A17" s="1" t="s">
        <v>27</v>
      </c>
      <c r="B17" s="2" t="str">
        <f>HYPERLINK("https://wals.info/values/55A-arb","Absent")</f>
        <v>Absent</v>
      </c>
      <c r="C17" s="2" t="str">
        <f t="shared" si="1"/>
        <v>Numeral Classifiers</v>
      </c>
      <c r="D17" s="2" t="str">
        <f>HYPERLINK("https://wals.info/languoid/lect/wals_code_arb","Arabela")</f>
        <v>Arabela</v>
      </c>
      <c r="E17" s="1"/>
      <c r="F17" s="1"/>
      <c r="G17" s="1" t="s">
        <v>19</v>
      </c>
    </row>
    <row r="18" ht="12.75" customHeight="1">
      <c r="A18" s="1" t="s">
        <v>28</v>
      </c>
      <c r="B18" s="2" t="str">
        <f>HYPERLINK("https://wals.info/values/55A-aeg","Absent")</f>
        <v>Absent</v>
      </c>
      <c r="C18" s="2" t="str">
        <f t="shared" si="1"/>
        <v>Numeral Classifiers</v>
      </c>
      <c r="D18" s="2" t="str">
        <f>HYPERLINK("https://wals.info/languoid/lect/wals_code_aeg","Arabic (Egyptian)")</f>
        <v>Arabic (Egyptian)</v>
      </c>
      <c r="E18" s="1"/>
      <c r="F18" s="1"/>
      <c r="G18" s="1"/>
    </row>
    <row r="19" ht="12.75" customHeight="1">
      <c r="A19" s="1" t="s">
        <v>29</v>
      </c>
      <c r="B19" s="2" t="str">
        <f>HYPERLINK("https://wals.info/values/55A-ako","Absent")</f>
        <v>Absent</v>
      </c>
      <c r="C19" s="2" t="str">
        <f t="shared" si="1"/>
        <v>Numeral Classifiers</v>
      </c>
      <c r="D19" s="2" t="str">
        <f>HYPERLINK("https://wals.info/languoid/lect/wals_code_ako","Arabic (Kormakiti)")</f>
        <v>Arabic (Kormakiti)</v>
      </c>
      <c r="E19" s="1"/>
      <c r="F19" s="1"/>
      <c r="G19" s="1"/>
    </row>
    <row r="20" ht="12.75" customHeight="1">
      <c r="A20" s="1" t="s">
        <v>30</v>
      </c>
      <c r="B20" s="2" t="str">
        <f>HYPERLINK("https://wals.info/values/55A-amr","Absent")</f>
        <v>Absent</v>
      </c>
      <c r="C20" s="2" t="str">
        <f t="shared" si="1"/>
        <v>Numeral Classifiers</v>
      </c>
      <c r="D20" s="2" t="str">
        <f>HYPERLINK("https://wals.info/languoid/lect/wals_code_amr","Arabic (Moroccan)")</f>
        <v>Arabic (Moroccan)</v>
      </c>
      <c r="E20" s="1"/>
      <c r="F20" s="1"/>
      <c r="G20" s="1" t="s">
        <v>31</v>
      </c>
    </row>
    <row r="21" ht="12.75" customHeight="1">
      <c r="A21" s="1" t="s">
        <v>32</v>
      </c>
      <c r="B21" s="2" t="str">
        <f>HYPERLINK("https://wals.info/values/55A-ara","Absent")</f>
        <v>Absent</v>
      </c>
      <c r="C21" s="2" t="str">
        <f t="shared" si="1"/>
        <v>Numeral Classifiers</v>
      </c>
      <c r="D21" s="2" t="str">
        <f>HYPERLINK("https://wals.info/languoid/lect/wals_code_ara","Arawak")</f>
        <v>Arawak</v>
      </c>
      <c r="E21" s="1"/>
      <c r="F21" s="1"/>
      <c r="G21" s="1"/>
    </row>
    <row r="22" ht="12.75" customHeight="1">
      <c r="A22" s="1" t="s">
        <v>33</v>
      </c>
      <c r="B22" s="2" t="str">
        <f>HYPERLINK("https://wals.info/values/55A-abo","Absent")</f>
        <v>Absent</v>
      </c>
      <c r="C22" s="2" t="str">
        <f t="shared" si="1"/>
        <v>Numeral Classifiers</v>
      </c>
      <c r="D22" s="2" t="str">
        <f>HYPERLINK("https://wals.info/languoid/lect/wals_code_abo","Arbore")</f>
        <v>Arbore</v>
      </c>
      <c r="E22" s="1"/>
      <c r="F22" s="1"/>
      <c r="G22" s="1" t="s">
        <v>34</v>
      </c>
    </row>
    <row r="23" ht="12.75" customHeight="1">
      <c r="A23" s="1" t="s">
        <v>35</v>
      </c>
      <c r="B23" s="2" t="str">
        <f>HYPERLINK("https://wals.info/values/55A-arm","Absent")</f>
        <v>Absent</v>
      </c>
      <c r="C23" s="2" t="str">
        <f t="shared" si="1"/>
        <v>Numeral Classifiers</v>
      </c>
      <c r="D23" s="2" t="str">
        <f>HYPERLINK("https://wals.info/languoid/lect/wals_code_arm","Armenian (Eastern)")</f>
        <v>Armenian (Eastern)</v>
      </c>
      <c r="E23" s="1"/>
      <c r="F23" s="1"/>
      <c r="G23" s="1" t="s">
        <v>36</v>
      </c>
    </row>
    <row r="24" ht="12.75" customHeight="1">
      <c r="A24" s="1" t="s">
        <v>37</v>
      </c>
      <c r="B24" s="2" t="str">
        <f>HYPERLINK("https://wals.info/values/55A-arz","Optional")</f>
        <v>Optional</v>
      </c>
      <c r="C24" s="2" t="str">
        <f t="shared" si="1"/>
        <v>Numeral Classifiers</v>
      </c>
      <c r="D24" s="2" t="str">
        <f>HYPERLINK("https://wals.info/languoid/lect/wals_code_arz","Armenian (Iranian)")</f>
        <v>Armenian (Iranian)</v>
      </c>
      <c r="E24" s="1"/>
      <c r="F24" s="1"/>
      <c r="G24" s="1"/>
    </row>
    <row r="25" ht="12.75" customHeight="1">
      <c r="A25" s="1" t="s">
        <v>38</v>
      </c>
      <c r="B25" s="2" t="str">
        <f>HYPERLINK("https://wals.info/values/55A-aro","Absent")</f>
        <v>Absent</v>
      </c>
      <c r="C25" s="2" t="str">
        <f t="shared" si="1"/>
        <v>Numeral Classifiers</v>
      </c>
      <c r="D25" s="2" t="str">
        <f>HYPERLINK("https://wals.info/languoid/lect/wals_code_aro","Arosi")</f>
        <v>Arosi</v>
      </c>
      <c r="E25" s="1"/>
      <c r="F25" s="1"/>
      <c r="G25" s="1" t="s">
        <v>39</v>
      </c>
    </row>
    <row r="26" ht="12.75" customHeight="1">
      <c r="A26" s="1" t="s">
        <v>40</v>
      </c>
      <c r="B26" s="2" t="str">
        <f>HYPERLINK("https://wals.info/values/55A-ass","Obligatory")</f>
        <v>Obligatory</v>
      </c>
      <c r="C26" s="2" t="str">
        <f t="shared" si="1"/>
        <v>Numeral Classifiers</v>
      </c>
      <c r="D26" s="2" t="str">
        <f>HYPERLINK("https://wals.info/languoid/lect/wals_code_ass","Assamese")</f>
        <v>Assamese</v>
      </c>
      <c r="E26" s="1"/>
      <c r="F26" s="1"/>
      <c r="G26" s="1"/>
    </row>
    <row r="27" ht="12.75" customHeight="1">
      <c r="A27" s="1" t="s">
        <v>41</v>
      </c>
      <c r="B27" s="2" t="str">
        <f>HYPERLINK("https://wals.info/values/55A-atk","Absent")</f>
        <v>Absent</v>
      </c>
      <c r="C27" s="2" t="str">
        <f t="shared" si="1"/>
        <v>Numeral Classifiers</v>
      </c>
      <c r="D27" s="2" t="str">
        <f>HYPERLINK("https://wals.info/languoid/lect/wals_code_atk","Atakapa")</f>
        <v>Atakapa</v>
      </c>
      <c r="E27" s="1"/>
      <c r="F27" s="1"/>
      <c r="G27" s="1" t="s">
        <v>11</v>
      </c>
    </row>
    <row r="28" ht="12.75" customHeight="1">
      <c r="A28" s="1" t="s">
        <v>42</v>
      </c>
      <c r="B28" s="2" t="str">
        <f>HYPERLINK("https://wals.info/values/55A-ata","Absent")</f>
        <v>Absent</v>
      </c>
      <c r="C28" s="2" t="str">
        <f t="shared" si="1"/>
        <v>Numeral Classifiers</v>
      </c>
      <c r="D28" s="2" t="str">
        <f>HYPERLINK("https://wals.info/languoid/lect/wals_code_ata","Atayal")</f>
        <v>Atayal</v>
      </c>
      <c r="E28" s="1"/>
      <c r="F28" s="1"/>
      <c r="G28" s="1"/>
    </row>
    <row r="29" ht="12.75" customHeight="1">
      <c r="A29" s="1" t="s">
        <v>43</v>
      </c>
      <c r="B29" s="2" t="str">
        <f>HYPERLINK("https://wals.info/values/55A-ath","Obligatory")</f>
        <v>Obligatory</v>
      </c>
      <c r="C29" s="2" t="str">
        <f t="shared" si="1"/>
        <v>Numeral Classifiers</v>
      </c>
      <c r="D29" s="2" t="str">
        <f>HYPERLINK("https://wals.info/languoid/lect/wals_code_ath","Athpare")</f>
        <v>Athpare</v>
      </c>
      <c r="E29" s="1"/>
      <c r="F29" s="1"/>
      <c r="G29" s="1" t="s">
        <v>44</v>
      </c>
    </row>
    <row r="30" ht="12.75" customHeight="1">
      <c r="A30" s="1" t="s">
        <v>45</v>
      </c>
      <c r="B30" s="2" t="str">
        <f>HYPERLINK("https://wals.info/values/55A-ava","Absent")</f>
        <v>Absent</v>
      </c>
      <c r="C30" s="2" t="str">
        <f t="shared" si="1"/>
        <v>Numeral Classifiers</v>
      </c>
      <c r="D30" s="2" t="str">
        <f>HYPERLINK("https://wals.info/languoid/lect/wals_code_ava","Avar")</f>
        <v>Avar</v>
      </c>
      <c r="E30" s="1"/>
      <c r="F30" s="1"/>
      <c r="G30" s="1"/>
    </row>
    <row r="31" ht="12.75" customHeight="1">
      <c r="A31" s="1" t="s">
        <v>46</v>
      </c>
      <c r="B31" s="2" t="str">
        <f>HYPERLINK("https://wals.info/values/55A-awt","Absent")</f>
        <v>Absent</v>
      </c>
      <c r="C31" s="2" t="str">
        <f t="shared" si="1"/>
        <v>Numeral Classifiers</v>
      </c>
      <c r="D31" s="2" t="str">
        <f>HYPERLINK("https://wals.info/languoid/lect/wals_code_awt","Awtuw")</f>
        <v>Awtuw</v>
      </c>
      <c r="E31" s="1"/>
      <c r="F31" s="1"/>
      <c r="G31" s="1" t="s">
        <v>11</v>
      </c>
    </row>
    <row r="32" ht="12.75" customHeight="1">
      <c r="A32" s="1" t="s">
        <v>47</v>
      </c>
      <c r="B32" s="2" t="str">
        <f>HYPERLINK("https://wals.info/values/55A-aze","Optional")</f>
        <v>Optional</v>
      </c>
      <c r="C32" s="2" t="str">
        <f t="shared" si="1"/>
        <v>Numeral Classifiers</v>
      </c>
      <c r="D32" s="2" t="str">
        <f>HYPERLINK("https://wals.info/languoid/lect/wals_code_aze","Azerbaijani")</f>
        <v>Azerbaijani</v>
      </c>
      <c r="E32" s="1"/>
      <c r="F32" s="1"/>
      <c r="G32" s="1" t="s">
        <v>48</v>
      </c>
    </row>
    <row r="33" ht="12.75" customHeight="1">
      <c r="A33" s="1" t="s">
        <v>49</v>
      </c>
      <c r="B33" s="2" t="str">
        <f>HYPERLINK("https://wals.info/values/55A-bgv","Absent")</f>
        <v>Absent</v>
      </c>
      <c r="C33" s="2" t="str">
        <f t="shared" si="1"/>
        <v>Numeral Classifiers</v>
      </c>
      <c r="D33" s="2" t="str">
        <f>HYPERLINK("https://wals.info/languoid/lect/wals_code_bgv","Bagvalal")</f>
        <v>Bagvalal</v>
      </c>
      <c r="E33" s="1"/>
      <c r="F33" s="1"/>
      <c r="G33" s="1" t="s">
        <v>50</v>
      </c>
    </row>
    <row r="34" ht="12.75" customHeight="1">
      <c r="A34" s="1" t="s">
        <v>51</v>
      </c>
      <c r="B34" s="2" t="str">
        <f>HYPERLINK("https://wals.info/values/55A-bal","Optional")</f>
        <v>Optional</v>
      </c>
      <c r="C34" s="2" t="str">
        <f t="shared" si="1"/>
        <v>Numeral Classifiers</v>
      </c>
      <c r="D34" s="2" t="str">
        <f>HYPERLINK("https://wals.info/languoid/lect/wals_code_bal","Balinese")</f>
        <v>Balinese</v>
      </c>
      <c r="E34" s="1"/>
      <c r="F34" s="1"/>
      <c r="G34" s="1"/>
    </row>
    <row r="35" ht="12.75" customHeight="1">
      <c r="A35" s="1" t="s">
        <v>52</v>
      </c>
      <c r="B35" s="2" t="str">
        <f>HYPERLINK("https://wals.info/values/55A-bnw","Obligatory")</f>
        <v>Obligatory</v>
      </c>
      <c r="C35" s="2" t="str">
        <f t="shared" si="1"/>
        <v>Numeral Classifiers</v>
      </c>
      <c r="D35" s="2" t="str">
        <f>HYPERLINK("https://wals.info/languoid/lect/wals_code_bnw","Baniwa")</f>
        <v>Baniwa</v>
      </c>
      <c r="E35" s="1"/>
      <c r="F35" s="1"/>
      <c r="G35" s="1" t="s">
        <v>53</v>
      </c>
    </row>
    <row r="36" ht="12.75" customHeight="1">
      <c r="A36" s="1" t="s">
        <v>54</v>
      </c>
      <c r="B36" s="2" t="str">
        <f>HYPERLINK("https://wals.info/values/55A-brl","Absent")</f>
        <v>Absent</v>
      </c>
      <c r="C36" s="2" t="str">
        <f t="shared" si="1"/>
        <v>Numeral Classifiers</v>
      </c>
      <c r="D36" s="2" t="str">
        <f>HYPERLINK("https://wals.info/languoid/lect/wals_code_brl","Baragaunle")</f>
        <v>Baragaunle</v>
      </c>
      <c r="E36" s="1"/>
      <c r="F36" s="1"/>
      <c r="G36" s="1" t="s">
        <v>44</v>
      </c>
    </row>
    <row r="37" ht="12.75" customHeight="1">
      <c r="A37" s="1" t="s">
        <v>55</v>
      </c>
      <c r="B37" s="2" t="str">
        <f>HYPERLINK("https://wals.info/values/55A-bae","Absent")</f>
        <v>Absent</v>
      </c>
      <c r="C37" s="2" t="str">
        <f t="shared" si="1"/>
        <v>Numeral Classifiers</v>
      </c>
      <c r="D37" s="2" t="str">
        <f>HYPERLINK("https://wals.info/languoid/lect/wals_code_bae","Baré")</f>
        <v>Baré</v>
      </c>
      <c r="E37" s="1"/>
      <c r="F37" s="1"/>
      <c r="G37" s="1" t="s">
        <v>56</v>
      </c>
    </row>
    <row r="38" ht="12.75" customHeight="1">
      <c r="A38" s="1" t="s">
        <v>57</v>
      </c>
      <c r="B38" s="2" t="str">
        <f>HYPERLINK("https://wals.info/values/55A-bsq","Absent")</f>
        <v>Absent</v>
      </c>
      <c r="C38" s="2" t="str">
        <f t="shared" si="1"/>
        <v>Numeral Classifiers</v>
      </c>
      <c r="D38" s="2" t="str">
        <f>HYPERLINK("https://wals.info/languoid/lect/wals_code_bsq","Basque")</f>
        <v>Basque</v>
      </c>
      <c r="E38" s="1"/>
      <c r="F38" s="1"/>
      <c r="G38" s="1" t="s">
        <v>11</v>
      </c>
    </row>
    <row r="39" ht="12.75" customHeight="1">
      <c r="A39" s="1" t="s">
        <v>58</v>
      </c>
      <c r="B39" s="2" t="str">
        <f>HYPERLINK("https://wals.info/values/55A-bkr","Optional")</f>
        <v>Optional</v>
      </c>
      <c r="C39" s="2" t="str">
        <f t="shared" si="1"/>
        <v>Numeral Classifiers</v>
      </c>
      <c r="D39" s="2" t="str">
        <f>HYPERLINK("https://wals.info/languoid/lect/wals_code_bkr","Batak (Karo)")</f>
        <v>Batak (Karo)</v>
      </c>
      <c r="E39" s="1"/>
      <c r="F39" s="1"/>
      <c r="G39" s="1" t="s">
        <v>59</v>
      </c>
    </row>
    <row r="40" ht="12.75" customHeight="1">
      <c r="A40" s="1" t="s">
        <v>60</v>
      </c>
      <c r="B40" s="2" t="str">
        <f>HYPERLINK("https://wals.info/values/55A-beg","Optional")</f>
        <v>Optional</v>
      </c>
      <c r="C40" s="2" t="str">
        <f t="shared" si="1"/>
        <v>Numeral Classifiers</v>
      </c>
      <c r="D40" s="2" t="str">
        <f>HYPERLINK("https://wals.info/languoid/lect/wals_code_beg","Begak-Ida'an")</f>
        <v>Begak-Ida'an</v>
      </c>
      <c r="E40" s="1"/>
      <c r="F40" s="1"/>
      <c r="G40" s="1"/>
    </row>
    <row r="41" ht="12.75" customHeight="1">
      <c r="A41" s="1" t="s">
        <v>61</v>
      </c>
      <c r="B41" s="2" t="str">
        <f>HYPERLINK("https://wals.info/values/55A-bel","Obligatory")</f>
        <v>Obligatory</v>
      </c>
      <c r="C41" s="2" t="str">
        <f t="shared" si="1"/>
        <v>Numeral Classifiers</v>
      </c>
      <c r="D41" s="2" t="str">
        <f>HYPERLINK("https://wals.info/languoid/lect/wals_code_bel","Belhare")</f>
        <v>Belhare</v>
      </c>
      <c r="E41" s="1"/>
      <c r="F41" s="1"/>
      <c r="G41" s="1"/>
    </row>
    <row r="42" ht="12.75" customHeight="1">
      <c r="A42" s="1" t="s">
        <v>62</v>
      </c>
      <c r="B42" s="2" t="str">
        <f>HYPERLINK("https://wals.info/values/55A-ben","Obligatory")</f>
        <v>Obligatory</v>
      </c>
      <c r="C42" s="2" t="str">
        <f t="shared" si="1"/>
        <v>Numeral Classifiers</v>
      </c>
      <c r="D42" s="2" t="str">
        <f>HYPERLINK("https://wals.info/languoid/lect/wals_code_ben","Bengali")</f>
        <v>Bengali</v>
      </c>
      <c r="E42" s="1"/>
      <c r="F42" s="1"/>
      <c r="G42" s="1"/>
    </row>
    <row r="43" ht="12.75" customHeight="1">
      <c r="A43" s="1" t="s">
        <v>63</v>
      </c>
      <c r="B43" s="2" t="str">
        <f>HYPERLINK("https://wals.info/values/55A-bit","Optional")</f>
        <v>Optional</v>
      </c>
      <c r="C43" s="2" t="str">
        <f t="shared" si="1"/>
        <v>Numeral Classifiers</v>
      </c>
      <c r="D43" s="2" t="str">
        <f>HYPERLINK("https://wals.info/languoid/lect/wals_code_bit","Biatah")</f>
        <v>Biatah</v>
      </c>
      <c r="E43" s="1"/>
      <c r="F43" s="1"/>
      <c r="G43" s="1" t="s">
        <v>64</v>
      </c>
    </row>
    <row r="44" ht="12.75" customHeight="1">
      <c r="A44" s="1" t="s">
        <v>65</v>
      </c>
      <c r="B44" s="2" t="str">
        <f>HYPERLINK("https://wals.info/values/55A-bok","Obligatory")</f>
        <v>Obligatory</v>
      </c>
      <c r="C44" s="2" t="str">
        <f t="shared" si="1"/>
        <v>Numeral Classifiers</v>
      </c>
      <c r="D44" s="2" t="str">
        <f>HYPERLINK("https://wals.info/languoid/lect/wals_code_bok","Boko")</f>
        <v>Boko</v>
      </c>
      <c r="E44" s="1"/>
      <c r="F44" s="1"/>
      <c r="G44" s="1" t="s">
        <v>66</v>
      </c>
    </row>
    <row r="45" ht="12.75" customHeight="1">
      <c r="A45" s="1" t="s">
        <v>67</v>
      </c>
      <c r="B45" s="2" t="str">
        <f>HYPERLINK("https://wals.info/values/55A-bor","Optional")</f>
        <v>Optional</v>
      </c>
      <c r="C45" s="2" t="str">
        <f t="shared" si="1"/>
        <v>Numeral Classifiers</v>
      </c>
      <c r="D45" s="2" t="str">
        <f>HYPERLINK("https://wals.info/languoid/lect/wals_code_bor","Bora")</f>
        <v>Bora</v>
      </c>
      <c r="E45" s="1"/>
      <c r="F45" s="1"/>
      <c r="G45" s="1" t="s">
        <v>19</v>
      </c>
    </row>
    <row r="46" ht="12.75" customHeight="1">
      <c r="A46" s="1" t="s">
        <v>68</v>
      </c>
      <c r="B46" s="2" t="str">
        <f>HYPERLINK("https://wals.info/values/55A-brh","Absent")</f>
        <v>Absent</v>
      </c>
      <c r="C46" s="2" t="str">
        <f t="shared" si="1"/>
        <v>Numeral Classifiers</v>
      </c>
      <c r="D46" s="2" t="str">
        <f>HYPERLINK("https://wals.info/languoid/lect/wals_code_brh","Brahui")</f>
        <v>Brahui</v>
      </c>
      <c r="E46" s="1"/>
      <c r="F46" s="1"/>
      <c r="G46" s="1" t="s">
        <v>69</v>
      </c>
    </row>
    <row r="47" ht="12.75" customHeight="1">
      <c r="A47" s="1" t="s">
        <v>70</v>
      </c>
      <c r="B47" s="2" t="str">
        <f>HYPERLINK("https://wals.info/values/55A-bul","Absent")</f>
        <v>Absent</v>
      </c>
      <c r="C47" s="2" t="str">
        <f t="shared" si="1"/>
        <v>Numeral Classifiers</v>
      </c>
      <c r="D47" s="2" t="str">
        <f>HYPERLINK("https://wals.info/languoid/lect/wals_code_bul","Bulgarian")</f>
        <v>Bulgarian</v>
      </c>
      <c r="E47" s="1"/>
      <c r="F47" s="1"/>
      <c r="G47" s="1"/>
    </row>
    <row r="48" ht="12.75" customHeight="1">
      <c r="A48" s="1" t="s">
        <v>71</v>
      </c>
      <c r="B48" s="2" t="str">
        <f>HYPERLINK("https://wals.info/values/55A-but","Absent")</f>
        <v>Absent</v>
      </c>
      <c r="C48" s="2" t="str">
        <f t="shared" si="1"/>
        <v>Numeral Classifiers</v>
      </c>
      <c r="D48" s="2" t="str">
        <f>HYPERLINK("https://wals.info/languoid/lect/wals_code_but","Buriat")</f>
        <v>Buriat</v>
      </c>
      <c r="E48" s="1"/>
      <c r="F48" s="1"/>
      <c r="G48" s="1" t="s">
        <v>72</v>
      </c>
    </row>
    <row r="49" ht="12.75" customHeight="1">
      <c r="A49" s="1" t="s">
        <v>73</v>
      </c>
      <c r="B49" s="2" t="str">
        <f>HYPERLINK("https://wals.info/values/55A-brm","Obligatory")</f>
        <v>Obligatory</v>
      </c>
      <c r="C49" s="2" t="str">
        <f t="shared" si="1"/>
        <v>Numeral Classifiers</v>
      </c>
      <c r="D49" s="2" t="str">
        <f>HYPERLINK("https://wals.info/languoid/lect/wals_code_brm","Burmese")</f>
        <v>Burmese</v>
      </c>
      <c r="E49" s="1"/>
      <c r="F49" s="1"/>
      <c r="G49" s="1" t="s">
        <v>74</v>
      </c>
    </row>
    <row r="50" ht="12.75" customHeight="1">
      <c r="A50" s="1" t="s">
        <v>75</v>
      </c>
      <c r="B50" s="2" t="str">
        <f>HYPERLINK("https://wals.info/values/55A-bur","Absent")</f>
        <v>Absent</v>
      </c>
      <c r="C50" s="2" t="str">
        <f t="shared" si="1"/>
        <v>Numeral Classifiers</v>
      </c>
      <c r="D50" s="2" t="str">
        <f>HYPERLINK("https://wals.info/languoid/lect/wals_code_bur","Burushaski")</f>
        <v>Burushaski</v>
      </c>
      <c r="E50" s="1"/>
      <c r="F50" s="1"/>
      <c r="G50" s="1"/>
    </row>
    <row r="51" ht="12.75" customHeight="1">
      <c r="A51" s="1" t="s">
        <v>76</v>
      </c>
      <c r="B51" s="2" t="str">
        <f>HYPERLINK("https://wals.info/values/55A-ckr","Absent")</f>
        <v>Absent</v>
      </c>
      <c r="C51" s="2" t="str">
        <f t="shared" si="1"/>
        <v>Numeral Classifiers</v>
      </c>
      <c r="D51" s="2" t="str">
        <f>HYPERLINK("https://wals.info/languoid/lect/wals_code_ckr","Canela-Krahô")</f>
        <v>Canela-Krahô</v>
      </c>
      <c r="E51" s="1"/>
      <c r="F51" s="1"/>
      <c r="G51" s="1" t="s">
        <v>11</v>
      </c>
    </row>
    <row r="52" ht="12.75" customHeight="1">
      <c r="A52" s="1" t="s">
        <v>77</v>
      </c>
      <c r="B52" s="2" t="str">
        <f>HYPERLINK("https://wals.info/values/55A-cnt","Obligatory")</f>
        <v>Obligatory</v>
      </c>
      <c r="C52" s="2" t="str">
        <f t="shared" si="1"/>
        <v>Numeral Classifiers</v>
      </c>
      <c r="D52" s="2" t="str">
        <f>HYPERLINK("https://wals.info/languoid/lect/wals_code_cnt","Cantonese")</f>
        <v>Cantonese</v>
      </c>
      <c r="E52" s="1"/>
      <c r="F52" s="1"/>
      <c r="G52" s="1"/>
    </row>
    <row r="53" ht="12.75" customHeight="1">
      <c r="A53" s="1" t="s">
        <v>78</v>
      </c>
      <c r="B53" s="2" t="str">
        <f>HYPERLINK("https://wals.info/values/55A-cap","Absent")</f>
        <v>Absent</v>
      </c>
      <c r="C53" s="2" t="str">
        <f t="shared" si="1"/>
        <v>Numeral Classifiers</v>
      </c>
      <c r="D53" s="2" t="str">
        <f>HYPERLINK("https://wals.info/languoid/lect/wals_code_cap","Capanahua")</f>
        <v>Capanahua</v>
      </c>
      <c r="E53" s="1"/>
      <c r="F53" s="1"/>
      <c r="G53" s="1" t="s">
        <v>19</v>
      </c>
    </row>
    <row r="54" ht="12.75" customHeight="1">
      <c r="A54" s="1" t="s">
        <v>79</v>
      </c>
      <c r="B54" s="2" t="str">
        <f>HYPERLINK("https://wals.info/values/55A-crq","Obligatory")</f>
        <v>Obligatory</v>
      </c>
      <c r="C54" s="2" t="str">
        <f t="shared" si="1"/>
        <v>Numeral Classifiers</v>
      </c>
      <c r="D54" s="2" t="str">
        <f>HYPERLINK("https://wals.info/languoid/lect/wals_code_crq","Carrier")</f>
        <v>Carrier</v>
      </c>
      <c r="E54" s="1"/>
      <c r="F54" s="1"/>
      <c r="G54" s="1"/>
    </row>
    <row r="55" ht="12.75" customHeight="1">
      <c r="A55" s="1" t="s">
        <v>80</v>
      </c>
      <c r="B55" s="2" t="str">
        <f>HYPERLINK("https://wals.info/values/55A-cyv","Absent")</f>
        <v>Absent</v>
      </c>
      <c r="C55" s="2" t="str">
        <f t="shared" si="1"/>
        <v>Numeral Classifiers</v>
      </c>
      <c r="D55" s="2" t="str">
        <f>HYPERLINK("https://wals.info/languoid/lect/wals_code_cyv","Cayuvava")</f>
        <v>Cayuvava</v>
      </c>
      <c r="E55" s="1"/>
      <c r="F55" s="1"/>
      <c r="G55" s="1" t="s">
        <v>81</v>
      </c>
    </row>
    <row r="56" ht="12.75" customHeight="1">
      <c r="A56" s="1" t="s">
        <v>82</v>
      </c>
      <c r="B56" s="2" t="str">
        <f>HYPERLINK("https://wals.info/values/55A-cme","Obligatory")</f>
        <v>Obligatory</v>
      </c>
      <c r="C56" s="2" t="str">
        <f t="shared" si="1"/>
        <v>Numeral Classifiers</v>
      </c>
      <c r="D56" s="2" t="str">
        <f>HYPERLINK("https://wals.info/languoid/lect/wals_code_cme","Cham (Eastern)")</f>
        <v>Cham (Eastern)</v>
      </c>
      <c r="E56" s="1"/>
      <c r="F56" s="1"/>
      <c r="G56" s="1" t="s">
        <v>83</v>
      </c>
    </row>
    <row r="57" ht="12.75" customHeight="1">
      <c r="A57" s="1" t="s">
        <v>84</v>
      </c>
      <c r="B57" s="2" t="str">
        <f>HYPERLINK("https://wals.info/values/55A-cha","Absent")</f>
        <v>Absent</v>
      </c>
      <c r="C57" s="2" t="str">
        <f t="shared" si="1"/>
        <v>Numeral Classifiers</v>
      </c>
      <c r="D57" s="2" t="str">
        <f>HYPERLINK("https://wals.info/languoid/lect/wals_code_cha","Chamorro")</f>
        <v>Chamorro</v>
      </c>
      <c r="E57" s="1"/>
      <c r="F57" s="1"/>
      <c r="G57" s="1" t="s">
        <v>11</v>
      </c>
    </row>
    <row r="58" ht="12.75" customHeight="1">
      <c r="A58" s="1" t="s">
        <v>85</v>
      </c>
      <c r="B58" s="2" t="str">
        <f>HYPERLINK("https://wals.info/values/55A-chw","Obligatory")</f>
        <v>Obligatory</v>
      </c>
      <c r="C58" s="2" t="str">
        <f t="shared" si="1"/>
        <v>Numeral Classifiers</v>
      </c>
      <c r="D58" s="2" t="str">
        <f>HYPERLINK("https://wals.info/languoid/lect/wals_code_chw","Cham (Western)")</f>
        <v>Cham (Western)</v>
      </c>
      <c r="E58" s="1"/>
      <c r="F58" s="1"/>
      <c r="G58" s="1" t="s">
        <v>86</v>
      </c>
    </row>
    <row r="59" ht="12.75" customHeight="1">
      <c r="A59" s="1" t="s">
        <v>87</v>
      </c>
      <c r="B59" s="2" t="str">
        <f>HYPERLINK("https://wals.info/values/55A-chn","Optional")</f>
        <v>Optional</v>
      </c>
      <c r="C59" s="2" t="str">
        <f t="shared" si="1"/>
        <v>Numeral Classifiers</v>
      </c>
      <c r="D59" s="2" t="str">
        <f>HYPERLINK("https://wals.info/languoid/lect/wals_code_chn","Chantyal")</f>
        <v>Chantyal</v>
      </c>
      <c r="E59" s="1"/>
      <c r="F59" s="1"/>
      <c r="G59" s="1" t="s">
        <v>44</v>
      </c>
    </row>
    <row r="60" ht="12.75" customHeight="1">
      <c r="A60" s="1" t="s">
        <v>88</v>
      </c>
      <c r="B60" s="2" t="str">
        <f>HYPERLINK("https://wals.info/values/55A-chy","Optional")</f>
        <v>Optional</v>
      </c>
      <c r="C60" s="2" t="str">
        <f t="shared" si="1"/>
        <v>Numeral Classifiers</v>
      </c>
      <c r="D60" s="2" t="str">
        <f>HYPERLINK("https://wals.info/languoid/lect/wals_code_chy","Chayahuita")</f>
        <v>Chayahuita</v>
      </c>
      <c r="E60" s="1"/>
      <c r="F60" s="1"/>
      <c r="G60" s="1" t="s">
        <v>19</v>
      </c>
    </row>
    <row r="61" ht="12.75" customHeight="1">
      <c r="A61" s="1" t="s">
        <v>89</v>
      </c>
      <c r="B61" s="2" t="str">
        <f>HYPERLINK("https://wals.info/values/55A-chc","Absent")</f>
        <v>Absent</v>
      </c>
      <c r="C61" s="2" t="str">
        <f t="shared" si="1"/>
        <v>Numeral Classifiers</v>
      </c>
      <c r="D61" s="2" t="str">
        <f>HYPERLINK("https://wals.info/languoid/lect/wals_code_chc","Chechen")</f>
        <v>Chechen</v>
      </c>
      <c r="E61" s="1"/>
      <c r="F61" s="1"/>
      <c r="G61" s="1" t="s">
        <v>11</v>
      </c>
    </row>
    <row r="62" ht="12.75" customHeight="1">
      <c r="A62" s="1" t="s">
        <v>90</v>
      </c>
      <c r="B62" s="2" t="str">
        <f>HYPERLINK("https://wals.info/values/55A-cpn","Absent")</f>
        <v>Absent</v>
      </c>
      <c r="C62" s="2" t="str">
        <f t="shared" si="1"/>
        <v>Numeral Classifiers</v>
      </c>
      <c r="D62" s="2" t="str">
        <f>HYPERLINK("https://wals.info/languoid/lect/wals_code_cpn","Chepang")</f>
        <v>Chepang</v>
      </c>
      <c r="E62" s="1"/>
      <c r="F62" s="1"/>
      <c r="G62" s="1" t="s">
        <v>44</v>
      </c>
    </row>
    <row r="63" ht="12.75" customHeight="1">
      <c r="A63" s="1" t="s">
        <v>91</v>
      </c>
      <c r="B63" s="2" t="str">
        <f>HYPERLINK("https://wals.info/values/55A-cjo","Absent")</f>
        <v>Absent</v>
      </c>
      <c r="C63" s="2" t="str">
        <f t="shared" si="1"/>
        <v>Numeral Classifiers</v>
      </c>
      <c r="D63" s="2" t="str">
        <f>HYPERLINK("https://wals.info/languoid/lect/wals_code_cjo","Chichimeca-Jonaz")</f>
        <v>Chichimeca-Jonaz</v>
      </c>
      <c r="E63" s="1"/>
      <c r="F63" s="1"/>
      <c r="G63" s="1" t="s">
        <v>11</v>
      </c>
    </row>
    <row r="64" ht="12.75" customHeight="1">
      <c r="A64" s="1" t="s">
        <v>92</v>
      </c>
      <c r="B64" s="2" t="str">
        <f>HYPERLINK("https://wals.info/values/55A-chi","Absent")</f>
        <v>Absent</v>
      </c>
      <c r="C64" s="2" t="str">
        <f t="shared" si="1"/>
        <v>Numeral Classifiers</v>
      </c>
      <c r="D64" s="2" t="str">
        <f>HYPERLINK("https://wals.info/languoid/lect/wals_code_chi","Chimariko")</f>
        <v>Chimariko</v>
      </c>
      <c r="E64" s="1"/>
      <c r="F64" s="1"/>
      <c r="G64" s="1" t="s">
        <v>11</v>
      </c>
    </row>
    <row r="65" ht="12.75" customHeight="1">
      <c r="A65" s="1" t="s">
        <v>93</v>
      </c>
      <c r="B65" s="2" t="str">
        <f>HYPERLINK("https://wals.info/values/55A-cku","Absent")</f>
        <v>Absent</v>
      </c>
      <c r="C65" s="2" t="str">
        <f t="shared" si="1"/>
        <v>Numeral Classifiers</v>
      </c>
      <c r="D65" s="2" t="str">
        <f>HYPERLINK("https://wals.info/languoid/lect/wals_code_cku","Chinook (Upper)")</f>
        <v>Chinook (Upper)</v>
      </c>
      <c r="E65" s="1"/>
      <c r="F65" s="1"/>
      <c r="G65" s="1" t="s">
        <v>11</v>
      </c>
    </row>
    <row r="66" ht="12.75" customHeight="1">
      <c r="A66" s="1" t="s">
        <v>94</v>
      </c>
      <c r="B66" s="2" t="str">
        <f>HYPERLINK("https://wals.info/values/55A-ctm","Absent")</f>
        <v>Absent</v>
      </c>
      <c r="C66" s="2" t="str">
        <f t="shared" si="1"/>
        <v>Numeral Classifiers</v>
      </c>
      <c r="D66" s="2" t="str">
        <f>HYPERLINK("https://wals.info/languoid/lect/wals_code_ctm","Chitimacha")</f>
        <v>Chitimacha</v>
      </c>
      <c r="E66" s="1"/>
      <c r="F66" s="1"/>
      <c r="G66" s="1" t="s">
        <v>11</v>
      </c>
    </row>
    <row r="67" ht="12.75" customHeight="1">
      <c r="A67" s="1" t="s">
        <v>95</v>
      </c>
      <c r="B67" s="2" t="str">
        <f>HYPERLINK("https://wals.info/values/55A-cct","Absent")</f>
        <v>Absent</v>
      </c>
      <c r="C67" s="2" t="str">
        <f t="shared" si="1"/>
        <v>Numeral Classifiers</v>
      </c>
      <c r="D67" s="2" t="str">
        <f>HYPERLINK("https://wals.info/languoid/lect/wals_code_cct","Choctaw")</f>
        <v>Choctaw</v>
      </c>
      <c r="E67" s="1"/>
      <c r="F67" s="1"/>
      <c r="G67" s="1" t="s">
        <v>11</v>
      </c>
    </row>
    <row r="68" ht="12.75" customHeight="1">
      <c r="A68" s="1" t="s">
        <v>96</v>
      </c>
      <c r="B68" s="2" t="str">
        <f>HYPERLINK("https://wals.info/values/55A-chx","Obligatory")</f>
        <v>Obligatory</v>
      </c>
      <c r="C68" s="2" t="str">
        <f t="shared" si="1"/>
        <v>Numeral Classifiers</v>
      </c>
      <c r="D68" s="2" t="str">
        <f>HYPERLINK("https://wals.info/languoid/lect/wals_code_chx","Chontal (Huamelultec Oaxaca)")</f>
        <v>Chontal (Huamelultec Oaxaca)</v>
      </c>
      <c r="E68" s="1"/>
      <c r="F68" s="1"/>
      <c r="G68" s="1" t="s">
        <v>11</v>
      </c>
    </row>
    <row r="69" ht="12.75" customHeight="1">
      <c r="A69" s="1" t="s">
        <v>97</v>
      </c>
      <c r="B69" s="2" t="str">
        <f>HYPERLINK("https://wals.info/values/55A-chk","Absent")</f>
        <v>Absent</v>
      </c>
      <c r="C69" s="2" t="str">
        <f t="shared" si="1"/>
        <v>Numeral Classifiers</v>
      </c>
      <c r="D69" s="2" t="str">
        <f>HYPERLINK("https://wals.info/languoid/lect/wals_code_chk","Chukchi")</f>
        <v>Chukchi</v>
      </c>
      <c r="E69" s="1"/>
      <c r="F69" s="1"/>
      <c r="G69" s="1" t="s">
        <v>11</v>
      </c>
    </row>
    <row r="70" ht="12.75" customHeight="1">
      <c r="A70" s="1" t="s">
        <v>98</v>
      </c>
      <c r="B70" s="2" t="str">
        <f>HYPERLINK("https://wals.info/values/55A-cba","Absent")</f>
        <v>Absent</v>
      </c>
      <c r="C70" s="2" t="str">
        <f t="shared" si="1"/>
        <v>Numeral Classifiers</v>
      </c>
      <c r="D70" s="2" t="str">
        <f>HYPERLINK("https://wals.info/languoid/lect/wals_code_cba","Chumash (Barbareño)")</f>
        <v>Chumash (Barbareño)</v>
      </c>
      <c r="E70" s="1"/>
      <c r="F70" s="1"/>
      <c r="G70" s="1"/>
    </row>
    <row r="71" ht="12.75" customHeight="1">
      <c r="A71" s="1" t="s">
        <v>99</v>
      </c>
      <c r="B71" s="2" t="str">
        <f>HYPERLINK("https://wals.info/values/55A-cin","Absent")</f>
        <v>Absent</v>
      </c>
      <c r="C71" s="2" t="str">
        <f t="shared" si="1"/>
        <v>Numeral Classifiers</v>
      </c>
      <c r="D71" s="2" t="str">
        <f>HYPERLINK("https://wals.info/languoid/lect/wals_code_cin","Chumash (Ineseño)")</f>
        <v>Chumash (Ineseño)</v>
      </c>
      <c r="E71" s="1"/>
      <c r="F71" s="1"/>
      <c r="G71" s="1" t="s">
        <v>11</v>
      </c>
    </row>
    <row r="72" ht="12.75" customHeight="1">
      <c r="A72" s="1" t="s">
        <v>100</v>
      </c>
      <c r="B72" s="2" t="str">
        <f>HYPERLINK("https://wals.info/values/55A-cuu","Obligatory")</f>
        <v>Obligatory</v>
      </c>
      <c r="C72" s="2" t="str">
        <f t="shared" si="1"/>
        <v>Numeral Classifiers</v>
      </c>
      <c r="D72" s="2" t="str">
        <f>HYPERLINK("https://wals.info/languoid/lect/wals_code_cuu","Chuukese")</f>
        <v>Chuukese</v>
      </c>
      <c r="E72" s="1"/>
      <c r="F72" s="1"/>
      <c r="G72" s="1" t="s">
        <v>101</v>
      </c>
    </row>
    <row r="73" ht="12.75" customHeight="1">
      <c r="A73" s="1" t="s">
        <v>102</v>
      </c>
      <c r="B73" s="2" t="str">
        <f>HYPERLINK("https://wals.info/values/55A-chv","Absent")</f>
        <v>Absent</v>
      </c>
      <c r="C73" s="2" t="str">
        <f t="shared" si="1"/>
        <v>Numeral Classifiers</v>
      </c>
      <c r="D73" s="2" t="str">
        <f>HYPERLINK("https://wals.info/languoid/lect/wals_code_chv","Chuvash")</f>
        <v>Chuvash</v>
      </c>
      <c r="E73" s="1"/>
      <c r="F73" s="1"/>
      <c r="G73" s="1" t="s">
        <v>103</v>
      </c>
    </row>
    <row r="74" ht="12.75" customHeight="1">
      <c r="A74" s="1" t="s">
        <v>104</v>
      </c>
      <c r="B74" s="2" t="str">
        <f>HYPERLINK("https://wals.info/values/55A-coo","Absent")</f>
        <v>Absent</v>
      </c>
      <c r="C74" s="2" t="str">
        <f t="shared" si="1"/>
        <v>Numeral Classifiers</v>
      </c>
      <c r="D74" s="2" t="str">
        <f>HYPERLINK("https://wals.info/languoid/lect/wals_code_coo","Coos (Hanis)")</f>
        <v>Coos (Hanis)</v>
      </c>
      <c r="E74" s="1"/>
      <c r="F74" s="1"/>
      <c r="G74" s="1" t="s">
        <v>11</v>
      </c>
    </row>
    <row r="75" ht="12.75" customHeight="1">
      <c r="A75" s="1" t="s">
        <v>105</v>
      </c>
      <c r="B75" s="2" t="str">
        <f>HYPERLINK("https://wals.info/values/55A-cre","Absent")</f>
        <v>Absent</v>
      </c>
      <c r="C75" s="2" t="str">
        <f t="shared" si="1"/>
        <v>Numeral Classifiers</v>
      </c>
      <c r="D75" s="2" t="str">
        <f>HYPERLINK("https://wals.info/languoid/lect/wals_code_cre","Cree (Plains)")</f>
        <v>Cree (Plains)</v>
      </c>
      <c r="E75" s="1"/>
      <c r="F75" s="1"/>
      <c r="G75" s="1" t="s">
        <v>11</v>
      </c>
    </row>
    <row r="76" ht="12.75" customHeight="1">
      <c r="A76" s="1" t="s">
        <v>106</v>
      </c>
      <c r="B76" s="2" t="str">
        <f>HYPERLINK("https://wals.info/values/55A-cul","Absent")</f>
        <v>Absent</v>
      </c>
      <c r="C76" s="2" t="str">
        <f t="shared" si="1"/>
        <v>Numeral Classifiers</v>
      </c>
      <c r="D76" s="2" t="str">
        <f>HYPERLINK("https://wals.info/languoid/lect/wals_code_cul","Culina")</f>
        <v>Culina</v>
      </c>
      <c r="E76" s="1"/>
      <c r="F76" s="1"/>
      <c r="G76" s="1" t="s">
        <v>19</v>
      </c>
    </row>
    <row r="77" ht="12.75" customHeight="1">
      <c r="A77" s="1" t="s">
        <v>107</v>
      </c>
      <c r="B77" s="2" t="str">
        <f>HYPERLINK("https://wals.info/values/55A-dga","Absent")</f>
        <v>Absent</v>
      </c>
      <c r="C77" s="2" t="str">
        <f t="shared" si="1"/>
        <v>Numeral Classifiers</v>
      </c>
      <c r="D77" s="2" t="str">
        <f>HYPERLINK("https://wals.info/languoid/lect/wals_code_dga","Dagaare")</f>
        <v>Dagaare</v>
      </c>
      <c r="E77" s="1"/>
      <c r="F77" s="1"/>
      <c r="G77" s="1" t="s">
        <v>108</v>
      </c>
    </row>
    <row r="78" ht="12.75" customHeight="1">
      <c r="A78" s="1" t="s">
        <v>109</v>
      </c>
      <c r="B78" s="2" t="str">
        <f>HYPERLINK("https://wals.info/values/55A-drg","Absent")</f>
        <v>Absent</v>
      </c>
      <c r="C78" s="2" t="str">
        <f t="shared" si="1"/>
        <v>Numeral Classifiers</v>
      </c>
      <c r="D78" s="2" t="str">
        <f>HYPERLINK("https://wals.info/languoid/lect/wals_code_drg","Dargwa")</f>
        <v>Dargwa</v>
      </c>
      <c r="E78" s="1"/>
      <c r="F78" s="1"/>
      <c r="G78" s="1"/>
    </row>
    <row r="79" ht="12.75" customHeight="1">
      <c r="A79" s="1" t="s">
        <v>110</v>
      </c>
      <c r="B79" s="2" t="str">
        <f>HYPERLINK("https://wals.info/values/55A-dat","Absent")</f>
        <v>Absent</v>
      </c>
      <c r="C79" s="2" t="str">
        <f t="shared" si="1"/>
        <v>Numeral Classifiers</v>
      </c>
      <c r="D79" s="2" t="str">
        <f>HYPERLINK("https://wals.info/languoid/lect/wals_code_dat","Datooga")</f>
        <v>Datooga</v>
      </c>
      <c r="E79" s="1"/>
      <c r="F79" s="1"/>
      <c r="G79" s="1"/>
    </row>
    <row r="80" ht="12.75" customHeight="1">
      <c r="A80" s="1" t="s">
        <v>111</v>
      </c>
      <c r="B80" s="2" t="str">
        <f>HYPERLINK("https://wals.info/values/55A-den","Absent")</f>
        <v>Absent</v>
      </c>
      <c r="C80" s="2" t="str">
        <f t="shared" si="1"/>
        <v>Numeral Classifiers</v>
      </c>
      <c r="D80" s="2" t="str">
        <f>HYPERLINK("https://wals.info/languoid/lect/wals_code_den","Dení")</f>
        <v>Dení</v>
      </c>
      <c r="E80" s="1"/>
      <c r="F80" s="1"/>
      <c r="G80" s="1" t="s">
        <v>19</v>
      </c>
    </row>
    <row r="81" ht="12.75" customHeight="1">
      <c r="A81" s="1" t="s">
        <v>112</v>
      </c>
      <c r="B81" s="2" t="str">
        <f>HYPERLINK("https://wals.info/values/55A-diz","Absent")</f>
        <v>Absent</v>
      </c>
      <c r="C81" s="2" t="str">
        <f t="shared" si="1"/>
        <v>Numeral Classifiers</v>
      </c>
      <c r="D81" s="2" t="str">
        <f>HYPERLINK("https://wals.info/languoid/lect/wals_code_diz","Dizi")</f>
        <v>Dizi</v>
      </c>
      <c r="E81" s="1"/>
      <c r="F81" s="1"/>
      <c r="G81" s="1" t="s">
        <v>11</v>
      </c>
    </row>
    <row r="82" ht="12.75" customHeight="1">
      <c r="A82" s="1" t="s">
        <v>113</v>
      </c>
      <c r="B82" s="2" t="str">
        <f>HYPERLINK("https://wals.info/values/55A-dji","Absent")</f>
        <v>Absent</v>
      </c>
      <c r="C82" s="2" t="str">
        <f t="shared" si="1"/>
        <v>Numeral Classifiers</v>
      </c>
      <c r="D82" s="2" t="str">
        <f>HYPERLINK("https://wals.info/languoid/lect/wals_code_dji","Djingili")</f>
        <v>Djingili</v>
      </c>
      <c r="E82" s="1"/>
      <c r="F82" s="1"/>
      <c r="G82" s="1" t="s">
        <v>11</v>
      </c>
    </row>
    <row r="83" ht="12.75" customHeight="1">
      <c r="A83" s="1" t="s">
        <v>114</v>
      </c>
      <c r="B83" s="2" t="str">
        <f>HYPERLINK("https://wals.info/values/55A-dob","Optional")</f>
        <v>Optional</v>
      </c>
      <c r="C83" s="2" t="str">
        <f t="shared" si="1"/>
        <v>Numeral Classifiers</v>
      </c>
      <c r="D83" s="2" t="str">
        <f>HYPERLINK("https://wals.info/languoid/lect/wals_code_dob","Dobel")</f>
        <v>Dobel</v>
      </c>
      <c r="E83" s="1"/>
      <c r="F83" s="1"/>
      <c r="G83" s="1" t="s">
        <v>115</v>
      </c>
    </row>
    <row r="84" ht="12.75" customHeight="1">
      <c r="A84" s="1" t="s">
        <v>116</v>
      </c>
      <c r="B84" s="2" t="str">
        <f>HYPERLINK("https://wals.info/values/55A-dre","Absent")</f>
        <v>Absent</v>
      </c>
      <c r="C84" s="2" t="str">
        <f t="shared" si="1"/>
        <v>Numeral Classifiers</v>
      </c>
      <c r="D84" s="2" t="str">
        <f>HYPERLINK("https://wals.info/languoid/lect/wals_code_dre","Drehu")</f>
        <v>Drehu</v>
      </c>
      <c r="E84" s="1"/>
      <c r="F84" s="1"/>
      <c r="G84" s="1" t="s">
        <v>11</v>
      </c>
    </row>
    <row r="85" ht="12.75" customHeight="1">
      <c r="A85" s="1" t="s">
        <v>117</v>
      </c>
      <c r="B85" s="2" t="str">
        <f>HYPERLINK("https://wals.info/values/55A-dum","Absent")</f>
        <v>Absent</v>
      </c>
      <c r="C85" s="2" t="str">
        <f t="shared" si="1"/>
        <v>Numeral Classifiers</v>
      </c>
      <c r="D85" s="2" t="str">
        <f>HYPERLINK("https://wals.info/languoid/lect/wals_code_dum","Dumo")</f>
        <v>Dumo</v>
      </c>
      <c r="E85" s="1"/>
      <c r="F85" s="1"/>
      <c r="G85" s="1" t="s">
        <v>11</v>
      </c>
    </row>
    <row r="86" ht="12.75" customHeight="1">
      <c r="A86" s="1" t="s">
        <v>118</v>
      </c>
      <c r="B86" s="2" t="str">
        <f>HYPERLINK("https://wals.info/values/55A-dyi","Absent")</f>
        <v>Absent</v>
      </c>
      <c r="C86" s="2" t="str">
        <f t="shared" si="1"/>
        <v>Numeral Classifiers</v>
      </c>
      <c r="D86" s="2" t="str">
        <f>HYPERLINK("https://wals.info/languoid/lect/wals_code_dyi","Dyirbal")</f>
        <v>Dyirbal</v>
      </c>
      <c r="E86" s="1"/>
      <c r="F86" s="1"/>
      <c r="G86" s="1" t="s">
        <v>11</v>
      </c>
    </row>
    <row r="87" ht="12.75" customHeight="1">
      <c r="A87" s="1" t="s">
        <v>119</v>
      </c>
      <c r="B87" s="2" t="str">
        <f>HYPERLINK("https://wals.info/values/55A-eng","Absent")</f>
        <v>Absent</v>
      </c>
      <c r="C87" s="2" t="str">
        <f t="shared" si="1"/>
        <v>Numeral Classifiers</v>
      </c>
      <c r="D87" s="2" t="str">
        <f>HYPERLINK("https://wals.info/languoid/lect/wals_code_eng","English")</f>
        <v>English</v>
      </c>
      <c r="E87" s="1"/>
      <c r="F87" s="1"/>
      <c r="G87" s="1"/>
    </row>
    <row r="88" ht="12.75" customHeight="1">
      <c r="A88" s="1" t="s">
        <v>120</v>
      </c>
      <c r="B88" s="2" t="str">
        <f>HYPERLINK("https://wals.info/values/55A-epe","Absent")</f>
        <v>Absent</v>
      </c>
      <c r="C88" s="2" t="str">
        <f t="shared" si="1"/>
        <v>Numeral Classifiers</v>
      </c>
      <c r="D88" s="2" t="str">
        <f>HYPERLINK("https://wals.info/languoid/lect/wals_code_epe","Epena Pedee")</f>
        <v>Epena Pedee</v>
      </c>
      <c r="E88" s="1"/>
      <c r="F88" s="1"/>
      <c r="G88" s="1" t="s">
        <v>121</v>
      </c>
    </row>
    <row r="89" ht="12.75" customHeight="1">
      <c r="A89" s="1" t="s">
        <v>122</v>
      </c>
      <c r="B89" s="2" t="str">
        <f>HYPERLINK("https://wals.info/values/55A-err","Absent")</f>
        <v>Absent</v>
      </c>
      <c r="C89" s="2" t="str">
        <f t="shared" si="1"/>
        <v>Numeral Classifiers</v>
      </c>
      <c r="D89" s="2" t="str">
        <f>HYPERLINK("https://wals.info/languoid/lect/wals_code_err","Erromangan")</f>
        <v>Erromangan</v>
      </c>
      <c r="E89" s="1"/>
      <c r="F89" s="1"/>
      <c r="G89" s="1" t="s">
        <v>123</v>
      </c>
    </row>
    <row r="90" ht="12.75" customHeight="1">
      <c r="A90" s="1" t="s">
        <v>124</v>
      </c>
      <c r="B90" s="2" t="str">
        <f>HYPERLINK("https://wals.info/values/55A-eve","Absent")</f>
        <v>Absent</v>
      </c>
      <c r="C90" s="2" t="str">
        <f t="shared" si="1"/>
        <v>Numeral Classifiers</v>
      </c>
      <c r="D90" s="2" t="str">
        <f>HYPERLINK("https://wals.info/languoid/lect/wals_code_eve","Evenki")</f>
        <v>Evenki</v>
      </c>
      <c r="E90" s="1"/>
      <c r="F90" s="1"/>
      <c r="G90" s="1" t="s">
        <v>125</v>
      </c>
    </row>
    <row r="91" ht="12.75" customHeight="1">
      <c r="A91" s="1" t="s">
        <v>126</v>
      </c>
      <c r="B91" s="2" t="str">
        <f>HYPERLINK("https://wals.info/values/55A-eya","Obligatory")</f>
        <v>Obligatory</v>
      </c>
      <c r="C91" s="2" t="str">
        <f t="shared" si="1"/>
        <v>Numeral Classifiers</v>
      </c>
      <c r="D91" s="2" t="str">
        <f>HYPERLINK("https://wals.info/languoid/lect/wals_code_eya","Eyak")</f>
        <v>Eyak</v>
      </c>
      <c r="E91" s="1"/>
      <c r="F91" s="1"/>
      <c r="G91" s="1" t="s">
        <v>127</v>
      </c>
    </row>
    <row r="92" ht="12.75" customHeight="1">
      <c r="A92" s="1" t="s">
        <v>128</v>
      </c>
      <c r="B92" s="2" t="str">
        <f>HYPERLINK("https://wals.info/values/55A-fij","Absent")</f>
        <v>Absent</v>
      </c>
      <c r="C92" s="2" t="str">
        <f t="shared" si="1"/>
        <v>Numeral Classifiers</v>
      </c>
      <c r="D92" s="2" t="str">
        <f>HYPERLINK("https://wals.info/languoid/lect/wals_code_fij","Fijian")</f>
        <v>Fijian</v>
      </c>
      <c r="E92" s="1"/>
      <c r="F92" s="1"/>
      <c r="G92" s="1" t="s">
        <v>129</v>
      </c>
    </row>
    <row r="93" ht="12.75" customHeight="1">
      <c r="A93" s="1" t="s">
        <v>130</v>
      </c>
      <c r="B93" s="2" t="str">
        <f>HYPERLINK("https://wals.info/values/55A-fin","Absent")</f>
        <v>Absent</v>
      </c>
      <c r="C93" s="2" t="str">
        <f t="shared" si="1"/>
        <v>Numeral Classifiers</v>
      </c>
      <c r="D93" s="2" t="str">
        <f>HYPERLINK("https://wals.info/languoid/lect/wals_code_fin","Finnish")</f>
        <v>Finnish</v>
      </c>
      <c r="E93" s="1"/>
      <c r="F93" s="1"/>
      <c r="G93" s="1"/>
    </row>
    <row r="94" ht="12.75" customHeight="1">
      <c r="A94" s="1" t="s">
        <v>131</v>
      </c>
      <c r="B94" s="2" t="str">
        <f>HYPERLINK("https://wals.info/values/55A-fre","Absent")</f>
        <v>Absent</v>
      </c>
      <c r="C94" s="2" t="str">
        <f t="shared" si="1"/>
        <v>Numeral Classifiers</v>
      </c>
      <c r="D94" s="2" t="str">
        <f>HYPERLINK("https://wals.info/languoid/lect/wals_code_fre","French")</f>
        <v>French</v>
      </c>
      <c r="E94" s="1"/>
      <c r="F94" s="1"/>
      <c r="G94" s="1"/>
    </row>
    <row r="95" ht="12.75" customHeight="1">
      <c r="A95" s="1" t="s">
        <v>132</v>
      </c>
      <c r="B95" s="2" t="str">
        <f>HYPERLINK("https://wals.info/values/55A-fma","Absent")</f>
        <v>Absent</v>
      </c>
      <c r="C95" s="2" t="str">
        <f t="shared" si="1"/>
        <v>Numeral Classifiers</v>
      </c>
      <c r="D95" s="2" t="str">
        <f>HYPERLINK("https://wals.info/languoid/lect/wals_code_fma","Fula (Mauritanian)")</f>
        <v>Fula (Mauritanian)</v>
      </c>
      <c r="E95" s="1"/>
      <c r="F95" s="1"/>
      <c r="G95" s="1"/>
    </row>
    <row r="96" ht="12.75" customHeight="1">
      <c r="A96" s="1" t="s">
        <v>133</v>
      </c>
      <c r="B96" s="2" t="str">
        <f>HYPERLINK("https://wals.info/values/55A-fur","Absent")</f>
        <v>Absent</v>
      </c>
      <c r="C96" s="2" t="str">
        <f t="shared" si="1"/>
        <v>Numeral Classifiers</v>
      </c>
      <c r="D96" s="2" t="str">
        <f>HYPERLINK("https://wals.info/languoid/lect/wals_code_fur","Fur")</f>
        <v>Fur</v>
      </c>
      <c r="E96" s="1"/>
      <c r="F96" s="1"/>
      <c r="G96" s="1" t="s">
        <v>11</v>
      </c>
    </row>
    <row r="97" ht="12.75" customHeight="1">
      <c r="A97" s="1" t="s">
        <v>134</v>
      </c>
      <c r="B97" s="2" t="str">
        <f>HYPERLINK("https://wals.info/values/55A-fut","Absent")</f>
        <v>Absent</v>
      </c>
      <c r="C97" s="2" t="str">
        <f t="shared" si="1"/>
        <v>Numeral Classifiers</v>
      </c>
      <c r="D97" s="2" t="str">
        <f>HYPERLINK("https://wals.info/languoid/lect/wals_code_fut","Futuna-Aniwa")</f>
        <v>Futuna-Aniwa</v>
      </c>
      <c r="E97" s="1"/>
      <c r="F97" s="1"/>
      <c r="G97" s="1" t="s">
        <v>11</v>
      </c>
    </row>
    <row r="98" ht="12.75" customHeight="1">
      <c r="A98" s="1" t="s">
        <v>135</v>
      </c>
      <c r="B98" s="2" t="str">
        <f>HYPERLINK("https://wals.info/values/55A-gaa","Absent")</f>
        <v>Absent</v>
      </c>
      <c r="C98" s="2" t="str">
        <f t="shared" si="1"/>
        <v>Numeral Classifiers</v>
      </c>
      <c r="D98" s="2" t="str">
        <f>HYPERLINK("https://wals.info/languoid/lect/wals_code_gaa","Gaagudju")</f>
        <v>Gaagudju</v>
      </c>
      <c r="E98" s="1"/>
      <c r="F98" s="1"/>
      <c r="G98" s="1" t="s">
        <v>136</v>
      </c>
    </row>
    <row r="99" ht="12.75" customHeight="1">
      <c r="A99" s="1" t="s">
        <v>137</v>
      </c>
      <c r="B99" s="2" t="str">
        <f>HYPERLINK("https://wals.info/values/55A-gar","Obligatory")</f>
        <v>Obligatory</v>
      </c>
      <c r="C99" s="2" t="str">
        <f t="shared" si="1"/>
        <v>Numeral Classifiers</v>
      </c>
      <c r="D99" s="2" t="str">
        <f>HYPERLINK("https://wals.info/languoid/lect/wals_code_gar","Garo")</f>
        <v>Garo</v>
      </c>
      <c r="E99" s="1"/>
      <c r="F99" s="1"/>
      <c r="G99" s="1" t="s">
        <v>138</v>
      </c>
    </row>
    <row r="100" ht="12.75" customHeight="1">
      <c r="A100" s="1" t="s">
        <v>139</v>
      </c>
      <c r="B100" s="2" t="str">
        <f>HYPERLINK("https://wals.info/values/55A-grr","Absent")</f>
        <v>Absent</v>
      </c>
      <c r="C100" s="2" t="str">
        <f t="shared" si="1"/>
        <v>Numeral Classifiers</v>
      </c>
      <c r="D100" s="2" t="str">
        <f>HYPERLINK("https://wals.info/languoid/lect/wals_code_grr","Garrwa")</f>
        <v>Garrwa</v>
      </c>
      <c r="E100" s="1"/>
      <c r="F100" s="1"/>
      <c r="G100" s="1" t="s">
        <v>11</v>
      </c>
    </row>
    <row r="101" ht="12.75" customHeight="1">
      <c r="A101" s="1" t="s">
        <v>140</v>
      </c>
      <c r="B101" s="2" t="str">
        <f>HYPERLINK("https://wals.info/values/55A-gav","Absent")</f>
        <v>Absent</v>
      </c>
      <c r="C101" s="2" t="str">
        <f t="shared" si="1"/>
        <v>Numeral Classifiers</v>
      </c>
      <c r="D101" s="2" t="str">
        <f>HYPERLINK("https://wals.info/languoid/lect/wals_code_gav","Gavião")</f>
        <v>Gavião</v>
      </c>
      <c r="E101" s="1"/>
      <c r="F101" s="1"/>
      <c r="G101" s="1" t="s">
        <v>141</v>
      </c>
    </row>
    <row r="102" ht="12.75" customHeight="1">
      <c r="A102" s="1" t="s">
        <v>142</v>
      </c>
      <c r="B102" s="2" t="str">
        <f>HYPERLINK("https://wals.info/values/55A-gbb","Absent")</f>
        <v>Absent</v>
      </c>
      <c r="C102" s="2" t="str">
        <f t="shared" si="1"/>
        <v>Numeral Classifiers</v>
      </c>
      <c r="D102" s="2" t="str">
        <f>HYPERLINK("https://wals.info/languoid/lect/wals_code_gbb","Gbeya Bossangoa")</f>
        <v>Gbeya Bossangoa</v>
      </c>
      <c r="E102" s="1"/>
      <c r="F102" s="1"/>
      <c r="G102" s="1" t="s">
        <v>11</v>
      </c>
    </row>
    <row r="103" ht="12.75" customHeight="1">
      <c r="A103" s="1" t="s">
        <v>143</v>
      </c>
      <c r="B103" s="2" t="str">
        <f>HYPERLINK("https://wals.info/values/55A-geo","Absent")</f>
        <v>Absent</v>
      </c>
      <c r="C103" s="2" t="str">
        <f t="shared" si="1"/>
        <v>Numeral Classifiers</v>
      </c>
      <c r="D103" s="2" t="str">
        <f>HYPERLINK("https://wals.info/languoid/lect/wals_code_geo","Georgian")</f>
        <v>Georgian</v>
      </c>
      <c r="E103" s="1"/>
      <c r="F103" s="1"/>
      <c r="G103" s="1"/>
    </row>
    <row r="104" ht="12.75" customHeight="1">
      <c r="A104" s="1" t="s">
        <v>144</v>
      </c>
      <c r="B104" s="2" t="str">
        <f>HYPERLINK("https://wals.info/values/55A-ger","Absent")</f>
        <v>Absent</v>
      </c>
      <c r="C104" s="2" t="str">
        <f t="shared" si="1"/>
        <v>Numeral Classifiers</v>
      </c>
      <c r="D104" s="2" t="str">
        <f>HYPERLINK("https://wals.info/languoid/lect/wals_code_ger","German")</f>
        <v>German</v>
      </c>
      <c r="E104" s="1"/>
      <c r="F104" s="1"/>
      <c r="G104" s="1"/>
    </row>
    <row r="105" ht="12.75" customHeight="1">
      <c r="A105" s="1" t="s">
        <v>145</v>
      </c>
      <c r="B105" s="2" t="str">
        <f>HYPERLINK("https://wals.info/values/55A-gil","Optional")</f>
        <v>Optional</v>
      </c>
      <c r="C105" s="2" t="str">
        <f t="shared" si="1"/>
        <v>Numeral Classifiers</v>
      </c>
      <c r="D105" s="2" t="str">
        <f>HYPERLINK("https://wals.info/languoid/lect/wals_code_gil","Gilaki")</f>
        <v>Gilaki</v>
      </c>
      <c r="E105" s="1"/>
      <c r="F105" s="1"/>
      <c r="G105" s="1"/>
    </row>
    <row r="106" ht="12.75" customHeight="1">
      <c r="A106" s="1" t="s">
        <v>146</v>
      </c>
      <c r="B106" s="2" t="str">
        <f>HYPERLINK("https://wals.info/values/55A-goo","Absent")</f>
        <v>Absent</v>
      </c>
      <c r="C106" s="2" t="str">
        <f t="shared" si="1"/>
        <v>Numeral Classifiers</v>
      </c>
      <c r="D106" s="2" t="str">
        <f>HYPERLINK("https://wals.info/languoid/lect/wals_code_goo","Gooniyandi")</f>
        <v>Gooniyandi</v>
      </c>
      <c r="E106" s="1"/>
      <c r="F106" s="1"/>
      <c r="G106" s="1" t="s">
        <v>147</v>
      </c>
    </row>
    <row r="107" ht="12.75" customHeight="1">
      <c r="A107" s="1" t="s">
        <v>148</v>
      </c>
      <c r="B107" s="2" t="str">
        <f>HYPERLINK("https://wals.info/values/55A-gua","Absent")</f>
        <v>Absent</v>
      </c>
      <c r="C107" s="2" t="str">
        <f t="shared" si="1"/>
        <v>Numeral Classifiers</v>
      </c>
      <c r="D107" s="2" t="str">
        <f>HYPERLINK("https://wals.info/languoid/lect/wals_code_gua","Guaraní")</f>
        <v>Guaraní</v>
      </c>
      <c r="E107" s="1"/>
      <c r="F107" s="1"/>
      <c r="G107" s="1" t="s">
        <v>11</v>
      </c>
    </row>
    <row r="108" ht="12.75" customHeight="1">
      <c r="A108" s="1" t="s">
        <v>149</v>
      </c>
      <c r="B108" s="2" t="str">
        <f>HYPERLINK("https://wals.info/values/55A-gdf","Absent")</f>
        <v>Absent</v>
      </c>
      <c r="C108" s="2" t="str">
        <f t="shared" si="1"/>
        <v>Numeral Classifiers</v>
      </c>
      <c r="D108" s="2" t="str">
        <f>HYPERLINK("https://wals.info/languoid/lect/wals_code_gdf","Guduf")</f>
        <v>Guduf</v>
      </c>
      <c r="E108" s="1"/>
      <c r="F108" s="1"/>
      <c r="G108" s="1"/>
    </row>
    <row r="109" ht="12.75" customHeight="1">
      <c r="A109" s="1" t="s">
        <v>150</v>
      </c>
      <c r="B109" s="2" t="str">
        <f>HYPERLINK("https://wals.info/values/55A-gnn","Absent")</f>
        <v>Absent</v>
      </c>
      <c r="C109" s="2" t="str">
        <f t="shared" si="1"/>
        <v>Numeral Classifiers</v>
      </c>
      <c r="D109" s="2" t="str">
        <f>HYPERLINK("https://wals.info/languoid/lect/wals_code_gnn","Gunin")</f>
        <v>Gunin</v>
      </c>
      <c r="E109" s="1"/>
      <c r="F109" s="1"/>
      <c r="G109" s="1" t="s">
        <v>151</v>
      </c>
    </row>
    <row r="110" ht="12.75" customHeight="1">
      <c r="A110" s="1" t="s">
        <v>152</v>
      </c>
      <c r="B110" s="2" t="str">
        <f>HYPERLINK("https://wals.info/values/55A-hai","Optional")</f>
        <v>Optional</v>
      </c>
      <c r="C110" s="2" t="str">
        <f t="shared" si="1"/>
        <v>Numeral Classifiers</v>
      </c>
      <c r="D110" s="2" t="str">
        <f>HYPERLINK("https://wals.info/languoid/lect/wals_code_hai","Haida")</f>
        <v>Haida</v>
      </c>
      <c r="E110" s="1"/>
      <c r="F110" s="1"/>
      <c r="G110" s="1" t="s">
        <v>153</v>
      </c>
    </row>
    <row r="111" ht="12.75" customHeight="1">
      <c r="A111" s="1" t="s">
        <v>154</v>
      </c>
      <c r="B111" s="2" t="str">
        <f>HYPERLINK("https://wals.info/values/55A-hat","Optional")</f>
        <v>Optional</v>
      </c>
      <c r="C111" s="2" t="str">
        <f t="shared" si="1"/>
        <v>Numeral Classifiers</v>
      </c>
      <c r="D111" s="2" t="str">
        <f>HYPERLINK("https://wals.info/languoid/lect/wals_code_hat","Hatam")</f>
        <v>Hatam</v>
      </c>
      <c r="E111" s="1"/>
      <c r="F111" s="1"/>
      <c r="G111" s="1" t="s">
        <v>155</v>
      </c>
    </row>
    <row r="112" ht="12.75" customHeight="1">
      <c r="A112" s="1" t="s">
        <v>156</v>
      </c>
      <c r="B112" s="2" t="str">
        <f>HYPERLINK("https://wals.info/values/55A-hau","Absent")</f>
        <v>Absent</v>
      </c>
      <c r="C112" s="2" t="str">
        <f t="shared" si="1"/>
        <v>Numeral Classifiers</v>
      </c>
      <c r="D112" s="2" t="str">
        <f>HYPERLINK("https://wals.info/languoid/lect/wals_code_hau","Hausa")</f>
        <v>Hausa</v>
      </c>
      <c r="E112" s="1"/>
      <c r="F112" s="1"/>
      <c r="G112" s="1" t="s">
        <v>11</v>
      </c>
    </row>
    <row r="113" ht="12.75" customHeight="1">
      <c r="A113" s="1" t="s">
        <v>157</v>
      </c>
      <c r="B113" s="2" t="str">
        <f>HYPERLINK("https://wals.info/values/55A-haw","Absent")</f>
        <v>Absent</v>
      </c>
      <c r="C113" s="2" t="str">
        <f t="shared" si="1"/>
        <v>Numeral Classifiers</v>
      </c>
      <c r="D113" s="2" t="str">
        <f>HYPERLINK("https://wals.info/languoid/lect/wals_code_haw","Hawaiian")</f>
        <v>Hawaiian</v>
      </c>
      <c r="E113" s="1"/>
      <c r="F113" s="1"/>
      <c r="G113" s="1" t="s">
        <v>158</v>
      </c>
    </row>
    <row r="114" ht="12.75" customHeight="1">
      <c r="A114" s="1" t="s">
        <v>159</v>
      </c>
      <c r="B114" s="2" t="str">
        <f>HYPERLINK("https://wals.info/values/55A-heb","Absent")</f>
        <v>Absent</v>
      </c>
      <c r="C114" s="2" t="str">
        <f t="shared" si="1"/>
        <v>Numeral Classifiers</v>
      </c>
      <c r="D114" s="2" t="str">
        <f>HYPERLINK("https://wals.info/languoid/lect/wals_code_heb","Hebrew (Modern)")</f>
        <v>Hebrew (Modern)</v>
      </c>
      <c r="E114" s="1"/>
      <c r="F114" s="1"/>
      <c r="G114" s="1"/>
    </row>
    <row r="115" ht="12.75" customHeight="1">
      <c r="A115" s="1" t="s">
        <v>160</v>
      </c>
      <c r="B115" s="2" t="str">
        <f>HYPERLINK("https://wals.info/values/55A-hin","Absent")</f>
        <v>Absent</v>
      </c>
      <c r="C115" s="2" t="str">
        <f t="shared" si="1"/>
        <v>Numeral Classifiers</v>
      </c>
      <c r="D115" s="2" t="str">
        <f>HYPERLINK("https://wals.info/languoid/lect/wals_code_hin","Hindi")</f>
        <v>Hindi</v>
      </c>
      <c r="E115" s="1"/>
      <c r="F115" s="1"/>
      <c r="G115" s="1"/>
    </row>
    <row r="116" ht="12.75" customHeight="1">
      <c r="A116" s="1" t="s">
        <v>161</v>
      </c>
      <c r="B116" s="2" t="str">
        <f>HYPERLINK("https://wals.info/values/55A-hix","Absent")</f>
        <v>Absent</v>
      </c>
      <c r="C116" s="2" t="str">
        <f t="shared" si="1"/>
        <v>Numeral Classifiers</v>
      </c>
      <c r="D116" s="2" t="str">
        <f>HYPERLINK("https://wals.info/languoid/lect/wals_code_hix","Hixkaryana")</f>
        <v>Hixkaryana</v>
      </c>
      <c r="E116" s="1"/>
      <c r="F116" s="1"/>
      <c r="G116" s="1" t="s">
        <v>162</v>
      </c>
    </row>
    <row r="117" ht="12.75" customHeight="1">
      <c r="A117" s="1" t="s">
        <v>163</v>
      </c>
      <c r="B117" s="2" t="str">
        <f>HYPERLINK("https://wals.info/values/55A-hmd","Obligatory")</f>
        <v>Obligatory</v>
      </c>
      <c r="C117" s="2" t="str">
        <f t="shared" si="1"/>
        <v>Numeral Classifiers</v>
      </c>
      <c r="D117" s="2" t="str">
        <f>HYPERLINK("https://wals.info/languoid/lect/wals_code_hmd","Hmong Daw")</f>
        <v>Hmong Daw</v>
      </c>
      <c r="E117" s="1"/>
      <c r="F117" s="1"/>
      <c r="G117" s="1"/>
    </row>
    <row r="118" ht="12.75" customHeight="1">
      <c r="A118" s="1" t="s">
        <v>164</v>
      </c>
      <c r="B118" s="2" t="str">
        <f>HYPERLINK("https://wals.info/values/55A-hok","Optional")</f>
        <v>Optional</v>
      </c>
      <c r="C118" s="2" t="str">
        <f t="shared" si="1"/>
        <v>Numeral Classifiers</v>
      </c>
      <c r="D118" s="2" t="str">
        <f>HYPERLINK("https://wals.info/languoid/lect/wals_code_hok","Hokkien")</f>
        <v>Hokkien</v>
      </c>
      <c r="E118" s="1"/>
      <c r="F118" s="1"/>
      <c r="G118" s="1"/>
    </row>
    <row r="119" ht="12.75" customHeight="1">
      <c r="A119" s="1" t="s">
        <v>165</v>
      </c>
      <c r="B119" s="2" t="str">
        <f>HYPERLINK("https://wals.info/values/55A-hua","Absent")</f>
        <v>Absent</v>
      </c>
      <c r="C119" s="2" t="str">
        <f t="shared" si="1"/>
        <v>Numeral Classifiers</v>
      </c>
      <c r="D119" s="2" t="str">
        <f>HYPERLINK("https://wals.info/languoid/lect/wals_code_hua","Hua")</f>
        <v>Hua</v>
      </c>
      <c r="E119" s="1"/>
      <c r="F119" s="1"/>
      <c r="G119" s="1" t="s">
        <v>11</v>
      </c>
    </row>
    <row r="120" ht="12.75" customHeight="1">
      <c r="A120" s="1" t="s">
        <v>166</v>
      </c>
      <c r="B120" s="2" t="str">
        <f>HYPERLINK("https://wals.info/values/55A-hun","Optional")</f>
        <v>Optional</v>
      </c>
      <c r="C120" s="2" t="str">
        <f t="shared" si="1"/>
        <v>Numeral Classifiers</v>
      </c>
      <c r="D120" s="2" t="str">
        <f>HYPERLINK("https://wals.info/languoid/lect/wals_code_hun","Hungarian")</f>
        <v>Hungarian</v>
      </c>
      <c r="E120" s="1"/>
      <c r="F120" s="1"/>
      <c r="G120" s="1" t="s">
        <v>167</v>
      </c>
    </row>
    <row r="121" ht="12.75" customHeight="1">
      <c r="A121" s="1" t="s">
        <v>168</v>
      </c>
      <c r="B121" s="2" t="str">
        <f>HYPERLINK("https://wals.info/values/55A-hzb","Absent")</f>
        <v>Absent</v>
      </c>
      <c r="C121" s="2" t="str">
        <f t="shared" si="1"/>
        <v>Numeral Classifiers</v>
      </c>
      <c r="D121" s="2" t="str">
        <f>HYPERLINK("https://wals.info/languoid/lect/wals_code_hzb","Hunzib")</f>
        <v>Hunzib</v>
      </c>
      <c r="E121" s="1"/>
      <c r="F121" s="1"/>
      <c r="G121" s="1"/>
    </row>
    <row r="122" ht="12.75" customHeight="1">
      <c r="A122" s="1" t="s">
        <v>169</v>
      </c>
      <c r="B122" s="2" t="str">
        <f>HYPERLINK("https://wals.info/values/55A-hpd","Absent")</f>
        <v>Absent</v>
      </c>
      <c r="C122" s="2" t="str">
        <f t="shared" si="1"/>
        <v>Numeral Classifiers</v>
      </c>
      <c r="D122" s="2" t="str">
        <f>HYPERLINK("https://wals.info/languoid/lect/wals_code_hpd","Hup")</f>
        <v>Hup</v>
      </c>
      <c r="E122" s="1"/>
      <c r="F122" s="1"/>
      <c r="G122" s="1"/>
    </row>
    <row r="123" ht="12.75" customHeight="1">
      <c r="A123" s="1" t="s">
        <v>170</v>
      </c>
      <c r="B123" s="2" t="str">
        <f>HYPERLINK("https://wals.info/values/55A-hyo","Obligatory")</f>
        <v>Obligatory</v>
      </c>
      <c r="C123" s="2" t="str">
        <f t="shared" si="1"/>
        <v>Numeral Classifiers</v>
      </c>
      <c r="D123" s="2" t="str">
        <f>HYPERLINK("https://wals.info/languoid/lect/wals_code_hyo","Hyow")</f>
        <v>Hyow</v>
      </c>
      <c r="E123" s="1"/>
      <c r="F123" s="1"/>
      <c r="G123" s="1"/>
    </row>
    <row r="124" ht="12.75" customHeight="1">
      <c r="A124" s="1" t="s">
        <v>171</v>
      </c>
      <c r="B124" s="2" t="str">
        <f>HYPERLINK("https://wals.info/values/55A-iaa","Absent")</f>
        <v>Absent</v>
      </c>
      <c r="C124" s="2" t="str">
        <f t="shared" si="1"/>
        <v>Numeral Classifiers</v>
      </c>
      <c r="D124" s="2" t="str">
        <f>HYPERLINK("https://wals.info/languoid/lect/wals_code_iaa","Iaai")</f>
        <v>Iaai</v>
      </c>
      <c r="E124" s="1"/>
      <c r="F124" s="1"/>
      <c r="G124" s="1" t="s">
        <v>172</v>
      </c>
    </row>
    <row r="125" ht="12.75" customHeight="1">
      <c r="A125" s="1" t="s">
        <v>173</v>
      </c>
      <c r="B125" s="2" t="str">
        <f>HYPERLINK("https://wals.info/values/55A-igb","Absent")</f>
        <v>Absent</v>
      </c>
      <c r="C125" s="2" t="str">
        <f t="shared" si="1"/>
        <v>Numeral Classifiers</v>
      </c>
      <c r="D125" s="2" t="str">
        <f>HYPERLINK("https://wals.info/languoid/lect/wals_code_igb","Igbo")</f>
        <v>Igbo</v>
      </c>
      <c r="E125" s="1"/>
      <c r="F125" s="1"/>
      <c r="G125" s="1" t="s">
        <v>174</v>
      </c>
    </row>
    <row r="126" ht="12.75" customHeight="1">
      <c r="A126" s="1" t="s">
        <v>175</v>
      </c>
      <c r="B126" s="2" t="str">
        <f>HYPERLINK("https://wals.info/values/55A-ika","Absent")</f>
        <v>Absent</v>
      </c>
      <c r="C126" s="2" t="str">
        <f t="shared" si="1"/>
        <v>Numeral Classifiers</v>
      </c>
      <c r="D126" s="2" t="str">
        <f>HYPERLINK("https://wals.info/languoid/lect/wals_code_ika","Ika")</f>
        <v>Ika</v>
      </c>
      <c r="E126" s="1"/>
      <c r="F126" s="1"/>
      <c r="G126" s="1" t="s">
        <v>176</v>
      </c>
    </row>
    <row r="127" ht="12.75" customHeight="1">
      <c r="A127" s="1" t="s">
        <v>177</v>
      </c>
      <c r="B127" s="2" t="str">
        <f>HYPERLINK("https://wals.info/values/55A-imo","Absent")</f>
        <v>Absent</v>
      </c>
      <c r="C127" s="2" t="str">
        <f t="shared" si="1"/>
        <v>Numeral Classifiers</v>
      </c>
      <c r="D127" s="2" t="str">
        <f>HYPERLINK("https://wals.info/languoid/lect/wals_code_imo","Imonda")</f>
        <v>Imonda</v>
      </c>
      <c r="E127" s="1"/>
      <c r="F127" s="1"/>
      <c r="G127" s="1" t="s">
        <v>178</v>
      </c>
    </row>
    <row r="128" ht="12.75" customHeight="1">
      <c r="A128" s="1" t="s">
        <v>179</v>
      </c>
      <c r="B128" s="2" t="str">
        <f>HYPERLINK("https://wals.info/values/55A-ind","Optional")</f>
        <v>Optional</v>
      </c>
      <c r="C128" s="2" t="str">
        <f t="shared" si="1"/>
        <v>Numeral Classifiers</v>
      </c>
      <c r="D128" s="2" t="str">
        <f>HYPERLINK("https://wals.info/languoid/lect/wals_code_ind","Indonesian")</f>
        <v>Indonesian</v>
      </c>
      <c r="E128" s="1"/>
      <c r="F128" s="1"/>
      <c r="G128" s="1"/>
    </row>
    <row r="129" ht="12.75" customHeight="1">
      <c r="A129" s="1" t="s">
        <v>180</v>
      </c>
      <c r="B129" s="2" t="str">
        <f>HYPERLINK("https://wals.info/values/55A-ing","Absent")</f>
        <v>Absent</v>
      </c>
      <c r="C129" s="2" t="str">
        <f t="shared" si="1"/>
        <v>Numeral Classifiers</v>
      </c>
      <c r="D129" s="2" t="str">
        <f>HYPERLINK("https://wals.info/languoid/lect/wals_code_ing","Ingush")</f>
        <v>Ingush</v>
      </c>
      <c r="E129" s="1"/>
      <c r="F129" s="1"/>
      <c r="G129" s="1" t="s">
        <v>181</v>
      </c>
    </row>
    <row r="130" ht="12.75" customHeight="1">
      <c r="A130" s="1" t="s">
        <v>182</v>
      </c>
      <c r="B130" s="2" t="str">
        <f>HYPERLINK("https://wals.info/values/55A-irq","Absent")</f>
        <v>Absent</v>
      </c>
      <c r="C130" s="2" t="str">
        <f t="shared" si="1"/>
        <v>Numeral Classifiers</v>
      </c>
      <c r="D130" s="2" t="str">
        <f>HYPERLINK("https://wals.info/languoid/lect/wals_code_irq","Iraqw")</f>
        <v>Iraqw</v>
      </c>
      <c r="E130" s="1"/>
      <c r="F130" s="1"/>
      <c r="G130" s="1"/>
    </row>
    <row r="131" ht="12.75" customHeight="1">
      <c r="A131" s="1" t="s">
        <v>183</v>
      </c>
      <c r="B131" s="2" t="str">
        <f>HYPERLINK("https://wals.info/values/55A-jah","Optional")</f>
        <v>Optional</v>
      </c>
      <c r="C131" s="2" t="str">
        <f t="shared" si="1"/>
        <v>Numeral Classifiers</v>
      </c>
      <c r="D131" s="2" t="str">
        <f>HYPERLINK("https://wals.info/languoid/lect/wals_code_jah","Jahai")</f>
        <v>Jahai</v>
      </c>
      <c r="E131" s="1"/>
      <c r="F131" s="1"/>
      <c r="G131" s="1" t="s">
        <v>184</v>
      </c>
    </row>
    <row r="132" ht="12.75" customHeight="1">
      <c r="A132" s="1" t="s">
        <v>185</v>
      </c>
      <c r="B132" s="2" t="str">
        <f>HYPERLINK("https://wals.info/values/55A-jak","Obligatory")</f>
        <v>Obligatory</v>
      </c>
      <c r="C132" s="2" t="str">
        <f t="shared" si="1"/>
        <v>Numeral Classifiers</v>
      </c>
      <c r="D132" s="2" t="str">
        <f>HYPERLINK("https://wals.info/languoid/lect/wals_code_jak","Jakaltek")</f>
        <v>Jakaltek</v>
      </c>
      <c r="E132" s="1"/>
      <c r="F132" s="1"/>
      <c r="G132" s="1" t="s">
        <v>186</v>
      </c>
    </row>
    <row r="133" ht="12.75" customHeight="1">
      <c r="A133" s="1" t="s">
        <v>187</v>
      </c>
      <c r="B133" s="2" t="str">
        <f>HYPERLINK("https://wals.info/values/55A-jmm","Absent")</f>
        <v>Absent</v>
      </c>
      <c r="C133" s="2" t="str">
        <f t="shared" si="1"/>
        <v>Numeral Classifiers</v>
      </c>
      <c r="D133" s="2" t="str">
        <f>HYPERLINK("https://wals.info/languoid/lect/wals_code_jmm","Jamamadi")</f>
        <v>Jamamadi</v>
      </c>
      <c r="E133" s="1"/>
      <c r="F133" s="1"/>
      <c r="G133" s="1" t="s">
        <v>19</v>
      </c>
    </row>
    <row r="134" ht="12.75" customHeight="1">
      <c r="A134" s="1" t="s">
        <v>188</v>
      </c>
      <c r="B134" s="2" t="str">
        <f>HYPERLINK("https://wals.info/values/55A-jam","Absent")</f>
        <v>Absent</v>
      </c>
      <c r="C134" s="2" t="str">
        <f t="shared" si="1"/>
        <v>Numeral Classifiers</v>
      </c>
      <c r="D134" s="2" t="str">
        <f>HYPERLINK("https://wals.info/languoid/lect/wals_code_jam","Jaminjung")</f>
        <v>Jaminjung</v>
      </c>
      <c r="E134" s="1"/>
      <c r="F134" s="1"/>
      <c r="G134" s="1"/>
    </row>
    <row r="135" ht="12.75" customHeight="1">
      <c r="A135" s="1" t="s">
        <v>189</v>
      </c>
      <c r="B135" s="2" t="str">
        <f>HYPERLINK("https://wals.info/values/55A-jpn","Obligatory")</f>
        <v>Obligatory</v>
      </c>
      <c r="C135" s="2" t="str">
        <f t="shared" si="1"/>
        <v>Numeral Classifiers</v>
      </c>
      <c r="D135" s="2" t="str">
        <f>HYPERLINK("https://wals.info/languoid/lect/wals_code_jpn","Japanese")</f>
        <v>Japanese</v>
      </c>
      <c r="E135" s="1"/>
      <c r="F135" s="1"/>
      <c r="G135" s="1"/>
    </row>
    <row r="136" ht="12.75" customHeight="1">
      <c r="A136" s="1" t="s">
        <v>190</v>
      </c>
      <c r="B136" s="2" t="str">
        <f>HYPERLINK("https://wals.info/values/55A-jaq","Absent")</f>
        <v>Absent</v>
      </c>
      <c r="C136" s="2" t="str">
        <f t="shared" si="1"/>
        <v>Numeral Classifiers</v>
      </c>
      <c r="D136" s="2" t="str">
        <f>HYPERLINK("https://wals.info/languoid/lect/wals_code_jaq","Jaqaru")</f>
        <v>Jaqaru</v>
      </c>
      <c r="E136" s="1"/>
      <c r="F136" s="1"/>
      <c r="G136" s="1" t="s">
        <v>11</v>
      </c>
    </row>
    <row r="137" ht="12.75" customHeight="1">
      <c r="A137" s="1" t="s">
        <v>191</v>
      </c>
      <c r="B137" s="2" t="str">
        <f>HYPERLINK("https://wals.info/values/55A-jav","Optional")</f>
        <v>Optional</v>
      </c>
      <c r="C137" s="2" t="str">
        <f t="shared" si="1"/>
        <v>Numeral Classifiers</v>
      </c>
      <c r="D137" s="2" t="str">
        <f>HYPERLINK("https://wals.info/languoid/lect/wals_code_jav","Javanese")</f>
        <v>Javanese</v>
      </c>
      <c r="E137" s="1"/>
      <c r="F137" s="1"/>
      <c r="G137" s="1" t="s">
        <v>192</v>
      </c>
    </row>
    <row r="138" ht="12.75" customHeight="1">
      <c r="A138" s="1" t="s">
        <v>193</v>
      </c>
      <c r="B138" s="2" t="str">
        <f>HYPERLINK("https://wals.info/values/55A-jiv","Absent")</f>
        <v>Absent</v>
      </c>
      <c r="C138" s="2" t="str">
        <f t="shared" si="1"/>
        <v>Numeral Classifiers</v>
      </c>
      <c r="D138" s="2" t="str">
        <f>HYPERLINK("https://wals.info/languoid/lect/wals_code_jiv","Jivaro")</f>
        <v>Jivaro</v>
      </c>
      <c r="E138" s="1"/>
      <c r="F138" s="1"/>
      <c r="G138" s="1" t="s">
        <v>11</v>
      </c>
    </row>
    <row r="139" ht="12.75" customHeight="1">
      <c r="A139" s="1" t="s">
        <v>194</v>
      </c>
      <c r="B139" s="2" t="str">
        <f>HYPERLINK("https://wals.info/values/55A-juh","Absent")</f>
        <v>Absent</v>
      </c>
      <c r="C139" s="2" t="str">
        <f t="shared" si="1"/>
        <v>Numeral Classifiers</v>
      </c>
      <c r="D139" s="2" t="str">
        <f>HYPERLINK("https://wals.info/languoid/lect/wals_code_juh","Ju|'hoan")</f>
        <v>Ju|'hoan</v>
      </c>
      <c r="E139" s="1"/>
      <c r="F139" s="1"/>
      <c r="G139" s="1" t="s">
        <v>11</v>
      </c>
    </row>
    <row r="140" ht="12.75" customHeight="1">
      <c r="A140" s="1" t="s">
        <v>195</v>
      </c>
      <c r="B140" s="2" t="str">
        <f>HYPERLINK("https://wals.info/values/55A-klp","Obligatory")</f>
        <v>Obligatory</v>
      </c>
      <c r="C140" s="2" t="str">
        <f t="shared" si="1"/>
        <v>Numeral Classifiers</v>
      </c>
      <c r="D140" s="2" t="str">
        <f>HYPERLINK("https://wals.info/languoid/lect/wals_code_klp","Kalapuya")</f>
        <v>Kalapuya</v>
      </c>
      <c r="E140" s="1"/>
      <c r="F140" s="1"/>
      <c r="G140" s="1" t="s">
        <v>127</v>
      </c>
    </row>
    <row r="141" ht="12.75" customHeight="1">
      <c r="A141" s="1" t="s">
        <v>196</v>
      </c>
      <c r="B141" s="2" t="str">
        <f>HYPERLINK("https://wals.info/values/55A-kam","Obligatory")</f>
        <v>Obligatory</v>
      </c>
      <c r="C141" s="2" t="str">
        <f t="shared" si="1"/>
        <v>Numeral Classifiers</v>
      </c>
      <c r="D141" s="2" t="str">
        <f>HYPERLINK("https://wals.info/languoid/lect/wals_code_kam","Kambera")</f>
        <v>Kambera</v>
      </c>
      <c r="E141" s="1"/>
      <c r="F141" s="1"/>
      <c r="G141" s="1" t="s">
        <v>197</v>
      </c>
    </row>
    <row r="142" ht="12.75" customHeight="1">
      <c r="A142" s="1" t="s">
        <v>198</v>
      </c>
      <c r="B142" s="2" t="str">
        <f>HYPERLINK("https://wals.info/values/55A-kan","Obligatory")</f>
        <v>Obligatory</v>
      </c>
      <c r="C142" s="2" t="str">
        <f t="shared" si="1"/>
        <v>Numeral Classifiers</v>
      </c>
      <c r="D142" s="2" t="str">
        <f>HYPERLINK("https://wals.info/languoid/lect/wals_code_kan","Kana")</f>
        <v>Kana</v>
      </c>
      <c r="E142" s="1"/>
      <c r="F142" s="1"/>
      <c r="G142" s="1" t="s">
        <v>199</v>
      </c>
    </row>
    <row r="143" ht="12.75" customHeight="1">
      <c r="A143" s="1" t="s">
        <v>200</v>
      </c>
      <c r="B143" s="2" t="str">
        <f>HYPERLINK("https://wals.info/values/55A-knd","Absent")</f>
        <v>Absent</v>
      </c>
      <c r="C143" s="2" t="str">
        <f t="shared" si="1"/>
        <v>Numeral Classifiers</v>
      </c>
      <c r="D143" s="2" t="str">
        <f>HYPERLINK("https://wals.info/languoid/lect/wals_code_knd","Kannada")</f>
        <v>Kannada</v>
      </c>
      <c r="E143" s="1"/>
      <c r="F143" s="1"/>
      <c r="G143" s="1"/>
    </row>
    <row r="144" ht="12.75" customHeight="1">
      <c r="A144" s="1" t="s">
        <v>201</v>
      </c>
      <c r="B144" s="2" t="str">
        <f>HYPERLINK("https://wals.info/values/55A-knr","Absent")</f>
        <v>Absent</v>
      </c>
      <c r="C144" s="2" t="str">
        <f t="shared" si="1"/>
        <v>Numeral Classifiers</v>
      </c>
      <c r="D144" s="2" t="str">
        <f>HYPERLINK("https://wals.info/languoid/lect/wals_code_knr","Kanuri")</f>
        <v>Kanuri</v>
      </c>
      <c r="E144" s="1"/>
      <c r="F144" s="1"/>
      <c r="G144" s="1" t="s">
        <v>202</v>
      </c>
    </row>
    <row r="145" ht="12.75" customHeight="1">
      <c r="A145" s="1" t="s">
        <v>203</v>
      </c>
      <c r="B145" s="2" t="str">
        <f>HYPERLINK("https://wals.info/values/55A-krk","Absent")</f>
        <v>Absent</v>
      </c>
      <c r="C145" s="2" t="str">
        <f t="shared" si="1"/>
        <v>Numeral Classifiers</v>
      </c>
      <c r="D145" s="2" t="str">
        <f>HYPERLINK("https://wals.info/languoid/lect/wals_code_krk","Karok")</f>
        <v>Karok</v>
      </c>
      <c r="E145" s="1"/>
      <c r="F145" s="1"/>
      <c r="G145" s="1" t="s">
        <v>11</v>
      </c>
    </row>
    <row r="146" ht="12.75" customHeight="1">
      <c r="A146" s="1" t="s">
        <v>204</v>
      </c>
      <c r="B146" s="2" t="str">
        <f>HYPERLINK("https://wals.info/values/55A-kat","Absent")</f>
        <v>Absent</v>
      </c>
      <c r="C146" s="2" t="str">
        <f t="shared" si="1"/>
        <v>Numeral Classifiers</v>
      </c>
      <c r="D146" s="2" t="str">
        <f>HYPERLINK("https://wals.info/languoid/lect/wals_code_kat","Kâte")</f>
        <v>Kâte</v>
      </c>
      <c r="E146" s="1"/>
      <c r="F146" s="1"/>
      <c r="G146" s="1" t="s">
        <v>11</v>
      </c>
    </row>
    <row r="147" ht="12.75" customHeight="1">
      <c r="A147" s="1" t="s">
        <v>205</v>
      </c>
      <c r="B147" s="2" t="str">
        <f>HYPERLINK("https://wals.info/values/55A-kyl","Obligatory")</f>
        <v>Obligatory</v>
      </c>
      <c r="C147" s="2" t="str">
        <f t="shared" si="1"/>
        <v>Numeral Classifiers</v>
      </c>
      <c r="D147" s="2" t="str">
        <f>HYPERLINK("https://wals.info/languoid/lect/wals_code_kyl","Kayah Li (Eastern)")</f>
        <v>Kayah Li (Eastern)</v>
      </c>
      <c r="E147" s="1"/>
      <c r="F147" s="1"/>
      <c r="G147" s="1"/>
    </row>
    <row r="148" ht="12.75" customHeight="1">
      <c r="A148" s="1" t="s">
        <v>206</v>
      </c>
      <c r="B148" s="2" t="str">
        <f>HYPERLINK("https://wals.info/values/55A-kbr","Optional")</f>
        <v>Optional</v>
      </c>
      <c r="C148" s="2" t="str">
        <f t="shared" si="1"/>
        <v>Numeral Classifiers</v>
      </c>
      <c r="D148" s="2" t="str">
        <f>HYPERLINK("https://wals.info/languoid/lect/wals_code_kbr","Kayan (Baram)")</f>
        <v>Kayan (Baram)</v>
      </c>
      <c r="E148" s="1"/>
      <c r="F148" s="1"/>
      <c r="G148" s="1" t="s">
        <v>64</v>
      </c>
    </row>
    <row r="149" ht="12.75" customHeight="1">
      <c r="A149" s="1" t="s">
        <v>207</v>
      </c>
      <c r="B149" s="2" t="str">
        <f>HYPERLINK("https://wals.info/values/55A-kei","Obligatory")</f>
        <v>Obligatory</v>
      </c>
      <c r="C149" s="2" t="str">
        <f t="shared" si="1"/>
        <v>Numeral Classifiers</v>
      </c>
      <c r="D149" s="2" t="str">
        <f>HYPERLINK("https://wals.info/languoid/lect/wals_code_kei","Kei")</f>
        <v>Kei</v>
      </c>
      <c r="E149" s="1"/>
      <c r="F149" s="1"/>
      <c r="G149" s="1"/>
    </row>
    <row r="150" ht="12.75" customHeight="1">
      <c r="A150" s="1" t="s">
        <v>208</v>
      </c>
      <c r="B150" s="2" t="str">
        <f>HYPERLINK("https://wals.info/values/55A-klt","Absent")</f>
        <v>Absent</v>
      </c>
      <c r="C150" s="2" t="str">
        <f t="shared" si="1"/>
        <v>Numeral Classifiers</v>
      </c>
      <c r="D150" s="2" t="str">
        <f>HYPERLINK("https://wals.info/languoid/lect/wals_code_klt","Kelabit")</f>
        <v>Kelabit</v>
      </c>
      <c r="E150" s="1"/>
      <c r="F150" s="1"/>
      <c r="G150" s="1" t="s">
        <v>64</v>
      </c>
    </row>
    <row r="151" ht="12.75" customHeight="1">
      <c r="A151" s="1" t="s">
        <v>209</v>
      </c>
      <c r="B151" s="2" t="str">
        <f>HYPERLINK("https://wals.info/values/55A-keu","Optional")</f>
        <v>Optional</v>
      </c>
      <c r="C151" s="2" t="str">
        <f t="shared" si="1"/>
        <v>Numeral Classifiers</v>
      </c>
      <c r="D151" s="2" t="str">
        <f>HYPERLINK("https://wals.info/languoid/lect/wals_code_keu","Kenyah (Uma' Lung)")</f>
        <v>Kenyah (Uma' Lung)</v>
      </c>
      <c r="E151" s="1"/>
      <c r="F151" s="1"/>
      <c r="G151" s="1"/>
    </row>
    <row r="152" ht="12.75" customHeight="1">
      <c r="A152" s="1" t="s">
        <v>210</v>
      </c>
      <c r="B152" s="2" t="str">
        <f>HYPERLINK("https://wals.info/values/55A-keo","Obligatory")</f>
        <v>Obligatory</v>
      </c>
      <c r="C152" s="2" t="str">
        <f t="shared" si="1"/>
        <v>Numeral Classifiers</v>
      </c>
      <c r="D152" s="2" t="str">
        <f>HYPERLINK("https://wals.info/languoid/lect/wals_code_keo","Keo")</f>
        <v>Keo</v>
      </c>
      <c r="E152" s="1"/>
      <c r="F152" s="1"/>
      <c r="G152" s="1" t="s">
        <v>211</v>
      </c>
    </row>
    <row r="153" ht="12.75" customHeight="1">
      <c r="A153" s="1" t="s">
        <v>212</v>
      </c>
      <c r="B153" s="2" t="str">
        <f>HYPERLINK("https://wals.info/values/55A-ktp","Obligatory")</f>
        <v>Obligatory</v>
      </c>
      <c r="C153" s="2" t="str">
        <f t="shared" si="1"/>
        <v>Numeral Classifiers</v>
      </c>
      <c r="D153" s="2" t="str">
        <f>HYPERLINK("https://wals.info/languoid/lect/wals_code_ktp","Ketapang")</f>
        <v>Ketapang</v>
      </c>
      <c r="E153" s="1"/>
      <c r="F153" s="1"/>
      <c r="G153" s="1"/>
    </row>
    <row r="154" ht="12.75" customHeight="1">
      <c r="A154" s="1" t="s">
        <v>213</v>
      </c>
      <c r="B154" s="2" t="str">
        <f>HYPERLINK("https://wals.info/values/55A-kew","Absent")</f>
        <v>Absent</v>
      </c>
      <c r="C154" s="2" t="str">
        <f t="shared" si="1"/>
        <v>Numeral Classifiers</v>
      </c>
      <c r="D154" s="2" t="str">
        <f>HYPERLINK("https://wals.info/languoid/lect/wals_code_kew","Kewa")</f>
        <v>Kewa</v>
      </c>
      <c r="E154" s="1"/>
      <c r="F154" s="1"/>
      <c r="G154" s="1" t="s">
        <v>11</v>
      </c>
    </row>
    <row r="155" ht="12.75" customHeight="1">
      <c r="A155" s="1" t="s">
        <v>214</v>
      </c>
      <c r="B155" s="2" t="str">
        <f>HYPERLINK("https://wals.info/values/55A-kha","Absent")</f>
        <v>Absent</v>
      </c>
      <c r="C155" s="2" t="str">
        <f t="shared" si="1"/>
        <v>Numeral Classifiers</v>
      </c>
      <c r="D155" s="2" t="str">
        <f>HYPERLINK("https://wals.info/languoid/lect/wals_code_kha","Khalkha")</f>
        <v>Khalkha</v>
      </c>
      <c r="E155" s="1"/>
      <c r="F155" s="1"/>
      <c r="G155" s="1" t="s">
        <v>11</v>
      </c>
    </row>
    <row r="156" ht="12.75" customHeight="1">
      <c r="A156" s="1" t="s">
        <v>215</v>
      </c>
      <c r="B156" s="2" t="str">
        <f>HYPERLINK("https://wals.info/values/55A-kmh","Obligatory")</f>
        <v>Obligatory</v>
      </c>
      <c r="C156" s="2" t="str">
        <f t="shared" si="1"/>
        <v>Numeral Classifiers</v>
      </c>
      <c r="D156" s="2" t="str">
        <f>HYPERLINK("https://wals.info/languoid/lect/wals_code_kmh","Kham")</f>
        <v>Kham</v>
      </c>
      <c r="E156" s="1"/>
      <c r="F156" s="1"/>
      <c r="G156" s="1" t="s">
        <v>44</v>
      </c>
    </row>
    <row r="157" ht="12.75" customHeight="1">
      <c r="A157" s="1" t="s">
        <v>216</v>
      </c>
      <c r="B157" s="2" t="str">
        <f>HYPERLINK("https://wals.info/values/55A-khr","Optional")</f>
        <v>Optional</v>
      </c>
      <c r="C157" s="2" t="str">
        <f t="shared" si="1"/>
        <v>Numeral Classifiers</v>
      </c>
      <c r="D157" s="2" t="str">
        <f>HYPERLINK("https://wals.info/languoid/lect/wals_code_khr","Kharia")</f>
        <v>Kharia</v>
      </c>
      <c r="E157" s="1"/>
      <c r="F157" s="1"/>
      <c r="G157" s="1"/>
    </row>
    <row r="158" ht="12.75" customHeight="1">
      <c r="A158" s="1" t="s">
        <v>217</v>
      </c>
      <c r="B158" s="2" t="str">
        <f>HYPERLINK("https://wals.info/values/55A-khm","Optional")</f>
        <v>Optional</v>
      </c>
      <c r="C158" s="2" t="str">
        <f t="shared" si="1"/>
        <v>Numeral Classifiers</v>
      </c>
      <c r="D158" s="2" t="str">
        <f>HYPERLINK("https://wals.info/languoid/lect/wals_code_khm","Khmer")</f>
        <v>Khmer</v>
      </c>
      <c r="E158" s="1"/>
      <c r="F158" s="1"/>
      <c r="G158" s="1" t="s">
        <v>218</v>
      </c>
    </row>
    <row r="159" ht="12.75" customHeight="1">
      <c r="A159" s="1" t="s">
        <v>219</v>
      </c>
      <c r="B159" s="2" t="str">
        <f>HYPERLINK("https://wals.info/values/55A-kmu","Obligatory")</f>
        <v>Obligatory</v>
      </c>
      <c r="C159" s="2" t="str">
        <f t="shared" si="1"/>
        <v>Numeral Classifiers</v>
      </c>
      <c r="D159" s="2" t="str">
        <f>HYPERLINK("https://wals.info/languoid/lect/wals_code_kmu","Khmu'")</f>
        <v>Khmu'</v>
      </c>
      <c r="E159" s="1"/>
      <c r="F159" s="1"/>
      <c r="G159" s="1"/>
    </row>
    <row r="160" ht="12.75" customHeight="1">
      <c r="A160" s="1" t="s">
        <v>220</v>
      </c>
      <c r="B160" s="2" t="str">
        <f>HYPERLINK("https://wals.info/values/55A-kho","Absent")</f>
        <v>Absent</v>
      </c>
      <c r="C160" s="2" t="str">
        <f t="shared" si="1"/>
        <v>Numeral Classifiers</v>
      </c>
      <c r="D160" s="2" t="str">
        <f>HYPERLINK("https://wals.info/languoid/lect/wals_code_kho","Khoekhoe")</f>
        <v>Khoekhoe</v>
      </c>
      <c r="E160" s="1"/>
      <c r="F160" s="1"/>
      <c r="G160" s="1" t="s">
        <v>11</v>
      </c>
    </row>
    <row r="161" ht="12.75" customHeight="1">
      <c r="A161" s="1" t="s">
        <v>221</v>
      </c>
      <c r="B161" s="2" t="str">
        <f>HYPERLINK("https://wals.info/values/55A-khu","Obligatory")</f>
        <v>Obligatory</v>
      </c>
      <c r="C161" s="2" t="str">
        <f t="shared" si="1"/>
        <v>Numeral Classifiers</v>
      </c>
      <c r="D161" s="2" t="str">
        <f>HYPERLINK("https://wals.info/languoid/lect/wals_code_khu","Khumi")</f>
        <v>Khumi</v>
      </c>
      <c r="E161" s="1"/>
      <c r="F161" s="1"/>
      <c r="G161" s="1"/>
    </row>
    <row r="162" ht="12.75" customHeight="1">
      <c r="A162" s="1" t="s">
        <v>222</v>
      </c>
      <c r="B162" s="2" t="str">
        <f>HYPERLINK("https://wals.info/values/55A-klv","Obligatory")</f>
        <v>Obligatory</v>
      </c>
      <c r="C162" s="2" t="str">
        <f t="shared" si="1"/>
        <v>Numeral Classifiers</v>
      </c>
      <c r="D162" s="2" t="str">
        <f>HYPERLINK("https://wals.info/languoid/lect/wals_code_klv","Kilivila")</f>
        <v>Kilivila</v>
      </c>
      <c r="E162" s="1"/>
      <c r="F162" s="1"/>
      <c r="G162" s="1"/>
    </row>
    <row r="163" ht="12.75" customHeight="1">
      <c r="A163" s="1" t="s">
        <v>223</v>
      </c>
      <c r="B163" s="2" t="str">
        <f>HYPERLINK("https://wals.info/values/55A-kio","Absent")</f>
        <v>Absent</v>
      </c>
      <c r="C163" s="2" t="str">
        <f t="shared" si="1"/>
        <v>Numeral Classifiers</v>
      </c>
      <c r="D163" s="2" t="str">
        <f>HYPERLINK("https://wals.info/languoid/lect/wals_code_kio","Kiowa")</f>
        <v>Kiowa</v>
      </c>
      <c r="E163" s="1"/>
      <c r="F163" s="1"/>
      <c r="G163" s="1" t="s">
        <v>11</v>
      </c>
    </row>
    <row r="164" ht="12.75" customHeight="1">
      <c r="A164" s="1" t="s">
        <v>224</v>
      </c>
      <c r="B164" s="2" t="str">
        <f>HYPERLINK("https://wals.info/values/55A-krb","Obligatory")</f>
        <v>Obligatory</v>
      </c>
      <c r="C164" s="2" t="str">
        <f t="shared" si="1"/>
        <v>Numeral Classifiers</v>
      </c>
      <c r="D164" s="2" t="str">
        <f>HYPERLINK("https://wals.info/languoid/lect/wals_code_krb","Kiribati")</f>
        <v>Kiribati</v>
      </c>
      <c r="E164" s="1"/>
      <c r="F164" s="1"/>
      <c r="G164" s="1" t="s">
        <v>225</v>
      </c>
    </row>
    <row r="165" ht="12.75" customHeight="1">
      <c r="A165" s="1" t="s">
        <v>226</v>
      </c>
      <c r="B165" s="2" t="str">
        <f>HYPERLINK("https://wals.info/values/55A-kiw","Absent")</f>
        <v>Absent</v>
      </c>
      <c r="C165" s="2" t="str">
        <f t="shared" si="1"/>
        <v>Numeral Classifiers</v>
      </c>
      <c r="D165" s="2" t="str">
        <f>HYPERLINK("https://wals.info/languoid/lect/wals_code_kiw"," Kiwai (Southern)")</f>
        <v> Kiwai (Southern)</v>
      </c>
      <c r="E165" s="1"/>
      <c r="F165" s="1"/>
      <c r="G165" s="1" t="s">
        <v>11</v>
      </c>
    </row>
    <row r="166" ht="12.75" customHeight="1">
      <c r="A166" s="1" t="s">
        <v>227</v>
      </c>
      <c r="B166" s="2" t="str">
        <f>HYPERLINK("https://wals.info/values/55A-klm","Absent")</f>
        <v>Absent</v>
      </c>
      <c r="C166" s="2" t="str">
        <f t="shared" si="1"/>
        <v>Numeral Classifiers</v>
      </c>
      <c r="D166" s="2" t="str">
        <f>HYPERLINK("https://wals.info/languoid/lect/wals_code_klm","Klamath")</f>
        <v>Klamath</v>
      </c>
      <c r="E166" s="1"/>
      <c r="F166" s="1"/>
      <c r="G166" s="1" t="s">
        <v>127</v>
      </c>
    </row>
    <row r="167" ht="12.75" customHeight="1">
      <c r="A167" s="1" t="s">
        <v>228</v>
      </c>
      <c r="B167" s="2" t="str">
        <f>HYPERLINK("https://wals.info/values/55A-kob","Absent")</f>
        <v>Absent</v>
      </c>
      <c r="C167" s="2" t="str">
        <f t="shared" si="1"/>
        <v>Numeral Classifiers</v>
      </c>
      <c r="D167" s="2" t="str">
        <f>HYPERLINK("https://wals.info/languoid/lect/wals_code_kob","Kobon")</f>
        <v>Kobon</v>
      </c>
      <c r="E167" s="1"/>
      <c r="F167" s="1"/>
      <c r="G167" s="1" t="s">
        <v>11</v>
      </c>
    </row>
    <row r="168" ht="12.75" customHeight="1">
      <c r="A168" s="1" t="s">
        <v>229</v>
      </c>
      <c r="B168" s="2" t="str">
        <f>HYPERLINK("https://wals.info/values/55A-koi","Absent")</f>
        <v>Absent</v>
      </c>
      <c r="C168" s="2" t="str">
        <f t="shared" si="1"/>
        <v>Numeral Classifiers</v>
      </c>
      <c r="D168" s="2" t="str">
        <f>HYPERLINK("https://wals.info/languoid/lect/wals_code_koi","Koiari")</f>
        <v>Koiari</v>
      </c>
      <c r="E168" s="1"/>
      <c r="F168" s="1"/>
      <c r="G168" s="1" t="s">
        <v>230</v>
      </c>
    </row>
    <row r="169" ht="12.75" customHeight="1">
      <c r="A169" s="1" t="s">
        <v>231</v>
      </c>
      <c r="B169" s="2" t="str">
        <f>HYPERLINK("https://wals.info/values/55A-kmb","Absent")</f>
        <v>Absent</v>
      </c>
      <c r="C169" s="2" t="str">
        <f t="shared" si="1"/>
        <v>Numeral Classifiers</v>
      </c>
      <c r="D169" s="2" t="str">
        <f>HYPERLINK("https://wals.info/languoid/lect/wals_code_kmb","Kombai")</f>
        <v>Kombai</v>
      </c>
      <c r="E169" s="1"/>
      <c r="F169" s="1"/>
      <c r="G169" s="1" t="s">
        <v>232</v>
      </c>
    </row>
    <row r="170" ht="12.75" customHeight="1">
      <c r="A170" s="1" t="s">
        <v>233</v>
      </c>
      <c r="B170" s="2" t="str">
        <f>HYPERLINK("https://wals.info/values/55A-kag","Optional")</f>
        <v>Optional</v>
      </c>
      <c r="C170" s="2" t="str">
        <f t="shared" si="1"/>
        <v>Numeral Classifiers</v>
      </c>
      <c r="D170" s="2" t="str">
        <f>HYPERLINK("https://wals.info/languoid/lect/wals_code_kag","Komering")</f>
        <v>Komering</v>
      </c>
      <c r="E170" s="1"/>
      <c r="F170" s="1"/>
      <c r="G170" s="1" t="s">
        <v>234</v>
      </c>
    </row>
    <row r="171" ht="12.75" customHeight="1">
      <c r="A171" s="1" t="s">
        <v>235</v>
      </c>
      <c r="B171" s="2" t="str">
        <f>HYPERLINK("https://wals.info/values/55A-kzy","Absent")</f>
        <v>Absent</v>
      </c>
      <c r="C171" s="2" t="str">
        <f t="shared" si="1"/>
        <v>Numeral Classifiers</v>
      </c>
      <c r="D171" s="2" t="str">
        <f>HYPERLINK("https://wals.info/languoid/lect/wals_code_kzy","Komi-Zyrian")</f>
        <v>Komi-Zyrian</v>
      </c>
      <c r="E171" s="1"/>
      <c r="F171" s="1"/>
      <c r="G171" s="1" t="s">
        <v>11</v>
      </c>
    </row>
    <row r="172" ht="12.75" customHeight="1">
      <c r="A172" s="1" t="s">
        <v>236</v>
      </c>
      <c r="B172" s="2" t="str">
        <f>HYPERLINK("https://wals.info/values/55A-knu","Absent")</f>
        <v>Absent</v>
      </c>
      <c r="C172" s="2" t="str">
        <f t="shared" si="1"/>
        <v>Numeral Classifiers</v>
      </c>
      <c r="D172" s="2" t="str">
        <f>HYPERLINK("https://wals.info/languoid/lect/wals_code_knu","Konua")</f>
        <v>Konua</v>
      </c>
      <c r="E172" s="1"/>
      <c r="F172" s="1"/>
      <c r="G172" s="1" t="s">
        <v>11</v>
      </c>
    </row>
    <row r="173" ht="12.75" customHeight="1">
      <c r="A173" s="1" t="s">
        <v>237</v>
      </c>
      <c r="B173" s="2" t="str">
        <f>HYPERLINK("https://wals.info/values/55A-krf","Absent")</f>
        <v>Absent</v>
      </c>
      <c r="C173" s="2" t="str">
        <f t="shared" si="1"/>
        <v>Numeral Classifiers</v>
      </c>
      <c r="D173" s="2" t="str">
        <f>HYPERLINK("https://wals.info/languoid/lect/wals_code_krf","Korafe")</f>
        <v>Korafe</v>
      </c>
      <c r="E173" s="1"/>
      <c r="F173" s="1"/>
      <c r="G173" s="1" t="s">
        <v>238</v>
      </c>
    </row>
    <row r="174" ht="12.75" customHeight="1">
      <c r="A174" s="1" t="s">
        <v>239</v>
      </c>
      <c r="B174" s="2" t="str">
        <f>HYPERLINK("https://wals.info/values/55A-kor","Obligatory")</f>
        <v>Obligatory</v>
      </c>
      <c r="C174" s="2" t="str">
        <f t="shared" si="1"/>
        <v>Numeral Classifiers</v>
      </c>
      <c r="D174" s="2" t="str">
        <f>HYPERLINK("https://wals.info/languoid/lect/wals_code_kor","Korean")</f>
        <v>Korean</v>
      </c>
      <c r="E174" s="1"/>
      <c r="F174" s="1"/>
      <c r="G174" s="1"/>
    </row>
    <row r="175" ht="12.75" customHeight="1">
      <c r="A175" s="1" t="s">
        <v>240</v>
      </c>
      <c r="B175" s="2" t="str">
        <f>HYPERLINK("https://wals.info/values/55A-kku","Absent")</f>
        <v>Absent</v>
      </c>
      <c r="C175" s="2" t="str">
        <f t="shared" si="1"/>
        <v>Numeral Classifiers</v>
      </c>
      <c r="D175" s="2" t="str">
        <f>HYPERLINK("https://wals.info/languoid/lect/wals_code_kku","Korku")</f>
        <v>Korku</v>
      </c>
      <c r="E175" s="1"/>
      <c r="F175" s="1"/>
      <c r="G175" s="1" t="s">
        <v>241</v>
      </c>
    </row>
    <row r="176" ht="12.75" customHeight="1">
      <c r="A176" s="1" t="s">
        <v>242</v>
      </c>
      <c r="B176" s="2" t="str">
        <f>HYPERLINK("https://wals.info/values/55A-kfe","Absent")</f>
        <v>Absent</v>
      </c>
      <c r="C176" s="2" t="str">
        <f t="shared" si="1"/>
        <v>Numeral Classifiers</v>
      </c>
      <c r="D176" s="2" t="str">
        <f>HYPERLINK("https://wals.info/languoid/lect/wals_code_kfe","Koromfe")</f>
        <v>Koromfe</v>
      </c>
      <c r="E176" s="1"/>
      <c r="F176" s="1"/>
      <c r="G176" s="1" t="s">
        <v>243</v>
      </c>
    </row>
    <row r="177" ht="12.75" customHeight="1">
      <c r="A177" s="1" t="s">
        <v>244</v>
      </c>
      <c r="B177" s="2" t="str">
        <f>HYPERLINK("https://wals.info/values/55A-kos","Obligatory")</f>
        <v>Obligatory</v>
      </c>
      <c r="C177" s="2" t="str">
        <f t="shared" si="1"/>
        <v>Numeral Classifiers</v>
      </c>
      <c r="D177" s="2" t="str">
        <f>HYPERLINK("https://wals.info/languoid/lect/wals_code_kos","Kosraean")</f>
        <v>Kosraean</v>
      </c>
      <c r="E177" s="1"/>
      <c r="F177" s="1"/>
      <c r="G177" s="1" t="s">
        <v>245</v>
      </c>
    </row>
    <row r="178" ht="12.75" customHeight="1">
      <c r="A178" s="1" t="s">
        <v>246</v>
      </c>
      <c r="B178" s="2" t="str">
        <f>HYPERLINK("https://wals.info/values/55A-kot","Absent")</f>
        <v>Absent</v>
      </c>
      <c r="C178" s="2" t="str">
        <f t="shared" si="1"/>
        <v>Numeral Classifiers</v>
      </c>
      <c r="D178" s="2" t="str">
        <f>HYPERLINK("https://wals.info/languoid/lect/wals_code_kot","Kota")</f>
        <v>Kota</v>
      </c>
      <c r="E178" s="1"/>
      <c r="F178" s="1"/>
      <c r="G178" s="1" t="s">
        <v>11</v>
      </c>
    </row>
    <row r="179" ht="12.75" customHeight="1">
      <c r="A179" s="1" t="s">
        <v>247</v>
      </c>
      <c r="B179" s="2" t="str">
        <f>HYPERLINK("https://wals.info/values/55A-kch","Absent")</f>
        <v>Absent</v>
      </c>
      <c r="C179" s="2" t="str">
        <f t="shared" si="1"/>
        <v>Numeral Classifiers</v>
      </c>
      <c r="D179" s="2" t="str">
        <f>HYPERLINK("https://wals.info/languoid/lect/wals_code_kch","Koyra Chiini")</f>
        <v>Koyra Chiini</v>
      </c>
      <c r="E179" s="1"/>
      <c r="F179" s="1"/>
      <c r="G179" s="1" t="s">
        <v>248</v>
      </c>
    </row>
    <row r="180" ht="12.75" customHeight="1">
      <c r="A180" s="1" t="s">
        <v>249</v>
      </c>
      <c r="B180" s="2" t="str">
        <f>HYPERLINK("https://wals.info/values/55A-kpe","Absent")</f>
        <v>Absent</v>
      </c>
      <c r="C180" s="2" t="str">
        <f t="shared" si="1"/>
        <v>Numeral Classifiers</v>
      </c>
      <c r="D180" s="2" t="str">
        <f>HYPERLINK("https://wals.info/languoid/lect/wals_code_kpe","Kpelle")</f>
        <v>Kpelle</v>
      </c>
      <c r="E180" s="1"/>
      <c r="F180" s="1"/>
      <c r="G180" s="1" t="s">
        <v>174</v>
      </c>
    </row>
    <row r="181" ht="12.75" customHeight="1">
      <c r="A181" s="1" t="s">
        <v>250</v>
      </c>
      <c r="B181" s="2" t="str">
        <f>HYPERLINK("https://wals.info/values/55A-kua","Obligatory")</f>
        <v>Obligatory</v>
      </c>
      <c r="C181" s="2" t="str">
        <f t="shared" si="1"/>
        <v>Numeral Classifiers</v>
      </c>
      <c r="D181" s="2" t="str">
        <f>HYPERLINK("https://wals.info/languoid/lect/wals_code_kua","Kualan")</f>
        <v>Kualan</v>
      </c>
      <c r="E181" s="1"/>
      <c r="F181" s="1"/>
      <c r="G181" s="1"/>
    </row>
    <row r="182" ht="12.75" customHeight="1">
      <c r="A182" s="1" t="s">
        <v>251</v>
      </c>
      <c r="B182" s="2" t="str">
        <f>HYPERLINK("https://wals.info/values/55A-kut","Absent")</f>
        <v>Absent</v>
      </c>
      <c r="C182" s="2" t="str">
        <f t="shared" si="1"/>
        <v>Numeral Classifiers</v>
      </c>
      <c r="D182" s="2" t="str">
        <f>HYPERLINK("https://wals.info/languoid/lect/wals_code_kut","Kutenai")</f>
        <v>Kutenai</v>
      </c>
      <c r="E182" s="1"/>
      <c r="F182" s="1"/>
      <c r="G182" s="1" t="s">
        <v>11</v>
      </c>
    </row>
    <row r="183" ht="12.75" customHeight="1">
      <c r="A183" s="1" t="s">
        <v>252</v>
      </c>
      <c r="B183" s="2" t="str">
        <f>HYPERLINK("https://wals.info/values/55A-kwz","Obligatory")</f>
        <v>Obligatory</v>
      </c>
      <c r="C183" s="2" t="str">
        <f t="shared" si="1"/>
        <v>Numeral Classifiers</v>
      </c>
      <c r="D183" s="2" t="str">
        <f>HYPERLINK("https://wals.info/languoid/lect/wals_code_kwz","Kwaza")</f>
        <v>Kwaza</v>
      </c>
      <c r="E183" s="1"/>
      <c r="F183" s="1"/>
      <c r="G183" s="1"/>
    </row>
    <row r="184" ht="12.75" customHeight="1">
      <c r="A184" s="1" t="s">
        <v>253</v>
      </c>
      <c r="B184" s="2" t="str">
        <f>HYPERLINK("https://wals.info/values/55A-lch","Obligatory")</f>
        <v>Obligatory</v>
      </c>
      <c r="C184" s="2" t="str">
        <f t="shared" si="1"/>
        <v>Numeral Classifiers</v>
      </c>
      <c r="D184" s="2" t="str">
        <f>HYPERLINK("https://wals.info/languoid/lect/wals_code_lch","Lachi")</f>
        <v>Lachi</v>
      </c>
      <c r="E184" s="1"/>
      <c r="F184" s="1"/>
      <c r="G184" s="1"/>
    </row>
    <row r="185" ht="12.75" customHeight="1">
      <c r="A185" s="1" t="s">
        <v>254</v>
      </c>
      <c r="B185" s="2" t="str">
        <f>HYPERLINK("https://wals.info/values/55A-lah","Obligatory")</f>
        <v>Obligatory</v>
      </c>
      <c r="C185" s="2" t="str">
        <f t="shared" si="1"/>
        <v>Numeral Classifiers</v>
      </c>
      <c r="D185" s="2" t="str">
        <f>HYPERLINK("https://wals.info/languoid/lect/wals_code_lah","Lahu")</f>
        <v>Lahu</v>
      </c>
      <c r="E185" s="1"/>
      <c r="F185" s="1"/>
      <c r="G185" s="1"/>
    </row>
    <row r="186" ht="12.75" customHeight="1">
      <c r="A186" s="1" t="s">
        <v>255</v>
      </c>
      <c r="B186" s="2" t="str">
        <f>HYPERLINK("https://wals.info/values/55A-lai","Obligatory")</f>
        <v>Obligatory</v>
      </c>
      <c r="C186" s="2" t="str">
        <f t="shared" si="1"/>
        <v>Numeral Classifiers</v>
      </c>
      <c r="D186" s="2" t="str">
        <f>HYPERLINK("https://wals.info/languoid/lect/wals_code_lai","Lai")</f>
        <v>Lai</v>
      </c>
      <c r="E186" s="1"/>
      <c r="F186" s="1"/>
      <c r="G186" s="1"/>
    </row>
    <row r="187" ht="12.75" customHeight="1">
      <c r="A187" s="1" t="s">
        <v>256</v>
      </c>
      <c r="B187" s="2" t="str">
        <f>HYPERLINK("https://wals.info/values/55A-lkt","Absent")</f>
        <v>Absent</v>
      </c>
      <c r="C187" s="2" t="str">
        <f t="shared" si="1"/>
        <v>Numeral Classifiers</v>
      </c>
      <c r="D187" s="2" t="str">
        <f>HYPERLINK("https://wals.info/languoid/lect/wals_code_lkt","Lakhota")</f>
        <v>Lakhota</v>
      </c>
      <c r="E187" s="1"/>
      <c r="F187" s="1"/>
      <c r="G187" s="1" t="s">
        <v>257</v>
      </c>
    </row>
    <row r="188" ht="12.75" customHeight="1">
      <c r="A188" s="1" t="s">
        <v>258</v>
      </c>
      <c r="B188" s="2" t="str">
        <f>HYPERLINK("https://wals.info/values/55A-lan","Absent")</f>
        <v>Absent</v>
      </c>
      <c r="C188" s="2" t="str">
        <f t="shared" si="1"/>
        <v>Numeral Classifiers</v>
      </c>
      <c r="D188" s="2" t="str">
        <f>HYPERLINK("https://wals.info/languoid/lect/wals_code_lan","Lango")</f>
        <v>Lango</v>
      </c>
      <c r="E188" s="1"/>
      <c r="F188" s="1"/>
      <c r="G188" s="1" t="s">
        <v>259</v>
      </c>
    </row>
    <row r="189" ht="12.75" customHeight="1">
      <c r="A189" s="1" t="s">
        <v>260</v>
      </c>
      <c r="B189" s="2" t="str">
        <f>HYPERLINK("https://wals.info/values/55A-lrk","Obligatory")</f>
        <v>Obligatory</v>
      </c>
      <c r="C189" s="2" t="str">
        <f t="shared" si="1"/>
        <v>Numeral Classifiers</v>
      </c>
      <c r="D189" s="2" t="str">
        <f>HYPERLINK("https://wals.info/languoid/lect/wals_code_lrk","Larike")</f>
        <v>Larike</v>
      </c>
      <c r="E189" s="1"/>
      <c r="F189" s="1"/>
      <c r="G189" s="1" t="s">
        <v>261</v>
      </c>
    </row>
    <row r="190" ht="12.75" customHeight="1">
      <c r="A190" s="1" t="s">
        <v>262</v>
      </c>
      <c r="B190" s="2" t="str">
        <f>HYPERLINK("https://wals.info/values/55A-lat","Absent")</f>
        <v>Absent</v>
      </c>
      <c r="C190" s="2" t="str">
        <f t="shared" si="1"/>
        <v>Numeral Classifiers</v>
      </c>
      <c r="D190" s="2" t="str">
        <f>HYPERLINK("https://wals.info/languoid/lect/wals_code_lat","Latvian")</f>
        <v>Latvian</v>
      </c>
      <c r="E190" s="1"/>
      <c r="F190" s="1"/>
      <c r="G190" s="1" t="s">
        <v>263</v>
      </c>
    </row>
    <row r="191" ht="12.75" customHeight="1">
      <c r="A191" s="1" t="s">
        <v>264</v>
      </c>
      <c r="B191" s="2" t="str">
        <f>HYPERLINK("https://wals.info/values/55A-let","Absent")</f>
        <v>Absent</v>
      </c>
      <c r="C191" s="2" t="str">
        <f t="shared" si="1"/>
        <v>Numeral Classifiers</v>
      </c>
      <c r="D191" s="2" t="str">
        <f>HYPERLINK("https://wals.info/languoid/lect/wals_code_let","Leti")</f>
        <v>Leti</v>
      </c>
      <c r="E191" s="1"/>
      <c r="F191" s="1"/>
      <c r="G191" s="1"/>
    </row>
    <row r="192" ht="12.75" customHeight="1">
      <c r="A192" s="1" t="s">
        <v>265</v>
      </c>
      <c r="B192" s="2" t="str">
        <f>HYPERLINK("https://wals.info/values/55A-lez","Absent")</f>
        <v>Absent</v>
      </c>
      <c r="C192" s="2" t="str">
        <f t="shared" si="1"/>
        <v>Numeral Classifiers</v>
      </c>
      <c r="D192" s="2" t="str">
        <f>HYPERLINK("https://wals.info/languoid/lect/wals_code_lez","Lezgian")</f>
        <v>Lezgian</v>
      </c>
      <c r="E192" s="1"/>
      <c r="F192" s="1"/>
      <c r="G192" s="1" t="s">
        <v>266</v>
      </c>
    </row>
    <row r="193" ht="12.75" customHeight="1">
      <c r="A193" s="1" t="s">
        <v>267</v>
      </c>
      <c r="B193" s="2" t="str">
        <f>HYPERLINK("https://wals.info/values/55A-lim","Absent")</f>
        <v>Absent</v>
      </c>
      <c r="C193" s="2" t="str">
        <f t="shared" si="1"/>
        <v>Numeral Classifiers</v>
      </c>
      <c r="D193" s="2" t="str">
        <f>HYPERLINK("https://wals.info/languoid/lect/wals_code_lim","Limbu")</f>
        <v>Limbu</v>
      </c>
      <c r="E193" s="1"/>
      <c r="F193" s="1"/>
      <c r="G193" s="1" t="s">
        <v>44</v>
      </c>
    </row>
    <row r="194" ht="12.75" customHeight="1">
      <c r="A194" s="1" t="s">
        <v>268</v>
      </c>
      <c r="B194" s="2" t="str">
        <f>HYPERLINK("https://wals.info/values/55A-lon","Obligatory")</f>
        <v>Obligatory</v>
      </c>
      <c r="C194" s="2" t="str">
        <f t="shared" si="1"/>
        <v>Numeral Classifiers</v>
      </c>
      <c r="D194" s="2" t="str">
        <f>HYPERLINK("https://wals.info/languoid/lect/wals_code_lon","Loniu")</f>
        <v>Loniu</v>
      </c>
      <c r="E194" s="1"/>
      <c r="F194" s="1"/>
      <c r="G194" s="1" t="s">
        <v>269</v>
      </c>
    </row>
    <row r="195" ht="12.75" customHeight="1">
      <c r="A195" s="1" t="s">
        <v>270</v>
      </c>
      <c r="B195" s="2" t="str">
        <f>HYPERLINK("https://wals.info/values/55A-lov","Obligatory")</f>
        <v>Obligatory</v>
      </c>
      <c r="C195" s="2" t="str">
        <f t="shared" si="1"/>
        <v>Numeral Classifiers</v>
      </c>
      <c r="D195" s="2" t="str">
        <f>HYPERLINK("https://wals.info/languoid/lect/wals_code_lov","Loven")</f>
        <v>Loven</v>
      </c>
      <c r="E195" s="1"/>
      <c r="F195" s="1"/>
      <c r="G195" s="1"/>
    </row>
    <row r="196" ht="12.75" customHeight="1">
      <c r="A196" s="1" t="s">
        <v>271</v>
      </c>
      <c r="B196" s="2" t="str">
        <f>HYPERLINK("https://wals.info/values/55A-luc","Absent")</f>
        <v>Absent</v>
      </c>
      <c r="C196" s="2" t="str">
        <f t="shared" si="1"/>
        <v>Numeral Classifiers</v>
      </c>
      <c r="D196" s="2" t="str">
        <f>HYPERLINK("https://wals.info/languoid/lect/wals_code_luc","Lucazi")</f>
        <v>Lucazi</v>
      </c>
      <c r="E196" s="1"/>
      <c r="F196" s="1"/>
      <c r="G196" s="1" t="s">
        <v>272</v>
      </c>
    </row>
    <row r="197" ht="12.75" customHeight="1">
      <c r="A197" s="1" t="s">
        <v>273</v>
      </c>
      <c r="B197" s="2" t="str">
        <f>HYPERLINK("https://wals.info/values/55A-lda","Absent")</f>
        <v>Absent</v>
      </c>
      <c r="C197" s="2" t="str">
        <f t="shared" si="1"/>
        <v>Numeral Classifiers</v>
      </c>
      <c r="D197" s="2" t="str">
        <f>HYPERLINK("https://wals.info/languoid/lect/wals_code_lda","Luganda")</f>
        <v>Luganda</v>
      </c>
      <c r="E197" s="1"/>
      <c r="F197" s="1"/>
      <c r="G197" s="1" t="s">
        <v>174</v>
      </c>
    </row>
    <row r="198" ht="12.75" customHeight="1">
      <c r="A198" s="1" t="s">
        <v>274</v>
      </c>
      <c r="B198" s="2" t="str">
        <f>HYPERLINK("https://wals.info/values/55A-lug","Absent")</f>
        <v>Absent</v>
      </c>
      <c r="C198" s="2" t="str">
        <f t="shared" si="1"/>
        <v>Numeral Classifiers</v>
      </c>
      <c r="D198" s="2" t="str">
        <f>HYPERLINK("https://wals.info/languoid/lect/wals_code_lug","Lugbara")</f>
        <v>Lugbara</v>
      </c>
      <c r="E198" s="1"/>
      <c r="F198" s="1"/>
      <c r="G198" s="1" t="s">
        <v>11</v>
      </c>
    </row>
    <row r="199" ht="12.75" customHeight="1">
      <c r="A199" s="1" t="s">
        <v>275</v>
      </c>
      <c r="B199" s="2" t="str">
        <f>HYPERLINK("https://wals.info/values/55A-lui","Absent")</f>
        <v>Absent</v>
      </c>
      <c r="C199" s="2" t="str">
        <f t="shared" si="1"/>
        <v>Numeral Classifiers</v>
      </c>
      <c r="D199" s="2" t="str">
        <f>HYPERLINK("https://wals.info/languoid/lect/wals_code_lui","Luiseño")</f>
        <v>Luiseño</v>
      </c>
      <c r="E199" s="1"/>
      <c r="F199" s="1"/>
      <c r="G199" s="1" t="s">
        <v>11</v>
      </c>
    </row>
    <row r="200" ht="12.75" customHeight="1">
      <c r="A200" s="1" t="s">
        <v>276</v>
      </c>
      <c r="B200" s="2" t="str">
        <f>HYPERLINK("https://wals.info/values/55A-lud","Optional")</f>
        <v>Optional</v>
      </c>
      <c r="C200" s="2" t="str">
        <f t="shared" si="1"/>
        <v>Numeral Classifiers</v>
      </c>
      <c r="D200" s="2" t="str">
        <f>HYPERLINK("https://wals.info/languoid/lect/wals_code_lud","Lun Dayeh")</f>
        <v>Lun Dayeh</v>
      </c>
      <c r="E200" s="1"/>
      <c r="F200" s="1"/>
      <c r="G200" s="1" t="s">
        <v>64</v>
      </c>
    </row>
    <row r="201" ht="12.75" customHeight="1">
      <c r="A201" s="1" t="s">
        <v>277</v>
      </c>
      <c r="B201" s="2" t="str">
        <f>HYPERLINK("https://wals.info/values/55A-luo","Absent")</f>
        <v>Absent</v>
      </c>
      <c r="C201" s="2" t="str">
        <f t="shared" si="1"/>
        <v>Numeral Classifiers</v>
      </c>
      <c r="D201" s="2" t="str">
        <f>HYPERLINK("https://wals.info/languoid/lect/wals_code_luo","Luo")</f>
        <v>Luo</v>
      </c>
      <c r="E201" s="1"/>
      <c r="F201" s="1"/>
      <c r="G201" s="1" t="s">
        <v>278</v>
      </c>
    </row>
    <row r="202" ht="12.75" customHeight="1">
      <c r="A202" s="1" t="s">
        <v>279</v>
      </c>
      <c r="B202" s="2" t="str">
        <f>HYPERLINK("https://wals.info/values/55A-lur","Optional")</f>
        <v>Optional</v>
      </c>
      <c r="C202" s="2" t="str">
        <f t="shared" si="1"/>
        <v>Numeral Classifiers</v>
      </c>
      <c r="D202" s="2" t="str">
        <f>HYPERLINK("https://wals.info/languoid/lect/wals_code_lur","Luri")</f>
        <v>Luri</v>
      </c>
      <c r="E202" s="1"/>
      <c r="F202" s="1"/>
      <c r="G202" s="1"/>
    </row>
    <row r="203" ht="12.75" customHeight="1">
      <c r="A203" s="1" t="s">
        <v>280</v>
      </c>
      <c r="B203" s="2" t="str">
        <f>HYPERLINK("https://wals.info/values/55A-maa","Absent")</f>
        <v>Absent</v>
      </c>
      <c r="C203" s="2" t="str">
        <f t="shared" si="1"/>
        <v>Numeral Classifiers</v>
      </c>
      <c r="D203" s="2" t="str">
        <f>HYPERLINK("https://wals.info/languoid/lect/wals_code_maa","Maasai")</f>
        <v>Maasai</v>
      </c>
      <c r="E203" s="1"/>
      <c r="F203" s="1"/>
      <c r="G203" s="1" t="s">
        <v>11</v>
      </c>
    </row>
    <row r="204" ht="12.75" customHeight="1">
      <c r="A204" s="1" t="s">
        <v>281</v>
      </c>
      <c r="B204" s="2" t="str">
        <f>HYPERLINK("https://wals.info/values/55A-msy","Absent")</f>
        <v>Absent</v>
      </c>
      <c r="C204" s="2" t="str">
        <f t="shared" si="1"/>
        <v>Numeral Classifiers</v>
      </c>
      <c r="D204" s="2" t="str">
        <f>HYPERLINK("https://wals.info/languoid/lect/wals_code_msy","Magar (Syangja)")</f>
        <v>Magar (Syangja)</v>
      </c>
      <c r="E204" s="1"/>
      <c r="F204" s="1"/>
      <c r="G204" s="1" t="s">
        <v>44</v>
      </c>
    </row>
    <row r="205" ht="12.75" customHeight="1">
      <c r="A205" s="1" t="s">
        <v>282</v>
      </c>
      <c r="B205" s="2" t="str">
        <f>HYPERLINK("https://wals.info/values/55A-mhm","Optional")</f>
        <v>Optional</v>
      </c>
      <c r="C205" s="2" t="str">
        <f t="shared" si="1"/>
        <v>Numeral Classifiers</v>
      </c>
      <c r="D205" s="2" t="str">
        <f>HYPERLINK("https://wals.info/languoid/lect/wals_code_mhm","Mah Meri")</f>
        <v>Mah Meri</v>
      </c>
      <c r="E205" s="1"/>
      <c r="F205" s="1"/>
      <c r="G205" s="1"/>
    </row>
    <row r="206" ht="12.75" customHeight="1">
      <c r="A206" s="1" t="s">
        <v>283</v>
      </c>
      <c r="B206" s="2" t="str">
        <f>HYPERLINK("https://wals.info/values/55A-mne","Absent")</f>
        <v>Absent</v>
      </c>
      <c r="C206" s="2" t="str">
        <f t="shared" si="1"/>
        <v>Numeral Classifiers</v>
      </c>
      <c r="D206" s="2" t="str">
        <f>HYPERLINK("https://wals.info/languoid/lect/wals_code_mne","Maidu (Northeast)")</f>
        <v>Maidu (Northeast)</v>
      </c>
      <c r="E206" s="1"/>
      <c r="F206" s="1"/>
      <c r="G206" s="1" t="s">
        <v>11</v>
      </c>
    </row>
    <row r="207" ht="12.75" customHeight="1">
      <c r="A207" s="1" t="s">
        <v>284</v>
      </c>
      <c r="B207" s="2" t="str">
        <f>HYPERLINK("https://wals.info/values/55A-mks","Optional")</f>
        <v>Optional</v>
      </c>
      <c r="C207" s="2" t="str">
        <f t="shared" si="1"/>
        <v>Numeral Classifiers</v>
      </c>
      <c r="D207" s="2" t="str">
        <f>HYPERLINK("https://wals.info/languoid/lect/wals_code_mks","Makassar")</f>
        <v>Makassar</v>
      </c>
      <c r="E207" s="1"/>
      <c r="F207" s="1"/>
      <c r="G207" s="1"/>
    </row>
    <row r="208" ht="12.75" customHeight="1">
      <c r="A208" s="1" t="s">
        <v>285</v>
      </c>
      <c r="B208" s="2" t="str">
        <f>HYPERLINK("https://wals.info/values/55A-mkw","Absent")</f>
        <v>Absent</v>
      </c>
      <c r="C208" s="2" t="str">
        <f t="shared" si="1"/>
        <v>Numeral Classifiers</v>
      </c>
      <c r="D208" s="2" t="str">
        <f>HYPERLINK("https://wals.info/languoid/lect/wals_code_mkw","Máku")</f>
        <v>Máku</v>
      </c>
      <c r="E208" s="1"/>
      <c r="F208" s="1"/>
      <c r="G208" s="1" t="s">
        <v>286</v>
      </c>
    </row>
    <row r="209" ht="12.75" customHeight="1">
      <c r="A209" s="1" t="s">
        <v>287</v>
      </c>
      <c r="B209" s="2" t="str">
        <f>HYPERLINK("https://wals.info/values/55A-mal","Absent")</f>
        <v>Absent</v>
      </c>
      <c r="C209" s="2" t="str">
        <f t="shared" si="1"/>
        <v>Numeral Classifiers</v>
      </c>
      <c r="D209" s="2" t="str">
        <f>HYPERLINK("https://wals.info/languoid/lect/wals_code_mal","Malagasy")</f>
        <v>Malagasy</v>
      </c>
      <c r="E209" s="1"/>
      <c r="F209" s="1"/>
      <c r="G209" s="1"/>
    </row>
    <row r="210" ht="12.75" customHeight="1">
      <c r="A210" s="1" t="s">
        <v>288</v>
      </c>
      <c r="B210" s="2" t="str">
        <f>HYPERLINK("https://wals.info/values/55A-mlk","Absent")</f>
        <v>Absent</v>
      </c>
      <c r="C210" s="2" t="str">
        <f t="shared" si="1"/>
        <v>Numeral Classifiers</v>
      </c>
      <c r="D210" s="2" t="str">
        <f>HYPERLINK("https://wals.info/languoid/lect/wals_code_mlk","Malakmalak")</f>
        <v>Malakmalak</v>
      </c>
      <c r="E210" s="1"/>
      <c r="F210" s="1"/>
      <c r="G210" s="1" t="s">
        <v>11</v>
      </c>
    </row>
    <row r="211" ht="12.75" customHeight="1">
      <c r="A211" s="1" t="s">
        <v>289</v>
      </c>
      <c r="B211" s="2" t="str">
        <f>HYPERLINK("https://wals.info/values/55A-mym","Absent")</f>
        <v>Absent</v>
      </c>
      <c r="C211" s="2" t="str">
        <f t="shared" si="1"/>
        <v>Numeral Classifiers</v>
      </c>
      <c r="D211" s="2" t="str">
        <f>HYPERLINK("https://wals.info/languoid/lect/wals_code_mym","Malayalam")</f>
        <v>Malayalam</v>
      </c>
      <c r="E211" s="1"/>
      <c r="F211" s="1"/>
      <c r="G211" s="1"/>
    </row>
    <row r="212" ht="12.75" customHeight="1">
      <c r="A212" s="1" t="s">
        <v>290</v>
      </c>
      <c r="B212" s="2" t="str">
        <f>HYPERLINK("https://wals.info/values/55A-mli","Absent")</f>
        <v>Absent</v>
      </c>
      <c r="C212" s="2" t="str">
        <f t="shared" si="1"/>
        <v>Numeral Classifiers</v>
      </c>
      <c r="D212" s="2" t="str">
        <f>HYPERLINK("https://wals.info/languoid/lect/wals_code_mli","Mali")</f>
        <v>Mali</v>
      </c>
      <c r="E212" s="1"/>
      <c r="F212" s="1"/>
      <c r="G212" s="1" t="s">
        <v>291</v>
      </c>
    </row>
    <row r="213" ht="12.75" customHeight="1">
      <c r="A213" s="1" t="s">
        <v>292</v>
      </c>
      <c r="B213" s="2" t="str">
        <f>HYPERLINK("https://wals.info/values/55A-mdn","Absent")</f>
        <v>Absent</v>
      </c>
      <c r="C213" s="2" t="str">
        <f t="shared" si="1"/>
        <v>Numeral Classifiers</v>
      </c>
      <c r="D213" s="2" t="str">
        <f>HYPERLINK("https://wals.info/languoid/lect/wals_code_mdn","Mandan")</f>
        <v>Mandan</v>
      </c>
      <c r="E213" s="1"/>
      <c r="F213" s="1"/>
      <c r="G213" s="1" t="s">
        <v>293</v>
      </c>
    </row>
    <row r="214" ht="12.75" customHeight="1">
      <c r="A214" s="1" t="s">
        <v>294</v>
      </c>
      <c r="B214" s="2" t="str">
        <f>HYPERLINK("https://wals.info/values/55A-mnr","Optional")</f>
        <v>Optional</v>
      </c>
      <c r="C214" s="2" t="str">
        <f t="shared" si="1"/>
        <v>Numeral Classifiers</v>
      </c>
      <c r="D214" s="2" t="str">
        <f>HYPERLINK("https://wals.info/languoid/lect/wals_code_mnr","Mandar")</f>
        <v>Mandar</v>
      </c>
      <c r="E214" s="1"/>
      <c r="F214" s="1"/>
      <c r="G214" s="1" t="s">
        <v>295</v>
      </c>
    </row>
    <row r="215" ht="12.75" customHeight="1">
      <c r="A215" s="1" t="s">
        <v>296</v>
      </c>
      <c r="B215" s="2" t="str">
        <f>HYPERLINK("https://wals.info/values/55A-mnd","Obligatory")</f>
        <v>Obligatory</v>
      </c>
      <c r="C215" s="2" t="str">
        <f t="shared" si="1"/>
        <v>Numeral Classifiers</v>
      </c>
      <c r="D215" s="2" t="str">
        <f>HYPERLINK("https://wals.info/languoid/lect/wals_code_mnd","Mandarin")</f>
        <v>Mandarin</v>
      </c>
      <c r="E215" s="1"/>
      <c r="F215" s="1"/>
      <c r="G215" s="1"/>
    </row>
    <row r="216" ht="12.75" customHeight="1">
      <c r="A216" s="1" t="s">
        <v>297</v>
      </c>
      <c r="B216" s="2" t="str">
        <f>HYPERLINK("https://wals.info/values/55A-mdk","Absent")</f>
        <v>Absent</v>
      </c>
      <c r="C216" s="2" t="str">
        <f t="shared" si="1"/>
        <v>Numeral Classifiers</v>
      </c>
      <c r="D216" s="2" t="str">
        <f>HYPERLINK("https://wals.info/languoid/lect/wals_code_mdk","Mandinka")</f>
        <v>Mandinka</v>
      </c>
      <c r="E216" s="1"/>
      <c r="F216" s="1"/>
      <c r="G216" s="1" t="s">
        <v>11</v>
      </c>
    </row>
    <row r="217" ht="12.75" customHeight="1">
      <c r="A217" s="1" t="s">
        <v>298</v>
      </c>
      <c r="B217" s="2" t="str">
        <f>HYPERLINK("https://wals.info/values/55A-myi","Absent")</f>
        <v>Absent</v>
      </c>
      <c r="C217" s="2" t="str">
        <f t="shared" si="1"/>
        <v>Numeral Classifiers</v>
      </c>
      <c r="D217" s="2" t="str">
        <f>HYPERLINK("https://wals.info/languoid/lect/wals_code_myi","Mangarrayi")</f>
        <v>Mangarrayi</v>
      </c>
      <c r="E217" s="1"/>
      <c r="F217" s="1"/>
      <c r="G217" s="1" t="s">
        <v>11</v>
      </c>
    </row>
    <row r="218" ht="12.75" customHeight="1">
      <c r="A218" s="1" t="s">
        <v>299</v>
      </c>
      <c r="B218" s="2" t="str">
        <f>HYPERLINK("https://wals.info/values/55A-map","Absent")</f>
        <v>Absent</v>
      </c>
      <c r="C218" s="2" t="str">
        <f t="shared" si="1"/>
        <v>Numeral Classifiers</v>
      </c>
      <c r="D218" s="2" t="str">
        <f>HYPERLINK("https://wals.info/languoid/lect/wals_code_map","Mapudungun")</f>
        <v>Mapudungun</v>
      </c>
      <c r="E218" s="1"/>
      <c r="F218" s="1"/>
      <c r="G218" s="1" t="s">
        <v>11</v>
      </c>
    </row>
    <row r="219" ht="12.75" customHeight="1">
      <c r="A219" s="1" t="s">
        <v>300</v>
      </c>
      <c r="B219" s="2" t="str">
        <f>HYPERLINK("https://wals.info/values/55A-mhi","Absent")</f>
        <v>Absent</v>
      </c>
      <c r="C219" s="2" t="str">
        <f t="shared" si="1"/>
        <v>Numeral Classifiers</v>
      </c>
      <c r="D219" s="2" t="str">
        <f>HYPERLINK("https://wals.info/languoid/lect/wals_code_mhi","Marathi")</f>
        <v>Marathi</v>
      </c>
      <c r="E219" s="1"/>
      <c r="F219" s="1"/>
      <c r="G219" s="1"/>
    </row>
    <row r="220" ht="12.75" customHeight="1">
      <c r="A220" s="1" t="s">
        <v>301</v>
      </c>
      <c r="B220" s="2" t="str">
        <f>HYPERLINK("https://wals.info/values/55A-mrg","Absent")</f>
        <v>Absent</v>
      </c>
      <c r="C220" s="2" t="str">
        <f t="shared" si="1"/>
        <v>Numeral Classifiers</v>
      </c>
      <c r="D220" s="2" t="str">
        <f>HYPERLINK("https://wals.info/languoid/lect/wals_code_mrg","Margi")</f>
        <v>Margi</v>
      </c>
      <c r="E220" s="1"/>
      <c r="F220" s="1"/>
      <c r="G220" s="1" t="s">
        <v>302</v>
      </c>
    </row>
    <row r="221" ht="12.75" customHeight="1">
      <c r="A221" s="1" t="s">
        <v>303</v>
      </c>
      <c r="B221" s="2" t="str">
        <f>HYPERLINK("https://wals.info/values/55A-mar","Absent")</f>
        <v>Absent</v>
      </c>
      <c r="C221" s="2" t="str">
        <f t="shared" si="1"/>
        <v>Numeral Classifiers</v>
      </c>
      <c r="D221" s="2" t="str">
        <f>HYPERLINK("https://wals.info/languoid/lect/wals_code_mar","Maricopa")</f>
        <v>Maricopa</v>
      </c>
      <c r="E221" s="1"/>
      <c r="F221" s="1"/>
      <c r="G221" s="1"/>
    </row>
    <row r="222" ht="12.75" customHeight="1">
      <c r="A222" s="1" t="s">
        <v>304</v>
      </c>
      <c r="B222" s="2" t="str">
        <f>HYPERLINK("https://wals.info/values/55A-mrt","Absent")</f>
        <v>Absent</v>
      </c>
      <c r="C222" s="2" t="str">
        <f t="shared" si="1"/>
        <v>Numeral Classifiers</v>
      </c>
      <c r="D222" s="2" t="str">
        <f>HYPERLINK("https://wals.info/languoid/lect/wals_code_mrt","Martuthunira")</f>
        <v>Martuthunira</v>
      </c>
      <c r="E222" s="1"/>
      <c r="F222" s="1"/>
      <c r="G222" s="1" t="s">
        <v>305</v>
      </c>
    </row>
    <row r="223" ht="12.75" customHeight="1">
      <c r="A223" s="1" t="s">
        <v>306</v>
      </c>
      <c r="B223" s="2" t="str">
        <f>HYPERLINK("https://wals.info/values/55A-mau","Absent")</f>
        <v>Absent</v>
      </c>
      <c r="C223" s="2" t="str">
        <f t="shared" si="1"/>
        <v>Numeral Classifiers</v>
      </c>
      <c r="D223" s="2" t="str">
        <f>HYPERLINK("https://wals.info/languoid/lect/wals_code_mau","Maung")</f>
        <v>Maung</v>
      </c>
      <c r="E223" s="1"/>
      <c r="F223" s="1"/>
      <c r="G223" s="1" t="s">
        <v>11</v>
      </c>
    </row>
    <row r="224" ht="12.75" customHeight="1">
      <c r="A224" s="1" t="s">
        <v>307</v>
      </c>
      <c r="B224" s="2" t="str">
        <f>HYPERLINK("https://wals.info/values/55A-may","Optional")</f>
        <v>Optional</v>
      </c>
      <c r="C224" s="2" t="str">
        <f t="shared" si="1"/>
        <v>Numeral Classifiers</v>
      </c>
      <c r="D224" s="2" t="str">
        <f>HYPERLINK("https://wals.info/languoid/lect/wals_code_may","Maybrat")</f>
        <v>Maybrat</v>
      </c>
      <c r="E224" s="1"/>
      <c r="F224" s="1"/>
      <c r="G224" s="1" t="s">
        <v>308</v>
      </c>
    </row>
    <row r="225" ht="12.75" customHeight="1">
      <c r="A225" s="1" t="s">
        <v>309</v>
      </c>
      <c r="B225" s="2" t="str">
        <f>HYPERLINK("https://wals.info/values/55A-mzn","Optional")</f>
        <v>Optional</v>
      </c>
      <c r="C225" s="2" t="str">
        <f t="shared" si="1"/>
        <v>Numeral Classifiers</v>
      </c>
      <c r="D225" s="2" t="str">
        <f>HYPERLINK("https://wals.info/languoid/lect/wals_code_mzn","Mazanderani")</f>
        <v>Mazanderani</v>
      </c>
      <c r="E225" s="1"/>
      <c r="F225" s="1"/>
      <c r="G225" s="1"/>
    </row>
    <row r="226" ht="12.75" customHeight="1">
      <c r="A226" s="1" t="s">
        <v>310</v>
      </c>
      <c r="B226" s="2" t="str">
        <f>HYPERLINK("https://wals.info/values/55A-mbg","Absent")</f>
        <v>Absent</v>
      </c>
      <c r="C226" s="2" t="str">
        <f t="shared" si="1"/>
        <v>Numeral Classifiers</v>
      </c>
      <c r="D226" s="2" t="str">
        <f>HYPERLINK("https://wals.info/languoid/lect/wals_code_mbg","Mbugu")</f>
        <v>Mbugu</v>
      </c>
      <c r="E226" s="1"/>
      <c r="F226" s="1"/>
      <c r="G226" s="1"/>
    </row>
    <row r="227" ht="12.75" customHeight="1">
      <c r="A227" s="1" t="s">
        <v>311</v>
      </c>
      <c r="B227" s="2" t="str">
        <f>HYPERLINK("https://wals.info/values/55A-mee","Absent")</f>
        <v>Absent</v>
      </c>
      <c r="C227" s="2" t="str">
        <f t="shared" si="1"/>
        <v>Numeral Classifiers</v>
      </c>
      <c r="D227" s="2" t="str">
        <f>HYPERLINK("https://wals.info/languoid/lect/wals_code_mee","Me'en")</f>
        <v>Me'en</v>
      </c>
      <c r="E227" s="1"/>
      <c r="F227" s="1"/>
      <c r="G227" s="1" t="s">
        <v>312</v>
      </c>
    </row>
    <row r="228" ht="12.75" customHeight="1">
      <c r="A228" s="1" t="s">
        <v>313</v>
      </c>
      <c r="B228" s="2" t="str">
        <f>HYPERLINK("https://wals.info/values/55A-mel","Optional")</f>
        <v>Optional</v>
      </c>
      <c r="C228" s="2" t="str">
        <f t="shared" si="1"/>
        <v>Numeral Classifiers</v>
      </c>
      <c r="D228" s="2" t="str">
        <f>HYPERLINK("https://wals.info/languoid/lect/wals_code_mel","Melanau")</f>
        <v>Melanau</v>
      </c>
      <c r="E228" s="1"/>
      <c r="F228" s="1"/>
      <c r="G228" s="1" t="s">
        <v>64</v>
      </c>
    </row>
    <row r="229" ht="12.75" customHeight="1">
      <c r="A229" s="1" t="s">
        <v>314</v>
      </c>
      <c r="B229" s="2" t="str">
        <f>HYPERLINK("https://wals.info/values/55A-mde","Absent")</f>
        <v>Absent</v>
      </c>
      <c r="C229" s="2" t="str">
        <f t="shared" si="1"/>
        <v>Numeral Classifiers</v>
      </c>
      <c r="D229" s="2" t="str">
        <f>HYPERLINK("https://wals.info/languoid/lect/wals_code_mde","Mende")</f>
        <v>Mende</v>
      </c>
      <c r="E229" s="1"/>
      <c r="F229" s="1"/>
      <c r="G229" s="1" t="s">
        <v>315</v>
      </c>
    </row>
    <row r="230" ht="12.75" customHeight="1">
      <c r="A230" s="1" t="s">
        <v>316</v>
      </c>
      <c r="B230" s="2" t="str">
        <f>HYPERLINK("https://wals.info/values/55A-min","Optional")</f>
        <v>Optional</v>
      </c>
      <c r="C230" s="2" t="str">
        <f t="shared" si="1"/>
        <v>Numeral Classifiers</v>
      </c>
      <c r="D230" s="2" t="str">
        <f>HYPERLINK("https://wals.info/languoid/lect/wals_code_min","Minangkabau")</f>
        <v>Minangkabau</v>
      </c>
      <c r="E230" s="1"/>
      <c r="F230" s="1"/>
      <c r="G230" s="1"/>
    </row>
    <row r="231" ht="12.75" customHeight="1">
      <c r="A231" s="1" t="s">
        <v>317</v>
      </c>
      <c r="B231" s="2" t="str">
        <f>HYPERLINK("https://wals.info/values/55A-mis","Absent")</f>
        <v>Absent</v>
      </c>
      <c r="C231" s="2" t="str">
        <f t="shared" si="1"/>
        <v>Numeral Classifiers</v>
      </c>
      <c r="D231" s="2" t="str">
        <f>HYPERLINK("https://wals.info/languoid/lect/wals_code_mis","Miskito")</f>
        <v>Miskito</v>
      </c>
      <c r="E231" s="1"/>
      <c r="F231" s="1"/>
      <c r="G231" s="1" t="s">
        <v>11</v>
      </c>
    </row>
    <row r="232" ht="12.75" customHeight="1">
      <c r="A232" s="1" t="s">
        <v>318</v>
      </c>
      <c r="B232" s="2" t="str">
        <f>HYPERLINK("https://wals.info/values/55A-mit","Absent")</f>
        <v>Absent</v>
      </c>
      <c r="C232" s="2" t="str">
        <f t="shared" si="1"/>
        <v>Numeral Classifiers</v>
      </c>
      <c r="D232" s="2" t="str">
        <f>HYPERLINK("https://wals.info/languoid/lect/wals_code_mit","Mituku")</f>
        <v>Mituku</v>
      </c>
      <c r="E232" s="1"/>
      <c r="F232" s="1"/>
      <c r="G232" s="1" t="s">
        <v>319</v>
      </c>
    </row>
    <row r="233" ht="12.75" customHeight="1">
      <c r="A233" s="1" t="s">
        <v>320</v>
      </c>
      <c r="B233" s="2" t="str">
        <f>HYPERLINK("https://wals.info/values/55A-mss","Absent")</f>
        <v>Absent</v>
      </c>
      <c r="C233" s="2" t="str">
        <f t="shared" si="1"/>
        <v>Numeral Classifiers</v>
      </c>
      <c r="D233" s="2" t="str">
        <f>HYPERLINK("https://wals.info/languoid/lect/wals_code_mss","Miwok (Southern Sierra)")</f>
        <v>Miwok (Southern Sierra)</v>
      </c>
      <c r="E233" s="1"/>
      <c r="F233" s="1"/>
      <c r="G233" s="1" t="s">
        <v>11</v>
      </c>
    </row>
    <row r="234" ht="12.75" customHeight="1">
      <c r="A234" s="1" t="s">
        <v>321</v>
      </c>
      <c r="B234" s="2" t="str">
        <f>HYPERLINK("https://wals.info/values/55A-mxc","Absent")</f>
        <v>Absent</v>
      </c>
      <c r="C234" s="2" t="str">
        <f t="shared" si="1"/>
        <v>Numeral Classifiers</v>
      </c>
      <c r="D234" s="2" t="str">
        <f>HYPERLINK("https://wals.info/languoid/lect/wals_code_mxc","Mixtec (Chalcatongo)")</f>
        <v>Mixtec (Chalcatongo)</v>
      </c>
      <c r="E234" s="1"/>
      <c r="F234" s="1"/>
      <c r="G234" s="1" t="s">
        <v>11</v>
      </c>
    </row>
    <row r="235" ht="12.75" customHeight="1">
      <c r="A235" s="1" t="s">
        <v>322</v>
      </c>
      <c r="B235" s="2" t="str">
        <f>HYPERLINK("https://wals.info/values/55A-miy","Absent")</f>
        <v>Absent</v>
      </c>
      <c r="C235" s="2" t="str">
        <f t="shared" si="1"/>
        <v>Numeral Classifiers</v>
      </c>
      <c r="D235" s="2" t="str">
        <f>HYPERLINK("https://wals.info/languoid/lect/wals_code_miy","Miya")</f>
        <v>Miya</v>
      </c>
      <c r="E235" s="1"/>
      <c r="F235" s="1"/>
      <c r="G235" s="1" t="s">
        <v>323</v>
      </c>
    </row>
    <row r="236" ht="12.75" customHeight="1">
      <c r="A236" s="1" t="s">
        <v>324</v>
      </c>
      <c r="B236" s="2" t="str">
        <f>HYPERLINK("https://wals.info/values/55A-mlm","Obligatory")</f>
        <v>Obligatory</v>
      </c>
      <c r="C236" s="2" t="str">
        <f t="shared" si="1"/>
        <v>Numeral Classifiers</v>
      </c>
      <c r="D236" s="2" t="str">
        <f>HYPERLINK("https://wals.info/languoid/lect/wals_code_mlm","Mlabri (Minor)")</f>
        <v>Mlabri (Minor)</v>
      </c>
      <c r="E236" s="1"/>
      <c r="F236" s="1"/>
      <c r="G236" s="1" t="s">
        <v>325</v>
      </c>
    </row>
    <row r="237" ht="12.75" customHeight="1">
      <c r="A237" s="1" t="s">
        <v>326</v>
      </c>
      <c r="B237" s="2" t="str">
        <f>HYPERLINK("https://wals.info/values/55A-mok","Obligatory")</f>
        <v>Obligatory</v>
      </c>
      <c r="C237" s="2" t="str">
        <f t="shared" si="1"/>
        <v>Numeral Classifiers</v>
      </c>
      <c r="D237" s="2" t="str">
        <f>HYPERLINK("https://wals.info/languoid/lect/wals_code_mok","Mokilese")</f>
        <v>Mokilese</v>
      </c>
      <c r="E237" s="1"/>
      <c r="F237" s="1"/>
      <c r="G237" s="1" t="s">
        <v>327</v>
      </c>
    </row>
    <row r="238" ht="12.75" customHeight="1">
      <c r="A238" s="1" t="s">
        <v>328</v>
      </c>
      <c r="B238" s="2" t="str">
        <f>HYPERLINK("https://wals.info/values/55A-mll","Absent")</f>
        <v>Absent</v>
      </c>
      <c r="C238" s="2" t="str">
        <f t="shared" si="1"/>
        <v>Numeral Classifiers</v>
      </c>
      <c r="D238" s="2" t="str">
        <f>HYPERLINK("https://wals.info/languoid/lect/wals_code_mll","Molala")</f>
        <v>Molala</v>
      </c>
      <c r="E238" s="1"/>
      <c r="F238" s="1"/>
      <c r="G238" s="1" t="s">
        <v>127</v>
      </c>
    </row>
    <row r="239" ht="12.75" customHeight="1">
      <c r="A239" s="1" t="s">
        <v>329</v>
      </c>
      <c r="B239" s="2" t="str">
        <f>HYPERLINK("https://wals.info/values/55A-moe","Absent")</f>
        <v>Absent</v>
      </c>
      <c r="C239" s="2" t="str">
        <f t="shared" si="1"/>
        <v>Numeral Classifiers</v>
      </c>
      <c r="D239" s="2" t="str">
        <f>HYPERLINK("https://wals.info/languoid/lect/wals_code_moe","Mordvin (Erzya)")</f>
        <v>Mordvin (Erzya)</v>
      </c>
      <c r="E239" s="1"/>
      <c r="F239" s="1"/>
      <c r="G239" s="1"/>
    </row>
    <row r="240" ht="12.75" customHeight="1">
      <c r="A240" s="1" t="s">
        <v>330</v>
      </c>
      <c r="B240" s="2" t="str">
        <f>HYPERLINK("https://wals.info/values/55A-mos","Absent")</f>
        <v>Absent</v>
      </c>
      <c r="C240" s="2" t="str">
        <f t="shared" si="1"/>
        <v>Numeral Classifiers</v>
      </c>
      <c r="D240" s="2" t="str">
        <f>HYPERLINK("https://wals.info/languoid/lect/wals_code_mos","Mosetén")</f>
        <v>Mosetén</v>
      </c>
      <c r="E240" s="1"/>
      <c r="F240" s="1"/>
      <c r="G240" s="1"/>
    </row>
    <row r="241" ht="12.75" customHeight="1">
      <c r="A241" s="1" t="s">
        <v>331</v>
      </c>
      <c r="B241" s="2" t="str">
        <f>HYPERLINK("https://wals.info/values/55A-msc","Absent")</f>
        <v>Absent</v>
      </c>
      <c r="C241" s="2" t="str">
        <f t="shared" si="1"/>
        <v>Numeral Classifiers</v>
      </c>
      <c r="D241" s="2" t="str">
        <f>HYPERLINK("https://wals.info/languoid/lect/wals_code_msc","Muisca")</f>
        <v>Muisca</v>
      </c>
      <c r="E241" s="1"/>
      <c r="F241" s="1"/>
      <c r="G241" s="1" t="s">
        <v>332</v>
      </c>
    </row>
    <row r="242" ht="12.75" customHeight="1">
      <c r="A242" s="1" t="s">
        <v>333</v>
      </c>
      <c r="B242" s="2" t="str">
        <f>HYPERLINK("https://wals.info/values/55A-muu","Absent")</f>
        <v>Absent</v>
      </c>
      <c r="C242" s="2" t="str">
        <f t="shared" si="1"/>
        <v>Numeral Classifiers</v>
      </c>
      <c r="D242" s="2" t="str">
        <f>HYPERLINK("https://wals.info/languoid/lect/wals_code_muu","Mundurukú")</f>
        <v>Mundurukú</v>
      </c>
      <c r="E242" s="1"/>
      <c r="F242" s="1"/>
      <c r="G242" s="1" t="s">
        <v>19</v>
      </c>
    </row>
    <row r="243" ht="12.75" customHeight="1">
      <c r="A243" s="1" t="s">
        <v>334</v>
      </c>
      <c r="B243" s="2" t="str">
        <f>HYPERLINK("https://wals.info/values/55A-mup","Absent")</f>
        <v>Absent</v>
      </c>
      <c r="C243" s="2" t="str">
        <f t="shared" si="1"/>
        <v>Numeral Classifiers</v>
      </c>
      <c r="D243" s="2" t="str">
        <f>HYPERLINK("https://wals.info/languoid/lect/wals_code_mup","Mupun")</f>
        <v>Mupun</v>
      </c>
      <c r="E243" s="1"/>
      <c r="F243" s="1"/>
      <c r="G243" s="1" t="s">
        <v>335</v>
      </c>
    </row>
    <row r="244" ht="12.75" customHeight="1">
      <c r="A244" s="1" t="s">
        <v>336</v>
      </c>
      <c r="B244" s="2" t="str">
        <f>HYPERLINK("https://wals.info/values/55A-nah","Absent")</f>
        <v>Absent</v>
      </c>
      <c r="C244" s="2" t="str">
        <f t="shared" si="1"/>
        <v>Numeral Classifiers</v>
      </c>
      <c r="D244" s="2" t="str">
        <f>HYPERLINK("https://wals.info/languoid/lect/wals_code_nah","Nahali")</f>
        <v>Nahali</v>
      </c>
      <c r="E244" s="1"/>
      <c r="F244" s="1"/>
      <c r="G244" s="1" t="s">
        <v>11</v>
      </c>
    </row>
    <row r="245" ht="12.75" customHeight="1">
      <c r="A245" s="1" t="s">
        <v>337</v>
      </c>
      <c r="B245" s="2" t="str">
        <f>HYPERLINK("https://wals.info/values/55A-nht","Absent")</f>
        <v>Absent</v>
      </c>
      <c r="C245" s="2" t="str">
        <f t="shared" si="1"/>
        <v>Numeral Classifiers</v>
      </c>
      <c r="D245" s="2" t="str">
        <f>HYPERLINK("https://wals.info/languoid/lect/wals_code_nht","Nahuatl (Tetelcingo)")</f>
        <v>Nahuatl (Tetelcingo)</v>
      </c>
      <c r="E245" s="1"/>
      <c r="F245" s="1"/>
      <c r="G245" s="1" t="s">
        <v>338</v>
      </c>
    </row>
    <row r="246" ht="12.75" customHeight="1">
      <c r="A246" s="1" t="s">
        <v>339</v>
      </c>
      <c r="B246" s="2" t="str">
        <f>HYPERLINK("https://wals.info/values/55A-nai","Absent")</f>
        <v>Absent</v>
      </c>
      <c r="C246" s="2" t="str">
        <f t="shared" si="1"/>
        <v>Numeral Classifiers</v>
      </c>
      <c r="D246" s="2" t="str">
        <f>HYPERLINK("https://wals.info/languoid/lect/wals_code_nai","Nanai")</f>
        <v>Nanai</v>
      </c>
      <c r="E246" s="1"/>
      <c r="F246" s="1"/>
      <c r="G246" s="1" t="s">
        <v>11</v>
      </c>
    </row>
    <row r="247" ht="12.75" customHeight="1">
      <c r="A247" s="1" t="s">
        <v>340</v>
      </c>
      <c r="B247" s="2" t="str">
        <f>HYPERLINK("https://wals.info/values/55A-npu","Optional")</f>
        <v>Optional</v>
      </c>
      <c r="C247" s="2" t="str">
        <f t="shared" si="1"/>
        <v>Numeral Classifiers</v>
      </c>
      <c r="D247" s="2" t="str">
        <f>HYPERLINK("https://wals.info/languoid/lect/wals_code_npu","Napu")</f>
        <v>Napu</v>
      </c>
      <c r="E247" s="1"/>
      <c r="F247" s="1"/>
      <c r="G247" s="1" t="s">
        <v>341</v>
      </c>
    </row>
    <row r="248" ht="12.75" customHeight="1">
      <c r="A248" s="1" t="s">
        <v>342</v>
      </c>
      <c r="B248" s="2" t="str">
        <f>HYPERLINK("https://wals.info/values/55A-nar","Absent")</f>
        <v>Absent</v>
      </c>
      <c r="C248" s="2" t="str">
        <f t="shared" si="1"/>
        <v>Numeral Classifiers</v>
      </c>
      <c r="D248" s="2" t="str">
        <f>HYPERLINK("https://wals.info/languoid/lect/wals_code_nar","Nara (in Ethiopia)")</f>
        <v>Nara (in Ethiopia)</v>
      </c>
      <c r="E248" s="1"/>
      <c r="F248" s="1"/>
      <c r="G248" s="1" t="s">
        <v>11</v>
      </c>
    </row>
    <row r="249" ht="12.75" customHeight="1">
      <c r="A249" s="1" t="s">
        <v>343</v>
      </c>
      <c r="B249" s="2" t="str">
        <f>HYPERLINK("https://wals.info/values/55A-nrm","Optional")</f>
        <v>Optional</v>
      </c>
      <c r="C249" s="2" t="str">
        <f t="shared" si="1"/>
        <v>Numeral Classifiers</v>
      </c>
      <c r="D249" s="2" t="str">
        <f>HYPERLINK("https://wals.info/languoid/lect/wals_code_nrm","Narom")</f>
        <v>Narom</v>
      </c>
      <c r="E249" s="1"/>
      <c r="F249" s="1"/>
      <c r="G249" s="1" t="s">
        <v>64</v>
      </c>
    </row>
    <row r="250" ht="12.75" customHeight="1">
      <c r="A250" s="1" t="s">
        <v>344</v>
      </c>
      <c r="B250" s="2" t="str">
        <f>HYPERLINK("https://wals.info/values/55A-nas","Absent")</f>
        <v>Absent</v>
      </c>
      <c r="C250" s="2" t="str">
        <f t="shared" si="1"/>
        <v>Numeral Classifiers</v>
      </c>
      <c r="D250" s="2" t="str">
        <f>HYPERLINK("https://wals.info/languoid/lect/wals_code_nas","Nasioi")</f>
        <v>Nasioi</v>
      </c>
      <c r="E250" s="1"/>
      <c r="F250" s="1"/>
      <c r="G250" s="1" t="s">
        <v>345</v>
      </c>
    </row>
    <row r="251" ht="12.75" customHeight="1">
      <c r="A251" s="1" t="s">
        <v>346</v>
      </c>
      <c r="B251" s="2" t="str">
        <f>HYPERLINK("https://wals.info/values/55A-nau","Obligatory")</f>
        <v>Obligatory</v>
      </c>
      <c r="C251" s="2" t="str">
        <f t="shared" si="1"/>
        <v>Numeral Classifiers</v>
      </c>
      <c r="D251" s="2" t="str">
        <f>HYPERLINK("https://wals.info/languoid/lect/wals_code_nau","Nauruan")</f>
        <v>Nauruan</v>
      </c>
      <c r="E251" s="1"/>
      <c r="F251" s="1"/>
      <c r="G251" s="1" t="s">
        <v>347</v>
      </c>
    </row>
    <row r="252" ht="12.75" customHeight="1">
      <c r="A252" s="1" t="s">
        <v>348</v>
      </c>
      <c r="B252" s="2" t="str">
        <f>HYPERLINK("https://wals.info/values/55A-nav","Absent")</f>
        <v>Absent</v>
      </c>
      <c r="C252" s="2" t="str">
        <f t="shared" si="1"/>
        <v>Numeral Classifiers</v>
      </c>
      <c r="D252" s="2" t="str">
        <f>HYPERLINK("https://wals.info/languoid/lect/wals_code_nav","Navajo")</f>
        <v>Navajo</v>
      </c>
      <c r="E252" s="1"/>
      <c r="F252" s="1"/>
      <c r="G252" s="1" t="s">
        <v>11</v>
      </c>
    </row>
    <row r="253" ht="12.75" customHeight="1">
      <c r="A253" s="1" t="s">
        <v>349</v>
      </c>
      <c r="B253" s="2" t="str">
        <f>HYPERLINK("https://wals.info/values/55A-ndy","Absent")</f>
        <v>Absent</v>
      </c>
      <c r="C253" s="2" t="str">
        <f t="shared" si="1"/>
        <v>Numeral Classifiers</v>
      </c>
      <c r="D253" s="2" t="str">
        <f>HYPERLINK("https://wals.info/languoid/lect/wals_code_ndy","Ndyuka")</f>
        <v>Ndyuka</v>
      </c>
      <c r="E253" s="1"/>
      <c r="F253" s="1"/>
      <c r="G253" s="1" t="s">
        <v>350</v>
      </c>
    </row>
    <row r="254" ht="12.75" customHeight="1">
      <c r="A254" s="1" t="s">
        <v>351</v>
      </c>
      <c r="B254" s="2" t="str">
        <f>HYPERLINK("https://wals.info/values/55A-nel","Obligatory")</f>
        <v>Obligatory</v>
      </c>
      <c r="C254" s="2" t="str">
        <f t="shared" si="1"/>
        <v>Numeral Classifiers</v>
      </c>
      <c r="D254" s="2" t="str">
        <f>HYPERLINK("https://wals.info/languoid/lect/wals_code_nel","Nelemwa")</f>
        <v>Nelemwa</v>
      </c>
      <c r="E254" s="1"/>
      <c r="F254" s="1"/>
      <c r="G254" s="1"/>
    </row>
    <row r="255" ht="12.75" customHeight="1">
      <c r="A255" s="1" t="s">
        <v>352</v>
      </c>
      <c r="B255" s="2" t="str">
        <f>HYPERLINK("https://wals.info/values/55A-nen","Absent")</f>
        <v>Absent</v>
      </c>
      <c r="C255" s="2" t="str">
        <f t="shared" si="1"/>
        <v>Numeral Classifiers</v>
      </c>
      <c r="D255" s="2" t="str">
        <f>HYPERLINK("https://wals.info/languoid/lect/wals_code_nen","Nenets")</f>
        <v>Nenets</v>
      </c>
      <c r="E255" s="1"/>
      <c r="F255" s="1"/>
      <c r="G255" s="1" t="s">
        <v>11</v>
      </c>
    </row>
    <row r="256" ht="12.75" customHeight="1">
      <c r="A256" s="1" t="s">
        <v>353</v>
      </c>
      <c r="B256" s="2" t="str">
        <f>HYPERLINK("https://wals.info/values/55A-naj","Absent")</f>
        <v>Absent</v>
      </c>
      <c r="C256" s="2" t="str">
        <f t="shared" si="1"/>
        <v>Numeral Classifiers</v>
      </c>
      <c r="D256" s="2" t="str">
        <f>HYPERLINK("https://wals.info/languoid/lect/wals_code_naj","Neo-Aramaic (Arbel Jewish)")</f>
        <v>Neo-Aramaic (Arbel Jewish)</v>
      </c>
      <c r="E256" s="1"/>
      <c r="F256" s="1"/>
      <c r="G256" s="1" t="s">
        <v>354</v>
      </c>
    </row>
    <row r="257" ht="12.75" customHeight="1">
      <c r="A257" s="1" t="s">
        <v>355</v>
      </c>
      <c r="B257" s="2" t="str">
        <f>HYPERLINK("https://wals.info/values/55A-new","Obligatory")</f>
        <v>Obligatory</v>
      </c>
      <c r="C257" s="2" t="str">
        <f t="shared" si="1"/>
        <v>Numeral Classifiers</v>
      </c>
      <c r="D257" s="2" t="str">
        <f>HYPERLINK("https://wals.info/languoid/lect/wals_code_new","Newari (Kathmandu)")</f>
        <v>Newari (Kathmandu)</v>
      </c>
      <c r="E257" s="1"/>
      <c r="F257" s="1"/>
      <c r="G257" s="1" t="s">
        <v>44</v>
      </c>
    </row>
    <row r="258" ht="12.75" customHeight="1">
      <c r="A258" s="1" t="s">
        <v>356</v>
      </c>
      <c r="B258" s="2" t="str">
        <f>HYPERLINK("https://wals.info/values/55A-ngd","Obligatory")</f>
        <v>Obligatory</v>
      </c>
      <c r="C258" s="2" t="str">
        <f t="shared" si="1"/>
        <v>Numeral Classifiers</v>
      </c>
      <c r="D258" s="2" t="str">
        <f>HYPERLINK("https://wals.info/languoid/lect/wals_code_ngd","Ngad'a")</f>
        <v>Ngad'a</v>
      </c>
      <c r="E258" s="1"/>
      <c r="F258" s="1"/>
      <c r="G258" s="1" t="s">
        <v>357</v>
      </c>
    </row>
    <row r="259" ht="12.75" customHeight="1">
      <c r="A259" s="1" t="s">
        <v>358</v>
      </c>
      <c r="B259" s="2" t="str">
        <f>HYPERLINK("https://wals.info/values/55A-ngy","Absent")</f>
        <v>Absent</v>
      </c>
      <c r="C259" s="2" t="str">
        <f t="shared" si="1"/>
        <v>Numeral Classifiers</v>
      </c>
      <c r="D259" s="2" t="str">
        <f>HYPERLINK("https://wals.info/languoid/lect/wals_code_ngy","Ngarinyman")</f>
        <v>Ngarinyman</v>
      </c>
      <c r="E259" s="1"/>
      <c r="F259" s="1"/>
      <c r="G259" s="1"/>
    </row>
    <row r="260" ht="12.75" customHeight="1">
      <c r="A260" s="1" t="s">
        <v>359</v>
      </c>
      <c r="B260" s="2" t="str">
        <f>HYPERLINK("https://wals.info/values/55A-ngi","Absent")</f>
        <v>Absent</v>
      </c>
      <c r="C260" s="2" t="str">
        <f t="shared" si="1"/>
        <v>Numeral Classifiers</v>
      </c>
      <c r="D260" s="2" t="str">
        <f>HYPERLINK("https://wals.info/languoid/lect/wals_code_ngi","Ngiyambaa")</f>
        <v>Ngiyambaa</v>
      </c>
      <c r="E260" s="1"/>
      <c r="F260" s="1"/>
      <c r="G260" s="1" t="s">
        <v>11</v>
      </c>
    </row>
    <row r="261" ht="12.75" customHeight="1">
      <c r="A261" s="1" t="s">
        <v>360</v>
      </c>
      <c r="B261" s="2" t="str">
        <f>HYPERLINK("https://wals.info/values/55A-ngz","Absent")</f>
        <v>Absent</v>
      </c>
      <c r="C261" s="2" t="str">
        <f t="shared" si="1"/>
        <v>Numeral Classifiers</v>
      </c>
      <c r="D261" s="2" t="str">
        <f>HYPERLINK("https://wals.info/languoid/lect/wals_code_ngz","Ngizim")</f>
        <v>Ngizim</v>
      </c>
      <c r="E261" s="1"/>
      <c r="F261" s="1"/>
      <c r="G261" s="1" t="s">
        <v>361</v>
      </c>
    </row>
    <row r="262" ht="12.75" customHeight="1">
      <c r="A262" s="1" t="s">
        <v>362</v>
      </c>
      <c r="B262" s="2" t="str">
        <f>HYPERLINK("https://wals.info/values/55A-nca","Optional")</f>
        <v>Optional</v>
      </c>
      <c r="C262" s="2" t="str">
        <f t="shared" si="1"/>
        <v>Numeral Classifiers</v>
      </c>
      <c r="D262" s="2" t="str">
        <f>HYPERLINK("https://wals.info/languoid/lect/wals_code_nca","Nicobarese (Car)")</f>
        <v>Nicobarese (Car)</v>
      </c>
      <c r="E262" s="1"/>
      <c r="F262" s="1"/>
      <c r="G262" s="1" t="s">
        <v>363</v>
      </c>
    </row>
    <row r="263" ht="12.75" customHeight="1">
      <c r="A263" s="1" t="s">
        <v>364</v>
      </c>
      <c r="B263" s="2" t="str">
        <f>HYPERLINK("https://wals.info/values/55A-niv","Obligatory")</f>
        <v>Obligatory</v>
      </c>
      <c r="C263" s="2" t="str">
        <f t="shared" si="1"/>
        <v>Numeral Classifiers</v>
      </c>
      <c r="D263" s="2" t="str">
        <f>HYPERLINK("https://wals.info/languoid/lect/wals_code_niv","Nivkh")</f>
        <v>Nivkh</v>
      </c>
      <c r="E263" s="1"/>
      <c r="F263" s="1"/>
      <c r="G263" s="1" t="s">
        <v>11</v>
      </c>
    </row>
    <row r="264" ht="12.75" customHeight="1">
      <c r="A264" s="1" t="s">
        <v>365</v>
      </c>
      <c r="B264" s="2" t="str">
        <f>HYPERLINK("https://wals.info/values/55A-nvs","Obligatory")</f>
        <v>Obligatory</v>
      </c>
      <c r="C264" s="2" t="str">
        <f t="shared" si="1"/>
        <v>Numeral Classifiers</v>
      </c>
      <c r="D264" s="2" t="str">
        <f>HYPERLINK("https://wals.info/languoid/lect/wals_code_nvs","Nivkh (South Sakhalin)")</f>
        <v>Nivkh (South Sakhalin)</v>
      </c>
      <c r="E264" s="1"/>
      <c r="F264" s="1"/>
      <c r="G264" s="1"/>
    </row>
    <row r="265" ht="12.75" customHeight="1">
      <c r="A265" s="1" t="s">
        <v>366</v>
      </c>
      <c r="B265" s="2" t="str">
        <f>HYPERLINK("https://wals.info/values/55A-nbd","Absent")</f>
        <v>Absent</v>
      </c>
      <c r="C265" s="2" t="str">
        <f t="shared" si="1"/>
        <v>Numeral Classifiers</v>
      </c>
      <c r="D265" s="2" t="str">
        <f>HYPERLINK("https://wals.info/languoid/lect/wals_code_nbd","Nubian (Dongolese)")</f>
        <v>Nubian (Dongolese)</v>
      </c>
      <c r="E265" s="1"/>
      <c r="F265" s="1"/>
      <c r="G265" s="1" t="s">
        <v>367</v>
      </c>
    </row>
    <row r="266" ht="12.75" customHeight="1">
      <c r="A266" s="1" t="s">
        <v>368</v>
      </c>
      <c r="B266" s="2" t="str">
        <f>HYPERLINK("https://wals.info/values/55A-nug","Absent")</f>
        <v>Absent</v>
      </c>
      <c r="C266" s="2" t="str">
        <f t="shared" si="1"/>
        <v>Numeral Classifiers</v>
      </c>
      <c r="D266" s="2" t="str">
        <f>HYPERLINK("https://wals.info/languoid/lect/wals_code_nug","Nunggubuyu")</f>
        <v>Nunggubuyu</v>
      </c>
      <c r="E266" s="1"/>
      <c r="F266" s="1"/>
      <c r="G266" s="1" t="s">
        <v>11</v>
      </c>
    </row>
    <row r="267" ht="12.75" customHeight="1">
      <c r="A267" s="1" t="s">
        <v>369</v>
      </c>
      <c r="B267" s="2" t="str">
        <f>HYPERLINK("https://wals.info/values/55A-nyl","Obligatory")</f>
        <v>Obligatory</v>
      </c>
      <c r="C267" s="2" t="str">
        <f t="shared" si="1"/>
        <v>Numeral Classifiers</v>
      </c>
      <c r="D267" s="2" t="str">
        <f>HYPERLINK("https://wals.info/languoid/lect/wals_code_nyl","Nyelâyu")</f>
        <v>Nyelâyu</v>
      </c>
      <c r="E267" s="1"/>
      <c r="F267" s="1"/>
      <c r="G267" s="1"/>
    </row>
    <row r="268" ht="12.75" customHeight="1">
      <c r="A268" s="1" t="s">
        <v>370</v>
      </c>
      <c r="B268" s="2" t="str">
        <f>HYPERLINK("https://wals.info/values/55A-nyu","Absent")</f>
        <v>Absent</v>
      </c>
      <c r="C268" s="2" t="str">
        <f t="shared" si="1"/>
        <v>Numeral Classifiers</v>
      </c>
      <c r="D268" s="2" t="str">
        <f>HYPERLINK("https://wals.info/languoid/lect/wals_code_nyu","Nyulnyul")</f>
        <v>Nyulnyul</v>
      </c>
      <c r="E268" s="1"/>
      <c r="F268" s="1"/>
      <c r="G268" s="1" t="s">
        <v>371</v>
      </c>
    </row>
    <row r="269" ht="12.75" customHeight="1">
      <c r="A269" s="1" t="s">
        <v>372</v>
      </c>
      <c r="B269" s="2" t="str">
        <f>HYPERLINK("https://wals.info/values/55A-oca","Optional")</f>
        <v>Optional</v>
      </c>
      <c r="C269" s="2" t="str">
        <f t="shared" si="1"/>
        <v>Numeral Classifiers</v>
      </c>
      <c r="D269" s="2" t="str">
        <f>HYPERLINK("https://wals.info/languoid/lect/wals_code_oca","Ocaina")</f>
        <v>Ocaina</v>
      </c>
      <c r="E269" s="1"/>
      <c r="F269" s="1"/>
      <c r="G269" s="1" t="s">
        <v>19</v>
      </c>
    </row>
    <row r="270" ht="12.75" customHeight="1">
      <c r="A270" s="1" t="s">
        <v>373</v>
      </c>
      <c r="B270" s="2" t="str">
        <f>HYPERLINK("https://wals.info/values/55A-ood","Absent")</f>
        <v>Absent</v>
      </c>
      <c r="C270" s="2" t="str">
        <f t="shared" si="1"/>
        <v>Numeral Classifiers</v>
      </c>
      <c r="D270" s="2" t="str">
        <f>HYPERLINK("https://wals.info/languoid/lect/wals_code_ood","O'odham")</f>
        <v>O'odham</v>
      </c>
      <c r="E270" s="1"/>
      <c r="F270" s="1"/>
      <c r="G270" s="1" t="s">
        <v>11</v>
      </c>
    </row>
    <row r="271" ht="12.75" customHeight="1">
      <c r="A271" s="1" t="s">
        <v>374</v>
      </c>
      <c r="B271" s="2" t="str">
        <f>HYPERLINK("https://wals.info/values/55A-ore","Optional")</f>
        <v>Optional</v>
      </c>
      <c r="C271" s="2" t="str">
        <f t="shared" si="1"/>
        <v>Numeral Classifiers</v>
      </c>
      <c r="D271" s="2" t="str">
        <f>HYPERLINK("https://wals.info/languoid/lect/wals_code_ore","Orejón")</f>
        <v>Orejón</v>
      </c>
      <c r="E271" s="1"/>
      <c r="F271" s="1"/>
      <c r="G271" s="1" t="s">
        <v>19</v>
      </c>
    </row>
    <row r="272" ht="12.75" customHeight="1">
      <c r="A272" s="1" t="s">
        <v>375</v>
      </c>
      <c r="B272" s="2" t="str">
        <f>HYPERLINK("https://wals.info/values/55A-ori","Absent")</f>
        <v>Absent</v>
      </c>
      <c r="C272" s="2" t="str">
        <f t="shared" si="1"/>
        <v>Numeral Classifiers</v>
      </c>
      <c r="D272" s="2" t="str">
        <f>HYPERLINK("https://wals.info/languoid/lect/wals_code_ori","Orig")</f>
        <v>Orig</v>
      </c>
      <c r="E272" s="1"/>
      <c r="F272" s="1"/>
      <c r="G272" s="1" t="s">
        <v>11</v>
      </c>
    </row>
    <row r="273" ht="12.75" customHeight="1">
      <c r="A273" s="1" t="s">
        <v>376</v>
      </c>
      <c r="B273" s="2" t="str">
        <f>HYPERLINK("https://wals.info/values/55A-orh","Absent")</f>
        <v>Absent</v>
      </c>
      <c r="C273" s="2" t="str">
        <f t="shared" si="1"/>
        <v>Numeral Classifiers</v>
      </c>
      <c r="D273" s="2" t="str">
        <f>HYPERLINK("https://wals.info/languoid/lect/wals_code_orh","Oromo (Harar)")</f>
        <v>Oromo (Harar)</v>
      </c>
      <c r="E273" s="1"/>
      <c r="F273" s="1"/>
      <c r="G273" s="1" t="s">
        <v>11</v>
      </c>
    </row>
    <row r="274" ht="12.75" customHeight="1">
      <c r="A274" s="1" t="s">
        <v>377</v>
      </c>
      <c r="B274" s="2" t="str">
        <f>HYPERLINK("https://wals.info/values/55A-pad","Optional")</f>
        <v>Optional</v>
      </c>
      <c r="C274" s="2" t="str">
        <f t="shared" si="1"/>
        <v>Numeral Classifiers</v>
      </c>
      <c r="D274" s="2" t="str">
        <f>HYPERLINK("https://wals.info/languoid/lect/wals_code_pad","Padoe")</f>
        <v>Padoe</v>
      </c>
      <c r="E274" s="1"/>
      <c r="F274" s="1"/>
      <c r="G274" s="1" t="s">
        <v>378</v>
      </c>
    </row>
    <row r="275" ht="12.75" customHeight="1">
      <c r="A275" s="1" t="s">
        <v>379</v>
      </c>
      <c r="B275" s="2" t="str">
        <f>HYPERLINK("https://wals.info/values/55A-pno","Absent")</f>
        <v>Absent</v>
      </c>
      <c r="C275" s="2" t="str">
        <f t="shared" si="1"/>
        <v>Numeral Classifiers</v>
      </c>
      <c r="D275" s="2" t="str">
        <f>HYPERLINK("https://wals.info/languoid/lect/wals_code_pno","Paiute (Northern)")</f>
        <v>Paiute (Northern)</v>
      </c>
      <c r="E275" s="1"/>
      <c r="F275" s="1"/>
      <c r="G275" s="1" t="s">
        <v>380</v>
      </c>
    </row>
    <row r="276" ht="12.75" customHeight="1">
      <c r="A276" s="1" t="s">
        <v>381</v>
      </c>
      <c r="B276" s="2" t="str">
        <f>HYPERLINK("https://wals.info/values/55A-put","Absent")</f>
        <v>Absent</v>
      </c>
      <c r="C276" s="2" t="str">
        <f t="shared" si="1"/>
        <v>Numeral Classifiers</v>
      </c>
      <c r="D276" s="2" t="str">
        <f>HYPERLINK("https://wals.info/languoid/lect/wals_code_put","Paiute (Southern)")</f>
        <v>Paiute (Southern)</v>
      </c>
      <c r="E276" s="1"/>
      <c r="F276" s="1"/>
      <c r="G276" s="1" t="s">
        <v>11</v>
      </c>
    </row>
    <row r="277" ht="12.75" customHeight="1">
      <c r="A277" s="1" t="s">
        <v>382</v>
      </c>
      <c r="B277" s="2" t="str">
        <f>HYPERLINK("https://wals.info/values/55A-plk","Obligatory")</f>
        <v>Obligatory</v>
      </c>
      <c r="C277" s="2" t="str">
        <f t="shared" si="1"/>
        <v>Numeral Classifiers</v>
      </c>
      <c r="D277" s="2" t="str">
        <f>HYPERLINK("https://wals.info/languoid/lect/wals_code_plk","Palikur")</f>
        <v>Palikur</v>
      </c>
      <c r="E277" s="1"/>
      <c r="F277" s="1"/>
      <c r="G277" s="1" t="s">
        <v>19</v>
      </c>
    </row>
    <row r="278" ht="12.75" customHeight="1">
      <c r="A278" s="1" t="s">
        <v>383</v>
      </c>
      <c r="B278" s="2" t="str">
        <f>HYPERLINK("https://wals.info/values/55A-pnr","Absent")</f>
        <v>Absent</v>
      </c>
      <c r="C278" s="2" t="str">
        <f t="shared" si="1"/>
        <v>Numeral Classifiers</v>
      </c>
      <c r="D278" s="2" t="str">
        <f>HYPERLINK("https://wals.info/languoid/lect/wals_code_pnr","Panare")</f>
        <v>Panare</v>
      </c>
      <c r="E278" s="1"/>
      <c r="F278" s="1"/>
      <c r="G278" s="1" t="s">
        <v>19</v>
      </c>
    </row>
    <row r="279" ht="12.75" customHeight="1">
      <c r="A279" s="1" t="s">
        <v>384</v>
      </c>
      <c r="B279" s="2" t="str">
        <f>HYPERLINK("https://wals.info/values/55A-prc","Absent")</f>
        <v>Absent</v>
      </c>
      <c r="C279" s="2" t="str">
        <f t="shared" si="1"/>
        <v>Numeral Classifiers</v>
      </c>
      <c r="D279" s="2" t="str">
        <f>HYPERLINK("https://wals.info/languoid/lect/wals_code_prc","Paresi")</f>
        <v>Paresi</v>
      </c>
      <c r="E279" s="1"/>
      <c r="F279" s="1"/>
      <c r="G279" s="1" t="s">
        <v>19</v>
      </c>
    </row>
    <row r="280" ht="12.75" customHeight="1">
      <c r="A280" s="1" t="s">
        <v>385</v>
      </c>
      <c r="B280" s="2" t="str">
        <f>HYPERLINK("https://wals.info/values/55A-pau","Absent")</f>
        <v>Absent</v>
      </c>
      <c r="C280" s="2" t="str">
        <f t="shared" si="1"/>
        <v>Numeral Classifiers</v>
      </c>
      <c r="D280" s="2" t="str">
        <f>HYPERLINK("https://wals.info/languoid/lect/wals_code_pau","Paumarí")</f>
        <v>Paumarí</v>
      </c>
      <c r="E280" s="1"/>
      <c r="F280" s="1"/>
      <c r="G280" s="1" t="s">
        <v>19</v>
      </c>
    </row>
    <row r="281" ht="12.75" customHeight="1">
      <c r="A281" s="1" t="s">
        <v>386</v>
      </c>
      <c r="B281" s="2" t="str">
        <f>HYPERLINK("https://wals.info/values/55A-pwn","Absent")</f>
        <v>Absent</v>
      </c>
      <c r="C281" s="2" t="str">
        <f t="shared" si="1"/>
        <v>Numeral Classifiers</v>
      </c>
      <c r="D281" s="2" t="str">
        <f>HYPERLINK("https://wals.info/languoid/lect/wals_code_pwn","Pawnee")</f>
        <v>Pawnee</v>
      </c>
      <c r="E281" s="1"/>
      <c r="F281" s="1"/>
      <c r="G281" s="1" t="s">
        <v>11</v>
      </c>
    </row>
    <row r="282" ht="12.75" customHeight="1">
      <c r="A282" s="1" t="s">
        <v>387</v>
      </c>
      <c r="B282" s="2" t="str">
        <f>HYPERLINK("https://wals.info/values/55A-prs","Optional")</f>
        <v>Optional</v>
      </c>
      <c r="C282" s="2" t="str">
        <f t="shared" si="1"/>
        <v>Numeral Classifiers</v>
      </c>
      <c r="D282" s="2" t="str">
        <f>HYPERLINK("https://wals.info/languoid/lect/wals_code_prs","Persian")</f>
        <v>Persian</v>
      </c>
      <c r="E282" s="1"/>
      <c r="F282" s="1"/>
      <c r="G282" s="1" t="s">
        <v>388</v>
      </c>
    </row>
    <row r="283" ht="12.75" customHeight="1">
      <c r="A283" s="1" t="s">
        <v>389</v>
      </c>
      <c r="B283" s="2" t="str">
        <f>HYPERLINK("https://wals.info/values/55A-pia","Optional")</f>
        <v>Optional</v>
      </c>
      <c r="C283" s="2" t="str">
        <f t="shared" si="1"/>
        <v>Numeral Classifiers</v>
      </c>
      <c r="D283" s="2" t="str">
        <f>HYPERLINK("https://wals.info/languoid/lect/wals_code_pia","Piaroa")</f>
        <v>Piaroa</v>
      </c>
      <c r="E283" s="1"/>
      <c r="F283" s="1"/>
      <c r="G283" s="1" t="s">
        <v>19</v>
      </c>
    </row>
    <row r="284" ht="12.75" customHeight="1">
      <c r="A284" s="1" t="s">
        <v>390</v>
      </c>
      <c r="B284" s="2" t="str">
        <f>HYPERLINK("https://wals.info/values/55A-pil","Optional")</f>
        <v>Optional</v>
      </c>
      <c r="C284" s="2" t="str">
        <f t="shared" si="1"/>
        <v>Numeral Classifiers</v>
      </c>
      <c r="D284" s="2" t="str">
        <f>HYPERLINK("https://wals.info/languoid/lect/wals_code_pil","Pileni")</f>
        <v>Pileni</v>
      </c>
      <c r="E284" s="1"/>
      <c r="F284" s="1"/>
      <c r="G284" s="1" t="s">
        <v>391</v>
      </c>
    </row>
    <row r="285" ht="12.75" customHeight="1">
      <c r="A285" s="1" t="s">
        <v>392</v>
      </c>
      <c r="B285" s="2" t="str">
        <f>HYPERLINK("https://wals.info/values/55A-pba","Absent")</f>
        <v>Absent</v>
      </c>
      <c r="C285" s="2" t="str">
        <f t="shared" si="1"/>
        <v>Numeral Classifiers</v>
      </c>
      <c r="D285" s="2" t="str">
        <f>HYPERLINK("https://wals.info/languoid/lect/wals_code_pba","Pima Bajo")</f>
        <v>Pima Bajo</v>
      </c>
      <c r="E285" s="1"/>
      <c r="F285" s="1"/>
      <c r="G285" s="1" t="s">
        <v>393</v>
      </c>
    </row>
    <row r="286" ht="12.75" customHeight="1">
      <c r="A286" s="1" t="s">
        <v>394</v>
      </c>
      <c r="B286" s="2" t="str">
        <f>HYPERLINK("https://wals.info/values/55A-pip","Absent")</f>
        <v>Absent</v>
      </c>
      <c r="C286" s="2" t="str">
        <f t="shared" si="1"/>
        <v>Numeral Classifiers</v>
      </c>
      <c r="D286" s="2" t="str">
        <f>HYPERLINK("https://wals.info/languoid/lect/wals_code_pip","Pipil")</f>
        <v>Pipil</v>
      </c>
      <c r="E286" s="1"/>
      <c r="F286" s="1"/>
      <c r="G286" s="1" t="s">
        <v>11</v>
      </c>
    </row>
    <row r="287" ht="12.75" customHeight="1">
      <c r="A287" s="1" t="s">
        <v>395</v>
      </c>
      <c r="B287" s="2" t="str">
        <f>HYPERLINK("https://wals.info/values/55A-prh","Absent")</f>
        <v>Absent</v>
      </c>
      <c r="C287" s="2" t="str">
        <f t="shared" si="1"/>
        <v>Numeral Classifiers</v>
      </c>
      <c r="D287" s="2" t="str">
        <f>HYPERLINK("https://wals.info/languoid/lect/wals_code_prh","Pirahã")</f>
        <v>Pirahã</v>
      </c>
      <c r="E287" s="1"/>
      <c r="F287" s="1"/>
      <c r="G287" s="1" t="s">
        <v>396</v>
      </c>
    </row>
    <row r="288" ht="12.75" customHeight="1">
      <c r="A288" s="1" t="s">
        <v>397</v>
      </c>
      <c r="B288" s="2" t="str">
        <f>HYPERLINK("https://wals.info/values/55A-pir","Absent")</f>
        <v>Absent</v>
      </c>
      <c r="C288" s="2" t="str">
        <f t="shared" si="1"/>
        <v>Numeral Classifiers</v>
      </c>
      <c r="D288" s="2" t="str">
        <f>HYPERLINK("https://wals.info/languoid/lect/wals_code_pir","Piro")</f>
        <v>Piro</v>
      </c>
      <c r="E288" s="1"/>
      <c r="F288" s="1"/>
      <c r="G288" s="1" t="s">
        <v>19</v>
      </c>
    </row>
    <row r="289" ht="12.75" customHeight="1">
      <c r="A289" s="1" t="s">
        <v>398</v>
      </c>
      <c r="B289" s="2" t="str">
        <f>HYPERLINK("https://wals.info/values/55A-poh","Obligatory")</f>
        <v>Obligatory</v>
      </c>
      <c r="C289" s="2" t="str">
        <f t="shared" si="1"/>
        <v>Numeral Classifiers</v>
      </c>
      <c r="D289" s="2" t="str">
        <f>HYPERLINK("https://wals.info/languoid/lect/wals_code_poh","Pohnpeian")</f>
        <v>Pohnpeian</v>
      </c>
      <c r="E289" s="1"/>
      <c r="F289" s="1"/>
      <c r="G289" s="1" t="s">
        <v>101</v>
      </c>
    </row>
    <row r="290" ht="12.75" customHeight="1">
      <c r="A290" s="1" t="s">
        <v>399</v>
      </c>
      <c r="B290" s="2" t="str">
        <f>HYPERLINK("https://wals.info/values/55A-pur","Obligatory")</f>
        <v>Obligatory</v>
      </c>
      <c r="C290" s="2" t="str">
        <f t="shared" si="1"/>
        <v>Numeral Classifiers</v>
      </c>
      <c r="D290" s="2" t="str">
        <f>HYPERLINK("https://wals.info/languoid/lect/wals_code_pur","Purépecha")</f>
        <v>Purépecha</v>
      </c>
      <c r="E290" s="1"/>
      <c r="F290" s="1"/>
      <c r="G290" s="1" t="s">
        <v>400</v>
      </c>
    </row>
    <row r="291" ht="12.75" customHeight="1">
      <c r="A291" s="1" t="s">
        <v>401</v>
      </c>
      <c r="B291" s="2" t="str">
        <f>HYPERLINK("https://wals.info/values/55A-qcu","Absent")</f>
        <v>Absent</v>
      </c>
      <c r="C291" s="2" t="str">
        <f t="shared" si="1"/>
        <v>Numeral Classifiers</v>
      </c>
      <c r="D291" s="2" t="str">
        <f>HYPERLINK("https://wals.info/languoid/lect/wals_code_qcu","Quechua (Cuzco)")</f>
        <v>Quechua (Cuzco)</v>
      </c>
      <c r="E291" s="1"/>
      <c r="F291" s="1"/>
      <c r="G291" s="1" t="s">
        <v>402</v>
      </c>
    </row>
    <row r="292" ht="12.75" customHeight="1">
      <c r="A292" s="1" t="s">
        <v>403</v>
      </c>
      <c r="B292" s="2" t="str">
        <f>HYPERLINK("https://wals.info/values/55A-qhu","Absent")</f>
        <v>Absent</v>
      </c>
      <c r="C292" s="2" t="str">
        <f t="shared" si="1"/>
        <v>Numeral Classifiers</v>
      </c>
      <c r="D292" s="2" t="str">
        <f>HYPERLINK("https://wals.info/languoid/lect/wals_code_qhu","Quechua (Huallaga)")</f>
        <v>Quechua (Huallaga)</v>
      </c>
      <c r="E292" s="1"/>
      <c r="F292" s="1"/>
      <c r="G292" s="1" t="s">
        <v>404</v>
      </c>
    </row>
    <row r="293" ht="12.75" customHeight="1">
      <c r="A293" s="1" t="s">
        <v>405</v>
      </c>
      <c r="B293" s="2" t="str">
        <f>HYPERLINK("https://wals.info/values/55A-qim","Absent")</f>
        <v>Absent</v>
      </c>
      <c r="C293" s="2" t="str">
        <f t="shared" si="1"/>
        <v>Numeral Classifiers</v>
      </c>
      <c r="D293" s="2" t="str">
        <f>HYPERLINK("https://wals.info/languoid/lect/wals_code_qim","Quechua (Imbabura)")</f>
        <v>Quechua (Imbabura)</v>
      </c>
      <c r="E293" s="1"/>
      <c r="F293" s="1"/>
      <c r="G293" s="1" t="s">
        <v>19</v>
      </c>
    </row>
    <row r="294" ht="12.75" customHeight="1">
      <c r="A294" s="1" t="s">
        <v>406</v>
      </c>
      <c r="B294" s="2" t="str">
        <f>HYPERLINK("https://wals.info/values/55A-qui","Absent")</f>
        <v>Absent</v>
      </c>
      <c r="C294" s="2" t="str">
        <f t="shared" si="1"/>
        <v>Numeral Classifiers</v>
      </c>
      <c r="D294" s="2" t="str">
        <f>HYPERLINK("https://wals.info/languoid/lect/wals_code_qui","Quileute")</f>
        <v>Quileute</v>
      </c>
      <c r="E294" s="1"/>
      <c r="F294" s="1"/>
      <c r="G294" s="1" t="s">
        <v>11</v>
      </c>
    </row>
    <row r="295" ht="12.75" customHeight="1">
      <c r="A295" s="1" t="s">
        <v>407</v>
      </c>
      <c r="B295" s="2" t="str">
        <f>HYPERLINK("https://wals.info/values/55A-rap","Absent")</f>
        <v>Absent</v>
      </c>
      <c r="C295" s="2" t="str">
        <f t="shared" si="1"/>
        <v>Numeral Classifiers</v>
      </c>
      <c r="D295" s="2" t="str">
        <f>HYPERLINK("https://wals.info/languoid/lect/wals_code_rap","Rapanui")</f>
        <v>Rapanui</v>
      </c>
      <c r="E295" s="1"/>
      <c r="F295" s="1"/>
      <c r="G295" s="1" t="s">
        <v>408</v>
      </c>
    </row>
    <row r="296" ht="12.75" customHeight="1">
      <c r="A296" s="1" t="s">
        <v>409</v>
      </c>
      <c r="B296" s="2" t="str">
        <f>HYPERLINK("https://wals.info/values/55A-rem","Obligatory")</f>
        <v>Obligatory</v>
      </c>
      <c r="C296" s="2" t="str">
        <f t="shared" si="1"/>
        <v>Numeral Classifiers</v>
      </c>
      <c r="D296" s="2" t="str">
        <f>HYPERLINK("https://wals.info/languoid/lect/wals_code_rem","Remo")</f>
        <v>Remo</v>
      </c>
      <c r="E296" s="1"/>
      <c r="F296" s="1"/>
      <c r="G296" s="1" t="s">
        <v>410</v>
      </c>
    </row>
    <row r="297" ht="12.75" customHeight="1">
      <c r="A297" s="1" t="s">
        <v>411</v>
      </c>
      <c r="B297" s="2" t="str">
        <f>HYPERLINK("https://wals.info/values/55A-rse","Optional")</f>
        <v>Optional</v>
      </c>
      <c r="C297" s="2" t="str">
        <f t="shared" si="1"/>
        <v>Numeral Classifiers</v>
      </c>
      <c r="D297" s="2" t="str">
        <f>HYPERLINK("https://wals.info/languoid/lect/wals_code_rse","Romani (Sepecides)")</f>
        <v>Romani (Sepecides)</v>
      </c>
      <c r="E297" s="1"/>
      <c r="F297" s="1"/>
      <c r="G297" s="1" t="s">
        <v>412</v>
      </c>
    </row>
    <row r="298" ht="12.75" customHeight="1">
      <c r="A298" s="1" t="s">
        <v>413</v>
      </c>
      <c r="B298" s="2" t="str">
        <f>HYPERLINK("https://wals.info/values/55A-ruk","Absent")</f>
        <v>Absent</v>
      </c>
      <c r="C298" s="2" t="str">
        <f t="shared" si="1"/>
        <v>Numeral Classifiers</v>
      </c>
      <c r="D298" s="2" t="str">
        <f>HYPERLINK("https://wals.info/languoid/lect/wals_code_ruk","Rukai (Tanan)")</f>
        <v>Rukai (Tanan)</v>
      </c>
      <c r="E298" s="1"/>
      <c r="F298" s="1"/>
      <c r="G298" s="1"/>
    </row>
    <row r="299" ht="12.75" customHeight="1">
      <c r="A299" s="1" t="s">
        <v>414</v>
      </c>
      <c r="B299" s="2" t="str">
        <f>HYPERLINK("https://wals.info/values/55A-rru","Absent")</f>
        <v>Absent</v>
      </c>
      <c r="C299" s="2" t="str">
        <f t="shared" si="1"/>
        <v>Numeral Classifiers</v>
      </c>
      <c r="D299" s="2" t="str">
        <f>HYPERLINK("https://wals.info/languoid/lect/wals_code_rru","Runyoro-Rutooro")</f>
        <v>Runyoro-Rutooro</v>
      </c>
      <c r="E299" s="1"/>
      <c r="F299" s="1"/>
      <c r="G299" s="1" t="s">
        <v>415</v>
      </c>
    </row>
    <row r="300" ht="12.75" customHeight="1">
      <c r="A300" s="1" t="s">
        <v>416</v>
      </c>
      <c r="B300" s="2" t="str">
        <f>HYPERLINK("https://wals.info/values/55A-rus","Absent")</f>
        <v>Absent</v>
      </c>
      <c r="C300" s="2" t="str">
        <f t="shared" si="1"/>
        <v>Numeral Classifiers</v>
      </c>
      <c r="D300" s="2" t="str">
        <f>HYPERLINK("https://wals.info/languoid/lect/wals_code_rus","Russian")</f>
        <v>Russian</v>
      </c>
      <c r="E300" s="1"/>
      <c r="F300" s="1"/>
      <c r="G300" s="1"/>
    </row>
    <row r="301" ht="12.75" customHeight="1">
      <c r="A301" s="1" t="s">
        <v>417</v>
      </c>
      <c r="B301" s="2" t="str">
        <f>HYPERLINK("https://wals.info/values/55A-rcp","Absent")</f>
        <v>Absent</v>
      </c>
      <c r="C301" s="2" t="str">
        <f t="shared" si="1"/>
        <v>Numeral Classifiers</v>
      </c>
      <c r="D301" s="2" t="str">
        <f>HYPERLINK("https://wals.info/languoid/lect/wals_code_rcp","Russian-Chinese Pidgin (Birobidjan)")</f>
        <v>Russian-Chinese Pidgin (Birobidjan)</v>
      </c>
      <c r="E301" s="1"/>
      <c r="F301" s="1"/>
      <c r="G301" s="1"/>
    </row>
    <row r="302" ht="12.75" customHeight="1">
      <c r="A302" s="1" t="s">
        <v>418</v>
      </c>
      <c r="B302" s="2" t="str">
        <f>HYPERLINK("https://wals.info/values/55A-sal","Absent")</f>
        <v>Absent</v>
      </c>
      <c r="C302" s="2" t="str">
        <f t="shared" si="1"/>
        <v>Numeral Classifiers</v>
      </c>
      <c r="D302" s="2" t="str">
        <f>HYPERLINK("https://wals.info/languoid/lect/wals_code_sal","Salinan")</f>
        <v>Salinan</v>
      </c>
      <c r="E302" s="1"/>
      <c r="F302" s="1"/>
      <c r="G302" s="1" t="s">
        <v>11</v>
      </c>
    </row>
    <row r="303" ht="12.75" customHeight="1">
      <c r="A303" s="1" t="s">
        <v>419</v>
      </c>
      <c r="B303" s="2" t="str">
        <f>HYPERLINK("https://wals.info/values/55A-syu","Absent")</f>
        <v>Absent</v>
      </c>
      <c r="C303" s="2" t="str">
        <f t="shared" si="1"/>
        <v>Numeral Classifiers</v>
      </c>
      <c r="D303" s="2" t="str">
        <f>HYPERLINK("https://wals.info/languoid/lect/wals_code_syu","Salt-Yui")</f>
        <v>Salt-Yui</v>
      </c>
      <c r="E303" s="1"/>
      <c r="F303" s="1"/>
      <c r="G303" s="1" t="s">
        <v>11</v>
      </c>
    </row>
    <row r="304" ht="12.75" customHeight="1">
      <c r="A304" s="1" t="s">
        <v>420</v>
      </c>
      <c r="B304" s="2" t="str">
        <f>HYPERLINK("https://wals.info/values/55A-bjs","Optional")</f>
        <v>Optional</v>
      </c>
      <c r="C304" s="2" t="str">
        <f t="shared" si="1"/>
        <v>Numeral Classifiers</v>
      </c>
      <c r="D304" s="2" t="str">
        <f>HYPERLINK("https://wals.info/languoid/lect/wals_code_bjs","Sama (Southern)")</f>
        <v>Sama (Southern)</v>
      </c>
      <c r="E304" s="1"/>
      <c r="F304" s="1"/>
      <c r="G304" s="1" t="s">
        <v>64</v>
      </c>
    </row>
    <row r="305" ht="12.75" customHeight="1">
      <c r="A305" s="1" t="s">
        <v>421</v>
      </c>
      <c r="B305" s="2" t="str">
        <f>HYPERLINK("https://wals.info/values/55A-sam","Optional")</f>
        <v>Optional</v>
      </c>
      <c r="C305" s="2" t="str">
        <f t="shared" si="1"/>
        <v>Numeral Classifiers</v>
      </c>
      <c r="D305" s="2" t="str">
        <f>HYPERLINK("https://wals.info/languoid/lect/wals_code_sam","Samoan")</f>
        <v>Samoan</v>
      </c>
      <c r="E305" s="1"/>
      <c r="F305" s="1"/>
      <c r="G305" s="1"/>
    </row>
    <row r="306" ht="12.75" customHeight="1">
      <c r="A306" s="1" t="s">
        <v>422</v>
      </c>
      <c r="B306" s="2" t="str">
        <f>HYPERLINK("https://wals.info/values/55A-sdw","Absent")</f>
        <v>Absent</v>
      </c>
      <c r="C306" s="2" t="str">
        <f t="shared" si="1"/>
        <v>Numeral Classifiers</v>
      </c>
      <c r="D306" s="2" t="str">
        <f>HYPERLINK("https://wals.info/languoid/lect/wals_code_sdw","Sandawe")</f>
        <v>Sandawe</v>
      </c>
      <c r="E306" s="1"/>
      <c r="F306" s="1"/>
      <c r="G306" s="1" t="s">
        <v>11</v>
      </c>
    </row>
    <row r="307" ht="12.75" customHeight="1">
      <c r="A307" s="1" t="s">
        <v>423</v>
      </c>
      <c r="B307" s="2" t="str">
        <f>HYPERLINK("https://wals.info/values/55A-stl","Optional")</f>
        <v>Optional</v>
      </c>
      <c r="C307" s="2" t="str">
        <f t="shared" si="1"/>
        <v>Numeral Classifiers</v>
      </c>
      <c r="D307" s="2" t="str">
        <f>HYPERLINK("https://wals.info/languoid/lect/wals_code_stl","Santali")</f>
        <v>Santali</v>
      </c>
      <c r="E307" s="1"/>
      <c r="F307" s="1"/>
      <c r="G307" s="1" t="s">
        <v>424</v>
      </c>
    </row>
    <row r="308" ht="12.75" customHeight="1">
      <c r="A308" s="1" t="s">
        <v>425</v>
      </c>
      <c r="B308" s="2" t="str">
        <f>HYPERLINK("https://wals.info/values/55A-snm","Optional")</f>
        <v>Optional</v>
      </c>
      <c r="C308" s="2" t="str">
        <f t="shared" si="1"/>
        <v>Numeral Classifiers</v>
      </c>
      <c r="D308" s="2" t="str">
        <f>HYPERLINK("https://wals.info/languoid/lect/wals_code_snm","Sanuma")</f>
        <v>Sanuma</v>
      </c>
      <c r="E308" s="1"/>
      <c r="F308" s="1"/>
      <c r="G308" s="1" t="s">
        <v>19</v>
      </c>
    </row>
    <row r="309" ht="12.75" customHeight="1">
      <c r="A309" s="1" t="s">
        <v>426</v>
      </c>
      <c r="B309" s="2" t="str">
        <f>HYPERLINK("https://wals.info/values/55A-saw","Obligatory")</f>
        <v>Obligatory</v>
      </c>
      <c r="C309" s="2" t="str">
        <f t="shared" si="1"/>
        <v>Numeral Classifiers</v>
      </c>
      <c r="D309" s="2" t="str">
        <f>HYPERLINK("https://wals.info/languoid/lect/wals_code_saw","Sawu")</f>
        <v>Sawu</v>
      </c>
      <c r="E309" s="1"/>
      <c r="F309" s="1"/>
      <c r="G309" s="1" t="s">
        <v>427</v>
      </c>
    </row>
    <row r="310" ht="12.75" customHeight="1">
      <c r="A310" s="1" t="s">
        <v>428</v>
      </c>
      <c r="B310" s="2" t="str">
        <f>HYPERLINK("https://wals.info/values/55A-see","Absent")</f>
        <v>Absent</v>
      </c>
      <c r="C310" s="2" t="str">
        <f t="shared" si="1"/>
        <v>Numeral Classifiers</v>
      </c>
      <c r="D310" s="2" t="str">
        <f>HYPERLINK("https://wals.info/languoid/lect/wals_code_see","Seediq")</f>
        <v>Seediq</v>
      </c>
      <c r="E310" s="1"/>
      <c r="F310" s="1"/>
      <c r="G310" s="1" t="s">
        <v>429</v>
      </c>
    </row>
    <row r="311" ht="12.75" customHeight="1">
      <c r="A311" s="1" t="s">
        <v>430</v>
      </c>
      <c r="B311" s="2" t="str">
        <f>HYPERLINK("https://wals.info/values/55A-smd","Obligatory")</f>
        <v>Obligatory</v>
      </c>
      <c r="C311" s="2" t="str">
        <f t="shared" si="1"/>
        <v>Numeral Classifiers</v>
      </c>
      <c r="D311" s="2" t="str">
        <f>HYPERLINK("https://wals.info/languoid/lect/wals_code_smd","Semandang")</f>
        <v>Semandang</v>
      </c>
      <c r="E311" s="1"/>
      <c r="F311" s="1"/>
      <c r="G311" s="1"/>
    </row>
    <row r="312" ht="12.75" customHeight="1">
      <c r="A312" s="1" t="s">
        <v>431</v>
      </c>
      <c r="B312" s="2" t="str">
        <f>HYPERLINK("https://wals.info/values/55A-sml","Obligatory")</f>
        <v>Obligatory</v>
      </c>
      <c r="C312" s="2" t="str">
        <f t="shared" si="1"/>
        <v>Numeral Classifiers</v>
      </c>
      <c r="D312" s="2" t="str">
        <f>HYPERLINK("https://wals.info/languoid/lect/wals_code_sml","Semelai")</f>
        <v>Semelai</v>
      </c>
      <c r="E312" s="1"/>
      <c r="F312" s="1"/>
      <c r="G312" s="1"/>
    </row>
    <row r="313" ht="12.75" customHeight="1">
      <c r="A313" s="1" t="s">
        <v>432</v>
      </c>
      <c r="B313" s="2" t="str">
        <f>HYPERLINK("https://wals.info/values/55A-snc","Absent")</f>
        <v>Absent</v>
      </c>
      <c r="C313" s="2" t="str">
        <f t="shared" si="1"/>
        <v>Numeral Classifiers</v>
      </c>
      <c r="D313" s="2" t="str">
        <f>HYPERLINK("https://wals.info/languoid/lect/wals_code_snc","Seneca")</f>
        <v>Seneca</v>
      </c>
      <c r="E313" s="1"/>
      <c r="F313" s="1"/>
      <c r="G313" s="1" t="s">
        <v>11</v>
      </c>
    </row>
    <row r="314" ht="12.75" customHeight="1">
      <c r="A314" s="1" t="s">
        <v>433</v>
      </c>
      <c r="B314" s="2" t="str">
        <f>HYPERLINK("https://wals.info/values/55A-snt","Absent")</f>
        <v>Absent</v>
      </c>
      <c r="C314" s="2" t="str">
        <f t="shared" si="1"/>
        <v>Numeral Classifiers</v>
      </c>
      <c r="D314" s="2" t="str">
        <f>HYPERLINK("https://wals.info/languoid/lect/wals_code_snt","Sentani")</f>
        <v>Sentani</v>
      </c>
      <c r="E314" s="1"/>
      <c r="F314" s="1"/>
      <c r="G314" s="1" t="s">
        <v>11</v>
      </c>
    </row>
    <row r="315" ht="12.75" customHeight="1">
      <c r="A315" s="1" t="s">
        <v>434</v>
      </c>
      <c r="B315" s="2" t="str">
        <f>HYPERLINK("https://wals.info/values/55A-ses","Absent")</f>
        <v>Absent</v>
      </c>
      <c r="C315" s="2" t="str">
        <f t="shared" si="1"/>
        <v>Numeral Classifiers</v>
      </c>
      <c r="D315" s="2" t="str">
        <f>HYPERLINK("https://wals.info/languoid/lect/wals_code_ses","Sesotho")</f>
        <v>Sesotho</v>
      </c>
      <c r="E315" s="1"/>
      <c r="F315" s="1"/>
      <c r="G315" s="1" t="s">
        <v>435</v>
      </c>
    </row>
    <row r="316" ht="12.75" customHeight="1">
      <c r="A316" s="1" t="s">
        <v>436</v>
      </c>
      <c r="B316" s="2" t="str">
        <f>HYPERLINK("https://wals.info/values/55A-shs","Absent")</f>
        <v>Absent</v>
      </c>
      <c r="C316" s="2" t="str">
        <f t="shared" si="1"/>
        <v>Numeral Classifiers</v>
      </c>
      <c r="D316" s="2" t="str">
        <f>HYPERLINK("https://wals.info/languoid/lect/wals_code_shs","Shasta")</f>
        <v>Shasta</v>
      </c>
      <c r="E316" s="1"/>
      <c r="F316" s="1"/>
      <c r="G316" s="1" t="s">
        <v>11</v>
      </c>
    </row>
    <row r="317" ht="12.75" customHeight="1">
      <c r="A317" s="1" t="s">
        <v>437</v>
      </c>
      <c r="B317" s="2" t="str">
        <f>HYPERLINK("https://wals.info/values/55A-shk","Absent")</f>
        <v>Absent</v>
      </c>
      <c r="C317" s="2" t="str">
        <f t="shared" si="1"/>
        <v>Numeral Classifiers</v>
      </c>
      <c r="D317" s="2" t="str">
        <f>HYPERLINK("https://wals.info/languoid/lect/wals_code_shk","Shipibo-Konibo")</f>
        <v>Shipibo-Konibo</v>
      </c>
      <c r="E317" s="1"/>
      <c r="F317" s="1"/>
      <c r="G317" s="1"/>
    </row>
    <row r="318" ht="12.75" customHeight="1">
      <c r="A318" s="1" t="s">
        <v>438</v>
      </c>
      <c r="B318" s="2" t="str">
        <f>HYPERLINK("https://wals.info/values/55A-sim","Obligatory")</f>
        <v>Obligatory</v>
      </c>
      <c r="C318" s="2" t="str">
        <f t="shared" si="1"/>
        <v>Numeral Classifiers</v>
      </c>
      <c r="D318" s="2" t="str">
        <f>HYPERLINK("https://wals.info/languoid/lect/wals_code_sim","Simeulue")</f>
        <v>Simeulue</v>
      </c>
      <c r="E318" s="1"/>
      <c r="F318" s="1"/>
      <c r="G318" s="1" t="s">
        <v>439</v>
      </c>
    </row>
    <row r="319" ht="12.75" customHeight="1">
      <c r="A319" s="1" t="s">
        <v>440</v>
      </c>
      <c r="B319" s="2" t="str">
        <f>HYPERLINK("https://wals.info/values/55A-snh","Absent")</f>
        <v>Absent</v>
      </c>
      <c r="C319" s="2" t="str">
        <f t="shared" si="1"/>
        <v>Numeral Classifiers</v>
      </c>
      <c r="D319" s="2" t="str">
        <f>HYPERLINK("https://wals.info/languoid/lect/wals_code_snh","Sinhala")</f>
        <v>Sinhala</v>
      </c>
      <c r="E319" s="1"/>
      <c r="F319" s="1"/>
      <c r="G319" s="1" t="s">
        <v>441</v>
      </c>
    </row>
    <row r="320" ht="12.75" customHeight="1">
      <c r="A320" s="1" t="s">
        <v>442</v>
      </c>
      <c r="B320" s="2" t="str">
        <f>HYPERLINK("https://wals.info/values/55A-sin","Optional")</f>
        <v>Optional</v>
      </c>
      <c r="C320" s="2" t="str">
        <f t="shared" si="1"/>
        <v>Numeral Classifiers</v>
      </c>
      <c r="D320" s="2" t="str">
        <f>HYPERLINK("https://wals.info/languoid/lect/wals_code_sin","Siona")</f>
        <v>Siona</v>
      </c>
      <c r="E320" s="1"/>
      <c r="F320" s="1"/>
      <c r="G320" s="1" t="s">
        <v>19</v>
      </c>
    </row>
    <row r="321" ht="12.75" customHeight="1">
      <c r="A321" s="1" t="s">
        <v>443</v>
      </c>
      <c r="B321" s="2" t="str">
        <f>HYPERLINK("https://wals.info/values/55A-siu","Absent")</f>
        <v>Absent</v>
      </c>
      <c r="C321" s="2" t="str">
        <f t="shared" si="1"/>
        <v>Numeral Classifiers</v>
      </c>
      <c r="D321" s="2" t="str">
        <f>HYPERLINK("https://wals.info/languoid/lect/wals_code_siu","Siuslaw")</f>
        <v>Siuslaw</v>
      </c>
      <c r="E321" s="1"/>
      <c r="F321" s="1"/>
      <c r="G321" s="1" t="s">
        <v>11</v>
      </c>
    </row>
    <row r="322" ht="12.75" customHeight="1">
      <c r="A322" s="1" t="s">
        <v>444</v>
      </c>
      <c r="B322" s="2" t="str">
        <f>HYPERLINK("https://wals.info/values/55A-so","Obligatory")</f>
        <v>Obligatory</v>
      </c>
      <c r="C322" s="2" t="str">
        <f t="shared" si="1"/>
        <v>Numeral Classifiers</v>
      </c>
      <c r="D322" s="2" t="str">
        <f>HYPERLINK("https://wals.info/languoid/lect/wals_code_so","So")</f>
        <v>So</v>
      </c>
      <c r="E322" s="1"/>
      <c r="F322" s="1"/>
      <c r="G322" s="1"/>
    </row>
    <row r="323" ht="12.75" customHeight="1">
      <c r="A323" s="1" t="s">
        <v>445</v>
      </c>
      <c r="B323" s="2" t="str">
        <f>HYPERLINK("https://wals.info/values/55A-sue","Absent")</f>
        <v>Absent</v>
      </c>
      <c r="C323" s="2" t="str">
        <f t="shared" si="1"/>
        <v>Numeral Classifiers</v>
      </c>
      <c r="D323" s="2" t="str">
        <f>HYPERLINK("https://wals.info/languoid/lect/wals_code_sue","Suena")</f>
        <v>Suena</v>
      </c>
      <c r="E323" s="1"/>
      <c r="F323" s="1"/>
      <c r="G323" s="1" t="s">
        <v>11</v>
      </c>
    </row>
    <row r="324" ht="12.75" customHeight="1">
      <c r="A324" s="1" t="s">
        <v>446</v>
      </c>
      <c r="B324" s="2" t="str">
        <f>HYPERLINK("https://wals.info/values/55A-sul","Absent")</f>
        <v>Absent</v>
      </c>
      <c r="C324" s="2" t="str">
        <f t="shared" si="1"/>
        <v>Numeral Classifiers</v>
      </c>
      <c r="D324" s="2" t="str">
        <f>HYPERLINK("https://wals.info/languoid/lect/wals_code_sul","Sulka")</f>
        <v>Sulka</v>
      </c>
      <c r="E324" s="1"/>
      <c r="F324" s="1"/>
      <c r="G324" s="1" t="s">
        <v>11</v>
      </c>
    </row>
    <row r="325" ht="12.75" customHeight="1">
      <c r="A325" s="1" t="s">
        <v>447</v>
      </c>
      <c r="B325" s="2" t="str">
        <f>HYPERLINK("https://wals.info/values/55A-sup","Absent")</f>
        <v>Absent</v>
      </c>
      <c r="C325" s="2" t="str">
        <f t="shared" si="1"/>
        <v>Numeral Classifiers</v>
      </c>
      <c r="D325" s="2" t="str">
        <f>HYPERLINK("https://wals.info/languoid/lect/wals_code_sup","Supyire")</f>
        <v>Supyire</v>
      </c>
      <c r="E325" s="1"/>
      <c r="F325" s="1"/>
      <c r="G325" s="1" t="s">
        <v>448</v>
      </c>
    </row>
    <row r="326" ht="12.75" customHeight="1">
      <c r="A326" s="1" t="s">
        <v>449</v>
      </c>
      <c r="B326" s="2" t="str">
        <f>HYPERLINK("https://wals.info/values/55A-swa","Absent")</f>
        <v>Absent</v>
      </c>
      <c r="C326" s="2" t="str">
        <f t="shared" si="1"/>
        <v>Numeral Classifiers</v>
      </c>
      <c r="D326" s="2" t="str">
        <f>HYPERLINK("https://wals.info/languoid/lect/wals_code_swa","Swahili")</f>
        <v>Swahili</v>
      </c>
      <c r="E326" s="1"/>
      <c r="F326" s="1"/>
      <c r="G326" s="1" t="s">
        <v>174</v>
      </c>
    </row>
    <row r="327" ht="12.75" customHeight="1">
      <c r="A327" s="1" t="s">
        <v>450</v>
      </c>
      <c r="B327" s="2" t="str">
        <f>HYPERLINK("https://wals.info/values/55A-swt","Absent")</f>
        <v>Absent</v>
      </c>
      <c r="C327" s="2" t="str">
        <f t="shared" si="1"/>
        <v>Numeral Classifiers</v>
      </c>
      <c r="D327" s="2" t="str">
        <f>HYPERLINK("https://wals.info/languoid/lect/wals_code_swt","Swati")</f>
        <v>Swati</v>
      </c>
      <c r="E327" s="1"/>
      <c r="F327" s="1"/>
      <c r="G327" s="1" t="s">
        <v>451</v>
      </c>
    </row>
    <row r="328" ht="12.75" customHeight="1">
      <c r="A328" s="1" t="s">
        <v>452</v>
      </c>
      <c r="B328" s="2" t="str">
        <f>HYPERLINK("https://wals.info/values/55A-tab","Obligatory")</f>
        <v>Obligatory</v>
      </c>
      <c r="C328" s="2" t="str">
        <f t="shared" si="1"/>
        <v>Numeral Classifiers</v>
      </c>
      <c r="D328" s="2" t="str">
        <f>HYPERLINK("https://wals.info/languoid/lect/wals_code_tab","Taba")</f>
        <v>Taba</v>
      </c>
      <c r="E328" s="1"/>
      <c r="F328" s="1"/>
      <c r="G328" s="1" t="s">
        <v>453</v>
      </c>
    </row>
    <row r="329" ht="12.75" customHeight="1">
      <c r="A329" s="1" t="s">
        <v>454</v>
      </c>
      <c r="B329" s="2" t="str">
        <f>HYPERLINK("https://wals.info/values/55A-tag","Absent")</f>
        <v>Absent</v>
      </c>
      <c r="C329" s="2" t="str">
        <f t="shared" si="1"/>
        <v>Numeral Classifiers</v>
      </c>
      <c r="D329" s="2" t="str">
        <f>HYPERLINK("https://wals.info/languoid/lect/wals_code_tag","Tagalog")</f>
        <v>Tagalog</v>
      </c>
      <c r="E329" s="1"/>
      <c r="F329" s="1"/>
      <c r="G329" s="1"/>
    </row>
    <row r="330" ht="12.75" customHeight="1">
      <c r="A330" s="1" t="s">
        <v>455</v>
      </c>
      <c r="B330" s="2" t="str">
        <f>HYPERLINK("https://wals.info/values/55A-tkl","Absent")</f>
        <v>Absent</v>
      </c>
      <c r="C330" s="2" t="str">
        <f t="shared" si="1"/>
        <v>Numeral Classifiers</v>
      </c>
      <c r="D330" s="2" t="str">
        <f>HYPERLINK("https://wals.info/languoid/lect/wals_code_tkl","Takelma")</f>
        <v>Takelma</v>
      </c>
      <c r="E330" s="1"/>
      <c r="F330" s="1"/>
      <c r="G330" s="1" t="s">
        <v>11</v>
      </c>
    </row>
    <row r="331" ht="12.75" customHeight="1">
      <c r="A331" s="1" t="s">
        <v>456</v>
      </c>
      <c r="B331" s="2" t="str">
        <f>HYPERLINK("https://wals.info/values/55A-tvo","Optional")</f>
        <v>Optional</v>
      </c>
      <c r="C331" s="2" t="str">
        <f t="shared" si="1"/>
        <v>Numeral Classifiers</v>
      </c>
      <c r="D331" s="2" t="str">
        <f>HYPERLINK("https://wals.info/languoid/lect/wals_code_tvo","Tatar")</f>
        <v>Tatar</v>
      </c>
      <c r="E331" s="1"/>
      <c r="F331" s="1"/>
      <c r="G331" s="1"/>
    </row>
    <row r="332" ht="12.75" customHeight="1">
      <c r="A332" s="1" t="s">
        <v>457</v>
      </c>
      <c r="B332" s="2" t="str">
        <f>HYPERLINK("https://wals.info/values/55A-tts","Optional")</f>
        <v>Optional</v>
      </c>
      <c r="C332" s="2" t="str">
        <f t="shared" si="1"/>
        <v>Numeral Classifiers</v>
      </c>
      <c r="D332" s="2" t="str">
        <f>HYPERLINK("https://wals.info/languoid/lect/wals_code_tts","Tati (Southern)")</f>
        <v>Tati (Southern)</v>
      </c>
      <c r="E332" s="1"/>
      <c r="F332" s="1"/>
      <c r="G332" s="1"/>
    </row>
    <row r="333" ht="12.75" customHeight="1">
      <c r="A333" s="1" t="s">
        <v>458</v>
      </c>
      <c r="B333" s="2" t="str">
        <f>HYPERLINK("https://wals.info/values/55A-tll","Absent")</f>
        <v>Absent</v>
      </c>
      <c r="C333" s="2" t="str">
        <f t="shared" si="1"/>
        <v>Numeral Classifiers</v>
      </c>
      <c r="D333" s="2" t="str">
        <f>HYPERLINK("https://wals.info/languoid/lect/wals_code_tll","Taulil")</f>
        <v>Taulil</v>
      </c>
      <c r="E333" s="1"/>
      <c r="F333" s="1"/>
      <c r="G333" s="1" t="s">
        <v>291</v>
      </c>
    </row>
    <row r="334" ht="12.75" customHeight="1">
      <c r="A334" s="1" t="s">
        <v>459</v>
      </c>
      <c r="B334" s="2" t="str">
        <f>HYPERLINK("https://wals.info/values/55A-taw","Absent")</f>
        <v>Absent</v>
      </c>
      <c r="C334" s="2" t="str">
        <f t="shared" si="1"/>
        <v>Numeral Classifiers</v>
      </c>
      <c r="D334" s="2" t="str">
        <f>HYPERLINK("https://wals.info/languoid/lect/wals_code_taw","Tawala")</f>
        <v>Tawala</v>
      </c>
      <c r="E334" s="1"/>
      <c r="F334" s="1"/>
      <c r="G334" s="1" t="s">
        <v>460</v>
      </c>
    </row>
    <row r="335" ht="12.75" customHeight="1">
      <c r="A335" s="1" t="s">
        <v>461</v>
      </c>
      <c r="B335" s="2" t="str">
        <f>HYPERLINK("https://wals.info/values/55A-tht","Obligatory")</f>
        <v>Obligatory</v>
      </c>
      <c r="C335" s="2" t="str">
        <f t="shared" si="1"/>
        <v>Numeral Classifiers</v>
      </c>
      <c r="D335" s="2" t="str">
        <f>HYPERLINK("https://wals.info/languoid/lect/wals_code_tht","Tehit")</f>
        <v>Tehit</v>
      </c>
      <c r="E335" s="1"/>
      <c r="F335" s="1"/>
      <c r="G335" s="1" t="s">
        <v>462</v>
      </c>
    </row>
    <row r="336" ht="12.75" customHeight="1">
      <c r="A336" s="1" t="s">
        <v>463</v>
      </c>
      <c r="B336" s="2" t="str">
        <f>HYPERLINK("https://wals.info/values/55A-tlf","Absent")</f>
        <v>Absent</v>
      </c>
      <c r="C336" s="2" t="str">
        <f t="shared" si="1"/>
        <v>Numeral Classifiers</v>
      </c>
      <c r="D336" s="2" t="str">
        <f>HYPERLINK("https://wals.info/languoid/lect/wals_code_tlf","Telefol")</f>
        <v>Telefol</v>
      </c>
      <c r="E336" s="1"/>
      <c r="F336" s="1"/>
      <c r="G336" s="1" t="s">
        <v>11</v>
      </c>
    </row>
    <row r="337" ht="12.75" customHeight="1">
      <c r="A337" s="1" t="s">
        <v>464</v>
      </c>
      <c r="B337" s="2" t="str">
        <f>HYPERLINK("https://wals.info/values/55A-tmr","Absent")</f>
        <v>Absent</v>
      </c>
      <c r="C337" s="2" t="str">
        <f t="shared" si="1"/>
        <v>Numeral Classifiers</v>
      </c>
      <c r="D337" s="2" t="str">
        <f>HYPERLINK("https://wals.info/languoid/lect/wals_code_tmr","Temiar")</f>
        <v>Temiar</v>
      </c>
      <c r="E337" s="1"/>
      <c r="F337" s="1"/>
      <c r="G337" s="1" t="s">
        <v>11</v>
      </c>
    </row>
    <row r="338" ht="12.75" customHeight="1">
      <c r="A338" s="1" t="s">
        <v>465</v>
      </c>
      <c r="B338" s="2" t="str">
        <f>HYPERLINK("https://wals.info/values/55A-tps","Absent")</f>
        <v>Absent</v>
      </c>
      <c r="C338" s="2" t="str">
        <f t="shared" si="1"/>
        <v>Numeral Classifiers</v>
      </c>
      <c r="D338" s="2" t="str">
        <f>HYPERLINK("https://wals.info/languoid/lect/wals_code_tps","Tepehuan (Southeastern)")</f>
        <v>Tepehuan (Southeastern)</v>
      </c>
      <c r="E338" s="1"/>
      <c r="F338" s="1"/>
      <c r="G338" s="1" t="s">
        <v>466</v>
      </c>
    </row>
    <row r="339" ht="12.75" customHeight="1">
      <c r="A339" s="1" t="s">
        <v>467</v>
      </c>
      <c r="B339" s="2" t="str">
        <f>HYPERLINK("https://wals.info/values/55A-trn","Absent")</f>
        <v>Absent</v>
      </c>
      <c r="C339" s="2" t="str">
        <f t="shared" si="1"/>
        <v>Numeral Classifiers</v>
      </c>
      <c r="D339" s="2" t="str">
        <f>HYPERLINK("https://wals.info/languoid/lect/wals_code_trn","Terêna")</f>
        <v>Terêna</v>
      </c>
      <c r="E339" s="1"/>
      <c r="F339" s="1"/>
      <c r="G339" s="1" t="s">
        <v>19</v>
      </c>
    </row>
    <row r="340" ht="12.75" customHeight="1">
      <c r="A340" s="1" t="s">
        <v>468</v>
      </c>
      <c r="B340" s="2" t="str">
        <f>HYPERLINK("https://wals.info/values/55A-trb","Obligatory")</f>
        <v>Obligatory</v>
      </c>
      <c r="C340" s="2" t="str">
        <f t="shared" si="1"/>
        <v>Numeral Classifiers</v>
      </c>
      <c r="D340" s="2" t="str">
        <f>HYPERLINK("https://wals.info/languoid/lect/wals_code_trb","Teribe")</f>
        <v>Teribe</v>
      </c>
      <c r="E340" s="1"/>
      <c r="F340" s="1"/>
      <c r="G340" s="1" t="s">
        <v>469</v>
      </c>
    </row>
    <row r="341" ht="12.75" customHeight="1">
      <c r="A341" s="1" t="s">
        <v>470</v>
      </c>
      <c r="B341" s="2" t="str">
        <f>HYPERLINK("https://wals.info/values/55A-ttn","Optional")</f>
        <v>Optional</v>
      </c>
      <c r="C341" s="2" t="str">
        <f t="shared" si="1"/>
        <v>Numeral Classifiers</v>
      </c>
      <c r="D341" s="2" t="str">
        <f>HYPERLINK("https://wals.info/languoid/lect/wals_code_ttn","Tetun")</f>
        <v>Tetun</v>
      </c>
      <c r="E341" s="1"/>
      <c r="F341" s="1"/>
      <c r="G341" s="1" t="s">
        <v>471</v>
      </c>
    </row>
    <row r="342" ht="12.75" customHeight="1">
      <c r="A342" s="1" t="s">
        <v>472</v>
      </c>
      <c r="B342" s="2" t="str">
        <f>HYPERLINK("https://wals.info/values/55A-tha","Obligatory")</f>
        <v>Obligatory</v>
      </c>
      <c r="C342" s="2" t="str">
        <f t="shared" si="1"/>
        <v>Numeral Classifiers</v>
      </c>
      <c r="D342" s="2" t="str">
        <f>HYPERLINK("https://wals.info/languoid/lect/wals_code_tha","Thai")</f>
        <v>Thai</v>
      </c>
      <c r="E342" s="1"/>
      <c r="F342" s="1"/>
      <c r="G342" s="1"/>
    </row>
    <row r="343" ht="12.75" customHeight="1">
      <c r="A343" s="1" t="s">
        <v>473</v>
      </c>
      <c r="B343" s="2" t="str">
        <f>HYPERLINK("https://wals.info/values/55A-tho","Optional")</f>
        <v>Optional</v>
      </c>
      <c r="C343" s="2" t="str">
        <f t="shared" si="1"/>
        <v>Numeral Classifiers</v>
      </c>
      <c r="D343" s="2" t="str">
        <f>HYPERLINK("https://wals.info/languoid/lect/wals_code_tho","Thompson")</f>
        <v>Thompson</v>
      </c>
      <c r="E343" s="1"/>
      <c r="F343" s="1"/>
      <c r="G343" s="1" t="s">
        <v>474</v>
      </c>
    </row>
    <row r="344" ht="12.75" customHeight="1">
      <c r="A344" s="1" t="s">
        <v>475</v>
      </c>
      <c r="B344" s="2" t="str">
        <f>HYPERLINK("https://wals.info/values/55A-tid","Optional")</f>
        <v>Optional</v>
      </c>
      <c r="C344" s="2" t="str">
        <f t="shared" si="1"/>
        <v>Numeral Classifiers</v>
      </c>
      <c r="D344" s="2" t="str">
        <f>HYPERLINK("https://wals.info/languoid/lect/wals_code_tid","Tidore")</f>
        <v>Tidore</v>
      </c>
      <c r="E344" s="1"/>
      <c r="F344" s="1"/>
      <c r="G344" s="1"/>
    </row>
    <row r="345" ht="12.75" customHeight="1">
      <c r="A345" s="1" t="s">
        <v>476</v>
      </c>
      <c r="B345" s="2" t="str">
        <f>HYPERLINK("https://wals.info/values/55A-tim","Absent")</f>
        <v>Absent</v>
      </c>
      <c r="C345" s="2" t="str">
        <f t="shared" si="1"/>
        <v>Numeral Classifiers</v>
      </c>
      <c r="D345" s="2" t="str">
        <f>HYPERLINK("https://wals.info/languoid/lect/wals_code_tim","Timugon")</f>
        <v>Timugon</v>
      </c>
      <c r="E345" s="1"/>
      <c r="F345" s="1"/>
      <c r="G345" s="1" t="s">
        <v>64</v>
      </c>
    </row>
    <row r="346" ht="12.75" customHeight="1">
      <c r="A346" s="1" t="s">
        <v>477</v>
      </c>
      <c r="B346" s="2" t="str">
        <f>HYPERLINK("https://wals.info/values/55A-tiw","Absent")</f>
        <v>Absent</v>
      </c>
      <c r="C346" s="2" t="str">
        <f t="shared" si="1"/>
        <v>Numeral Classifiers</v>
      </c>
      <c r="D346" s="2" t="str">
        <f>HYPERLINK("https://wals.info/languoid/lect/wals_code_tiw","Tiwi")</f>
        <v>Tiwi</v>
      </c>
      <c r="E346" s="1"/>
      <c r="F346" s="1"/>
      <c r="G346" s="1" t="s">
        <v>11</v>
      </c>
    </row>
    <row r="347" ht="12.75" customHeight="1">
      <c r="A347" s="1" t="s">
        <v>478</v>
      </c>
      <c r="B347" s="2" t="str">
        <f>HYPERLINK("https://wals.info/values/55A-tli","Obligatory")</f>
        <v>Obligatory</v>
      </c>
      <c r="C347" s="2" t="str">
        <f t="shared" si="1"/>
        <v>Numeral Classifiers</v>
      </c>
      <c r="D347" s="2" t="str">
        <f>HYPERLINK("https://wals.info/languoid/lect/wals_code_tli","Tlingit")</f>
        <v>Tlingit</v>
      </c>
      <c r="E347" s="1"/>
      <c r="F347" s="1"/>
      <c r="G347" s="1" t="s">
        <v>127</v>
      </c>
    </row>
    <row r="348" ht="12.75" customHeight="1">
      <c r="A348" s="1" t="s">
        <v>479</v>
      </c>
      <c r="B348" s="2" t="str">
        <f>HYPERLINK("https://wals.info/values/55A-tob","Absent")</f>
        <v>Absent</v>
      </c>
      <c r="C348" s="2" t="str">
        <f t="shared" si="1"/>
        <v>Numeral Classifiers</v>
      </c>
      <c r="D348" s="2" t="str">
        <f>HYPERLINK("https://wals.info/languoid/lect/wals_code_tob","Toba")</f>
        <v>Toba</v>
      </c>
      <c r="E348" s="1"/>
      <c r="F348" s="1"/>
      <c r="G348" s="1" t="s">
        <v>19</v>
      </c>
    </row>
    <row r="349" ht="12.75" customHeight="1">
      <c r="A349" s="1" t="s">
        <v>480</v>
      </c>
      <c r="B349" s="2" t="str">
        <f>HYPERLINK("https://wals.info/values/55A-tol","Absent")</f>
        <v>Absent</v>
      </c>
      <c r="C349" s="2" t="str">
        <f t="shared" si="1"/>
        <v>Numeral Classifiers</v>
      </c>
      <c r="D349" s="2" t="str">
        <f>HYPERLINK("https://wals.info/languoid/lect/wals_code_tol","Tol")</f>
        <v>Tol</v>
      </c>
      <c r="E349" s="1"/>
      <c r="F349" s="1"/>
      <c r="G349" s="1" t="s">
        <v>481</v>
      </c>
    </row>
    <row r="350" ht="12.75" customHeight="1">
      <c r="A350" s="1" t="s">
        <v>482</v>
      </c>
      <c r="B350" s="2" t="str">
        <f>HYPERLINK("https://wals.info/values/55A-tla","Absent")</f>
        <v>Absent</v>
      </c>
      <c r="C350" s="2" t="str">
        <f t="shared" si="1"/>
        <v>Numeral Classifiers</v>
      </c>
      <c r="D350" s="2" t="str">
        <f>HYPERLINK("https://wals.info/languoid/lect/wals_code_tla","Tolai")</f>
        <v>Tolai</v>
      </c>
      <c r="E350" s="1"/>
      <c r="F350" s="1"/>
      <c r="G350" s="1"/>
    </row>
    <row r="351" ht="12.75" customHeight="1">
      <c r="A351" s="1" t="s">
        <v>483</v>
      </c>
      <c r="B351" s="2" t="str">
        <f>HYPERLINK("https://wals.info/values/55A-tng","Optional")</f>
        <v>Optional</v>
      </c>
      <c r="C351" s="2" t="str">
        <f t="shared" si="1"/>
        <v>Numeral Classifiers</v>
      </c>
      <c r="D351" s="2" t="str">
        <f>HYPERLINK("https://wals.info/languoid/lect/wals_code_tng","Tongan")</f>
        <v>Tongan</v>
      </c>
      <c r="E351" s="1"/>
      <c r="F351" s="1"/>
      <c r="G351" s="1" t="s">
        <v>101</v>
      </c>
    </row>
    <row r="352" ht="12.75" customHeight="1">
      <c r="A352" s="1" t="s">
        <v>484</v>
      </c>
      <c r="B352" s="2" t="str">
        <f>HYPERLINK("https://wals.info/values/55A-ton","Absent")</f>
        <v>Absent</v>
      </c>
      <c r="C352" s="2" t="str">
        <f t="shared" si="1"/>
        <v>Numeral Classifiers</v>
      </c>
      <c r="D352" s="2" t="str">
        <f>HYPERLINK("https://wals.info/languoid/lect/wals_code_ton","Tonkawa")</f>
        <v>Tonkawa</v>
      </c>
      <c r="E352" s="1"/>
      <c r="F352" s="1"/>
      <c r="G352" s="1" t="s">
        <v>11</v>
      </c>
    </row>
    <row r="353" ht="12.75" customHeight="1">
      <c r="A353" s="1" t="s">
        <v>485</v>
      </c>
      <c r="B353" s="2" t="str">
        <f>HYPERLINK("https://wals.info/values/55A-toq","Optional")</f>
        <v>Optional</v>
      </c>
      <c r="C353" s="2" t="str">
        <f t="shared" si="1"/>
        <v>Numeral Classifiers</v>
      </c>
      <c r="D353" s="2" t="str">
        <f>HYPERLINK("https://wals.info/languoid/lect/wals_code_toq","Toqabaqita")</f>
        <v>Toqabaqita</v>
      </c>
      <c r="E353" s="1"/>
      <c r="F353" s="1"/>
      <c r="G353" s="1"/>
    </row>
    <row r="354" ht="12.75" customHeight="1">
      <c r="A354" s="1" t="s">
        <v>486</v>
      </c>
      <c r="B354" s="2" t="str">
        <f>HYPERLINK("https://wals.info/values/55A-tpa","Obligatory")</f>
        <v>Obligatory</v>
      </c>
      <c r="C354" s="2" t="str">
        <f t="shared" si="1"/>
        <v>Numeral Classifiers</v>
      </c>
      <c r="D354" s="2" t="str">
        <f>HYPERLINK("https://wals.info/languoid/lect/wals_code_tpa","Totonac (Papantla)")</f>
        <v>Totonac (Papantla)</v>
      </c>
      <c r="E354" s="1"/>
      <c r="F354" s="1"/>
      <c r="G354" s="1" t="s">
        <v>487</v>
      </c>
    </row>
    <row r="355" ht="12.75" customHeight="1">
      <c r="A355" s="1" t="s">
        <v>488</v>
      </c>
      <c r="B355" s="2" t="str">
        <f>HYPERLINK("https://wals.info/values/55A-tow","Obligatory")</f>
        <v>Obligatory</v>
      </c>
      <c r="C355" s="2" t="str">
        <f t="shared" si="1"/>
        <v>Numeral Classifiers</v>
      </c>
      <c r="D355" s="2" t="str">
        <f>HYPERLINK("https://wals.info/languoid/lect/wals_code_tow","Toussian (Win)")</f>
        <v>Toussian (Win)</v>
      </c>
      <c r="E355" s="1"/>
      <c r="F355" s="1"/>
      <c r="G355" s="1"/>
    </row>
    <row r="356" ht="12.75" customHeight="1">
      <c r="A356" s="1" t="s">
        <v>489</v>
      </c>
      <c r="B356" s="2" t="str">
        <f>HYPERLINK("https://wals.info/values/55A-tsi","Obligatory")</f>
        <v>Obligatory</v>
      </c>
      <c r="C356" s="2" t="str">
        <f t="shared" si="1"/>
        <v>Numeral Classifiers</v>
      </c>
      <c r="D356" s="2" t="str">
        <f>HYPERLINK("https://wals.info/languoid/lect/wals_code_tsi","Tsimshian (Coast)")</f>
        <v>Tsimshian (Coast)</v>
      </c>
      <c r="E356" s="1"/>
      <c r="F356" s="1"/>
      <c r="G356" s="1" t="s">
        <v>490</v>
      </c>
    </row>
    <row r="357" ht="12.75" customHeight="1">
      <c r="A357" s="1" t="s">
        <v>491</v>
      </c>
      <c r="B357" s="2" t="str">
        <f>HYPERLINK("https://wals.info/values/55A-tso","Absent")</f>
        <v>Absent</v>
      </c>
      <c r="C357" s="2" t="str">
        <f t="shared" si="1"/>
        <v>Numeral Classifiers</v>
      </c>
      <c r="D357" s="2" t="str">
        <f>HYPERLINK("https://wals.info/languoid/lect/wals_code_tso","Tsou")</f>
        <v>Tsou</v>
      </c>
      <c r="E357" s="1"/>
      <c r="F357" s="1"/>
      <c r="G357" s="1"/>
    </row>
    <row r="358" ht="12.75" customHeight="1">
      <c r="A358" s="1" t="s">
        <v>492</v>
      </c>
      <c r="B358" s="2" t="str">
        <f>HYPERLINK("https://wals.info/values/55A-tgh","Absent")</f>
        <v>Absent</v>
      </c>
      <c r="C358" s="2" t="str">
        <f t="shared" si="1"/>
        <v>Numeral Classifiers</v>
      </c>
      <c r="D358" s="2" t="str">
        <f>HYPERLINK("https://wals.info/languoid/lect/wals_code_tgh","Tuareg (Ghat)")</f>
        <v>Tuareg (Ghat)</v>
      </c>
      <c r="E358" s="1"/>
      <c r="F358" s="1"/>
      <c r="G358" s="1" t="s">
        <v>493</v>
      </c>
    </row>
    <row r="359" ht="12.75" customHeight="1">
      <c r="A359" s="1" t="s">
        <v>494</v>
      </c>
      <c r="B359" s="2" t="str">
        <f>HYPERLINK("https://wals.info/values/55A-tuc","Optional")</f>
        <v>Optional</v>
      </c>
      <c r="C359" s="2" t="str">
        <f t="shared" si="1"/>
        <v>Numeral Classifiers</v>
      </c>
      <c r="D359" s="2" t="str">
        <f>HYPERLINK("https://wals.info/languoid/lect/wals_code_tuc","Tucano")</f>
        <v>Tucano</v>
      </c>
      <c r="E359" s="1"/>
      <c r="F359" s="1"/>
      <c r="G359" s="1" t="s">
        <v>19</v>
      </c>
    </row>
    <row r="360" ht="12.75" customHeight="1">
      <c r="A360" s="1" t="s">
        <v>495</v>
      </c>
      <c r="B360" s="2" t="str">
        <f>HYPERLINK("https://wals.info/values/55A-tuk","Optional")</f>
        <v>Optional</v>
      </c>
      <c r="C360" s="2" t="str">
        <f t="shared" si="1"/>
        <v>Numeral Classifiers</v>
      </c>
      <c r="D360" s="2" t="str">
        <f>HYPERLINK("https://wals.info/languoid/lect/wals_code_tuk","Tukang Besi")</f>
        <v>Tukang Besi</v>
      </c>
      <c r="E360" s="1"/>
      <c r="F360" s="1"/>
      <c r="G360" s="1" t="s">
        <v>496</v>
      </c>
    </row>
    <row r="361" ht="12.75" customHeight="1">
      <c r="A361" s="1" t="s">
        <v>497</v>
      </c>
      <c r="B361" s="2" t="str">
        <f>HYPERLINK("https://wals.info/values/55A-tnn","Absent")</f>
        <v>Absent</v>
      </c>
      <c r="C361" s="2" t="str">
        <f t="shared" si="1"/>
        <v>Numeral Classifiers</v>
      </c>
      <c r="D361" s="2" t="str">
        <f>HYPERLINK("https://wals.info/languoid/lect/wals_code_tnn","Tunen")</f>
        <v>Tunen</v>
      </c>
      <c r="E361" s="1"/>
      <c r="F361" s="1"/>
      <c r="G361" s="1"/>
    </row>
    <row r="362" ht="12.75" customHeight="1">
      <c r="A362" s="1" t="s">
        <v>498</v>
      </c>
      <c r="B362" s="2" t="str">
        <f>HYPERLINK("https://wals.info/values/55A-tun","Absent")</f>
        <v>Absent</v>
      </c>
      <c r="C362" s="2" t="str">
        <f t="shared" si="1"/>
        <v>Numeral Classifiers</v>
      </c>
      <c r="D362" s="2" t="str">
        <f>HYPERLINK("https://wals.info/languoid/lect/wals_code_tun","Tunica")</f>
        <v>Tunica</v>
      </c>
      <c r="E362" s="1"/>
      <c r="F362" s="1"/>
      <c r="G362" s="1" t="s">
        <v>11</v>
      </c>
    </row>
    <row r="363" ht="12.75" customHeight="1">
      <c r="A363" s="1" t="s">
        <v>499</v>
      </c>
      <c r="B363" s="2" t="str">
        <f>HYPERLINK("https://wals.info/values/55A-tur","Optional")</f>
        <v>Optional</v>
      </c>
      <c r="C363" s="2" t="str">
        <f t="shared" si="1"/>
        <v>Numeral Classifiers</v>
      </c>
      <c r="D363" s="2" t="str">
        <f>HYPERLINK("https://wals.info/languoid/lect/wals_code_tur","Turkish")</f>
        <v>Turkish</v>
      </c>
      <c r="E363" s="1"/>
      <c r="F363" s="1"/>
      <c r="G363" s="1" t="s">
        <v>500</v>
      </c>
    </row>
    <row r="364" ht="12.75" customHeight="1">
      <c r="A364" s="1" t="s">
        <v>501</v>
      </c>
      <c r="B364" s="2" t="str">
        <f>HYPERLINK("https://wals.info/values/55A-tvl","Optional")</f>
        <v>Optional</v>
      </c>
      <c r="C364" s="2" t="str">
        <f t="shared" si="1"/>
        <v>Numeral Classifiers</v>
      </c>
      <c r="D364" s="2" t="str">
        <f>HYPERLINK("https://wals.info/languoid/lect/wals_code_tvl","Tuvaluan")</f>
        <v>Tuvaluan</v>
      </c>
      <c r="E364" s="1"/>
      <c r="F364" s="1"/>
      <c r="G364" s="1" t="s">
        <v>502</v>
      </c>
    </row>
    <row r="365" ht="12.75" customHeight="1">
      <c r="A365" s="1" t="s">
        <v>503</v>
      </c>
      <c r="B365" s="2" t="str">
        <f>HYPERLINK("https://wals.info/values/55A-tuv","Absent")</f>
        <v>Absent</v>
      </c>
      <c r="C365" s="2" t="str">
        <f t="shared" si="1"/>
        <v>Numeral Classifiers</v>
      </c>
      <c r="D365" s="2" t="str">
        <f>HYPERLINK("https://wals.info/languoid/lect/wals_code_tuv","Tuvan")</f>
        <v>Tuvan</v>
      </c>
      <c r="E365" s="1"/>
      <c r="F365" s="1"/>
      <c r="G365" s="1" t="s">
        <v>11</v>
      </c>
    </row>
    <row r="366" ht="12.75" customHeight="1">
      <c r="A366" s="1" t="s">
        <v>504</v>
      </c>
      <c r="B366" s="2" t="str">
        <f>HYPERLINK("https://wals.info/values/55A-tuy","Obligatory")</f>
        <v>Obligatory</v>
      </c>
      <c r="C366" s="2" t="str">
        <f t="shared" si="1"/>
        <v>Numeral Classifiers</v>
      </c>
      <c r="D366" s="2" t="str">
        <f>HYPERLINK("https://wals.info/languoid/lect/wals_code_tuy","Tuyuca")</f>
        <v>Tuyuca</v>
      </c>
      <c r="E366" s="1"/>
      <c r="F366" s="1"/>
      <c r="G366" s="1" t="s">
        <v>505</v>
      </c>
    </row>
    <row r="367" ht="12.75" customHeight="1">
      <c r="A367" s="1" t="s">
        <v>506</v>
      </c>
      <c r="B367" s="2" t="str">
        <f>HYPERLINK("https://wals.info/values/55A-tze","Obligatory")</f>
        <v>Obligatory</v>
      </c>
      <c r="C367" s="2" t="str">
        <f t="shared" si="1"/>
        <v>Numeral Classifiers</v>
      </c>
      <c r="D367" s="2" t="str">
        <f>HYPERLINK("https://wals.info/languoid/lect/wals_code_tze","Tzeltal")</f>
        <v>Tzeltal</v>
      </c>
      <c r="E367" s="1"/>
      <c r="F367" s="1"/>
      <c r="G367" s="1" t="s">
        <v>487</v>
      </c>
    </row>
    <row r="368" ht="12.75" customHeight="1">
      <c r="A368" s="1" t="s">
        <v>507</v>
      </c>
      <c r="B368" s="2" t="str">
        <f>HYPERLINK("https://wals.info/values/55A-uli","Obligatory")</f>
        <v>Obligatory</v>
      </c>
      <c r="C368" s="2" t="str">
        <f t="shared" si="1"/>
        <v>Numeral Classifiers</v>
      </c>
      <c r="D368" s="2" t="str">
        <f>HYPERLINK("https://wals.info/languoid/lect/wals_code_uli","Ulithian")</f>
        <v>Ulithian</v>
      </c>
      <c r="E368" s="1"/>
      <c r="F368" s="1"/>
      <c r="G368" s="1" t="s">
        <v>101</v>
      </c>
    </row>
    <row r="369" ht="12.75" customHeight="1">
      <c r="A369" s="1" t="s">
        <v>508</v>
      </c>
      <c r="B369" s="2" t="str">
        <f>HYPERLINK("https://wals.info/values/55A-ung","Absent")</f>
        <v>Absent</v>
      </c>
      <c r="C369" s="2" t="str">
        <f t="shared" si="1"/>
        <v>Numeral Classifiers</v>
      </c>
      <c r="D369" s="2" t="str">
        <f>HYPERLINK("https://wals.info/languoid/lect/wals_code_ung","Ungarinjin")</f>
        <v>Ungarinjin</v>
      </c>
      <c r="E369" s="1"/>
      <c r="F369" s="1"/>
      <c r="G369" s="1" t="s">
        <v>11</v>
      </c>
    </row>
    <row r="370" ht="12.75" customHeight="1">
      <c r="A370" s="1" t="s">
        <v>509</v>
      </c>
      <c r="B370" s="2" t="str">
        <f>HYPERLINK("https://wals.info/values/55A-ura","Absent")</f>
        <v>Absent</v>
      </c>
      <c r="C370" s="2" t="str">
        <f t="shared" si="1"/>
        <v>Numeral Classifiers</v>
      </c>
      <c r="D370" s="2" t="str">
        <f>HYPERLINK("https://wals.info/languoid/lect/wals_code_ura","Ura")</f>
        <v>Ura</v>
      </c>
      <c r="E370" s="1"/>
      <c r="F370" s="1"/>
      <c r="G370" s="1" t="s">
        <v>510</v>
      </c>
    </row>
    <row r="371" ht="12.75" customHeight="1">
      <c r="A371" s="1" t="s">
        <v>511</v>
      </c>
      <c r="B371" s="2" t="str">
        <f>HYPERLINK("https://wals.info/values/55A-uhi","Absent")</f>
        <v>Absent</v>
      </c>
      <c r="C371" s="2" t="str">
        <f t="shared" si="1"/>
        <v>Numeral Classifiers</v>
      </c>
      <c r="D371" s="2" t="str">
        <f>HYPERLINK("https://wals.info/languoid/lect/wals_code_uhi","Uradhi")</f>
        <v>Uradhi</v>
      </c>
      <c r="E371" s="1"/>
      <c r="F371" s="1"/>
      <c r="G371" s="1" t="s">
        <v>11</v>
      </c>
    </row>
    <row r="372" ht="12.75" customHeight="1">
      <c r="A372" s="1" t="s">
        <v>512</v>
      </c>
      <c r="B372" s="2" t="str">
        <f>HYPERLINK("https://wals.info/values/55A-vaf","Optional")</f>
        <v>Optional</v>
      </c>
      <c r="C372" s="2" t="str">
        <f t="shared" si="1"/>
        <v>Numeral Classifiers</v>
      </c>
      <c r="D372" s="2" t="str">
        <f>HYPERLINK("https://wals.info/languoid/lect/wals_code_vaf","Vafsi")</f>
        <v>Vafsi</v>
      </c>
      <c r="E372" s="1"/>
      <c r="F372" s="1"/>
      <c r="G372" s="1"/>
    </row>
    <row r="373" ht="12.75" customHeight="1">
      <c r="A373" s="1" t="s">
        <v>513</v>
      </c>
      <c r="B373" s="2" t="str">
        <f>HYPERLINK("https://wals.info/values/55A-vie","Obligatory")</f>
        <v>Obligatory</v>
      </c>
      <c r="C373" s="2" t="str">
        <f t="shared" si="1"/>
        <v>Numeral Classifiers</v>
      </c>
      <c r="D373" s="2" t="str">
        <f>HYPERLINK("https://wals.info/languoid/lect/wals_code_vie","Vietnamese")</f>
        <v>Vietnamese</v>
      </c>
      <c r="E373" s="1"/>
      <c r="F373" s="1"/>
      <c r="G373" s="1" t="s">
        <v>514</v>
      </c>
    </row>
    <row r="374" ht="12.75" customHeight="1">
      <c r="A374" s="1" t="s">
        <v>515</v>
      </c>
      <c r="B374" s="2" t="str">
        <f>HYPERLINK("https://wals.info/values/55A-wgl","Absent")</f>
        <v>Absent</v>
      </c>
      <c r="C374" s="2" t="str">
        <f t="shared" si="1"/>
        <v>Numeral Classifiers</v>
      </c>
      <c r="D374" s="2" t="str">
        <f>HYPERLINK("https://wals.info/languoid/lect/wals_code_wgl","Waigali")</f>
        <v>Waigali</v>
      </c>
      <c r="E374" s="1"/>
      <c r="F374" s="1"/>
      <c r="G374" s="1" t="s">
        <v>11</v>
      </c>
    </row>
    <row r="375" ht="12.75" customHeight="1">
      <c r="A375" s="1" t="s">
        <v>516</v>
      </c>
      <c r="B375" s="2" t="str">
        <f>HYPERLINK("https://wals.info/values/55A-wao","Obligatory")</f>
        <v>Obligatory</v>
      </c>
      <c r="C375" s="2" t="str">
        <f t="shared" si="1"/>
        <v>Numeral Classifiers</v>
      </c>
      <c r="D375" s="2" t="str">
        <f>HYPERLINK("https://wals.info/languoid/lect/wals_code_wao","Waorani")</f>
        <v>Waorani</v>
      </c>
      <c r="E375" s="1"/>
      <c r="F375" s="1"/>
      <c r="G375" s="1" t="s">
        <v>396</v>
      </c>
    </row>
    <row r="376" ht="12.75" customHeight="1">
      <c r="A376" s="1" t="s">
        <v>517</v>
      </c>
      <c r="B376" s="2" t="str">
        <f>HYPERLINK("https://wals.info/values/55A-wap","Absent")</f>
        <v>Absent</v>
      </c>
      <c r="C376" s="2" t="str">
        <f t="shared" si="1"/>
        <v>Numeral Classifiers</v>
      </c>
      <c r="D376" s="2" t="str">
        <f>HYPERLINK("https://wals.info/languoid/lect/wals_code_wap","Wappo")</f>
        <v>Wappo</v>
      </c>
      <c r="E376" s="1"/>
      <c r="F376" s="1"/>
      <c r="G376" s="1" t="s">
        <v>11</v>
      </c>
    </row>
    <row r="377" ht="12.75" customHeight="1">
      <c r="A377" s="1" t="s">
        <v>518</v>
      </c>
      <c r="B377" s="2" t="str">
        <f>HYPERLINK("https://wals.info/values/55A-wrk","Obligatory")</f>
        <v>Obligatory</v>
      </c>
      <c r="C377" s="2" t="str">
        <f t="shared" si="1"/>
        <v>Numeral Classifiers</v>
      </c>
      <c r="D377" s="2" t="str">
        <f>HYPERLINK("https://wals.info/languoid/lect/wals_code_wrk","Warekena")</f>
        <v>Warekena</v>
      </c>
      <c r="E377" s="1"/>
      <c r="F377" s="1"/>
      <c r="G377" s="1" t="s">
        <v>53</v>
      </c>
    </row>
    <row r="378" ht="12.75" customHeight="1">
      <c r="A378" s="1" t="s">
        <v>519</v>
      </c>
      <c r="B378" s="2" t="str">
        <f>HYPERLINK("https://wals.info/values/55A-war","Absent")</f>
        <v>Absent</v>
      </c>
      <c r="C378" s="2" t="str">
        <f t="shared" si="1"/>
        <v>Numeral Classifiers</v>
      </c>
      <c r="D378" s="2" t="str">
        <f>HYPERLINK("https://wals.info/languoid/lect/wals_code_war","Wari'")</f>
        <v>Wari'</v>
      </c>
      <c r="E378" s="1"/>
      <c r="F378" s="1"/>
      <c r="G378" s="1" t="s">
        <v>520</v>
      </c>
    </row>
    <row r="379" ht="12.75" customHeight="1">
      <c r="A379" s="1" t="s">
        <v>521</v>
      </c>
      <c r="B379" s="2" t="str">
        <f>HYPERLINK("https://wals.info/values/55A-wrn","Absent")</f>
        <v>Absent</v>
      </c>
      <c r="C379" s="2" t="str">
        <f t="shared" si="1"/>
        <v>Numeral Classifiers</v>
      </c>
      <c r="D379" s="2" t="str">
        <f>HYPERLINK("https://wals.info/languoid/lect/wals_code_wrn","Warndarang")</f>
        <v>Warndarang</v>
      </c>
      <c r="E379" s="1"/>
      <c r="F379" s="1"/>
      <c r="G379" s="1" t="s">
        <v>11</v>
      </c>
    </row>
    <row r="380" ht="12.75" customHeight="1">
      <c r="A380" s="1" t="s">
        <v>522</v>
      </c>
      <c r="B380" s="2" t="str">
        <f>HYPERLINK("https://wals.info/values/55A-was","Absent")</f>
        <v>Absent</v>
      </c>
      <c r="C380" s="2" t="str">
        <f t="shared" si="1"/>
        <v>Numeral Classifiers</v>
      </c>
      <c r="D380" s="2" t="str">
        <f>HYPERLINK("https://wals.info/languoid/lect/wals_code_was","Washo")</f>
        <v>Washo</v>
      </c>
      <c r="E380" s="1"/>
      <c r="F380" s="1"/>
      <c r="G380" s="1" t="s">
        <v>523</v>
      </c>
    </row>
    <row r="381" ht="12.75" customHeight="1">
      <c r="A381" s="1" t="s">
        <v>524</v>
      </c>
      <c r="B381" s="2" t="str">
        <f>HYPERLINK("https://wals.info/values/55A-wur","Optional")</f>
        <v>Optional</v>
      </c>
      <c r="C381" s="2" t="str">
        <f t="shared" si="1"/>
        <v>Numeral Classifiers</v>
      </c>
      <c r="D381" s="2" t="str">
        <f>HYPERLINK("https://wals.info/languoid/lect/wals_code_wur","Waurá")</f>
        <v>Waurá</v>
      </c>
      <c r="E381" s="1"/>
      <c r="F381" s="1"/>
      <c r="G381" s="1" t="s">
        <v>19</v>
      </c>
    </row>
    <row r="382" ht="12.75" customHeight="1">
      <c r="A382" s="1" t="s">
        <v>525</v>
      </c>
      <c r="B382" s="2" t="str">
        <f>HYPERLINK("https://wals.info/values/55A-wem","Absent")</f>
        <v>Absent</v>
      </c>
      <c r="C382" s="2" t="str">
        <f t="shared" si="1"/>
        <v>Numeral Classifiers</v>
      </c>
      <c r="D382" s="2" t="str">
        <f>HYPERLINK("https://wals.info/languoid/lect/wals_code_wem","Wembawemba")</f>
        <v>Wembawemba</v>
      </c>
      <c r="E382" s="1"/>
      <c r="F382" s="1"/>
      <c r="G382" s="1" t="s">
        <v>11</v>
      </c>
    </row>
    <row r="383" ht="12.75" customHeight="1">
      <c r="A383" s="1" t="s">
        <v>526</v>
      </c>
      <c r="B383" s="2" t="str">
        <f>HYPERLINK("https://wals.info/values/55A-win","Absent")</f>
        <v>Absent</v>
      </c>
      <c r="C383" s="2" t="str">
        <f t="shared" si="1"/>
        <v>Numeral Classifiers</v>
      </c>
      <c r="D383" s="2" t="str">
        <f>HYPERLINK("https://wals.info/languoid/lect/wals_code_win","Wintu")</f>
        <v>Wintu</v>
      </c>
      <c r="E383" s="1"/>
      <c r="F383" s="1"/>
      <c r="G383" s="1" t="s">
        <v>11</v>
      </c>
    </row>
    <row r="384" ht="12.75" customHeight="1">
      <c r="A384" s="1" t="s">
        <v>527</v>
      </c>
      <c r="B384" s="2" t="str">
        <f>HYPERLINK("https://wals.info/values/55A-wor","Absent")</f>
        <v>Absent</v>
      </c>
      <c r="C384" s="2" t="str">
        <f t="shared" si="1"/>
        <v>Numeral Classifiers</v>
      </c>
      <c r="D384" s="2" t="str">
        <f>HYPERLINK("https://wals.info/languoid/lect/wals_code_wor","Worora")</f>
        <v>Worora</v>
      </c>
      <c r="E384" s="1"/>
      <c r="F384" s="1"/>
      <c r="G384" s="1" t="s">
        <v>528</v>
      </c>
    </row>
    <row r="385" ht="12.75" customHeight="1">
      <c r="A385" s="1" t="s">
        <v>529</v>
      </c>
      <c r="B385" s="2" t="str">
        <f>HYPERLINK("https://wals.info/values/55A-xam","Absent")</f>
        <v>Absent</v>
      </c>
      <c r="C385" s="2" t="str">
        <f t="shared" si="1"/>
        <v>Numeral Classifiers</v>
      </c>
      <c r="D385" s="2" t="str">
        <f>HYPERLINK("https://wals.info/languoid/lect/wals_code_xam","/Xam")</f>
        <v>/Xam</v>
      </c>
      <c r="E385" s="1"/>
      <c r="F385" s="1"/>
      <c r="G385" s="1"/>
    </row>
    <row r="386" ht="12.75" customHeight="1">
      <c r="A386" s="1" t="s">
        <v>530</v>
      </c>
      <c r="B386" s="2" t="str">
        <f>HYPERLINK("https://wals.info/values/55A-xoo","Absent")</f>
        <v>Absent</v>
      </c>
      <c r="C386" s="2" t="str">
        <f t="shared" si="1"/>
        <v>Numeral Classifiers</v>
      </c>
      <c r="D386" s="2" t="str">
        <f>HYPERLINK("https://wals.info/languoid/lect/wals_code_xoo","!Xóõ")</f>
        <v>!Xóõ</v>
      </c>
      <c r="E386" s="1"/>
      <c r="F386" s="1"/>
      <c r="G386" s="1"/>
    </row>
    <row r="387" ht="12.75" customHeight="1">
      <c r="A387" s="1" t="s">
        <v>531</v>
      </c>
      <c r="B387" s="2" t="str">
        <f>HYPERLINK("https://wals.info/values/55A-yag","Obligatory")</f>
        <v>Obligatory</v>
      </c>
      <c r="C387" s="2" t="str">
        <f t="shared" si="1"/>
        <v>Numeral Classifiers</v>
      </c>
      <c r="D387" s="2" t="str">
        <f>HYPERLINK("https://wals.info/languoid/lect/wals_code_yag","Yagua")</f>
        <v>Yagua</v>
      </c>
      <c r="E387" s="1"/>
      <c r="F387" s="1"/>
      <c r="G387" s="1" t="s">
        <v>162</v>
      </c>
    </row>
    <row r="388" ht="12.75" customHeight="1">
      <c r="A388" s="1" t="s">
        <v>532</v>
      </c>
      <c r="B388" s="2" t="str">
        <f>HYPERLINK("https://wals.info/values/55A-ymi","Absent")</f>
        <v>Absent</v>
      </c>
      <c r="C388" s="2" t="str">
        <f t="shared" si="1"/>
        <v>Numeral Classifiers</v>
      </c>
      <c r="D388" s="2" t="str">
        <f>HYPERLINK("https://wals.info/languoid/lect/wals_code_ymi","Yami")</f>
        <v>Yami</v>
      </c>
      <c r="E388" s="1"/>
      <c r="F388" s="1"/>
      <c r="G388" s="1"/>
    </row>
    <row r="389" ht="12.75" customHeight="1">
      <c r="A389" s="1" t="s">
        <v>533</v>
      </c>
      <c r="B389" s="2" t="str">
        <f>HYPERLINK("https://wals.info/values/55A-yap","Optional")</f>
        <v>Optional</v>
      </c>
      <c r="C389" s="2" t="str">
        <f t="shared" si="1"/>
        <v>Numeral Classifiers</v>
      </c>
      <c r="D389" s="2" t="str">
        <f>HYPERLINK("https://wals.info/languoid/lect/wals_code_yap","Yapese")</f>
        <v>Yapese</v>
      </c>
      <c r="E389" s="1"/>
      <c r="F389" s="1"/>
      <c r="G389" s="1" t="s">
        <v>534</v>
      </c>
    </row>
    <row r="390" ht="12.75" customHeight="1">
      <c r="A390" s="1" t="s">
        <v>535</v>
      </c>
      <c r="B390" s="2" t="str">
        <f>HYPERLINK("https://wals.info/values/55A-ywl","Absent")</f>
        <v>Absent</v>
      </c>
      <c r="C390" s="2" t="str">
        <f t="shared" si="1"/>
        <v>Numeral Classifiers</v>
      </c>
      <c r="D390" s="2" t="str">
        <f>HYPERLINK("https://wals.info/languoid/lect/wals_code_ywl","Yawelmani")</f>
        <v>Yawelmani</v>
      </c>
      <c r="E390" s="1"/>
      <c r="F390" s="1"/>
      <c r="G390" s="1" t="s">
        <v>11</v>
      </c>
    </row>
    <row r="391" ht="12.75" customHeight="1">
      <c r="A391" s="1" t="s">
        <v>536</v>
      </c>
      <c r="B391" s="2" t="str">
        <f>HYPERLINK("https://wals.info/values/55A-yes","Absent")</f>
        <v>Absent</v>
      </c>
      <c r="C391" s="2" t="str">
        <f t="shared" si="1"/>
        <v>Numeral Classifiers</v>
      </c>
      <c r="D391" s="2" t="str">
        <f>HYPERLINK("https://wals.info/languoid/lect/wals_code_yes","Yessan-Mayo")</f>
        <v>Yessan-Mayo</v>
      </c>
      <c r="E391" s="1"/>
      <c r="F391" s="1"/>
      <c r="G391" s="1" t="s">
        <v>537</v>
      </c>
    </row>
    <row r="392" ht="12.75" customHeight="1">
      <c r="A392" s="1" t="s">
        <v>538</v>
      </c>
      <c r="B392" s="2" t="str">
        <f>HYPERLINK("https://wals.info/values/55A-yid","Absent")</f>
        <v>Absent</v>
      </c>
      <c r="C392" s="2" t="str">
        <f t="shared" si="1"/>
        <v>Numeral Classifiers</v>
      </c>
      <c r="D392" s="2" t="str">
        <f>HYPERLINK("https://wals.info/languoid/lect/wals_code_yid","Yidiny")</f>
        <v>Yidiny</v>
      </c>
      <c r="E392" s="1"/>
      <c r="F392" s="1"/>
      <c r="G392" s="1" t="s">
        <v>539</v>
      </c>
    </row>
    <row r="393" ht="12.75" customHeight="1">
      <c r="A393" s="1" t="s">
        <v>540</v>
      </c>
      <c r="B393" s="2" t="str">
        <f>HYPERLINK("https://wals.info/values/55A-yim","Absent")</f>
        <v>Absent</v>
      </c>
      <c r="C393" s="2" t="str">
        <f t="shared" si="1"/>
        <v>Numeral Classifiers</v>
      </c>
      <c r="D393" s="2" t="str">
        <f>HYPERLINK("https://wals.info/languoid/lect/wals_code_yim","Yimas")</f>
        <v>Yimas</v>
      </c>
      <c r="E393" s="1"/>
      <c r="F393" s="1"/>
      <c r="G393" s="1" t="s">
        <v>541</v>
      </c>
    </row>
    <row r="394" ht="12.75" customHeight="1">
      <c r="A394" s="1" t="s">
        <v>542</v>
      </c>
      <c r="B394" s="2" t="str">
        <f>HYPERLINK("https://wals.info/values/55A-yng","Absent")</f>
        <v>Absent</v>
      </c>
      <c r="C394" s="2" t="str">
        <f t="shared" si="1"/>
        <v>Numeral Classifiers</v>
      </c>
      <c r="D394" s="2" t="str">
        <f>HYPERLINK("https://wals.info/languoid/lect/wals_code_yng","Yingkarta")</f>
        <v>Yingkarta</v>
      </c>
      <c r="E394" s="1"/>
      <c r="F394" s="1"/>
      <c r="G394" s="1" t="s">
        <v>543</v>
      </c>
    </row>
    <row r="395" ht="12.75" customHeight="1">
      <c r="A395" s="1" t="s">
        <v>544</v>
      </c>
      <c r="B395" s="2" t="str">
        <f>HYPERLINK("https://wals.info/values/55A-yor","Absent")</f>
        <v>Absent</v>
      </c>
      <c r="C395" s="2" t="str">
        <f t="shared" si="1"/>
        <v>Numeral Classifiers</v>
      </c>
      <c r="D395" s="2" t="str">
        <f>HYPERLINK("https://wals.info/languoid/lect/wals_code_yor","Yoruba")</f>
        <v>Yoruba</v>
      </c>
      <c r="E395" s="1"/>
      <c r="F395" s="1"/>
      <c r="G395" s="1" t="s">
        <v>545</v>
      </c>
    </row>
    <row r="396" ht="12.75" customHeight="1">
      <c r="A396" s="1" t="s">
        <v>546</v>
      </c>
      <c r="B396" s="2" t="str">
        <f>HYPERLINK("https://wals.info/values/55A-yct","Obligatory")</f>
        <v>Obligatory</v>
      </c>
      <c r="C396" s="2" t="str">
        <f t="shared" si="1"/>
        <v>Numeral Classifiers</v>
      </c>
      <c r="D396" s="2" t="str">
        <f>HYPERLINK("https://wals.info/languoid/lect/wals_code_yct","Yucatec")</f>
        <v>Yucatec</v>
      </c>
      <c r="E396" s="1"/>
      <c r="F396" s="1"/>
      <c r="G396" s="1" t="s">
        <v>487</v>
      </c>
    </row>
    <row r="397" ht="12.75" customHeight="1">
      <c r="A397" s="1" t="s">
        <v>547</v>
      </c>
      <c r="B397" s="2" t="str">
        <f>HYPERLINK("https://wals.info/values/55A-yuc","Absent")</f>
        <v>Absent</v>
      </c>
      <c r="C397" s="2" t="str">
        <f t="shared" si="1"/>
        <v>Numeral Classifiers</v>
      </c>
      <c r="D397" s="2" t="str">
        <f>HYPERLINK("https://wals.info/languoid/lect/wals_code_yuc","Yuchi")</f>
        <v>Yuchi</v>
      </c>
      <c r="E397" s="1"/>
      <c r="F397" s="1"/>
      <c r="G397" s="1" t="s">
        <v>11</v>
      </c>
    </row>
    <row r="398" ht="12.75" customHeight="1">
      <c r="A398" s="1" t="s">
        <v>548</v>
      </c>
      <c r="B398" s="2" t="str">
        <f>HYPERLINK("https://wals.info/values/55A-yko","Absent")</f>
        <v>Absent</v>
      </c>
      <c r="C398" s="2" t="str">
        <f t="shared" si="1"/>
        <v>Numeral Classifiers</v>
      </c>
      <c r="D398" s="2" t="str">
        <f>HYPERLINK("https://wals.info/languoid/lect/wals_code_yko","Yukaghir (Kolyma)")</f>
        <v>Yukaghir (Kolyma)</v>
      </c>
      <c r="E398" s="1"/>
      <c r="F398" s="1"/>
      <c r="G398" s="1"/>
    </row>
    <row r="399" ht="12.75" customHeight="1">
      <c r="A399" s="1" t="s">
        <v>549</v>
      </c>
      <c r="B399" s="2" t="str">
        <f>HYPERLINK("https://wals.info/values/55A-yuk","Absent")</f>
        <v>Absent</v>
      </c>
      <c r="C399" s="2" t="str">
        <f t="shared" si="1"/>
        <v>Numeral Classifiers</v>
      </c>
      <c r="D399" s="2" t="str">
        <f>HYPERLINK("https://wals.info/languoid/lect/wals_code_yuk","Yukulta")</f>
        <v>Yukulta</v>
      </c>
      <c r="E399" s="1"/>
      <c r="F399" s="1"/>
      <c r="G399" s="1" t="s">
        <v>11</v>
      </c>
    </row>
    <row r="400" ht="12.75" customHeight="1">
      <c r="A400" s="1" t="s">
        <v>550</v>
      </c>
      <c r="B400" s="2" t="str">
        <f>HYPERLINK("https://wals.info/values/55A-zul","Absent")</f>
        <v>Absent</v>
      </c>
      <c r="C400" s="2" t="str">
        <f t="shared" si="1"/>
        <v>Numeral Classifiers</v>
      </c>
      <c r="D400" s="2" t="str">
        <f>HYPERLINK("https://wals.info/languoid/lect/wals_code_zul","Zulu")</f>
        <v>Zulu</v>
      </c>
      <c r="E400" s="1"/>
      <c r="F400" s="1"/>
      <c r="G400" s="1" t="s">
        <v>551</v>
      </c>
    </row>
    <row r="401" ht="12.75" customHeight="1">
      <c r="A401" s="1" t="s">
        <v>552</v>
      </c>
      <c r="B401" s="2" t="str">
        <f>HYPERLINK("https://wals.info/values/55A-zun","Absent")</f>
        <v>Absent</v>
      </c>
      <c r="C401" s="2" t="str">
        <f t="shared" si="1"/>
        <v>Numeral Classifiers</v>
      </c>
      <c r="D401" s="2" t="str">
        <f>HYPERLINK("https://wals.info/languoid/lect/wals_code_zun","Zuni")</f>
        <v>Zuni</v>
      </c>
      <c r="E401" s="1"/>
      <c r="F401" s="1"/>
      <c r="G401" s="1" t="s">
        <v>11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