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s" sheetId="1" r:id="rId3"/>
  </sheets>
  <definedNames/>
  <calcPr/>
</workbook>
</file>

<file path=xl/sharedStrings.xml><?xml version="1.0" encoding="utf-8"?>
<sst xmlns="http://schemas.openxmlformats.org/spreadsheetml/2006/main" count="1138" uniqueCount="1135">
  <si>
    <t>ID</t>
  </si>
  <si>
    <t>Name</t>
  </si>
  <si>
    <t>Parameter</t>
  </si>
  <si>
    <t>Language</t>
  </si>
  <si>
    <t>Frequency</t>
  </si>
  <si>
    <t>Confidence</t>
  </si>
  <si>
    <t>References</t>
  </si>
  <si>
    <t>19A-abi</t>
  </si>
  <si>
    <t>Najlis 1966</t>
  </si>
  <si>
    <t>19A-abk</t>
  </si>
  <si>
    <t>Hewitt 1979</t>
  </si>
  <si>
    <t>19A-ach</t>
  </si>
  <si>
    <t>Susnik 1974</t>
  </si>
  <si>
    <t>19A-acm</t>
  </si>
  <si>
    <t>Olmsted 1966;Olmsted 1964</t>
  </si>
  <si>
    <t>19A-aco</t>
  </si>
  <si>
    <t>Miller 1966</t>
  </si>
  <si>
    <t>19A-adz</t>
  </si>
  <si>
    <t>Holzknecht 1973</t>
  </si>
  <si>
    <t>19A-agh</t>
  </si>
  <si>
    <t>Hyman 1979</t>
  </si>
  <si>
    <t>19A-aht</t>
  </si>
  <si>
    <t>Kari 1990</t>
  </si>
  <si>
    <t>19A-aik</t>
  </si>
  <si>
    <t>Hanke 1956;Aikhenvald and Dixon 1999</t>
  </si>
  <si>
    <t>19A-ain</t>
  </si>
  <si>
    <t>Simeon 1969;Patrie 1982</t>
  </si>
  <si>
    <t>19A-aiz</t>
  </si>
  <si>
    <t>Herault 1971</t>
  </si>
  <si>
    <t>19A-akn</t>
  </si>
  <si>
    <t>Welmers 1946;Dolphyne 1988;Ladefoged 1964;Schachter and Fromkin 1968;Stewart 1967</t>
  </si>
  <si>
    <t>19A-akw</t>
  </si>
  <si>
    <t>Edwards 1978</t>
  </si>
  <si>
    <t>19A-abm</t>
  </si>
  <si>
    <t>Rand 1968</t>
  </si>
  <si>
    <t>19A-ala</t>
  </si>
  <si>
    <t>Bruce 1984</t>
  </si>
  <si>
    <t>19A-alw</t>
  </si>
  <si>
    <t>Sharpe 1972</t>
  </si>
  <si>
    <t>19A-alb</t>
  </si>
  <si>
    <t>Newmark 1957</t>
  </si>
  <si>
    <t>19A-aea</t>
  </si>
  <si>
    <t>Jacobson 1944;Rozelle 1997;Bergsland 1994;Cho et al. 1997;Menovshchikov 1968;Bergsland 1956;Bergsland 1959</t>
  </si>
  <si>
    <t>19A-ald</t>
  </si>
  <si>
    <t>Dumestre and Duponchel 1971;Duponchel 1971</t>
  </si>
  <si>
    <t>19A-amc</t>
  </si>
  <si>
    <t>Osborn 1948</t>
  </si>
  <si>
    <t>19A-ame</t>
  </si>
  <si>
    <t>Roberts 1987</t>
  </si>
  <si>
    <t>19A-amh</t>
  </si>
  <si>
    <t>Hayward and Hayward 1999</t>
  </si>
  <si>
    <t>19A-amo</t>
  </si>
  <si>
    <t>Anderson 1980;Di Luzio 1972</t>
  </si>
  <si>
    <t>19A-amu</t>
  </si>
  <si>
    <t>Fast 1953;Wise 1958</t>
  </si>
  <si>
    <t>19A-amz</t>
  </si>
  <si>
    <t>Bauernschmidt 1965;Longacre 1966</t>
  </si>
  <si>
    <t>19A-adk</t>
  </si>
  <si>
    <t>Landaburu 1979</t>
  </si>
  <si>
    <t>19A-ant</t>
  </si>
  <si>
    <t>Huisman and Lloyd 1981;Huisman 1973;Huisman et al. 1981</t>
  </si>
  <si>
    <t>19A-anc</t>
  </si>
  <si>
    <t>Burquest 1971</t>
  </si>
  <si>
    <t>19A-ani</t>
  </si>
  <si>
    <t>Vossen 1986;Vossen 1997</t>
  </si>
  <si>
    <t>19A-ao</t>
  </si>
  <si>
    <t>Gowda 1975;Gowda 1972</t>
  </si>
  <si>
    <t>19A-api</t>
  </si>
  <si>
    <t>Burgess and Ham 1968</t>
  </si>
  <si>
    <t>19A-apu</t>
  </si>
  <si>
    <t>Facundes 2000</t>
  </si>
  <si>
    <t>19A-arb</t>
  </si>
  <si>
    <t>Rich 1963</t>
  </si>
  <si>
    <t>19A-aeg</t>
  </si>
  <si>
    <t>Mitchell 1962;Kennedy 1960;Tomiche 1964</t>
  </si>
  <si>
    <t>19A-ana</t>
  </si>
  <si>
    <t>de Pitman 1981</t>
  </si>
  <si>
    <t>19A-arp</t>
  </si>
  <si>
    <t>Conrad and Wogiga 1991</t>
  </si>
  <si>
    <t>19A-arc</t>
  </si>
  <si>
    <t>Kodzasov 1977</t>
  </si>
  <si>
    <t>19A-arm</t>
  </si>
  <si>
    <t>Allen 1950</t>
  </si>
  <si>
    <t>19A-amp</t>
  </si>
  <si>
    <t>Henderson 1994</t>
  </si>
  <si>
    <t>19A-asm</t>
  </si>
  <si>
    <t>Voorhoeve 1965</t>
  </si>
  <si>
    <t>19A-ata</t>
  </si>
  <si>
    <t>Egerod 1966b</t>
  </si>
  <si>
    <t>19A-ava</t>
  </si>
  <si>
    <t>Charachidzé 1981;Zhirkov 1936</t>
  </si>
  <si>
    <t>19A-awp</t>
  </si>
  <si>
    <t>Curnow 1997</t>
  </si>
  <si>
    <t>19A-awn</t>
  </si>
  <si>
    <t>Hetzron 1969;Hetzron 1976</t>
  </si>
  <si>
    <t>19A-aym</t>
  </si>
  <si>
    <t>Martín 1969</t>
  </si>
  <si>
    <t>19A-aze</t>
  </si>
  <si>
    <t>Householder and Lofti 1965</t>
  </si>
  <si>
    <t>19A-bag</t>
  </si>
  <si>
    <t>Stevenson 1969</t>
  </si>
  <si>
    <t>19A-bai</t>
  </si>
  <si>
    <t>Dell 1981</t>
  </si>
  <si>
    <t>19A-baj</t>
  </si>
  <si>
    <t>Verheijen 1986</t>
  </si>
  <si>
    <t>19A-bki</t>
  </si>
  <si>
    <t>Wheatley 1969;Wheatley 1973</t>
  </si>
  <si>
    <t>19A-bam</t>
  </si>
  <si>
    <t>Bird et al. 1977</t>
  </si>
  <si>
    <t>19A-byu</t>
  </si>
  <si>
    <t>Cunningham 1969</t>
  </si>
  <si>
    <t>19A-brd</t>
  </si>
  <si>
    <t>Metcalfe 1971</t>
  </si>
  <si>
    <t>19A-brb</t>
  </si>
  <si>
    <t>Welmers 1952a</t>
  </si>
  <si>
    <t>19A-bsk</t>
  </si>
  <si>
    <t>Poppe 1964</t>
  </si>
  <si>
    <t>19A-bsq</t>
  </si>
  <si>
    <t>Saltarelli et al. 1988</t>
  </si>
  <si>
    <t>19A-bkr</t>
  </si>
  <si>
    <t>Woollams 1996</t>
  </si>
  <si>
    <t>19A-bto</t>
  </si>
  <si>
    <t>van der Tuuk 1971</t>
  </si>
  <si>
    <t>19A-baw</t>
  </si>
  <si>
    <t>Reichle 1981</t>
  </si>
  <si>
    <t>19A-bee</t>
  </si>
  <si>
    <t>Jacquot 1962;Jacquot 1981</t>
  </si>
  <si>
    <t>19A-bej</t>
  </si>
  <si>
    <t>Hudson 1974;Hudson 1976b</t>
  </si>
  <si>
    <t>19A-bco</t>
  </si>
  <si>
    <t>Nater 1984;Newman 1947</t>
  </si>
  <si>
    <t>19A-ben</t>
  </si>
  <si>
    <t>Klaiman 1990;Ferguson and Chowdhury 1960</t>
  </si>
  <si>
    <t>19A-bma</t>
  </si>
  <si>
    <t>Abdel-Massih 1971;Penchoen 1973b</t>
  </si>
  <si>
    <t>19A-ber</t>
  </si>
  <si>
    <t>Triulzi et al. 1976a</t>
  </si>
  <si>
    <t>19A-bet</t>
  </si>
  <si>
    <t>Werle and Gbalehi 1976</t>
  </si>
  <si>
    <t>19A-bir</t>
  </si>
  <si>
    <t>Bouquiaux 1970;Wolff 1959</t>
  </si>
  <si>
    <t>19A-bis</t>
  </si>
  <si>
    <t>Naden 1973</t>
  </si>
  <si>
    <t>19A-bbf</t>
  </si>
  <si>
    <t>Bris and Prost 1981;Morse 1976</t>
  </si>
  <si>
    <t>19A-bod</t>
  </si>
  <si>
    <t>Bhat 1968</t>
  </si>
  <si>
    <t>19A-brr</t>
  </si>
  <si>
    <t>Crowell 1979</t>
  </si>
  <si>
    <t>19A-brh</t>
  </si>
  <si>
    <t>De Armond 1975;Emeneau 1962;Emeneau 1937</t>
  </si>
  <si>
    <t>19A-bra</t>
  </si>
  <si>
    <t>Keller 1976</t>
  </si>
  <si>
    <t>19A-bre</t>
  </si>
  <si>
    <t>Bothorel 1982;Ternes 1970</t>
  </si>
  <si>
    <t>19A-bri</t>
  </si>
  <si>
    <t>Arroyo 1972</t>
  </si>
  <si>
    <t>19A-brw</t>
  </si>
  <si>
    <t>Thongkum 1979</t>
  </si>
  <si>
    <t>19A-bul</t>
  </si>
  <si>
    <t>Aronson 1968;Bidwell 1968;Klagstad 1958;Scatton 1984;Ternes and Vladimirova-Buhtz 1999</t>
  </si>
  <si>
    <t>19A-bua</t>
  </si>
  <si>
    <t>Glasgow and Glasgow 1967</t>
  </si>
  <si>
    <t>19A-brm</t>
  </si>
  <si>
    <t>Watkins 2001;Okell 1969</t>
  </si>
  <si>
    <t>19A-bur</t>
  </si>
  <si>
    <t>Morgenstierne 1945;Anderson 1997b</t>
  </si>
  <si>
    <t>19A-cac</t>
  </si>
  <si>
    <t>Anderton 1989;Cathcart 1979</t>
  </si>
  <si>
    <t>19A-cad</t>
  </si>
  <si>
    <t>Chafe 1976;Chafe 1979</t>
  </si>
  <si>
    <t>19A-cah</t>
  </si>
  <si>
    <t>Sauvel and Munro 1981;Seiler 1977;Bright 1965b</t>
  </si>
  <si>
    <t>19A-cax</t>
  </si>
  <si>
    <t>Dirks 1953;Payne 1981</t>
  </si>
  <si>
    <t>19A-cam</t>
  </si>
  <si>
    <t>Howard 1972;Mongui Sanchez 1981;Howard 1967</t>
  </si>
  <si>
    <t>19A-ckr</t>
  </si>
  <si>
    <t>Popjes and Popjes 1986</t>
  </si>
  <si>
    <t>19A-cnt</t>
  </si>
  <si>
    <t>Zee 1999</t>
  </si>
  <si>
    <t>19A-car</t>
  </si>
  <si>
    <t>Hoff 1968;Peasgood 1972</t>
  </si>
  <si>
    <t>19A-ctl</t>
  </si>
  <si>
    <t>Carbonell and Llisteri 1999</t>
  </si>
  <si>
    <t>19A-cay</t>
  </si>
  <si>
    <t>Lindskoog and Brend 1962</t>
  </si>
  <si>
    <t>19A-cyv</t>
  </si>
  <si>
    <t>Key 1967;Key 1961</t>
  </si>
  <si>
    <t>19A-cha</t>
  </si>
  <si>
    <t>Seiden 1960;Topping 1973</t>
  </si>
  <si>
    <t>19A-chw</t>
  </si>
  <si>
    <t>Edmondson and Gregerson 1993;Blood 1967</t>
  </si>
  <si>
    <t>19A-cso</t>
  </si>
  <si>
    <t>Pride 1965</t>
  </si>
  <si>
    <t>19A-chl</t>
  </si>
  <si>
    <t>Kinkade 1963</t>
  </si>
  <si>
    <t>19A-che</t>
  </si>
  <si>
    <t>Walker 1975b;Cook 1979;Bender and Harris 1946</t>
  </si>
  <si>
    <t>19A-cck</t>
  </si>
  <si>
    <t>Gordon et al. 2000;Munro et al. 2002</t>
  </si>
  <si>
    <t>19A-cle</t>
  </si>
  <si>
    <t>Rupp 1989;Rupp 1990</t>
  </si>
  <si>
    <t>19A-chq</t>
  </si>
  <si>
    <t>Robbins 1961;Robbins 1968</t>
  </si>
  <si>
    <t>19A-cti</t>
  </si>
  <si>
    <t>Henderson 1965</t>
  </si>
  <si>
    <t>19A-chp</t>
  </si>
  <si>
    <t>Li 1933;Li 1946;Li 1932</t>
  </si>
  <si>
    <t>19A-cve</t>
  </si>
  <si>
    <t>Thurman 1970</t>
  </si>
  <si>
    <t>19A-chk</t>
  </si>
  <si>
    <t>Skorik 1968;Krause 1980;Skorik 1961</t>
  </si>
  <si>
    <t>19A-chv</t>
  </si>
  <si>
    <t>Krueger 1961;Andreev 1966</t>
  </si>
  <si>
    <t>19A-cil</t>
  </si>
  <si>
    <t>de Schryver 1999</t>
  </si>
  <si>
    <t>19A-ccp</t>
  </si>
  <si>
    <t>Crawford 1966</t>
  </si>
  <si>
    <t>19A-cof</t>
  </si>
  <si>
    <t>Borman 1962</t>
  </si>
  <si>
    <t>19A-cmn</t>
  </si>
  <si>
    <t>Wistrand-Robinson and Armagost 1990;Charney 1993</t>
  </si>
  <si>
    <t>19A-coo</t>
  </si>
  <si>
    <t>Zenk 1990</t>
  </si>
  <si>
    <t>19A-cre</t>
  </si>
  <si>
    <t>Vinay 1992;Dahlstrom 1991</t>
  </si>
  <si>
    <t>19A-cub</t>
  </si>
  <si>
    <t>Salser 1971;Morse and Maxwell 1999b</t>
  </si>
  <si>
    <t>19A-dad</t>
  </si>
  <si>
    <t>MacDonald 1973</t>
  </si>
  <si>
    <t>19A-dag</t>
  </si>
  <si>
    <t>Murane 1974</t>
  </si>
  <si>
    <t>19A-dgb</t>
  </si>
  <si>
    <t>Olawsky 1999;Wilson and Bendor-Samuel 1969</t>
  </si>
  <si>
    <t>19A-dgr</t>
  </si>
  <si>
    <t>Bao 1982</t>
  </si>
  <si>
    <t>19A-dah</t>
  </si>
  <si>
    <t>Tucker et al. 1977;Nurse 1986;Maddieson et al. 1993</t>
  </si>
  <si>
    <t>19A-ddf</t>
  </si>
  <si>
    <t>Thelwall 1981;Tucker and Bryan 1966</t>
  </si>
  <si>
    <t>19A-dan</t>
  </si>
  <si>
    <t>Bearth and Zemp 1967</t>
  </si>
  <si>
    <t>19A-dnw</t>
  </si>
  <si>
    <t>Fedry 1977</t>
  </si>
  <si>
    <t>19A-dni</t>
  </si>
  <si>
    <t>Bromley 1961;van der Stap 1966</t>
  </si>
  <si>
    <t>19A-dar</t>
  </si>
  <si>
    <t>Kotapish and Kotapish 1973;Kotapish and Kotapish 1975</t>
  </si>
  <si>
    <t>19A-det</t>
  </si>
  <si>
    <t>Vossen 1997</t>
  </si>
  <si>
    <t>19A-die</t>
  </si>
  <si>
    <t>Langdon 1970</t>
  </si>
  <si>
    <t>19A-din</t>
  </si>
  <si>
    <t>Malou 1988;Andersen 1987</t>
  </si>
  <si>
    <t>19A-dio</t>
  </si>
  <si>
    <t>Sapir 1965</t>
  </si>
  <si>
    <t>19A-diy</t>
  </si>
  <si>
    <t>Austin 1981</t>
  </si>
  <si>
    <t>19A-diz</t>
  </si>
  <si>
    <t>Allan 1976b</t>
  </si>
  <si>
    <t>19A-djp</t>
  </si>
  <si>
    <t>Rose et al. 1982;Morphy 1983</t>
  </si>
  <si>
    <t>19A-der</t>
  </si>
  <si>
    <t>Voorhoeve 1971</t>
  </si>
  <si>
    <t>19A-doy</t>
  </si>
  <si>
    <t>Wiering 1974</t>
  </si>
  <si>
    <t>19A-dre</t>
  </si>
  <si>
    <t>Moyse-Faurie 1983</t>
  </si>
  <si>
    <t>19A-dum</t>
  </si>
  <si>
    <t>Ross 1980</t>
  </si>
  <si>
    <t>19A-dyi</t>
  </si>
  <si>
    <t>Dixon 1972</t>
  </si>
  <si>
    <t>19A-efi</t>
  </si>
  <si>
    <t>Cook 1969a</t>
  </si>
  <si>
    <t>19A-eja</t>
  </si>
  <si>
    <t>Watters 1981</t>
  </si>
  <si>
    <t>19A-eka</t>
  </si>
  <si>
    <t>Steltenpool 1969;Doble 1987</t>
  </si>
  <si>
    <t>19A-eng</t>
  </si>
  <si>
    <t>Gimson 1970</t>
  </si>
  <si>
    <t>19A-epe</t>
  </si>
  <si>
    <t>Harms 1985;Harms 1984;Harms 1994</t>
  </si>
  <si>
    <t>19A-evn</t>
  </si>
  <si>
    <t>Novikova 1966;Novikova 1960</t>
  </si>
  <si>
    <t>19A-eve</t>
  </si>
  <si>
    <t>Nedjalkov 1997;Bulatova and Grenoble 1999</t>
  </si>
  <si>
    <t>19A-ewe</t>
  </si>
  <si>
    <t>Pasch 1995</t>
  </si>
  <si>
    <t>19A-ewo</t>
  </si>
  <si>
    <t>Redden 1979;Nnomo and Mbezele 1982;Abega 1970</t>
  </si>
  <si>
    <t>19A-eya</t>
  </si>
  <si>
    <t>Krauss 1965</t>
  </si>
  <si>
    <t>19A-fas</t>
  </si>
  <si>
    <t>Loeweke and May 1964</t>
  </si>
  <si>
    <t>19A-fef</t>
  </si>
  <si>
    <t>Hyman 1972</t>
  </si>
  <si>
    <t>19A-fij</t>
  </si>
  <si>
    <t>Dixon 1988</t>
  </si>
  <si>
    <t>19A-fin</t>
  </si>
  <si>
    <t>Wiik 1965;Harms 1964;Lehtinen 1970</t>
  </si>
  <si>
    <t>19A-fre</t>
  </si>
  <si>
    <t>Fougeron and Smith 1999;Sten 1963</t>
  </si>
  <si>
    <t>19A-ful</t>
  </si>
  <si>
    <t>Lapenda 1968</t>
  </si>
  <si>
    <t>19A-fur</t>
  </si>
  <si>
    <t>Tucker and Bryan 1966;Beaton 1968;Jakobi 1990</t>
  </si>
  <si>
    <t>19A-fuz</t>
  </si>
  <si>
    <t>Norman 1988;Chan 1985;Chen and Norman 1965;Hanyu 1960</t>
  </si>
  <si>
    <t>19A-fye</t>
  </si>
  <si>
    <t>Nettle 1998</t>
  </si>
  <si>
    <t>19A-ga</t>
  </si>
  <si>
    <t>Kropp 1987;Berry n.d.</t>
  </si>
  <si>
    <t>19A-gds</t>
  </si>
  <si>
    <t>Frantz and Frantz 1966</t>
  </si>
  <si>
    <t>19A-gar</t>
  </si>
  <si>
    <t>Burling 1961</t>
  </si>
  <si>
    <t>19A-grr</t>
  </si>
  <si>
    <t>Furby 1974</t>
  </si>
  <si>
    <t>19A-gbb</t>
  </si>
  <si>
    <t>Samarin 1966;Monino and Roulon 1972</t>
  </si>
  <si>
    <t>19A-gla</t>
  </si>
  <si>
    <t>He 1981;He 1983</t>
  </si>
  <si>
    <t>19A-geo</t>
  </si>
  <si>
    <t>Neisser 1953;Robins and Waterson 1952;Selmer 1935;Tschenkéli 1958;Vogt 1938;Vogt 1958;Vogt 1971;Hewitt 1995</t>
  </si>
  <si>
    <t>19A-ger</t>
  </si>
  <si>
    <t>Moulton 1962;Kohler 1999;Wangler 1972</t>
  </si>
  <si>
    <t>19A-goa</t>
  </si>
  <si>
    <t>Holmer 1949d;Mansen 1967</t>
  </si>
  <si>
    <t>19A-goo</t>
  </si>
  <si>
    <t>McGregor 1990</t>
  </si>
  <si>
    <t>19A-gan</t>
  </si>
  <si>
    <t>Yadav n.d.</t>
  </si>
  <si>
    <t>19A-grb</t>
  </si>
  <si>
    <t>Innes 1966</t>
  </si>
  <si>
    <t>19A-grk</t>
  </si>
  <si>
    <t>Householder et al. 1964</t>
  </si>
  <si>
    <t>19A-grw</t>
  </si>
  <si>
    <t>Rischel 1974</t>
  </si>
  <si>
    <t>19A-ghb</t>
  </si>
  <si>
    <t>Kondo and Kondo 1967</t>
  </si>
  <si>
    <t>19A-gmb</t>
  </si>
  <si>
    <t>Branks and Branks 1973;Caudmont 1954</t>
  </si>
  <si>
    <t>19A-gua</t>
  </si>
  <si>
    <t>Uldall 1956;Lunt 1973;Gregores and Suarez 1967</t>
  </si>
  <si>
    <t>19A-gwa</t>
  </si>
  <si>
    <t>Hyman and Magaji 1970</t>
  </si>
  <si>
    <t>19A-had</t>
  </si>
  <si>
    <t>Tucker et al. 1977;Sands et al. 1996</t>
  </si>
  <si>
    <t>19A-hai</t>
  </si>
  <si>
    <t>Sapir 1923</t>
  </si>
  <si>
    <t>19A-hak</t>
  </si>
  <si>
    <t>Hashimoto 1973</t>
  </si>
  <si>
    <t>19A-hmr</t>
  </si>
  <si>
    <t>Lydall 1976</t>
  </si>
  <si>
    <t>19A-ham</t>
  </si>
  <si>
    <t>Healey 1981;Oates and Oates 1968</t>
  </si>
  <si>
    <t>19A-hau</t>
  </si>
  <si>
    <t>Newman 2000;Schuh and Bagari 1999</t>
  </si>
  <si>
    <t>19A-haw</t>
  </si>
  <si>
    <t>Elbert and Pukui 1979;Schutz 1981;Pukui and Elbert 1965</t>
  </si>
  <si>
    <t>19A-hba</t>
  </si>
  <si>
    <t>Bolozky 1997;Bolozky 1978</t>
  </si>
  <si>
    <t>19A-hin</t>
  </si>
  <si>
    <t>Kelkar 1968;Ohala 1999;Ohala 1983</t>
  </si>
  <si>
    <t>19A-hix</t>
  </si>
  <si>
    <t>Derbyshire 1985</t>
  </si>
  <si>
    <t>19A-hmo</t>
  </si>
  <si>
    <t>Harriehausen 1990;Wang 1983;Wang 1985;Lyman 1974;Purnell 1972;Smalley 1976</t>
  </si>
  <si>
    <t>19A-hop</t>
  </si>
  <si>
    <t>Whorf 1946a;Kluckhohn and MacLeish 1955;Voegelin 1956</t>
  </si>
  <si>
    <t>19A-htc</t>
  </si>
  <si>
    <t>Larsen and Pike 1949;Peralta 1984;McQuown 1984</t>
  </si>
  <si>
    <t>19A-hve</t>
  </si>
  <si>
    <t>Suarez 1975;Stairs Kreger and Scharfe de Stairs 1981</t>
  </si>
  <si>
    <t>19A-hum</t>
  </si>
  <si>
    <t>Minor et al. 1982;Aschmann 1993;Petersen de Piñeros 1994;Burtch 1983</t>
  </si>
  <si>
    <t>19A-hun</t>
  </si>
  <si>
    <t>Banhidi et al. 1965;Hall 1944;Szende 1999</t>
  </si>
  <si>
    <t>19A-hzb</t>
  </si>
  <si>
    <t>van den Berg 1995</t>
  </si>
  <si>
    <t>19A-hup</t>
  </si>
  <si>
    <t>Gordon 1996;Woodward 1964;Golla 1970</t>
  </si>
  <si>
    <t>19A-iaa</t>
  </si>
  <si>
    <t>Maddieson and Anderson 1995;Ozanne-Rivierre 1976;Haudricourt 1971</t>
  </si>
  <si>
    <t>19A-iba</t>
  </si>
  <si>
    <t>Omar 1981;Scott 1957</t>
  </si>
  <si>
    <t>19A-igb</t>
  </si>
  <si>
    <t>Ikekeonwu 1999</t>
  </si>
  <si>
    <t>19A-ign</t>
  </si>
  <si>
    <t>Ott and Ott 1967a</t>
  </si>
  <si>
    <t>19A-ijo</t>
  </si>
  <si>
    <t>Williamson 1965</t>
  </si>
  <si>
    <t>19A-ik</t>
  </si>
  <si>
    <t>Heine 1975b;Tucker 1971</t>
  </si>
  <si>
    <t>19A-ika</t>
  </si>
  <si>
    <t>Frank 1990;Tracy and Tracy 1973</t>
  </si>
  <si>
    <t>19A-imo</t>
  </si>
  <si>
    <t>Seiler 1985</t>
  </si>
  <si>
    <t>19A-ind</t>
  </si>
  <si>
    <t>Alwi et al. 1998</t>
  </si>
  <si>
    <t>19A-igs</t>
  </si>
  <si>
    <t>Crewe 1975;Tucker and Bryan 1966</t>
  </si>
  <si>
    <t>19A-ing</t>
  </si>
  <si>
    <t>Nichols 1994b</t>
  </si>
  <si>
    <t>19A-irx</t>
  </si>
  <si>
    <t>Meader 1967</t>
  </si>
  <si>
    <t>19A-irq</t>
  </si>
  <si>
    <t>Nordbustad 1988;Maghway 1995;Whiteley 1958;Mous 1993</t>
  </si>
  <si>
    <t>19A-irr</t>
  </si>
  <si>
    <t>Voorhoeve 1989</t>
  </si>
  <si>
    <t>19A-ird</t>
  </si>
  <si>
    <t>Ní Chasaide 1999;Ó Dochartaigh 1992</t>
  </si>
  <si>
    <t>19A-iso</t>
  </si>
  <si>
    <t>Donwa 1982</t>
  </si>
  <si>
    <t>19A-ite</t>
  </si>
  <si>
    <t>Volodin 1976</t>
  </si>
  <si>
    <t>19A-ito</t>
  </si>
  <si>
    <t>Liccardi and Grimes 1968</t>
  </si>
  <si>
    <t>19A-ivs</t>
  </si>
  <si>
    <t>Cottle and Cottle 1958;Heye and Hidalgo 1967;Hidalgo and Hidalgo 1971</t>
  </si>
  <si>
    <t>19A-iwm</t>
  </si>
  <si>
    <t>Laycock 1965b</t>
  </si>
  <si>
    <t>19A-jak</t>
  </si>
  <si>
    <t>Craig 1977;Day 1973</t>
  </si>
  <si>
    <t>19A-jpn</t>
  </si>
  <si>
    <t>Martin 1952;Shibatani 1990;Bloch 1950;Jorden 1963</t>
  </si>
  <si>
    <t>19A-jpr</t>
  </si>
  <si>
    <t>Durbin and Seijas 1972</t>
  </si>
  <si>
    <t>19A-jaq</t>
  </si>
  <si>
    <t>Hardman 2000</t>
  </si>
  <si>
    <t>19A-jav</t>
  </si>
  <si>
    <t>Herrfurth 1964;Fagan 1988;Uhlenbeck 1963;Horne 1961</t>
  </si>
  <si>
    <t>19A-jeb</t>
  </si>
  <si>
    <t>Bendor-Samuel 1961b</t>
  </si>
  <si>
    <t>19A-jeh</t>
  </si>
  <si>
    <t>Gradin and Gradin 1979;Gradin 1966;Cohen 1966</t>
  </si>
  <si>
    <t>19A-jng</t>
  </si>
  <si>
    <t>Liu 1964</t>
  </si>
  <si>
    <t>19A-jiv</t>
  </si>
  <si>
    <t>Beasley and Pike 1957</t>
  </si>
  <si>
    <t>19A-jom</t>
  </si>
  <si>
    <t>Schadeberg 1981a</t>
  </si>
  <si>
    <t>19A-juh</t>
  </si>
  <si>
    <t>Snyman 1970;Snyman 1975;Dickens 1994</t>
  </si>
  <si>
    <t>19A-kab</t>
  </si>
  <si>
    <t>Kuipers 1960</t>
  </si>
  <si>
    <t>19A-kad</t>
  </si>
  <si>
    <t>Matsushita 1984;Kutoado 1973</t>
  </si>
  <si>
    <t>19A-kng</t>
  </si>
  <si>
    <t>Kindell 1972;Wiesemann 1972;Henry 1935</t>
  </si>
  <si>
    <t>19A-kly</t>
  </si>
  <si>
    <t>Kennedy 1981;Wurm 1972a</t>
  </si>
  <si>
    <t>19A-kal</t>
  </si>
  <si>
    <t>Baart 1997</t>
  </si>
  <si>
    <t>19A-kgu</t>
  </si>
  <si>
    <t>Blake 1979b</t>
  </si>
  <si>
    <t>19A-kzh</t>
  </si>
  <si>
    <t>Zheng and Quan 1988</t>
  </si>
  <si>
    <t>19A-knk</t>
  </si>
  <si>
    <t>Newman 1974</t>
  </si>
  <si>
    <t>19A-knd</t>
  </si>
  <si>
    <t>Upadhyaya 1972;Steever 1998b;Sridhar 1990</t>
  </si>
  <si>
    <t>19A-knr</t>
  </si>
  <si>
    <t>Hutchison 1981;Awobuluyi 1971;Lukas 1937</t>
  </si>
  <si>
    <t>19A-ksg</t>
  </si>
  <si>
    <t>Jones 1961</t>
  </si>
  <si>
    <t>19A-krk</t>
  </si>
  <si>
    <t>Bright 1957</t>
  </si>
  <si>
    <t>19A-kas</t>
  </si>
  <si>
    <t>Zakhar'in and Edelman 1971;Zakhar'in 1974;Kelkar and Trisal 1964;Bhat 1987</t>
  </si>
  <si>
    <t>19A-kws</t>
  </si>
  <si>
    <t>Zigmond et al. 1990-1991</t>
  </si>
  <si>
    <t>19A-kyl</t>
  </si>
  <si>
    <t>Solnit 1997</t>
  </si>
  <si>
    <t>19A-kay</t>
  </si>
  <si>
    <t>Evans 1995</t>
  </si>
  <si>
    <t>19A-ked</t>
  </si>
  <si>
    <t>Körner 1985;Samely 1991</t>
  </si>
  <si>
    <t>19A-kef</t>
  </si>
  <si>
    <t>Fleming 1976</t>
  </si>
  <si>
    <t>19A-kek</t>
  </si>
  <si>
    <t>Haeseriju 1966;Freeze 1975</t>
  </si>
  <si>
    <t>19A-ker</t>
  </si>
  <si>
    <t>Ebert 1979;Ebert 1976</t>
  </si>
  <si>
    <t>19A-ket</t>
  </si>
  <si>
    <t>Feev 1998;Dul'zon 1968;Krejnovich 1968a;Vajda 2000</t>
  </si>
  <si>
    <t>19A-kew</t>
  </si>
  <si>
    <t>Franklin and Franklin 1962</t>
  </si>
  <si>
    <t>19A-kha</t>
  </si>
  <si>
    <t>Svantesson 1985;Hangin 1968;Luvsanvandan 1964;Street 1963</t>
  </si>
  <si>
    <t>19A-kty</t>
  </si>
  <si>
    <t>Gulya 1966;Nikolaeva 1999</t>
  </si>
  <si>
    <t>19A-khr</t>
  </si>
  <si>
    <t>Biligiri 1965;Pinnow 1959</t>
  </si>
  <si>
    <t>19A-khs</t>
  </si>
  <si>
    <t>Rabel 1961</t>
  </si>
  <si>
    <t>19A-khm</t>
  </si>
  <si>
    <t>Ehrman 1972b;Jacob 1968;Huffman 1970b;Huffman 1970a</t>
  </si>
  <si>
    <t>19A-kmu</t>
  </si>
  <si>
    <t>Svantesson 1983</t>
  </si>
  <si>
    <t>19A-kho</t>
  </si>
  <si>
    <t>Vossen 1997;Hagman 1977;Ladefoged and Traill 1984</t>
  </si>
  <si>
    <t>19A-klv</t>
  </si>
  <si>
    <t>Senft 1986</t>
  </si>
  <si>
    <t>19A-kio</t>
  </si>
  <si>
    <t>Watkins 1984;Sivertsen 1956</t>
  </si>
  <si>
    <t>19A-kgz</t>
  </si>
  <si>
    <t>Herbert and Poppe 1963;Junusaliev 1966</t>
  </si>
  <si>
    <t>19A-krb</t>
  </si>
  <si>
    <t>Groves et al. 1985</t>
  </si>
  <si>
    <t>19A-kss</t>
  </si>
  <si>
    <t>Childs 1995</t>
  </si>
  <si>
    <t>19A-kiw</t>
  </si>
  <si>
    <t>Wurm 1977</t>
  </si>
  <si>
    <t>19A-klm</t>
  </si>
  <si>
    <t>Barker 1963a;Barker 1964</t>
  </si>
  <si>
    <t>19A-kla</t>
  </si>
  <si>
    <t>Singler 1979</t>
  </si>
  <si>
    <t>19A-koa</t>
  </si>
  <si>
    <t>Haas 1944;Rising 1992</t>
  </si>
  <si>
    <t>19A-kob</t>
  </si>
  <si>
    <t>Davies 1980;Davies 1981b</t>
  </si>
  <si>
    <t>19A-koh</t>
  </si>
  <si>
    <t>Cook 1969b</t>
  </si>
  <si>
    <t>19A-koi</t>
  </si>
  <si>
    <t>Dutton 1996;Dutton 1969</t>
  </si>
  <si>
    <t>19A-kzy</t>
  </si>
  <si>
    <t>Lytkin 1966b;Bubrix 1949</t>
  </si>
  <si>
    <t>19A-kom</t>
  </si>
  <si>
    <t>Tucker and Bryan 1966</t>
  </si>
  <si>
    <t>19A-kkn</t>
  </si>
  <si>
    <t>Madtha 1984;Major 1979;Gajendragadkar 1970</t>
  </si>
  <si>
    <t>19A-kgi</t>
  </si>
  <si>
    <t>Santos 1977</t>
  </si>
  <si>
    <t>19A-kor</t>
  </si>
  <si>
    <t>Lee 1999;Martin and Lee 1969;Martin 1954;Cho 1967;Kim 1972;Kim 1986;Martin 1951</t>
  </si>
  <si>
    <t>19A-kfe</t>
  </si>
  <si>
    <t>Rennison 1997</t>
  </si>
  <si>
    <t>19A-kry</t>
  </si>
  <si>
    <t>Zhukova 1980</t>
  </si>
  <si>
    <t>19A-kot</t>
  </si>
  <si>
    <t>Emeneau 1944</t>
  </si>
  <si>
    <t>19A-ktk</t>
  </si>
  <si>
    <t>Bouny 1977</t>
  </si>
  <si>
    <t>19A-koy</t>
  </si>
  <si>
    <t>Tyler 1969</t>
  </si>
  <si>
    <t>19A-kse</t>
  </si>
  <si>
    <t>Williamson 1967;Prost 1956</t>
  </si>
  <si>
    <t>19A-kch</t>
  </si>
  <si>
    <t>Heath 1999b</t>
  </si>
  <si>
    <t>19A-kpa</t>
  </si>
  <si>
    <t>Shimizu 1971</t>
  </si>
  <si>
    <t>19A-kpe</t>
  </si>
  <si>
    <t>Welmers 1973;Welmers 1962;Hyman 1973</t>
  </si>
  <si>
    <t>19A-kro</t>
  </si>
  <si>
    <t>Reh 1985</t>
  </si>
  <si>
    <t>19A-kya</t>
  </si>
  <si>
    <t>Oates 1964b;Oates and Oates 1964;Wurm 1972a</t>
  </si>
  <si>
    <t>19A-kul</t>
  </si>
  <si>
    <t>Allan 1976a</t>
  </si>
  <si>
    <t>19A-kun</t>
  </si>
  <si>
    <t>Sherzer 1983;Baptista and Wallin 1974</t>
  </si>
  <si>
    <t>19A-knm</t>
  </si>
  <si>
    <t>Bender 1996</t>
  </si>
  <si>
    <t>19A-kmp</t>
  </si>
  <si>
    <t>Pence 1966</t>
  </si>
  <si>
    <t>19A-krd</t>
  </si>
  <si>
    <t>Abdulla and McCarus 1967;McCarus 1958</t>
  </si>
  <si>
    <t>19A-kur</t>
  </si>
  <si>
    <t>Pfeiffer 1972;Pinnow 1964</t>
  </si>
  <si>
    <t>19A-kut</t>
  </si>
  <si>
    <t>Garvin 1948a;Morgan 1991</t>
  </si>
  <si>
    <t>19A-kwa</t>
  </si>
  <si>
    <t>Keesing 1985</t>
  </si>
  <si>
    <t>19A-kwk</t>
  </si>
  <si>
    <t>Boas 1911a;Boas 1947;Grubb 1977;Newman 1950</t>
  </si>
  <si>
    <t>19A-kwo</t>
  </si>
  <si>
    <t>Kooyers et al. 1971</t>
  </si>
  <si>
    <t>19A-lad</t>
  </si>
  <si>
    <t>Koshal 1979</t>
  </si>
  <si>
    <t>19A-lah</t>
  </si>
  <si>
    <t>Matisoff 1973;Matisoff 1988</t>
  </si>
  <si>
    <t>19A-lak</t>
  </si>
  <si>
    <t>Murkelinskij 1967;Khajdakov 1966b;Zhirkov 1955</t>
  </si>
  <si>
    <t>19A-lkt</t>
  </si>
  <si>
    <t>Carter 1974</t>
  </si>
  <si>
    <t>19A-lkk</t>
  </si>
  <si>
    <t>Haudricourt 1967;Solnit 1988</t>
  </si>
  <si>
    <t>19A-lam</t>
  </si>
  <si>
    <t>Sachnine 1982</t>
  </si>
  <si>
    <t>19A-lan</t>
  </si>
  <si>
    <t>Okello 1975</t>
  </si>
  <si>
    <t>19A-lat</t>
  </si>
  <si>
    <t>Mathiassen 1997</t>
  </si>
  <si>
    <t>19A-lav</t>
  </si>
  <si>
    <t>Terrill 1999</t>
  </si>
  <si>
    <t>19A-llm</t>
  </si>
  <si>
    <t>Höftmann 1971</t>
  </si>
  <si>
    <t>19A-len</t>
  </si>
  <si>
    <t>Lynch 1978</t>
  </si>
  <si>
    <t>19A-lep</t>
  </si>
  <si>
    <t>Ju 1996;Mainwaring 1876;Mainwaring 1898</t>
  </si>
  <si>
    <t>19A-lez</t>
  </si>
  <si>
    <t>Haspelmath 1993;Kodzasov 1990a</t>
  </si>
  <si>
    <t>19A-lit</t>
  </si>
  <si>
    <t>Augustitis 1964;Ambrazas et al. 1966;Senn 1966</t>
  </si>
  <si>
    <t>19A-lu</t>
  </si>
  <si>
    <t>Li 1964;Morev 1978</t>
  </si>
  <si>
    <t>19A-lua</t>
  </si>
  <si>
    <t>Boyeldieu 1985</t>
  </si>
  <si>
    <t>19A-lug</t>
  </si>
  <si>
    <t>Anderson 1986;Crazzolara 1960;Tucker and Bryan 1966</t>
  </si>
  <si>
    <t>19A-lui</t>
  </si>
  <si>
    <t>Malecot 1963b;Bright 1965a;Bright 1968;Hyde 1971;Kroeber and Grace 1960</t>
  </si>
  <si>
    <t>19A-luo</t>
  </si>
  <si>
    <t>Gregersen 1961</t>
  </si>
  <si>
    <t>19A-lus</t>
  </si>
  <si>
    <t>Bates et al. 1994</t>
  </si>
  <si>
    <t>19A-kkv</t>
  </si>
  <si>
    <t>Counts 1969</t>
  </si>
  <si>
    <t>19A-luv</t>
  </si>
  <si>
    <t>Horton 1949</t>
  </si>
  <si>
    <t>19A-maa</t>
  </si>
  <si>
    <t>Tucker and Mpaayei 1955;Tucker and Bryan 1966</t>
  </si>
  <si>
    <t>19A-mab</t>
  </si>
  <si>
    <t>19A-mne</t>
  </si>
  <si>
    <t>Shipley 1956;Shipley 1964</t>
  </si>
  <si>
    <t>19A-mak</t>
  </si>
  <si>
    <t>Jacobsen 1999</t>
  </si>
  <si>
    <t>19A-mal</t>
  </si>
  <si>
    <t>Dahl 1952;Dyen 1971b</t>
  </si>
  <si>
    <t>19A-mlk</t>
  </si>
  <si>
    <t>Birk 1975;Tryon 1974</t>
  </si>
  <si>
    <t>19A-mla</t>
  </si>
  <si>
    <t>Connell 2000;Perrin and Hill 1969</t>
  </si>
  <si>
    <t>19A-mnc</t>
  </si>
  <si>
    <t>Austin 1962</t>
  </si>
  <si>
    <t>19A-mnd</t>
  </si>
  <si>
    <t>Dow 1972;Cheng 1973a;Hanyu 1960;Chao 1968</t>
  </si>
  <si>
    <t>19A-myi</t>
  </si>
  <si>
    <t>Merlan 1982</t>
  </si>
  <si>
    <t>19A-mgg</t>
  </si>
  <si>
    <t>Todaeva 1973</t>
  </si>
  <si>
    <t>19A-mao</t>
  </si>
  <si>
    <t>Bauer 1993</t>
  </si>
  <si>
    <t>19A-map</t>
  </si>
  <si>
    <t>Smeets 1989</t>
  </si>
  <si>
    <t>19A-mrn</t>
  </si>
  <si>
    <t>McKaughan 1958;McKaughan and Macaraya 1967</t>
  </si>
  <si>
    <t>19A-mku</t>
  </si>
  <si>
    <t>Tryon 1970b</t>
  </si>
  <si>
    <t>19A-mrg</t>
  </si>
  <si>
    <t>Maddieson 1987;Hoffmann 1963</t>
  </si>
  <si>
    <t>19A-mar</t>
  </si>
  <si>
    <t>Gordon 1986</t>
  </si>
  <si>
    <t>19A-mme</t>
  </si>
  <si>
    <t>Kovedjaeva 1966;Ristinen 1960</t>
  </si>
  <si>
    <t>19A-mrd</t>
  </si>
  <si>
    <t>Drabbe 1955</t>
  </si>
  <si>
    <t>19A-mrt</t>
  </si>
  <si>
    <t>Dench 1995</t>
  </si>
  <si>
    <t>19A-mau</t>
  </si>
  <si>
    <t>Capell and Hinch 1970</t>
  </si>
  <si>
    <t>19A-max</t>
  </si>
  <si>
    <t>Gudschinsky et al. 1970</t>
  </si>
  <si>
    <t>19A-mya</t>
  </si>
  <si>
    <t>van der Leeden 1993;Remijsen 2001</t>
  </si>
  <si>
    <t>19A-may</t>
  </si>
  <si>
    <t>Dol 1999</t>
  </si>
  <si>
    <t>19A-maz</t>
  </si>
  <si>
    <t>Spotts 1953</t>
  </si>
  <si>
    <t>19A-mzc</t>
  </si>
  <si>
    <t>Jamieson 1976a;Jamieson 1976b</t>
  </si>
  <si>
    <t>19A-mba</t>
  </si>
  <si>
    <t>Pasch 1986</t>
  </si>
  <si>
    <t>19A-mbb</t>
  </si>
  <si>
    <t>Dixon 1966a;Dixon 1966b</t>
  </si>
  <si>
    <t>19A-mbm</t>
  </si>
  <si>
    <t>Hagège 1970</t>
  </si>
  <si>
    <t>19A-mei</t>
  </si>
  <si>
    <t>Bhat and Ningomba 1997;Chelliah 1997</t>
  </si>
  <si>
    <t>19A-mie</t>
  </si>
  <si>
    <t>Purnell 1965;Mao et al. 1982</t>
  </si>
  <si>
    <t>19A-mss</t>
  </si>
  <si>
    <t>Broadbent 1964;Freeland 1951</t>
  </si>
  <si>
    <t>19A-mtp</t>
  </si>
  <si>
    <t>Schoenhals and Schoenhals 1965;Crawford 1963</t>
  </si>
  <si>
    <t>19A-mxc</t>
  </si>
  <si>
    <t>Macaulay 1996</t>
  </si>
  <si>
    <t>19A-mxm</t>
  </si>
  <si>
    <t>Hunter and Pike 1969</t>
  </si>
  <si>
    <t>19A-mog</t>
  </si>
  <si>
    <t>Weiers 1971</t>
  </si>
  <si>
    <t>19A-mor</t>
  </si>
  <si>
    <t>Laycock 1978</t>
  </si>
  <si>
    <t>19A-mro</t>
  </si>
  <si>
    <t>Schadeberg 1981b;Black and Black 1971</t>
  </si>
  <si>
    <t>19A-mov</t>
  </si>
  <si>
    <t>Judy and Judy 1962b;Aikhenvald and Dixon 1999</t>
  </si>
  <si>
    <t>19A-mui</t>
  </si>
  <si>
    <t>Walton and Walton 1967;Aschmann 1993</t>
  </si>
  <si>
    <t>19A-mum</t>
  </si>
  <si>
    <t>Shimizu 1983</t>
  </si>
  <si>
    <t>19A-mun</t>
  </si>
  <si>
    <t>Gumperz and Bilibiri 1957;Pinnow 1959;Sinha 1975</t>
  </si>
  <si>
    <t>19A-mrl</t>
  </si>
  <si>
    <t>Arensen 1982;Yigezu 2001</t>
  </si>
  <si>
    <t>19A-mpa</t>
  </si>
  <si>
    <t>Street and Mollinjin 1981</t>
  </si>
  <si>
    <t>19A-nhn</t>
  </si>
  <si>
    <t>Brockway 1963</t>
  </si>
  <si>
    <t>19A-nht</t>
  </si>
  <si>
    <t>Tuggy 1979</t>
  </si>
  <si>
    <t>19A-nmb</t>
  </si>
  <si>
    <t>Price 1976;Kroeker 1972</t>
  </si>
  <si>
    <t>19A-nai</t>
  </si>
  <si>
    <t>Avrorin 1968</t>
  </si>
  <si>
    <t>19A-nnc</t>
  </si>
  <si>
    <t>Das 1977;Radhakrishnan 1981</t>
  </si>
  <si>
    <t>19A-nan</t>
  </si>
  <si>
    <t>Creider and Creider 1989</t>
  </si>
  <si>
    <t>19A-nar</t>
  </si>
  <si>
    <t>Thompson 1976a;Bender 1968</t>
  </si>
  <si>
    <t>19A-nas</t>
  </si>
  <si>
    <t>Hurd and Hurd 1966</t>
  </si>
  <si>
    <t>19A-nbk</t>
  </si>
  <si>
    <t>Wurm 1972b</t>
  </si>
  <si>
    <t>19A-nav</t>
  </si>
  <si>
    <t>Young and Morgan 1972;Sapir and Hoijer 1967</t>
  </si>
  <si>
    <t>19A-nax</t>
  </si>
  <si>
    <t>Jiang 1985;Bradley 1975;Jiang 1980</t>
  </si>
  <si>
    <t>19A-ndt</t>
  </si>
  <si>
    <t>Gueye 1986</t>
  </si>
  <si>
    <t>19A-ndy</t>
  </si>
  <si>
    <t>Huttar and Huttar 1994;Huttar and Huttar 1972</t>
  </si>
  <si>
    <t>19A-nen</t>
  </si>
  <si>
    <t>Katz 1975a;Ristinen 1965;Ristinen 1968;Tereshchenko 1966a;Decsy 1966;Hajdú 1963</t>
  </si>
  <si>
    <t>19A-nap</t>
  </si>
  <si>
    <t>Garbell 1965</t>
  </si>
  <si>
    <t>19A-nep</t>
  </si>
  <si>
    <t>Bandhu et al. 1971</t>
  </si>
  <si>
    <t>19A-new</t>
  </si>
  <si>
    <t>Hale and Hale 1969;Manandhar 1986</t>
  </si>
  <si>
    <t>19A-nez</t>
  </si>
  <si>
    <t>Aoki 1994</t>
  </si>
  <si>
    <t>19A-nga</t>
  </si>
  <si>
    <t>Castren 1966;Tereshchenko 1979;Tereshchenko 1966c</t>
  </si>
  <si>
    <t>19A-nti</t>
  </si>
  <si>
    <t>Kutsch Lojenga 1994</t>
  </si>
  <si>
    <t>19A-ngi</t>
  </si>
  <si>
    <t>Donaldson 1980</t>
  </si>
  <si>
    <t>19A-ngz</t>
  </si>
  <si>
    <t>Schuh 1981</t>
  </si>
  <si>
    <t>19A-nim</t>
  </si>
  <si>
    <t>Anceaux 1965</t>
  </si>
  <si>
    <t>19A-chu</t>
  </si>
  <si>
    <t>Stell 1972</t>
  </si>
  <si>
    <t>19A-niv</t>
  </si>
  <si>
    <t>Gruzdeva 1998;Krejnovich 1937</t>
  </si>
  <si>
    <t>19A-nko</t>
  </si>
  <si>
    <t>Taylor 1985</t>
  </si>
  <si>
    <t>19A-nob</t>
  </si>
  <si>
    <t>Bell 1971;Bell 1968;Werner 1987</t>
  </si>
  <si>
    <t>19A-non</t>
  </si>
  <si>
    <t>Hyman 1981b</t>
  </si>
  <si>
    <t>19A-nor</t>
  </si>
  <si>
    <t>Vanvik 1972</t>
  </si>
  <si>
    <t>19A-nug</t>
  </si>
  <si>
    <t>Heath 1984;Hughes and Leeding 1971</t>
  </si>
  <si>
    <t>19A-nun</t>
  </si>
  <si>
    <t>Li 1977a</t>
  </si>
  <si>
    <t>19A-nuu</t>
  </si>
  <si>
    <t>Carlson et al. 2001;Stonham 1999</t>
  </si>
  <si>
    <t>19A-nkt</t>
  </si>
  <si>
    <t>Thongkum 1984;Thongkum 1982;Diffloth 1984</t>
  </si>
  <si>
    <t>19A-nyg</t>
  </si>
  <si>
    <t>Heine 1975a</t>
  </si>
  <si>
    <t>19A-nyi</t>
  </si>
  <si>
    <t>Tucker and Bryan 1966;Stevenson 1957</t>
  </si>
  <si>
    <t>19A-nis</t>
  </si>
  <si>
    <t>Ray 1967;Namkung 1996</t>
  </si>
  <si>
    <t>19A-oca</t>
  </si>
  <si>
    <t>Aschmann 1993;Agnew and Pike 1957</t>
  </si>
  <si>
    <t>19A-ogb</t>
  </si>
  <si>
    <t>Williamson 1972;Williamson 1970</t>
  </si>
  <si>
    <t>19A-oji</t>
  </si>
  <si>
    <t>Bloomfield 1957</t>
  </si>
  <si>
    <t>19A-ond</t>
  </si>
  <si>
    <t>Michelson 1988;Abbott 2000</t>
  </si>
  <si>
    <t>19A-ood</t>
  </si>
  <si>
    <t>Saxton and Saxton 1969;Saxton 1963;Hale 1959</t>
  </si>
  <si>
    <t>19A-orm</t>
  </si>
  <si>
    <t>Efimov 1986</t>
  </si>
  <si>
    <t>19A-orh</t>
  </si>
  <si>
    <t>Owens 1985</t>
  </si>
  <si>
    <t>19A-otm</t>
  </si>
  <si>
    <t>Sinclair and Pike 1948;Hess 1968;Wallis 1968</t>
  </si>
  <si>
    <t>19A-pms</t>
  </si>
  <si>
    <t>Crowley 1982</t>
  </si>
  <si>
    <t>19A-pac</t>
  </si>
  <si>
    <t>Watson 1964</t>
  </si>
  <si>
    <t>19A-pae</t>
  </si>
  <si>
    <t>Gerdel 1973;Gerdel 1985;Jung 1989</t>
  </si>
  <si>
    <t>19A-pai</t>
  </si>
  <si>
    <t>Ferrel 1982;Ho 1977</t>
  </si>
  <si>
    <t>19A-pnr</t>
  </si>
  <si>
    <t>Cauty 1978;Payne 1990b;Cauty 1974a;Cauty 1974b</t>
  </si>
  <si>
    <t>19A-puk</t>
  </si>
  <si>
    <t>Diffloth 1980;Qiu et al. 1980;Maddieson and Ladefoged 1985</t>
  </si>
  <si>
    <t>19A-psh</t>
  </si>
  <si>
    <t>Grjunberg 1987;Shafeev 1964;Penzl 1955</t>
  </si>
  <si>
    <t>19A-psm</t>
  </si>
  <si>
    <t>Sherwood 1986;LeSourd 1993;Leavitt 1996</t>
  </si>
  <si>
    <t>19A-pau</t>
  </si>
  <si>
    <t>Chapman and Derbyshire 1991;Chapman 1981</t>
  </si>
  <si>
    <t>19A-paw</t>
  </si>
  <si>
    <t>Trefry 1972;MacDonald 1973</t>
  </si>
  <si>
    <t>19A-pec</t>
  </si>
  <si>
    <t>Holt 1986;Holt 1999b</t>
  </si>
  <si>
    <t>19A-prs</t>
  </si>
  <si>
    <t>Obolensky et al. 1963;Majidi and Ternes 1999</t>
  </si>
  <si>
    <t>19A-phl</t>
  </si>
  <si>
    <t>Cooke et al. 1976</t>
  </si>
  <si>
    <t>19A-prh</t>
  </si>
  <si>
    <t>Everett 1986</t>
  </si>
  <si>
    <t>19A-pit</t>
  </si>
  <si>
    <t>Eckert and Hudson 1988;Glass and Hackett 1970</t>
  </si>
  <si>
    <t>19A-poa</t>
  </si>
  <si>
    <t>19A-poh</t>
  </si>
  <si>
    <t>Rehg 1984b;Rehg 1981;Rehg 1984a</t>
  </si>
  <si>
    <t>19A-pol</t>
  </si>
  <si>
    <t>19A-pso</t>
  </si>
  <si>
    <t>Moshinsky 1974</t>
  </si>
  <si>
    <t>19A-pur</t>
  </si>
  <si>
    <t>de Paul 1989;Chamereau 2000;Foster 1969</t>
  </si>
  <si>
    <t>19A-bng</t>
  </si>
  <si>
    <t>Parker and Parker 1974</t>
  </si>
  <si>
    <t>19A-qaw</t>
  </si>
  <si>
    <t>Clairis 1985;Clairis 1977</t>
  </si>
  <si>
    <t>19A-qco</t>
  </si>
  <si>
    <t>Lastra 1968</t>
  </si>
  <si>
    <t>19A-qui</t>
  </si>
  <si>
    <t>Powell 1975;Hoard 1993</t>
  </si>
  <si>
    <t>19A-ram</t>
  </si>
  <si>
    <t>Grinevald 1988</t>
  </si>
  <si>
    <t>19A-rap</t>
  </si>
  <si>
    <t>Du Feu 1996</t>
  </si>
  <si>
    <t>19A-res</t>
  </si>
  <si>
    <t>Allin 1976</t>
  </si>
  <si>
    <t>19A-rom</t>
  </si>
  <si>
    <t>Ruhlen 1973;Tataru 1978;Agard 1958</t>
  </si>
  <si>
    <t>19A-rsc</t>
  </si>
  <si>
    <t>Solèr and Ebneter 1988</t>
  </si>
  <si>
    <t>19A-ror</t>
  </si>
  <si>
    <t>Bluhme 1970;Davis 1974</t>
  </si>
  <si>
    <t>19A-rtk</t>
  </si>
  <si>
    <t>Firchow et al. 1973;Firchow and Firchow 1969</t>
  </si>
  <si>
    <t>19A-ruk</t>
  </si>
  <si>
    <t>Li 1977b;Li 1973</t>
  </si>
  <si>
    <t>19A-rus</t>
  </si>
  <si>
    <t>Halle 1959;Jones and Ward 1969</t>
  </si>
  <si>
    <t>19A-rut</t>
  </si>
  <si>
    <t>Ibragimov 1978;Kodzasov 1990b;Dzhejranishvili 1967</t>
  </si>
  <si>
    <t>19A-scs</t>
  </si>
  <si>
    <t>Hasselbrink 1965;Kert 1971</t>
  </si>
  <si>
    <t>19A-sab</t>
  </si>
  <si>
    <t>Clayre 1973</t>
  </si>
  <si>
    <t>19A-sba</t>
  </si>
  <si>
    <t>Benaissa 1979</t>
  </si>
  <si>
    <t>19A-sdw</t>
  </si>
  <si>
    <t>Maddieson et al. 1999;Dempwolff 1916;Elderkin 1982;Kagaya 1993;Tucker et al. 1977</t>
  </si>
  <si>
    <t>19A-san</t>
  </si>
  <si>
    <t>Samarin 1967b;Samarin 1967a</t>
  </si>
  <si>
    <t>19A-snm</t>
  </si>
  <si>
    <t>Aikhenvald and Dixon 1999;Borgman 1990</t>
  </si>
  <si>
    <t>19A-svs</t>
  </si>
  <si>
    <t>Todd 1975</t>
  </si>
  <si>
    <t>19A-seb</t>
  </si>
  <si>
    <t>Montgomery 1970</t>
  </si>
  <si>
    <t>19A-sed</t>
  </si>
  <si>
    <t>Smith 1968;Smith 1979</t>
  </si>
  <si>
    <t>19A-slp</t>
  </si>
  <si>
    <t>McElhanon 1970c;McElhanon 1970b</t>
  </si>
  <si>
    <t>19A-sel</t>
  </si>
  <si>
    <t>Najlis 1973</t>
  </si>
  <si>
    <t>19A-skp</t>
  </si>
  <si>
    <t>Prokofjeva 1966;Katz 1975b</t>
  </si>
  <si>
    <t>19A-sml</t>
  </si>
  <si>
    <t>Kruspe 1999</t>
  </si>
  <si>
    <t>19A-snd</t>
  </si>
  <si>
    <t>Welmers 1950</t>
  </si>
  <si>
    <t>19A-snc</t>
  </si>
  <si>
    <t>Chafe 1967</t>
  </si>
  <si>
    <t>19A-snt</t>
  </si>
  <si>
    <t>Cowan 1965</t>
  </si>
  <si>
    <t>19A-sha</t>
  </si>
  <si>
    <t>Chao 1951;Cheng 1973b;Chan 1980</t>
  </si>
  <si>
    <t>19A-shs</t>
  </si>
  <si>
    <t>Silver 1964;Silver 1966</t>
  </si>
  <si>
    <t>19A-shk</t>
  </si>
  <si>
    <t>Loriot et al. 1993;Valenzuela et al. 2001</t>
  </si>
  <si>
    <t>19A-shi</t>
  </si>
  <si>
    <t>Migliazza and Grimes 1961</t>
  </si>
  <si>
    <t>19A-shu</t>
  </si>
  <si>
    <t>Kuipers 1974</t>
  </si>
  <si>
    <t>19A-sdh</t>
  </si>
  <si>
    <t>Nihalani 1999</t>
  </si>
  <si>
    <t>19A-snh</t>
  </si>
  <si>
    <t>Coates and da Silva 1960</t>
  </si>
  <si>
    <t>19A-sin</t>
  </si>
  <si>
    <t>Wheeler and Wheeler 1962</t>
  </si>
  <si>
    <t>19A-srn</t>
  </si>
  <si>
    <t>Firestone 1965</t>
  </si>
  <si>
    <t>19A-sla</t>
  </si>
  <si>
    <t>Rice 1978;Rice 1976;Rice 1989</t>
  </si>
  <si>
    <t>19A-som</t>
  </si>
  <si>
    <t>Andrzejewsky 1955;Andrzejewsky 1956;Armstrong 1964;Cardona 1981;Farnetani 1981;Hyman 1981a</t>
  </si>
  <si>
    <t>19A-soq</t>
  </si>
  <si>
    <t>Johnstone 1975;Leslau 1938</t>
  </si>
  <si>
    <t>19A-sor</t>
  </si>
  <si>
    <t>Ramamurti 1986</t>
  </si>
  <si>
    <t>19A-spa</t>
  </si>
  <si>
    <t>Saporta and Contreras 1962;Harris 1969a;Navarro 1961</t>
  </si>
  <si>
    <t>19A-squ</t>
  </si>
  <si>
    <t>Kuipers 1967</t>
  </si>
  <si>
    <t>19A-sre</t>
  </si>
  <si>
    <t>Manley 1972</t>
  </si>
  <si>
    <t>19A-sue</t>
  </si>
  <si>
    <t>Wilson 1969;Wilson 1974</t>
  </si>
  <si>
    <t>19A-sui</t>
  </si>
  <si>
    <t>Li 1948</t>
  </si>
  <si>
    <t>19A-sup</t>
  </si>
  <si>
    <t>Carlson 1994</t>
  </si>
  <si>
    <t>19A-swa</t>
  </si>
  <si>
    <t>Polomé n.d.</t>
  </si>
  <si>
    <t>19A-tab</t>
  </si>
  <si>
    <t>Bowden and Hajek 1999;Bowden 1997a</t>
  </si>
  <si>
    <t>19A-tac</t>
  </si>
  <si>
    <t>Key 1968;Van Wynen and Van Wynen 1962</t>
  </si>
  <si>
    <t>19A-tag</t>
  </si>
  <si>
    <t>Schachter and Otanes 1972;Bloomfield 1917</t>
  </si>
  <si>
    <t>19A-tma</t>
  </si>
  <si>
    <t>19A-tam</t>
  </si>
  <si>
    <t>Mazaudon 1973</t>
  </si>
  <si>
    <t>19A-tmp</t>
  </si>
  <si>
    <t>Bergman et al. 1969</t>
  </si>
  <si>
    <t>19A-tok</t>
  </si>
  <si>
    <t>Robinson 1976</t>
  </si>
  <si>
    <t>19A-tas</t>
  </si>
  <si>
    <t>Applegate 1958</t>
  </si>
  <si>
    <t>19A-tsg</t>
  </si>
  <si>
    <t>Ashley 1963</t>
  </si>
  <si>
    <t>19A-teh</t>
  </si>
  <si>
    <t>Fernandez Garay 1998</t>
  </si>
  <si>
    <t>19A-tks</t>
  </si>
  <si>
    <t>Paulian 1975</t>
  </si>
  <si>
    <t>19A-tel</t>
  </si>
  <si>
    <t>Kelley 1963;Kostic et al. 1977;Krishnamurti 1961;Lisker 1963;Sastry 1972</t>
  </si>
  <si>
    <t>19A-tmn</t>
  </si>
  <si>
    <t>19A-tne</t>
  </si>
  <si>
    <t>Wilson 1961a;Dalby 1966</t>
  </si>
  <si>
    <t>19A-ter</t>
  </si>
  <si>
    <t>Newman 1970</t>
  </si>
  <si>
    <t>19A-ttn</t>
  </si>
  <si>
    <t>Morris 1984</t>
  </si>
  <si>
    <t>19A-tha</t>
  </si>
  <si>
    <t>Noss 1964;Abramson 1962;Haas 1964;Kalaya and Abramson 1999;Kruatrachue 1960;Noss 1954</t>
  </si>
  <si>
    <t>19A-tib</t>
  </si>
  <si>
    <t>Denwood 1999</t>
  </si>
  <si>
    <t>19A-tic</t>
  </si>
  <si>
    <t>Anderson 1959;Anderson 1962</t>
  </si>
  <si>
    <t>19A-tgk</t>
  </si>
  <si>
    <t>Beaumont 1979</t>
  </si>
  <si>
    <t>19A-tgr</t>
  </si>
  <si>
    <t>Klingenheben 1966;Palmer 1962</t>
  </si>
  <si>
    <t>19A-try</t>
  </si>
  <si>
    <t>Schlegel 1971;Post 1966</t>
  </si>
  <si>
    <t>19A-twn</t>
  </si>
  <si>
    <t>Trager 1971;Hoijer and Dozier 1949</t>
  </si>
  <si>
    <t>19A-tiw</t>
  </si>
  <si>
    <t>Osborne 1974;Anderson and Maddieson 1994;Lee 1983;Lee 1984</t>
  </si>
  <si>
    <t>19A-tlp</t>
  </si>
  <si>
    <t>Suárez 1983a</t>
  </si>
  <si>
    <t>19A-tli</t>
  </si>
  <si>
    <t>Maddieson et al. 2001</t>
  </si>
  <si>
    <t>19A-toa</t>
  </si>
  <si>
    <t>Brown 1973</t>
  </si>
  <si>
    <t>19A-tol</t>
  </si>
  <si>
    <t>Holt 1999a;Fleming and Dennis 1977</t>
  </si>
  <si>
    <t>19A-ton</t>
  </si>
  <si>
    <t>Hoijer 1972;Hoijer 1949;Hoijer 1946b</t>
  </si>
  <si>
    <t>19A-dts</t>
  </si>
  <si>
    <t>Plungian 1995;Bendor-Samuel et al. 1989</t>
  </si>
  <si>
    <t>19A-tpa</t>
  </si>
  <si>
    <t>Aschmann 1946</t>
  </si>
  <si>
    <t>19A-tru</t>
  </si>
  <si>
    <t>Guirardello 1999b;Guirardello 1992;Monod-Becquelin 1975</t>
  </si>
  <si>
    <t>19A-tsi</t>
  </si>
  <si>
    <t>Dunn 1979;Mulder 1988;Hoard 1978;Dunn 1995;Dunn 1970</t>
  </si>
  <si>
    <t>19A-tso</t>
  </si>
  <si>
    <t>Wright and Ladefoged 1994;Tung 1964</t>
  </si>
  <si>
    <t>19A-ttu</t>
  </si>
  <si>
    <t>Desheriev 1953</t>
  </si>
  <si>
    <t>19A-tug</t>
  </si>
  <si>
    <t>Louali-Reynal et al. 1997;Prasse 1972</t>
  </si>
  <si>
    <t>19A-tuk</t>
  </si>
  <si>
    <t>Donohue 1999c;Donohue 1999a</t>
  </si>
  <si>
    <t>19A-tul</t>
  </si>
  <si>
    <t>Bhat 1967</t>
  </si>
  <si>
    <t>19A-tun</t>
  </si>
  <si>
    <t>Haas 1940</t>
  </si>
  <si>
    <t>19A-tur</t>
  </si>
  <si>
    <t>Zimmer and Orgun 1999</t>
  </si>
  <si>
    <t>19A-tuv</t>
  </si>
  <si>
    <t>Anderson and Harrison 1999;Sat 1966;Song 1982;Seglenmej 1979</t>
  </si>
  <si>
    <t>19A-tza</t>
  </si>
  <si>
    <t>Kaufman 1971</t>
  </si>
  <si>
    <t>19A-umb</t>
  </si>
  <si>
    <t>Schadeberg 1990;Schadeberg 1982</t>
  </si>
  <si>
    <t>19A-una</t>
  </si>
  <si>
    <t>Louwerse 1988</t>
  </si>
  <si>
    <t>19A-ung</t>
  </si>
  <si>
    <t>Coate and Elkin 1974;Rumsey 1982;Coate and Oates 1970</t>
  </si>
  <si>
    <t>19A-urk</t>
  </si>
  <si>
    <t>Kakumasu 1986</t>
  </si>
  <si>
    <t>19A-usa</t>
  </si>
  <si>
    <t>Reesink 1987</t>
  </si>
  <si>
    <t>19A-uzn</t>
  </si>
  <si>
    <t>Sjoberg 1963;Sjoberg 1962</t>
  </si>
  <si>
    <t>19A-vie</t>
  </si>
  <si>
    <t>Nguyen 1974a;Thompson 1965;Emeneau 1951;Nguyen 1990</t>
  </si>
  <si>
    <t>19A-wah</t>
  </si>
  <si>
    <t>Phillips 1976;Ladefoged et al. 1977</t>
  </si>
  <si>
    <t>19A-bno</t>
  </si>
  <si>
    <t>Stolte and Stolte 1971</t>
  </si>
  <si>
    <t>19A-wam</t>
  </si>
  <si>
    <t>Nordlinger 1998</t>
  </si>
  <si>
    <t>19A-wnt</t>
  </si>
  <si>
    <t>Davis 1969</t>
  </si>
  <si>
    <t>19A-wao</t>
  </si>
  <si>
    <t>Saint and Pike 1962</t>
  </si>
  <si>
    <t>19A-wps</t>
  </si>
  <si>
    <t>Tracy 1972</t>
  </si>
  <si>
    <t>19A-wap</t>
  </si>
  <si>
    <t>Sawyer 1965</t>
  </si>
  <si>
    <t>19A-wra</t>
  </si>
  <si>
    <t>Vaquero 1965;Romero-Figueroa 1997;de Goeje 1930;Osborn 1966</t>
  </si>
  <si>
    <t>19A-wry</t>
  </si>
  <si>
    <t>Harvey 1986</t>
  </si>
  <si>
    <t>19A-wrd</t>
  </si>
  <si>
    <t>Merlan 1994</t>
  </si>
  <si>
    <t>19A-war</t>
  </si>
  <si>
    <t>Everett and Kern 1997;MacEachern et al. 1997</t>
  </si>
  <si>
    <t>19A-wrs</t>
  </si>
  <si>
    <t>Brown 1988b</t>
  </si>
  <si>
    <t>19A-wdo</t>
  </si>
  <si>
    <t>Douglas 1955;Douglas 1964</t>
  </si>
  <si>
    <t>19A-wma</t>
  </si>
  <si>
    <t>Voorhoeve 1982;Watuseke 1976</t>
  </si>
  <si>
    <t>19A-wch</t>
  </si>
  <si>
    <t>Tovar 1981;Viñas Urquiza 1974;Hunt 1940</t>
  </si>
  <si>
    <t>19A-wic</t>
  </si>
  <si>
    <t>Rood 1976</t>
  </si>
  <si>
    <t>19A-wmu</t>
  </si>
  <si>
    <t>Sayers and Godfrey 1964;McConnel 1945</t>
  </si>
  <si>
    <t>19A-win</t>
  </si>
  <si>
    <t>Pitkin 1984;Schlichter 1981</t>
  </si>
  <si>
    <t>19A-wiy</t>
  </si>
  <si>
    <t>Teeter 1964</t>
  </si>
  <si>
    <t>19A-woi</t>
  </si>
  <si>
    <t>Stokhof 1979</t>
  </si>
  <si>
    <t>19A-wlf</t>
  </si>
  <si>
    <t>Ka 1994;Ward 1963;Sauvageot 1965;Manessy and Sauvageot 1963</t>
  </si>
  <si>
    <t>19A-wuc</t>
  </si>
  <si>
    <t>Chao 1970</t>
  </si>
  <si>
    <t>19A-xia</t>
  </si>
  <si>
    <t>Norman 1988;Hanyu 1960;Ramsey 1987</t>
  </si>
  <si>
    <t>19A-xoo</t>
  </si>
  <si>
    <t>Traill 1985;Traill 1994</t>
  </si>
  <si>
    <t>19A-ygr</t>
  </si>
  <si>
    <t>Renck 1975;Haiman 1980;Renck 1967</t>
  </si>
  <si>
    <t>19A-yag</t>
  </si>
  <si>
    <t>Payne 1985</t>
  </si>
  <si>
    <t>19A-ykt</t>
  </si>
  <si>
    <t>Ubrjatova 1966;Bohtlingk 1964;Krueger 1962</t>
  </si>
  <si>
    <t>19A-yan</t>
  </si>
  <si>
    <t>Sapir and Swadesh 1960</t>
  </si>
  <si>
    <t>19A-yny</t>
  </si>
  <si>
    <t>Kirton 1967;Huttar and Kirton 1981;Kirton and Charlie 1978</t>
  </si>
  <si>
    <t>19A-yap</t>
  </si>
  <si>
    <t>Hsu 1969;Jensen et al. 1977</t>
  </si>
  <si>
    <t>19A-yaq</t>
  </si>
  <si>
    <t>Dedrick and Casad 1999;Kurath and Spicer 1947</t>
  </si>
  <si>
    <t>19A-yar</t>
  </si>
  <si>
    <t>Weimer and Weimer 1972</t>
  </si>
  <si>
    <t>19A-yaw</t>
  </si>
  <si>
    <t>Jones 1986b</t>
  </si>
  <si>
    <t>19A-yay</t>
  </si>
  <si>
    <t>Gedney 1965</t>
  </si>
  <si>
    <t>19A-yel</t>
  </si>
  <si>
    <t>19A-yes</t>
  </si>
  <si>
    <t>Foreman and Marten 1973</t>
  </si>
  <si>
    <t>19A-yey</t>
  </si>
  <si>
    <t>Gowlett 1997</t>
  </si>
  <si>
    <t>19A-yid</t>
  </si>
  <si>
    <t>Dixon 1977a</t>
  </si>
  <si>
    <t>19A-yim</t>
  </si>
  <si>
    <t>Foley 1991</t>
  </si>
  <si>
    <t>19A-yor</t>
  </si>
  <si>
    <t>Bamgbose 1966</t>
  </si>
  <si>
    <t>19A-yct</t>
  </si>
  <si>
    <t>Straight 1976</t>
  </si>
  <si>
    <t>19A-yuc</t>
  </si>
  <si>
    <t>Crawford 1973;Ballard 1975</t>
  </si>
  <si>
    <t>19A-ycn</t>
  </si>
  <si>
    <t>Schauer and Schauer 1967</t>
  </si>
  <si>
    <t>19A-yko</t>
  </si>
  <si>
    <t>Maslova 1999</t>
  </si>
  <si>
    <t>19A-ytu</t>
  </si>
  <si>
    <t>Krejnovich 1968c;Krejnovich 1958</t>
  </si>
  <si>
    <t>19A-yul</t>
  </si>
  <si>
    <t>Boyeldieu 1987</t>
  </si>
  <si>
    <t>19A-yus</t>
  </si>
  <si>
    <t>Krauss 1975</t>
  </si>
  <si>
    <t>19A-yur</t>
  </si>
  <si>
    <t>Robins 1958</t>
  </si>
  <si>
    <t>19A-zan</t>
  </si>
  <si>
    <t>Tucker and Hackett 1959</t>
  </si>
  <si>
    <t>19A-zqc</t>
  </si>
  <si>
    <t>Wonderly 1951a</t>
  </si>
  <si>
    <t>19A-zul</t>
  </si>
  <si>
    <t>Poulos and Msimang 1998;Canonici 1989;Doke 1961;Poulos and Bosch 1997;Ziervogel et al. 1981;Doke 1926</t>
  </si>
  <si>
    <t>19A-zun</t>
  </si>
  <si>
    <t>Newman 1965;Walker 1972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</si>
</sst>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2" t="str">
        <f>HYPERLINK("https://wals.info/values/19A-abi","None")</f>
        <v>None</v>
      </c>
      <c r="C2" s="2" t="str">
        <f t="shared" ref="C2:C568" si="1">HYPERLINK("https://wals.info/feature/19A","Presence of Uncommon Consonants")</f>
        <v>Presence of Uncommon Consonants</v>
      </c>
      <c r="D2" s="2" t="str">
        <f>HYPERLINK("https://wals.info/languoid/lect/wals_code_abi","Abipón")</f>
        <v>Abipón</v>
      </c>
      <c r="E2" s="1"/>
      <c r="F2" s="1"/>
      <c r="G2" s="1" t="s">
        <v>8</v>
      </c>
    </row>
    <row r="3" ht="12.75" customHeight="1">
      <c r="A3" s="1" t="s">
        <v>9</v>
      </c>
      <c r="B3" s="2" t="str">
        <f>HYPERLINK("https://wals.info/values/19A-abk","Pharyngeals")</f>
        <v>Pharyngeals</v>
      </c>
      <c r="C3" s="2" t="str">
        <f t="shared" si="1"/>
        <v>Presence of Uncommon Consonants</v>
      </c>
      <c r="D3" s="2" t="str">
        <f>HYPERLINK("https://wals.info/languoid/lect/wals_code_abk","Abkhaz")</f>
        <v>Abkhaz</v>
      </c>
      <c r="E3" s="1"/>
      <c r="F3" s="1"/>
      <c r="G3" s="1" t="s">
        <v>10</v>
      </c>
    </row>
    <row r="4" ht="12.75" customHeight="1">
      <c r="A4" s="1" t="s">
        <v>11</v>
      </c>
      <c r="B4" s="2" t="str">
        <f>HYPERLINK("https://wals.info/values/19A-ach","None")</f>
        <v>None</v>
      </c>
      <c r="C4" s="2" t="str">
        <f t="shared" si="1"/>
        <v>Presence of Uncommon Consonants</v>
      </c>
      <c r="D4" s="2" t="str">
        <f>HYPERLINK("https://wals.info/languoid/lect/wals_code_ach","Aché")</f>
        <v>Aché</v>
      </c>
      <c r="E4" s="1"/>
      <c r="F4" s="1"/>
      <c r="G4" s="1" t="s">
        <v>12</v>
      </c>
    </row>
    <row r="5" ht="12.75" customHeight="1">
      <c r="A5" s="1" t="s">
        <v>13</v>
      </c>
      <c r="B5" s="2" t="str">
        <f>HYPERLINK("https://wals.info/values/19A-acm","None")</f>
        <v>None</v>
      </c>
      <c r="C5" s="2" t="str">
        <f t="shared" si="1"/>
        <v>Presence of Uncommon Consonants</v>
      </c>
      <c r="D5" s="2" t="str">
        <f>HYPERLINK("https://wals.info/languoid/lect/wals_code_acm","Achumawi")</f>
        <v>Achumawi</v>
      </c>
      <c r="E5" s="1"/>
      <c r="F5" s="1"/>
      <c r="G5" s="1" t="s">
        <v>14</v>
      </c>
    </row>
    <row r="6" ht="12.75" customHeight="1">
      <c r="A6" s="1" t="s">
        <v>15</v>
      </c>
      <c r="B6" s="2" t="str">
        <f>HYPERLINK("https://wals.info/values/19A-aco","'Th' sounds")</f>
        <v>'Th' sounds</v>
      </c>
      <c r="C6" s="2" t="str">
        <f t="shared" si="1"/>
        <v>Presence of Uncommon Consonants</v>
      </c>
      <c r="D6" s="2" t="str">
        <f>HYPERLINK("https://wals.info/languoid/lect/wals_code_aco","Acoma")</f>
        <v>Acoma</v>
      </c>
      <c r="E6" s="1"/>
      <c r="F6" s="1"/>
      <c r="G6" s="1" t="s">
        <v>16</v>
      </c>
    </row>
    <row r="7" ht="12.75" customHeight="1">
      <c r="A7" s="1" t="s">
        <v>17</v>
      </c>
      <c r="B7" s="2" t="str">
        <f>HYPERLINK("https://wals.info/values/19A-adz","None")</f>
        <v>None</v>
      </c>
      <c r="C7" s="2" t="str">
        <f t="shared" si="1"/>
        <v>Presence of Uncommon Consonants</v>
      </c>
      <c r="D7" s="2" t="str">
        <f>HYPERLINK("https://wals.info/languoid/lect/wals_code_adz","Adzera")</f>
        <v>Adzera</v>
      </c>
      <c r="E7" s="1"/>
      <c r="F7" s="1"/>
      <c r="G7" s="1" t="s">
        <v>18</v>
      </c>
    </row>
    <row r="8" ht="12.75" customHeight="1">
      <c r="A8" s="1" t="s">
        <v>19</v>
      </c>
      <c r="B8" s="2" t="str">
        <f>HYPERLINK("https://wals.info/values/19A-agh","Labial-velars")</f>
        <v>Labial-velars</v>
      </c>
      <c r="C8" s="2" t="str">
        <f t="shared" si="1"/>
        <v>Presence of Uncommon Consonants</v>
      </c>
      <c r="D8" s="2" t="str">
        <f>HYPERLINK("https://wals.info/languoid/lect/wals_code_agh","Aghem")</f>
        <v>Aghem</v>
      </c>
      <c r="E8" s="1"/>
      <c r="F8" s="1"/>
      <c r="G8" s="1" t="s">
        <v>20</v>
      </c>
    </row>
    <row r="9" ht="12.75" customHeight="1">
      <c r="A9" s="1" t="s">
        <v>21</v>
      </c>
      <c r="B9" s="2" t="str">
        <f>HYPERLINK("https://wals.info/values/19A-aht","None")</f>
        <v>None</v>
      </c>
      <c r="C9" s="2" t="str">
        <f t="shared" si="1"/>
        <v>Presence of Uncommon Consonants</v>
      </c>
      <c r="D9" s="2" t="str">
        <f>HYPERLINK("https://wals.info/languoid/lect/wals_code_aht","Ahtna")</f>
        <v>Ahtna</v>
      </c>
      <c r="E9" s="1"/>
      <c r="F9" s="1"/>
      <c r="G9" s="1" t="s">
        <v>22</v>
      </c>
    </row>
    <row r="10" ht="12.75" customHeight="1">
      <c r="A10" s="1" t="s">
        <v>23</v>
      </c>
      <c r="B10" s="2" t="str">
        <f>HYPERLINK("https://wals.info/values/19A-aik","None")</f>
        <v>None</v>
      </c>
      <c r="C10" s="2" t="str">
        <f t="shared" si="1"/>
        <v>Presence of Uncommon Consonants</v>
      </c>
      <c r="D10" s="2" t="str">
        <f>HYPERLINK("https://wals.info/languoid/lect/wals_code_aik","Aikaná")</f>
        <v>Aikaná</v>
      </c>
      <c r="E10" s="1"/>
      <c r="F10" s="1"/>
      <c r="G10" s="1" t="s">
        <v>24</v>
      </c>
    </row>
    <row r="11" ht="12.75" customHeight="1">
      <c r="A11" s="1" t="s">
        <v>25</v>
      </c>
      <c r="B11" s="2" t="str">
        <f>HYPERLINK("https://wals.info/values/19A-ain","None")</f>
        <v>None</v>
      </c>
      <c r="C11" s="2" t="str">
        <f t="shared" si="1"/>
        <v>Presence of Uncommon Consonants</v>
      </c>
      <c r="D11" s="2" t="str">
        <f>HYPERLINK("https://wals.info/languoid/lect/wals_code_ain","Ainu")</f>
        <v>Ainu</v>
      </c>
      <c r="E11" s="1"/>
      <c r="F11" s="1"/>
      <c r="G11" s="1" t="s">
        <v>26</v>
      </c>
    </row>
    <row r="12" ht="12.75" customHeight="1">
      <c r="A12" s="1" t="s">
        <v>27</v>
      </c>
      <c r="B12" s="2" t="str">
        <f>HYPERLINK("https://wals.info/values/19A-aiz","Labial-velars")</f>
        <v>Labial-velars</v>
      </c>
      <c r="C12" s="2" t="str">
        <f t="shared" si="1"/>
        <v>Presence of Uncommon Consonants</v>
      </c>
      <c r="D12" s="2" t="str">
        <f>HYPERLINK("https://wals.info/languoid/lect/wals_code_aiz","Aizi")</f>
        <v>Aizi</v>
      </c>
      <c r="E12" s="1"/>
      <c r="F12" s="1"/>
      <c r="G12" s="1" t="s">
        <v>28</v>
      </c>
    </row>
    <row r="13" ht="12.75" customHeight="1">
      <c r="A13" s="1" t="s">
        <v>29</v>
      </c>
      <c r="B13" s="2" t="str">
        <f>HYPERLINK("https://wals.info/values/19A-akn","None")</f>
        <v>None</v>
      </c>
      <c r="C13" s="2" t="str">
        <f t="shared" si="1"/>
        <v>Presence of Uncommon Consonants</v>
      </c>
      <c r="D13" s="2" t="str">
        <f>HYPERLINK("https://wals.info/languoid/lect/wals_code_akn","Akan")</f>
        <v>Akan</v>
      </c>
      <c r="E13" s="1"/>
      <c r="F13" s="1"/>
      <c r="G13" s="1" t="s">
        <v>30</v>
      </c>
    </row>
    <row r="14" ht="12.75" customHeight="1">
      <c r="A14" s="1" t="s">
        <v>31</v>
      </c>
      <c r="B14" s="2" t="str">
        <f>HYPERLINK("https://wals.info/values/19A-akw","None")</f>
        <v>None</v>
      </c>
      <c r="C14" s="2" t="str">
        <f t="shared" si="1"/>
        <v>Presence of Uncommon Consonants</v>
      </c>
      <c r="D14" s="2" t="str">
        <f>HYPERLINK("https://wals.info/languoid/lect/wals_code_akw","Akawaio")</f>
        <v>Akawaio</v>
      </c>
      <c r="E14" s="1"/>
      <c r="F14" s="1"/>
      <c r="G14" s="1" t="s">
        <v>32</v>
      </c>
    </row>
    <row r="15" ht="12.75" customHeight="1">
      <c r="A15" s="1" t="s">
        <v>33</v>
      </c>
      <c r="B15" s="2" t="str">
        <f>HYPERLINK("https://wals.info/values/19A-abm","None")</f>
        <v>None</v>
      </c>
      <c r="C15" s="2" t="str">
        <f t="shared" si="1"/>
        <v>Presence of Uncommon Consonants</v>
      </c>
      <c r="D15" s="2" t="str">
        <f>HYPERLINK("https://wals.info/languoid/lect/wals_code_abm","Alabama")</f>
        <v>Alabama</v>
      </c>
      <c r="E15" s="1"/>
      <c r="F15" s="1"/>
      <c r="G15" s="1" t="s">
        <v>34</v>
      </c>
    </row>
    <row r="16" ht="12.75" customHeight="1">
      <c r="A16" s="1" t="s">
        <v>35</v>
      </c>
      <c r="B16" s="2" t="str">
        <f>HYPERLINK("https://wals.info/values/19A-ala","None")</f>
        <v>None</v>
      </c>
      <c r="C16" s="2" t="str">
        <f t="shared" si="1"/>
        <v>Presence of Uncommon Consonants</v>
      </c>
      <c r="D16" s="2" t="str">
        <f>HYPERLINK("https://wals.info/languoid/lect/wals_code_ala","Alamblak")</f>
        <v>Alamblak</v>
      </c>
      <c r="E16" s="1"/>
      <c r="F16" s="1"/>
      <c r="G16" s="1" t="s">
        <v>36</v>
      </c>
    </row>
    <row r="17" ht="12.75" customHeight="1">
      <c r="A17" s="1" t="s">
        <v>37</v>
      </c>
      <c r="B17" s="2" t="str">
        <f>HYPERLINK("https://wals.info/values/19A-alw","None")</f>
        <v>None</v>
      </c>
      <c r="C17" s="2" t="str">
        <f t="shared" si="1"/>
        <v>Presence of Uncommon Consonants</v>
      </c>
      <c r="D17" s="2" t="str">
        <f>HYPERLINK("https://wals.info/languoid/lect/wals_code_alw","Alawa")</f>
        <v>Alawa</v>
      </c>
      <c r="E17" s="1"/>
      <c r="F17" s="1"/>
      <c r="G17" s="1" t="s">
        <v>38</v>
      </c>
    </row>
    <row r="18" ht="12.75" customHeight="1">
      <c r="A18" s="1" t="s">
        <v>39</v>
      </c>
      <c r="B18" s="2" t="str">
        <f>HYPERLINK("https://wals.info/values/19A-alb","'Th' sounds")</f>
        <v>'Th' sounds</v>
      </c>
      <c r="C18" s="2" t="str">
        <f t="shared" si="1"/>
        <v>Presence of Uncommon Consonants</v>
      </c>
      <c r="D18" s="2" t="str">
        <f>HYPERLINK("https://wals.info/languoid/lect/wals_code_alb","Albanian")</f>
        <v>Albanian</v>
      </c>
      <c r="E18" s="1"/>
      <c r="F18" s="1"/>
      <c r="G18" s="1" t="s">
        <v>40</v>
      </c>
    </row>
    <row r="19" ht="12.75" customHeight="1">
      <c r="A19" s="1" t="s">
        <v>41</v>
      </c>
      <c r="B19" s="2" t="str">
        <f>HYPERLINK("https://wals.info/values/19A-aea","'Th' sounds")</f>
        <v>'Th' sounds</v>
      </c>
      <c r="C19" s="2" t="str">
        <f t="shared" si="1"/>
        <v>Presence of Uncommon Consonants</v>
      </c>
      <c r="D19" s="2" t="str">
        <f>HYPERLINK("https://wals.info/languoid/lect/wals_code_aea","Aleut (Eastern)")</f>
        <v>Aleut (Eastern)</v>
      </c>
      <c r="E19" s="1"/>
      <c r="F19" s="1"/>
      <c r="G19" s="1" t="s">
        <v>42</v>
      </c>
    </row>
    <row r="20" ht="12.75" customHeight="1">
      <c r="A20" s="1" t="s">
        <v>43</v>
      </c>
      <c r="B20" s="2" t="str">
        <f>HYPERLINK("https://wals.info/values/19A-ald","Labial-velars")</f>
        <v>Labial-velars</v>
      </c>
      <c r="C20" s="2" t="str">
        <f t="shared" si="1"/>
        <v>Presence of Uncommon Consonants</v>
      </c>
      <c r="D20" s="2" t="str">
        <f>HYPERLINK("https://wals.info/languoid/lect/wals_code_ald","Alladian")</f>
        <v>Alladian</v>
      </c>
      <c r="E20" s="1"/>
      <c r="F20" s="1"/>
      <c r="G20" s="1" t="s">
        <v>44</v>
      </c>
    </row>
    <row r="21" ht="12.75" customHeight="1">
      <c r="A21" s="1" t="s">
        <v>45</v>
      </c>
      <c r="B21" s="2" t="str">
        <f>HYPERLINK("https://wals.info/values/19A-amc","'Th' sounds")</f>
        <v>'Th' sounds</v>
      </c>
      <c r="C21" s="2" t="str">
        <f t="shared" si="1"/>
        <v>Presence of Uncommon Consonants</v>
      </c>
      <c r="D21" s="2" t="str">
        <f>HYPERLINK("https://wals.info/languoid/lect/wals_code_amc","Amahuaca")</f>
        <v>Amahuaca</v>
      </c>
      <c r="E21" s="1"/>
      <c r="F21" s="1"/>
      <c r="G21" s="1" t="s">
        <v>46</v>
      </c>
    </row>
    <row r="22" ht="12.75" customHeight="1">
      <c r="A22" s="1" t="s">
        <v>47</v>
      </c>
      <c r="B22" s="2" t="str">
        <f>HYPERLINK("https://wals.info/values/19A-ame","Labial-velars")</f>
        <v>Labial-velars</v>
      </c>
      <c r="C22" s="2" t="str">
        <f t="shared" si="1"/>
        <v>Presence of Uncommon Consonants</v>
      </c>
      <c r="D22" s="2" t="str">
        <f>HYPERLINK("https://wals.info/languoid/lect/wals_code_ame","Amele")</f>
        <v>Amele</v>
      </c>
      <c r="E22" s="1"/>
      <c r="F22" s="1"/>
      <c r="G22" s="1" t="s">
        <v>48</v>
      </c>
    </row>
    <row r="23" ht="12.75" customHeight="1">
      <c r="A23" s="1" t="s">
        <v>49</v>
      </c>
      <c r="B23" s="2" t="str">
        <f>HYPERLINK("https://wals.info/values/19A-amh","None")</f>
        <v>None</v>
      </c>
      <c r="C23" s="2" t="str">
        <f t="shared" si="1"/>
        <v>Presence of Uncommon Consonants</v>
      </c>
      <c r="D23" s="2" t="str">
        <f>HYPERLINK("https://wals.info/languoid/lect/wals_code_amh","Amharic")</f>
        <v>Amharic</v>
      </c>
      <c r="E23" s="1"/>
      <c r="F23" s="1"/>
      <c r="G23" s="1" t="s">
        <v>50</v>
      </c>
    </row>
    <row r="24" ht="12.75" customHeight="1">
      <c r="A24" s="1" t="s">
        <v>51</v>
      </c>
      <c r="B24" s="2" t="str">
        <f>HYPERLINK("https://wals.info/values/19A-amo","Labial-velars")</f>
        <v>Labial-velars</v>
      </c>
      <c r="C24" s="2" t="str">
        <f t="shared" si="1"/>
        <v>Presence of Uncommon Consonants</v>
      </c>
      <c r="D24" s="2" t="str">
        <f>HYPERLINK("https://wals.info/languoid/lect/wals_code_amo","Amo")</f>
        <v>Amo</v>
      </c>
      <c r="E24" s="1"/>
      <c r="F24" s="1"/>
      <c r="G24" s="1" t="s">
        <v>52</v>
      </c>
    </row>
    <row r="25" ht="12.75" customHeight="1">
      <c r="A25" s="1" t="s">
        <v>53</v>
      </c>
      <c r="B25" s="2" t="str">
        <f>HYPERLINK("https://wals.info/values/19A-amu","None")</f>
        <v>None</v>
      </c>
      <c r="C25" s="2" t="str">
        <f t="shared" si="1"/>
        <v>Presence of Uncommon Consonants</v>
      </c>
      <c r="D25" s="2" t="str">
        <f>HYPERLINK("https://wals.info/languoid/lect/wals_code_amu","Amuesha")</f>
        <v>Amuesha</v>
      </c>
      <c r="E25" s="1"/>
      <c r="F25" s="1"/>
      <c r="G25" s="1" t="s">
        <v>54</v>
      </c>
    </row>
    <row r="26" ht="12.75" customHeight="1">
      <c r="A26" s="1" t="s">
        <v>55</v>
      </c>
      <c r="B26" s="2" t="str">
        <f>HYPERLINK("https://wals.info/values/19A-amz","None")</f>
        <v>None</v>
      </c>
      <c r="C26" s="2" t="str">
        <f t="shared" si="1"/>
        <v>Presence of Uncommon Consonants</v>
      </c>
      <c r="D26" s="2" t="str">
        <f>HYPERLINK("https://wals.info/languoid/lect/wals_code_amz","Amuzgo")</f>
        <v>Amuzgo</v>
      </c>
      <c r="E26" s="1"/>
      <c r="F26" s="1"/>
      <c r="G26" s="1" t="s">
        <v>56</v>
      </c>
    </row>
    <row r="27" ht="12.75" customHeight="1">
      <c r="A27" s="1" t="s">
        <v>57</v>
      </c>
      <c r="B27" s="2" t="str">
        <f>HYPERLINK("https://wals.info/values/19A-adk","None")</f>
        <v>None</v>
      </c>
      <c r="C27" s="2" t="str">
        <f t="shared" si="1"/>
        <v>Presence of Uncommon Consonants</v>
      </c>
      <c r="D27" s="2" t="str">
        <f>HYPERLINK("https://wals.info/languoid/lect/wals_code_adk","Andoke")</f>
        <v>Andoke</v>
      </c>
      <c r="E27" s="1"/>
      <c r="F27" s="1"/>
      <c r="G27" s="1" t="s">
        <v>58</v>
      </c>
    </row>
    <row r="28" ht="12.75" customHeight="1">
      <c r="A28" s="1" t="s">
        <v>59</v>
      </c>
      <c r="B28" s="2" t="str">
        <f>HYPERLINK("https://wals.info/values/19A-ant","None")</f>
        <v>None</v>
      </c>
      <c r="C28" s="2" t="str">
        <f t="shared" si="1"/>
        <v>Presence of Uncommon Consonants</v>
      </c>
      <c r="D28" s="2" t="str">
        <f>HYPERLINK("https://wals.info/languoid/lect/wals_code_ant","Angaatiha")</f>
        <v>Angaatiha</v>
      </c>
      <c r="E28" s="1"/>
      <c r="F28" s="1"/>
      <c r="G28" s="1" t="s">
        <v>60</v>
      </c>
    </row>
    <row r="29" ht="12.75" customHeight="1">
      <c r="A29" s="1" t="s">
        <v>61</v>
      </c>
      <c r="B29" s="2" t="str">
        <f>HYPERLINK("https://wals.info/values/19A-anc","None")</f>
        <v>None</v>
      </c>
      <c r="C29" s="2" t="str">
        <f t="shared" si="1"/>
        <v>Presence of Uncommon Consonants</v>
      </c>
      <c r="D29" s="2" t="str">
        <f>HYPERLINK("https://wals.info/languoid/lect/wals_code_anc","Angas")</f>
        <v>Angas</v>
      </c>
      <c r="E29" s="1"/>
      <c r="F29" s="1"/>
      <c r="G29" s="1" t="s">
        <v>62</v>
      </c>
    </row>
    <row r="30" ht="12.75" customHeight="1">
      <c r="A30" s="1" t="s">
        <v>63</v>
      </c>
      <c r="B30" s="2" t="str">
        <f>HYPERLINK("https://wals.info/values/19A-ani","Clicks")</f>
        <v>Clicks</v>
      </c>
      <c r="C30" s="2" t="str">
        <f t="shared" si="1"/>
        <v>Presence of Uncommon Consonants</v>
      </c>
      <c r="D30" s="2" t="str">
        <f>HYPERLINK("https://wals.info/languoid/lect/wals_code_ani","//Ani")</f>
        <v>//Ani</v>
      </c>
      <c r="E30" s="1"/>
      <c r="F30" s="1"/>
      <c r="G30" s="1" t="s">
        <v>64</v>
      </c>
    </row>
    <row r="31" ht="12.75" customHeight="1">
      <c r="A31" s="1" t="s">
        <v>65</v>
      </c>
      <c r="B31" s="2" t="str">
        <f>HYPERLINK("https://wals.info/values/19A-ao","None")</f>
        <v>None</v>
      </c>
      <c r="C31" s="2" t="str">
        <f t="shared" si="1"/>
        <v>Presence of Uncommon Consonants</v>
      </c>
      <c r="D31" s="2" t="str">
        <f>HYPERLINK("https://wals.info/languoid/lect/wals_code_ao","Ao")</f>
        <v>Ao</v>
      </c>
      <c r="E31" s="1"/>
      <c r="F31" s="1"/>
      <c r="G31" s="1" t="s">
        <v>66</v>
      </c>
    </row>
    <row r="32" ht="12.75" customHeight="1">
      <c r="A32" s="1" t="s">
        <v>67</v>
      </c>
      <c r="B32" s="2" t="str">
        <f>HYPERLINK("https://wals.info/values/19A-api","None")</f>
        <v>None</v>
      </c>
      <c r="C32" s="2" t="str">
        <f t="shared" si="1"/>
        <v>Presence of Uncommon Consonants</v>
      </c>
      <c r="D32" s="2" t="str">
        <f>HYPERLINK("https://wals.info/languoid/lect/wals_code_api","Apinayé")</f>
        <v>Apinayé</v>
      </c>
      <c r="E32" s="1"/>
      <c r="F32" s="1"/>
      <c r="G32" s="1" t="s">
        <v>68</v>
      </c>
    </row>
    <row r="33" ht="12.75" customHeight="1">
      <c r="A33" s="1" t="s">
        <v>69</v>
      </c>
      <c r="B33" s="2" t="str">
        <f>HYPERLINK("https://wals.info/values/19A-apu","None")</f>
        <v>None</v>
      </c>
      <c r="C33" s="2" t="str">
        <f t="shared" si="1"/>
        <v>Presence of Uncommon Consonants</v>
      </c>
      <c r="D33" s="2" t="str">
        <f>HYPERLINK("https://wals.info/languoid/lect/wals_code_apu","Apurinã")</f>
        <v>Apurinã</v>
      </c>
      <c r="E33" s="1"/>
      <c r="F33" s="1"/>
      <c r="G33" s="1" t="s">
        <v>70</v>
      </c>
    </row>
    <row r="34" ht="12.75" customHeight="1">
      <c r="A34" s="1" t="s">
        <v>71</v>
      </c>
      <c r="B34" s="2" t="str">
        <f>HYPERLINK("https://wals.info/values/19A-arb","None")</f>
        <v>None</v>
      </c>
      <c r="C34" s="2" t="str">
        <f t="shared" si="1"/>
        <v>Presence of Uncommon Consonants</v>
      </c>
      <c r="D34" s="2" t="str">
        <f>HYPERLINK("https://wals.info/languoid/lect/wals_code_arb","Arabela")</f>
        <v>Arabela</v>
      </c>
      <c r="E34" s="1"/>
      <c r="F34" s="1"/>
      <c r="G34" s="1" t="s">
        <v>72</v>
      </c>
    </row>
    <row r="35" ht="12.75" customHeight="1">
      <c r="A35" s="1" t="s">
        <v>73</v>
      </c>
      <c r="B35" s="2" t="str">
        <f>HYPERLINK("https://wals.info/values/19A-aeg","Pharyngeals")</f>
        <v>Pharyngeals</v>
      </c>
      <c r="C35" s="2" t="str">
        <f t="shared" si="1"/>
        <v>Presence of Uncommon Consonants</v>
      </c>
      <c r="D35" s="2" t="str">
        <f>HYPERLINK("https://wals.info/languoid/lect/wals_code_aeg","Arabic (Egyptian)")</f>
        <v>Arabic (Egyptian)</v>
      </c>
      <c r="E35" s="1"/>
      <c r="F35" s="1"/>
      <c r="G35" s="1" t="s">
        <v>74</v>
      </c>
    </row>
    <row r="36" ht="12.75" customHeight="1">
      <c r="A36" s="1" t="s">
        <v>75</v>
      </c>
      <c r="B36" s="2" t="str">
        <f>HYPERLINK("https://wals.info/values/19A-ana","None")</f>
        <v>None</v>
      </c>
      <c r="C36" s="2" t="str">
        <f t="shared" si="1"/>
        <v>Presence of Uncommon Consonants</v>
      </c>
      <c r="D36" s="2" t="str">
        <f>HYPERLINK("https://wals.info/languoid/lect/wals_code_ana","Araona")</f>
        <v>Araona</v>
      </c>
      <c r="E36" s="1"/>
      <c r="F36" s="1"/>
      <c r="G36" s="1" t="s">
        <v>76</v>
      </c>
    </row>
    <row r="37" ht="12.75" customHeight="1">
      <c r="A37" s="1" t="s">
        <v>77</v>
      </c>
      <c r="B37" s="2" t="str">
        <f>HYPERLINK("https://wals.info/values/19A-arp","None")</f>
        <v>None</v>
      </c>
      <c r="C37" s="2" t="str">
        <f t="shared" si="1"/>
        <v>Presence of Uncommon Consonants</v>
      </c>
      <c r="D37" s="2" t="str">
        <f>HYPERLINK("https://wals.info/languoid/lect/wals_code_arp","Arapesh (Mountain)")</f>
        <v>Arapesh (Mountain)</v>
      </c>
      <c r="E37" s="1"/>
      <c r="F37" s="1"/>
      <c r="G37" s="1" t="s">
        <v>78</v>
      </c>
    </row>
    <row r="38" ht="12.75" customHeight="1">
      <c r="A38" s="1" t="s">
        <v>79</v>
      </c>
      <c r="B38" s="2" t="str">
        <f>HYPERLINK("https://wals.info/values/19A-arc","Pharyngeals")</f>
        <v>Pharyngeals</v>
      </c>
      <c r="C38" s="2" t="str">
        <f t="shared" si="1"/>
        <v>Presence of Uncommon Consonants</v>
      </c>
      <c r="D38" s="2" t="str">
        <f>HYPERLINK("https://wals.info/languoid/lect/wals_code_arc","Archi")</f>
        <v>Archi</v>
      </c>
      <c r="E38" s="1"/>
      <c r="F38" s="1"/>
      <c r="G38" s="1" t="s">
        <v>80</v>
      </c>
    </row>
    <row r="39" ht="12.75" customHeight="1">
      <c r="A39" s="1" t="s">
        <v>81</v>
      </c>
      <c r="B39" s="2" t="str">
        <f>HYPERLINK("https://wals.info/values/19A-arm","None")</f>
        <v>None</v>
      </c>
      <c r="C39" s="2" t="str">
        <f t="shared" si="1"/>
        <v>Presence of Uncommon Consonants</v>
      </c>
      <c r="D39" s="2" t="str">
        <f>HYPERLINK("https://wals.info/languoid/lect/wals_code_arm","Armenian (Eastern)")</f>
        <v>Armenian (Eastern)</v>
      </c>
      <c r="E39" s="1"/>
      <c r="F39" s="1"/>
      <c r="G39" s="1" t="s">
        <v>82</v>
      </c>
    </row>
    <row r="40" ht="12.75" customHeight="1">
      <c r="A40" s="1" t="s">
        <v>83</v>
      </c>
      <c r="B40" s="2" t="str">
        <f>HYPERLINK("https://wals.info/values/19A-amp","None")</f>
        <v>None</v>
      </c>
      <c r="C40" s="2" t="str">
        <f t="shared" si="1"/>
        <v>Presence of Uncommon Consonants</v>
      </c>
      <c r="D40" s="2" t="str">
        <f>HYPERLINK("https://wals.info/languoid/lect/wals_code_amp","Arrernte (Mparntwe)")</f>
        <v>Arrernte (Mparntwe)</v>
      </c>
      <c r="E40" s="1"/>
      <c r="F40" s="1"/>
      <c r="G40" s="1" t="s">
        <v>84</v>
      </c>
    </row>
    <row r="41" ht="12.75" customHeight="1">
      <c r="A41" s="1" t="s">
        <v>85</v>
      </c>
      <c r="B41" s="2" t="str">
        <f>HYPERLINK("https://wals.info/values/19A-asm","None")</f>
        <v>None</v>
      </c>
      <c r="C41" s="2" t="str">
        <f t="shared" si="1"/>
        <v>Presence of Uncommon Consonants</v>
      </c>
      <c r="D41" s="2" t="str">
        <f>HYPERLINK("https://wals.info/languoid/lect/wals_code_asm","Asmat")</f>
        <v>Asmat</v>
      </c>
      <c r="E41" s="1"/>
      <c r="F41" s="1"/>
      <c r="G41" s="1" t="s">
        <v>86</v>
      </c>
    </row>
    <row r="42" ht="12.75" customHeight="1">
      <c r="A42" s="1" t="s">
        <v>87</v>
      </c>
      <c r="B42" s="2" t="str">
        <f>HYPERLINK("https://wals.info/values/19A-ata","Pharyngeals")</f>
        <v>Pharyngeals</v>
      </c>
      <c r="C42" s="2" t="str">
        <f t="shared" si="1"/>
        <v>Presence of Uncommon Consonants</v>
      </c>
      <c r="D42" s="2" t="str">
        <f>HYPERLINK("https://wals.info/languoid/lect/wals_code_ata","Atayal")</f>
        <v>Atayal</v>
      </c>
      <c r="E42" s="1"/>
      <c r="F42" s="1"/>
      <c r="G42" s="1" t="s">
        <v>88</v>
      </c>
    </row>
    <row r="43" ht="12.75" customHeight="1">
      <c r="A43" s="1" t="s">
        <v>89</v>
      </c>
      <c r="B43" s="2" t="str">
        <f>HYPERLINK("https://wals.info/values/19A-ava","Pharyngeals")</f>
        <v>Pharyngeals</v>
      </c>
      <c r="C43" s="2" t="str">
        <f t="shared" si="1"/>
        <v>Presence of Uncommon Consonants</v>
      </c>
      <c r="D43" s="2" t="str">
        <f>HYPERLINK("https://wals.info/languoid/lect/wals_code_ava","Avar")</f>
        <v>Avar</v>
      </c>
      <c r="E43" s="1"/>
      <c r="F43" s="1"/>
      <c r="G43" s="1" t="s">
        <v>90</v>
      </c>
    </row>
    <row r="44" ht="12.75" customHeight="1">
      <c r="A44" s="1" t="s">
        <v>91</v>
      </c>
      <c r="B44" s="2" t="str">
        <f>HYPERLINK("https://wals.info/values/19A-awp","None")</f>
        <v>None</v>
      </c>
      <c r="C44" s="2" t="str">
        <f t="shared" si="1"/>
        <v>Presence of Uncommon Consonants</v>
      </c>
      <c r="D44" s="2" t="str">
        <f>HYPERLINK("https://wals.info/languoid/lect/wals_code_awp","Awa Pit")</f>
        <v>Awa Pit</v>
      </c>
      <c r="E44" s="1"/>
      <c r="F44" s="1"/>
      <c r="G44" s="1" t="s">
        <v>92</v>
      </c>
    </row>
    <row r="45" ht="12.75" customHeight="1">
      <c r="A45" s="1" t="s">
        <v>93</v>
      </c>
      <c r="B45" s="2" t="str">
        <f>HYPERLINK("https://wals.info/values/19A-awn","None")</f>
        <v>None</v>
      </c>
      <c r="C45" s="2" t="str">
        <f t="shared" si="1"/>
        <v>Presence of Uncommon Consonants</v>
      </c>
      <c r="D45" s="2" t="str">
        <f>HYPERLINK("https://wals.info/languoid/lect/wals_code_awn","Awngi")</f>
        <v>Awngi</v>
      </c>
      <c r="E45" s="1"/>
      <c r="F45" s="1"/>
      <c r="G45" s="1" t="s">
        <v>94</v>
      </c>
    </row>
    <row r="46" ht="12.75" customHeight="1">
      <c r="A46" s="1" t="s">
        <v>95</v>
      </c>
      <c r="B46" s="2" t="str">
        <f>HYPERLINK("https://wals.info/values/19A-aym","None")</f>
        <v>None</v>
      </c>
      <c r="C46" s="2" t="str">
        <f t="shared" si="1"/>
        <v>Presence of Uncommon Consonants</v>
      </c>
      <c r="D46" s="2" t="str">
        <f>HYPERLINK("https://wals.info/languoid/lect/wals_code_aym","Aymara (Central)")</f>
        <v>Aymara (Central)</v>
      </c>
      <c r="E46" s="1"/>
      <c r="F46" s="1"/>
      <c r="G46" s="1" t="s">
        <v>96</v>
      </c>
    </row>
    <row r="47" ht="12.75" customHeight="1">
      <c r="A47" s="1" t="s">
        <v>97</v>
      </c>
      <c r="B47" s="2" t="str">
        <f>HYPERLINK("https://wals.info/values/19A-aze","None")</f>
        <v>None</v>
      </c>
      <c r="C47" s="2" t="str">
        <f t="shared" si="1"/>
        <v>Presence of Uncommon Consonants</v>
      </c>
      <c r="D47" s="2" t="str">
        <f>HYPERLINK("https://wals.info/languoid/lect/wals_code_aze","Azerbaijani")</f>
        <v>Azerbaijani</v>
      </c>
      <c r="E47" s="1"/>
      <c r="F47" s="1"/>
      <c r="G47" s="1" t="s">
        <v>98</v>
      </c>
    </row>
    <row r="48" ht="12.75" customHeight="1">
      <c r="A48" s="1" t="s">
        <v>99</v>
      </c>
      <c r="B48" s="2" t="str">
        <f>HYPERLINK("https://wals.info/values/19A-bag","None")</f>
        <v>None</v>
      </c>
      <c r="C48" s="2" t="str">
        <f t="shared" si="1"/>
        <v>Presence of Uncommon Consonants</v>
      </c>
      <c r="D48" s="2" t="str">
        <f>HYPERLINK("https://wals.info/languoid/lect/wals_code_bag","Bagirmi")</f>
        <v>Bagirmi</v>
      </c>
      <c r="E48" s="1"/>
      <c r="F48" s="1"/>
      <c r="G48" s="1" t="s">
        <v>100</v>
      </c>
    </row>
    <row r="49" ht="12.75" customHeight="1">
      <c r="A49" s="1" t="s">
        <v>101</v>
      </c>
      <c r="B49" s="2" t="str">
        <f>HYPERLINK("https://wals.info/values/19A-bai","None")</f>
        <v>None</v>
      </c>
      <c r="C49" s="2" t="str">
        <f t="shared" si="1"/>
        <v>Presence of Uncommon Consonants</v>
      </c>
      <c r="D49" s="2" t="str">
        <f>HYPERLINK("https://wals.info/languoid/lect/wals_code_bai","Bai")</f>
        <v>Bai</v>
      </c>
      <c r="E49" s="1"/>
      <c r="F49" s="1"/>
      <c r="G49" s="1" t="s">
        <v>102</v>
      </c>
    </row>
    <row r="50" ht="12.75" customHeight="1">
      <c r="A50" s="1" t="s">
        <v>103</v>
      </c>
      <c r="B50" s="2" t="str">
        <f>HYPERLINK("https://wals.info/values/19A-baj","None")</f>
        <v>None</v>
      </c>
      <c r="C50" s="2" t="str">
        <f t="shared" si="1"/>
        <v>Presence of Uncommon Consonants</v>
      </c>
      <c r="D50" s="2" t="str">
        <f>HYPERLINK("https://wals.info/languoid/lect/wals_code_baj","Bajau (Sama)")</f>
        <v>Bajau (Sama)</v>
      </c>
      <c r="E50" s="1"/>
      <c r="F50" s="1"/>
      <c r="G50" s="1" t="s">
        <v>104</v>
      </c>
    </row>
    <row r="51" ht="12.75" customHeight="1">
      <c r="A51" s="1" t="s">
        <v>105</v>
      </c>
      <c r="B51" s="2" t="str">
        <f>HYPERLINK("https://wals.info/values/19A-bki","None")</f>
        <v>None</v>
      </c>
      <c r="C51" s="2" t="str">
        <f t="shared" si="1"/>
        <v>Presence of Uncommon Consonants</v>
      </c>
      <c r="D51" s="2" t="str">
        <f>HYPERLINK("https://wals.info/languoid/lect/wals_code_bki","Bakairí")</f>
        <v>Bakairí</v>
      </c>
      <c r="E51" s="1"/>
      <c r="F51" s="1"/>
      <c r="G51" s="1" t="s">
        <v>106</v>
      </c>
    </row>
    <row r="52" ht="12.75" customHeight="1">
      <c r="A52" s="1" t="s">
        <v>107</v>
      </c>
      <c r="B52" s="2" t="str">
        <f>HYPERLINK("https://wals.info/values/19A-bam","None")</f>
        <v>None</v>
      </c>
      <c r="C52" s="2" t="str">
        <f t="shared" si="1"/>
        <v>Presence of Uncommon Consonants</v>
      </c>
      <c r="D52" s="2" t="str">
        <f>HYPERLINK("https://wals.info/languoid/lect/wals_code_bam","Bambara")</f>
        <v>Bambara</v>
      </c>
      <c r="E52" s="1"/>
      <c r="F52" s="1"/>
      <c r="G52" s="1" t="s">
        <v>108</v>
      </c>
    </row>
    <row r="53" ht="12.75" customHeight="1">
      <c r="A53" s="1" t="s">
        <v>109</v>
      </c>
      <c r="B53" s="2" t="str">
        <f>HYPERLINK("https://wals.info/values/19A-byu","None")</f>
        <v>None</v>
      </c>
      <c r="C53" s="2" t="str">
        <f t="shared" si="1"/>
        <v>Presence of Uncommon Consonants</v>
      </c>
      <c r="D53" s="2" t="str">
        <f>HYPERLINK("https://wals.info/languoid/lect/wals_code_byu","Bandjalang (Yugumbir)")</f>
        <v>Bandjalang (Yugumbir)</v>
      </c>
      <c r="E53" s="1"/>
      <c r="F53" s="1"/>
      <c r="G53" s="1" t="s">
        <v>110</v>
      </c>
    </row>
    <row r="54" ht="12.75" customHeight="1">
      <c r="A54" s="1" t="s">
        <v>111</v>
      </c>
      <c r="B54" s="2" t="str">
        <f>HYPERLINK("https://wals.info/values/19A-brd","None")</f>
        <v>None</v>
      </c>
      <c r="C54" s="2" t="str">
        <f t="shared" si="1"/>
        <v>Presence of Uncommon Consonants</v>
      </c>
      <c r="D54" s="2" t="str">
        <f>HYPERLINK("https://wals.info/languoid/lect/wals_code_brd","Bardi")</f>
        <v>Bardi</v>
      </c>
      <c r="E54" s="1"/>
      <c r="F54" s="1"/>
      <c r="G54" s="1" t="s">
        <v>112</v>
      </c>
    </row>
    <row r="55" ht="12.75" customHeight="1">
      <c r="A55" s="1" t="s">
        <v>113</v>
      </c>
      <c r="B55" s="2" t="str">
        <f>HYPERLINK("https://wals.info/values/19A-brb","Labial-velars")</f>
        <v>Labial-velars</v>
      </c>
      <c r="C55" s="2" t="str">
        <f t="shared" si="1"/>
        <v>Presence of Uncommon Consonants</v>
      </c>
      <c r="D55" s="2" t="str">
        <f>HYPERLINK("https://wals.info/languoid/lect/wals_code_brb","Bariba")</f>
        <v>Bariba</v>
      </c>
      <c r="E55" s="1"/>
      <c r="F55" s="1"/>
      <c r="G55" s="1" t="s">
        <v>114</v>
      </c>
    </row>
    <row r="56" ht="12.75" customHeight="1">
      <c r="A56" s="1" t="s">
        <v>115</v>
      </c>
      <c r="B56" s="2" t="str">
        <f>HYPERLINK("https://wals.info/values/19A-bsk","'Th' sounds")</f>
        <v>'Th' sounds</v>
      </c>
      <c r="C56" s="2" t="str">
        <f t="shared" si="1"/>
        <v>Presence of Uncommon Consonants</v>
      </c>
      <c r="D56" s="2" t="str">
        <f>HYPERLINK("https://wals.info/languoid/lect/wals_code_bsk","Bashkir")</f>
        <v>Bashkir</v>
      </c>
      <c r="E56" s="1"/>
      <c r="F56" s="1"/>
      <c r="G56" s="1" t="s">
        <v>116</v>
      </c>
    </row>
    <row r="57" ht="12.75" customHeight="1">
      <c r="A57" s="1" t="s">
        <v>117</v>
      </c>
      <c r="B57" s="2" t="str">
        <f>HYPERLINK("https://wals.info/values/19A-bsq","None")</f>
        <v>None</v>
      </c>
      <c r="C57" s="2" t="str">
        <f t="shared" si="1"/>
        <v>Presence of Uncommon Consonants</v>
      </c>
      <c r="D57" s="2" t="str">
        <f>HYPERLINK("https://wals.info/languoid/lect/wals_code_bsq","Basque")</f>
        <v>Basque</v>
      </c>
      <c r="E57" s="1"/>
      <c r="F57" s="1"/>
      <c r="G57" s="1" t="s">
        <v>118</v>
      </c>
    </row>
    <row r="58" ht="12.75" customHeight="1">
      <c r="A58" s="1" t="s">
        <v>119</v>
      </c>
      <c r="B58" s="2" t="str">
        <f>HYPERLINK("https://wals.info/values/19A-bkr","None")</f>
        <v>None</v>
      </c>
      <c r="C58" s="2" t="str">
        <f t="shared" si="1"/>
        <v>Presence of Uncommon Consonants</v>
      </c>
      <c r="D58" s="2" t="str">
        <f>HYPERLINK("https://wals.info/languoid/lect/wals_code_bkr","Batak (Karo)")</f>
        <v>Batak (Karo)</v>
      </c>
      <c r="E58" s="1"/>
      <c r="F58" s="1"/>
      <c r="G58" s="1" t="s">
        <v>120</v>
      </c>
    </row>
    <row r="59" ht="12.75" customHeight="1">
      <c r="A59" s="1" t="s">
        <v>121</v>
      </c>
      <c r="B59" s="2" t="str">
        <f>HYPERLINK("https://wals.info/values/19A-bto","None")</f>
        <v>None</v>
      </c>
      <c r="C59" s="2" t="str">
        <f t="shared" si="1"/>
        <v>Presence of Uncommon Consonants</v>
      </c>
      <c r="D59" s="2" t="str">
        <f>HYPERLINK("https://wals.info/languoid/lect/wals_code_bto","Batak (Toba)")</f>
        <v>Batak (Toba)</v>
      </c>
      <c r="E59" s="1"/>
      <c r="F59" s="1"/>
      <c r="G59" s="1" t="s">
        <v>122</v>
      </c>
    </row>
    <row r="60" ht="12.75" customHeight="1">
      <c r="A60" s="1" t="s">
        <v>123</v>
      </c>
      <c r="B60" s="2" t="str">
        <f>HYPERLINK("https://wals.info/values/19A-baw","None")</f>
        <v>None</v>
      </c>
      <c r="C60" s="2" t="str">
        <f t="shared" si="1"/>
        <v>Presence of Uncommon Consonants</v>
      </c>
      <c r="D60" s="2" t="str">
        <f>HYPERLINK("https://wals.info/languoid/lect/wals_code_baw","Bawm")</f>
        <v>Bawm</v>
      </c>
      <c r="E60" s="1"/>
      <c r="F60" s="1"/>
      <c r="G60" s="1" t="s">
        <v>124</v>
      </c>
    </row>
    <row r="61" ht="12.75" customHeight="1">
      <c r="A61" s="1" t="s">
        <v>125</v>
      </c>
      <c r="B61" s="2" t="str">
        <f>HYPERLINK("https://wals.info/values/19A-bee","None")</f>
        <v>None</v>
      </c>
      <c r="C61" s="2" t="str">
        <f t="shared" si="1"/>
        <v>Presence of Uncommon Consonants</v>
      </c>
      <c r="D61" s="2" t="str">
        <f>HYPERLINK("https://wals.info/languoid/lect/wals_code_bee","Beembe")</f>
        <v>Beembe</v>
      </c>
      <c r="E61" s="1"/>
      <c r="F61" s="1"/>
      <c r="G61" s="1" t="s">
        <v>126</v>
      </c>
    </row>
    <row r="62" ht="12.75" customHeight="1">
      <c r="A62" s="1" t="s">
        <v>127</v>
      </c>
      <c r="B62" s="2" t="str">
        <f>HYPERLINK("https://wals.info/values/19A-bej","None")</f>
        <v>None</v>
      </c>
      <c r="C62" s="2" t="str">
        <f t="shared" si="1"/>
        <v>Presence of Uncommon Consonants</v>
      </c>
      <c r="D62" s="2" t="str">
        <f>HYPERLINK("https://wals.info/languoid/lect/wals_code_bej","Beja")</f>
        <v>Beja</v>
      </c>
      <c r="E62" s="1"/>
      <c r="F62" s="1"/>
      <c r="G62" s="1" t="s">
        <v>128</v>
      </c>
    </row>
    <row r="63" ht="12.75" customHeight="1">
      <c r="A63" s="1" t="s">
        <v>129</v>
      </c>
      <c r="B63" s="2" t="str">
        <f>HYPERLINK("https://wals.info/values/19A-bco","None")</f>
        <v>None</v>
      </c>
      <c r="C63" s="2" t="str">
        <f t="shared" si="1"/>
        <v>Presence of Uncommon Consonants</v>
      </c>
      <c r="D63" s="2" t="str">
        <f>HYPERLINK("https://wals.info/languoid/lect/wals_code_bco","Bella Coola")</f>
        <v>Bella Coola</v>
      </c>
      <c r="E63" s="1"/>
      <c r="F63" s="1"/>
      <c r="G63" s="1" t="s">
        <v>130</v>
      </c>
    </row>
    <row r="64" ht="12.75" customHeight="1">
      <c r="A64" s="1" t="s">
        <v>131</v>
      </c>
      <c r="B64" s="2" t="str">
        <f>HYPERLINK("https://wals.info/values/19A-ben","None")</f>
        <v>None</v>
      </c>
      <c r="C64" s="2" t="str">
        <f t="shared" si="1"/>
        <v>Presence of Uncommon Consonants</v>
      </c>
      <c r="D64" s="2" t="str">
        <f>HYPERLINK("https://wals.info/languoid/lect/wals_code_ben","Bengali")</f>
        <v>Bengali</v>
      </c>
      <c r="E64" s="1"/>
      <c r="F64" s="1"/>
      <c r="G64" s="1" t="s">
        <v>132</v>
      </c>
    </row>
    <row r="65" ht="12.75" customHeight="1">
      <c r="A65" s="1" t="s">
        <v>133</v>
      </c>
      <c r="B65" s="2" t="str">
        <f>HYPERLINK("https://wals.info/values/19A-bma","Pharyngeals")</f>
        <v>Pharyngeals</v>
      </c>
      <c r="C65" s="2" t="str">
        <f t="shared" si="1"/>
        <v>Presence of Uncommon Consonants</v>
      </c>
      <c r="D65" s="2" t="str">
        <f>HYPERLINK("https://wals.info/languoid/lect/wals_code_bma","Berber (Middle Atlas)")</f>
        <v>Berber (Middle Atlas)</v>
      </c>
      <c r="E65" s="1"/>
      <c r="F65" s="1"/>
      <c r="G65" s="1" t="s">
        <v>134</v>
      </c>
    </row>
    <row r="66" ht="12.75" customHeight="1">
      <c r="A66" s="1" t="s">
        <v>135</v>
      </c>
      <c r="B66" s="2" t="str">
        <f>HYPERLINK("https://wals.info/values/19A-ber","'Th' sounds")</f>
        <v>'Th' sounds</v>
      </c>
      <c r="C66" s="2" t="str">
        <f t="shared" si="1"/>
        <v>Presence of Uncommon Consonants</v>
      </c>
      <c r="D66" s="2" t="str">
        <f>HYPERLINK("https://wals.info/languoid/lect/wals_code_ber","Berta")</f>
        <v>Berta</v>
      </c>
      <c r="E66" s="1"/>
      <c r="F66" s="1"/>
      <c r="G66" s="1" t="s">
        <v>136</v>
      </c>
    </row>
    <row r="67" ht="12.75" customHeight="1">
      <c r="A67" s="1" t="s">
        <v>137</v>
      </c>
      <c r="B67" s="2" t="str">
        <f>HYPERLINK("https://wals.info/values/19A-bet","Labial-velars")</f>
        <v>Labial-velars</v>
      </c>
      <c r="C67" s="2" t="str">
        <f t="shared" si="1"/>
        <v>Presence of Uncommon Consonants</v>
      </c>
      <c r="D67" s="2" t="str">
        <f>HYPERLINK("https://wals.info/languoid/lect/wals_code_bet","Bété")</f>
        <v>Bété</v>
      </c>
      <c r="E67" s="1"/>
      <c r="F67" s="1"/>
      <c r="G67" s="1" t="s">
        <v>138</v>
      </c>
    </row>
    <row r="68" ht="12.75" customHeight="1">
      <c r="A68" s="1" t="s">
        <v>139</v>
      </c>
      <c r="B68" s="2" t="str">
        <f>HYPERLINK("https://wals.info/values/19A-bir","Labial-velars")</f>
        <v>Labial-velars</v>
      </c>
      <c r="C68" s="2" t="str">
        <f t="shared" si="1"/>
        <v>Presence of Uncommon Consonants</v>
      </c>
      <c r="D68" s="2" t="str">
        <f>HYPERLINK("https://wals.info/languoid/lect/wals_code_bir","Birom")</f>
        <v>Birom</v>
      </c>
      <c r="E68" s="1"/>
      <c r="F68" s="1"/>
      <c r="G68" s="1" t="s">
        <v>140</v>
      </c>
    </row>
    <row r="69" ht="12.75" customHeight="1">
      <c r="A69" s="1" t="s">
        <v>141</v>
      </c>
      <c r="B69" s="2" t="str">
        <f>HYPERLINK("https://wals.info/values/19A-bis","None")</f>
        <v>None</v>
      </c>
      <c r="C69" s="2" t="str">
        <f t="shared" si="1"/>
        <v>Presence of Uncommon Consonants</v>
      </c>
      <c r="D69" s="2" t="str">
        <f>HYPERLINK("https://wals.info/languoid/lect/wals_code_bis","Bisa")</f>
        <v>Bisa</v>
      </c>
      <c r="E69" s="1"/>
      <c r="F69" s="1"/>
      <c r="G69" s="1" t="s">
        <v>142</v>
      </c>
    </row>
    <row r="70" ht="12.75" customHeight="1">
      <c r="A70" s="1" t="s">
        <v>143</v>
      </c>
      <c r="B70" s="2" t="str">
        <f>HYPERLINK("https://wals.info/values/19A-bbf","Labial-velars")</f>
        <v>Labial-velars</v>
      </c>
      <c r="C70" s="2" t="str">
        <f t="shared" si="1"/>
        <v>Presence of Uncommon Consonants</v>
      </c>
      <c r="D70" s="2" t="str">
        <f>HYPERLINK("https://wals.info/languoid/lect/wals_code_bbf","Bobo Madaré (Northern)")</f>
        <v>Bobo Madaré (Northern)</v>
      </c>
      <c r="E70" s="1"/>
      <c r="F70" s="1"/>
      <c r="G70" s="1" t="s">
        <v>144</v>
      </c>
    </row>
    <row r="71" ht="12.75" customHeight="1">
      <c r="A71" s="1" t="s">
        <v>145</v>
      </c>
      <c r="B71" s="2" t="str">
        <f>HYPERLINK("https://wals.info/values/19A-bod","None")</f>
        <v>None</v>
      </c>
      <c r="C71" s="2" t="str">
        <f t="shared" si="1"/>
        <v>Presence of Uncommon Consonants</v>
      </c>
      <c r="D71" s="2" t="str">
        <f>HYPERLINK("https://wals.info/languoid/lect/wals_code_bod","Bodo")</f>
        <v>Bodo</v>
      </c>
      <c r="E71" s="1"/>
      <c r="F71" s="1"/>
      <c r="G71" s="1" t="s">
        <v>146</v>
      </c>
    </row>
    <row r="72" ht="12.75" customHeight="1">
      <c r="A72" s="1" t="s">
        <v>147</v>
      </c>
      <c r="B72" s="2" t="str">
        <f>HYPERLINK("https://wals.info/values/19A-brr","None")</f>
        <v>None</v>
      </c>
      <c r="C72" s="2" t="str">
        <f t="shared" si="1"/>
        <v>Presence of Uncommon Consonants</v>
      </c>
      <c r="D72" s="2" t="str">
        <f>HYPERLINK("https://wals.info/languoid/lect/wals_code_brr","Bororo")</f>
        <v>Bororo</v>
      </c>
      <c r="E72" s="1"/>
      <c r="F72" s="1"/>
      <c r="G72" s="1" t="s">
        <v>148</v>
      </c>
    </row>
    <row r="73" ht="12.75" customHeight="1">
      <c r="A73" s="1" t="s">
        <v>149</v>
      </c>
      <c r="B73" s="2" t="str">
        <f>HYPERLINK("https://wals.info/values/19A-brh","None")</f>
        <v>None</v>
      </c>
      <c r="C73" s="2" t="str">
        <f t="shared" si="1"/>
        <v>Presence of Uncommon Consonants</v>
      </c>
      <c r="D73" s="2" t="str">
        <f>HYPERLINK("https://wals.info/languoid/lect/wals_code_brh","Brahui")</f>
        <v>Brahui</v>
      </c>
      <c r="E73" s="1"/>
      <c r="F73" s="1"/>
      <c r="G73" s="1" t="s">
        <v>150</v>
      </c>
    </row>
    <row r="74" ht="12.75" customHeight="1">
      <c r="A74" s="1" t="s">
        <v>151</v>
      </c>
      <c r="B74" s="2" t="str">
        <f>HYPERLINK("https://wals.info/values/19A-bra","Pharyngeals")</f>
        <v>Pharyngeals</v>
      </c>
      <c r="C74" s="2" t="str">
        <f t="shared" si="1"/>
        <v>Presence of Uncommon Consonants</v>
      </c>
      <c r="D74" s="2" t="str">
        <f>HYPERLINK("https://wals.info/languoid/lect/wals_code_bra","Brao")</f>
        <v>Brao</v>
      </c>
      <c r="E74" s="1"/>
      <c r="F74" s="1"/>
      <c r="G74" s="1" t="s">
        <v>152</v>
      </c>
    </row>
    <row r="75" ht="12.75" customHeight="1">
      <c r="A75" s="1" t="s">
        <v>153</v>
      </c>
      <c r="B75" s="2" t="str">
        <f>HYPERLINK("https://wals.info/values/19A-bre","None")</f>
        <v>None</v>
      </c>
      <c r="C75" s="2" t="str">
        <f t="shared" si="1"/>
        <v>Presence of Uncommon Consonants</v>
      </c>
      <c r="D75" s="2" t="str">
        <f>HYPERLINK("https://wals.info/languoid/lect/wals_code_bre","Breton")</f>
        <v>Breton</v>
      </c>
      <c r="E75" s="1"/>
      <c r="F75" s="1"/>
      <c r="G75" s="1" t="s">
        <v>154</v>
      </c>
    </row>
    <row r="76" ht="12.75" customHeight="1">
      <c r="A76" s="1" t="s">
        <v>155</v>
      </c>
      <c r="B76" s="2" t="str">
        <f>HYPERLINK("https://wals.info/values/19A-bri","None")</f>
        <v>None</v>
      </c>
      <c r="C76" s="2" t="str">
        <f t="shared" si="1"/>
        <v>Presence of Uncommon Consonants</v>
      </c>
      <c r="D76" s="2" t="str">
        <f>HYPERLINK("https://wals.info/languoid/lect/wals_code_bri","Bribri")</f>
        <v>Bribri</v>
      </c>
      <c r="E76" s="1"/>
      <c r="F76" s="1"/>
      <c r="G76" s="1" t="s">
        <v>156</v>
      </c>
    </row>
    <row r="77" ht="12.75" customHeight="1">
      <c r="A77" s="1" t="s">
        <v>157</v>
      </c>
      <c r="B77" s="2" t="str">
        <f>HYPERLINK("https://wals.info/values/19A-brw","None")</f>
        <v>None</v>
      </c>
      <c r="C77" s="2" t="str">
        <f t="shared" si="1"/>
        <v>Presence of Uncommon Consonants</v>
      </c>
      <c r="D77" s="2" t="str">
        <f>HYPERLINK("https://wals.info/languoid/lect/wals_code_brw","Bru (Western)")</f>
        <v>Bru (Western)</v>
      </c>
      <c r="E77" s="1"/>
      <c r="F77" s="1"/>
      <c r="G77" s="1" t="s">
        <v>158</v>
      </c>
    </row>
    <row r="78" ht="12.75" customHeight="1">
      <c r="A78" s="1" t="s">
        <v>159</v>
      </c>
      <c r="B78" s="2" t="str">
        <f>HYPERLINK("https://wals.info/values/19A-bul","None")</f>
        <v>None</v>
      </c>
      <c r="C78" s="2" t="str">
        <f t="shared" si="1"/>
        <v>Presence of Uncommon Consonants</v>
      </c>
      <c r="D78" s="2" t="str">
        <f>HYPERLINK("https://wals.info/languoid/lect/wals_code_bul","Bulgarian")</f>
        <v>Bulgarian</v>
      </c>
      <c r="E78" s="1"/>
      <c r="F78" s="1"/>
      <c r="G78" s="1" t="s">
        <v>160</v>
      </c>
    </row>
    <row r="79" ht="12.75" customHeight="1">
      <c r="A79" s="1" t="s">
        <v>161</v>
      </c>
      <c r="B79" s="2" t="str">
        <f>HYPERLINK("https://wals.info/values/19A-bua","None")</f>
        <v>None</v>
      </c>
      <c r="C79" s="2" t="str">
        <f t="shared" si="1"/>
        <v>Presence of Uncommon Consonants</v>
      </c>
      <c r="D79" s="2" t="str">
        <f>HYPERLINK("https://wals.info/languoid/lect/wals_code_bua","Burarra")</f>
        <v>Burarra</v>
      </c>
      <c r="E79" s="1"/>
      <c r="F79" s="1"/>
      <c r="G79" s="1" t="s">
        <v>162</v>
      </c>
    </row>
    <row r="80" ht="12.75" customHeight="1">
      <c r="A80" s="1" t="s">
        <v>163</v>
      </c>
      <c r="B80" s="2" t="str">
        <f>HYPERLINK("https://wals.info/values/19A-brm","'Th' sounds")</f>
        <v>'Th' sounds</v>
      </c>
      <c r="C80" s="2" t="str">
        <f t="shared" si="1"/>
        <v>Presence of Uncommon Consonants</v>
      </c>
      <c r="D80" s="2" t="str">
        <f>HYPERLINK("https://wals.info/languoid/lect/wals_code_brm","Burmese")</f>
        <v>Burmese</v>
      </c>
      <c r="E80" s="1"/>
      <c r="F80" s="1"/>
      <c r="G80" s="1" t="s">
        <v>164</v>
      </c>
    </row>
    <row r="81" ht="12.75" customHeight="1">
      <c r="A81" s="1" t="s">
        <v>165</v>
      </c>
      <c r="B81" s="2" t="str">
        <f>HYPERLINK("https://wals.info/values/19A-bur","None")</f>
        <v>None</v>
      </c>
      <c r="C81" s="2" t="str">
        <f t="shared" si="1"/>
        <v>Presence of Uncommon Consonants</v>
      </c>
      <c r="D81" s="2" t="str">
        <f>HYPERLINK("https://wals.info/languoid/lect/wals_code_bur","Burushaski")</f>
        <v>Burushaski</v>
      </c>
      <c r="E81" s="1"/>
      <c r="F81" s="1"/>
      <c r="G81" s="1" t="s">
        <v>166</v>
      </c>
    </row>
    <row r="82" ht="12.75" customHeight="1">
      <c r="A82" s="1" t="s">
        <v>167</v>
      </c>
      <c r="B82" s="2" t="str">
        <f>HYPERLINK("https://wals.info/values/19A-cac","None")</f>
        <v>None</v>
      </c>
      <c r="C82" s="2" t="str">
        <f t="shared" si="1"/>
        <v>Presence of Uncommon Consonants</v>
      </c>
      <c r="D82" s="2" t="str">
        <f>HYPERLINK("https://wals.info/languoid/lect/wals_code_cac","Cacua")</f>
        <v>Cacua</v>
      </c>
      <c r="E82" s="1"/>
      <c r="F82" s="1"/>
      <c r="G82" s="1" t="s">
        <v>168</v>
      </c>
    </row>
    <row r="83" ht="12.75" customHeight="1">
      <c r="A83" s="1" t="s">
        <v>169</v>
      </c>
      <c r="B83" s="2" t="str">
        <f>HYPERLINK("https://wals.info/values/19A-cad","None")</f>
        <v>None</v>
      </c>
      <c r="C83" s="2" t="str">
        <f t="shared" si="1"/>
        <v>Presence of Uncommon Consonants</v>
      </c>
      <c r="D83" s="2" t="str">
        <f>HYPERLINK("https://wals.info/languoid/lect/wals_code_cad","Caddo")</f>
        <v>Caddo</v>
      </c>
      <c r="E83" s="1"/>
      <c r="F83" s="1"/>
      <c r="G83" s="1" t="s">
        <v>170</v>
      </c>
    </row>
    <row r="84" ht="12.75" customHeight="1">
      <c r="A84" s="1" t="s">
        <v>171</v>
      </c>
      <c r="B84" s="2" t="str">
        <f>HYPERLINK("https://wals.info/values/19A-cah","None")</f>
        <v>None</v>
      </c>
      <c r="C84" s="2" t="str">
        <f t="shared" si="1"/>
        <v>Presence of Uncommon Consonants</v>
      </c>
      <c r="D84" s="2" t="str">
        <f>HYPERLINK("https://wals.info/languoid/lect/wals_code_cah","Cahuilla")</f>
        <v>Cahuilla</v>
      </c>
      <c r="E84" s="1"/>
      <c r="F84" s="1"/>
      <c r="G84" s="1" t="s">
        <v>172</v>
      </c>
    </row>
    <row r="85" ht="12.75" customHeight="1">
      <c r="A85" s="1" t="s">
        <v>173</v>
      </c>
      <c r="B85" s="2" t="str">
        <f>HYPERLINK("https://wals.info/values/19A-cax","None")</f>
        <v>None</v>
      </c>
      <c r="C85" s="2" t="str">
        <f t="shared" si="1"/>
        <v>Presence of Uncommon Consonants</v>
      </c>
      <c r="D85" s="2" t="str">
        <f>HYPERLINK("https://wals.info/languoid/lect/wals_code_cax","Campa (Axininca)")</f>
        <v>Campa (Axininca)</v>
      </c>
      <c r="E85" s="1"/>
      <c r="F85" s="1"/>
      <c r="G85" s="1" t="s">
        <v>174</v>
      </c>
    </row>
    <row r="86" ht="12.75" customHeight="1">
      <c r="A86" s="1" t="s">
        <v>175</v>
      </c>
      <c r="B86" s="2" t="str">
        <f>HYPERLINK("https://wals.info/values/19A-cam","None")</f>
        <v>None</v>
      </c>
      <c r="C86" s="2" t="str">
        <f t="shared" si="1"/>
        <v>Presence of Uncommon Consonants</v>
      </c>
      <c r="D86" s="2" t="str">
        <f>HYPERLINK("https://wals.info/languoid/lect/wals_code_cam","Camsá")</f>
        <v>Camsá</v>
      </c>
      <c r="E86" s="1"/>
      <c r="F86" s="1"/>
      <c r="G86" s="1" t="s">
        <v>176</v>
      </c>
    </row>
    <row r="87" ht="12.75" customHeight="1">
      <c r="A87" s="1" t="s">
        <v>177</v>
      </c>
      <c r="B87" s="2" t="str">
        <f>HYPERLINK("https://wals.info/values/19A-ckr","None")</f>
        <v>None</v>
      </c>
      <c r="C87" s="2" t="str">
        <f t="shared" si="1"/>
        <v>Presence of Uncommon Consonants</v>
      </c>
      <c r="D87" s="2" t="str">
        <f>HYPERLINK("https://wals.info/languoid/lect/wals_code_ckr","Canela-Krahô")</f>
        <v>Canela-Krahô</v>
      </c>
      <c r="E87" s="1"/>
      <c r="F87" s="1"/>
      <c r="G87" s="1" t="s">
        <v>178</v>
      </c>
    </row>
    <row r="88" ht="12.75" customHeight="1">
      <c r="A88" s="1" t="s">
        <v>179</v>
      </c>
      <c r="B88" s="2" t="str">
        <f>HYPERLINK("https://wals.info/values/19A-cnt","None")</f>
        <v>None</v>
      </c>
      <c r="C88" s="2" t="str">
        <f t="shared" si="1"/>
        <v>Presence of Uncommon Consonants</v>
      </c>
      <c r="D88" s="2" t="str">
        <f>HYPERLINK("https://wals.info/languoid/lect/wals_code_cnt","Cantonese")</f>
        <v>Cantonese</v>
      </c>
      <c r="E88" s="1"/>
      <c r="F88" s="1"/>
      <c r="G88" s="1" t="s">
        <v>180</v>
      </c>
    </row>
    <row r="89" ht="12.75" customHeight="1">
      <c r="A89" s="1" t="s">
        <v>181</v>
      </c>
      <c r="B89" s="2" t="str">
        <f>HYPERLINK("https://wals.info/values/19A-car","None")</f>
        <v>None</v>
      </c>
      <c r="C89" s="2" t="str">
        <f t="shared" si="1"/>
        <v>Presence of Uncommon Consonants</v>
      </c>
      <c r="D89" s="2" t="str">
        <f>HYPERLINK("https://wals.info/languoid/lect/wals_code_car","Carib")</f>
        <v>Carib</v>
      </c>
      <c r="E89" s="1"/>
      <c r="F89" s="1"/>
      <c r="G89" s="1" t="s">
        <v>182</v>
      </c>
    </row>
    <row r="90" ht="12.75" customHeight="1">
      <c r="A90" s="1" t="s">
        <v>183</v>
      </c>
      <c r="B90" s="2" t="str">
        <f>HYPERLINK("https://wals.info/values/19A-ctl","None")</f>
        <v>None</v>
      </c>
      <c r="C90" s="2" t="str">
        <f t="shared" si="1"/>
        <v>Presence of Uncommon Consonants</v>
      </c>
      <c r="D90" s="2" t="str">
        <f>HYPERLINK("https://wals.info/languoid/lect/wals_code_ctl","Catalan")</f>
        <v>Catalan</v>
      </c>
      <c r="E90" s="1"/>
      <c r="F90" s="1"/>
      <c r="G90" s="1" t="s">
        <v>184</v>
      </c>
    </row>
    <row r="91" ht="12.75" customHeight="1">
      <c r="A91" s="1" t="s">
        <v>185</v>
      </c>
      <c r="B91" s="2" t="str">
        <f>HYPERLINK("https://wals.info/values/19A-cay","None")</f>
        <v>None</v>
      </c>
      <c r="C91" s="2" t="str">
        <f t="shared" si="1"/>
        <v>Presence of Uncommon Consonants</v>
      </c>
      <c r="D91" s="2" t="str">
        <f>HYPERLINK("https://wals.info/languoid/lect/wals_code_cay","Cayapa")</f>
        <v>Cayapa</v>
      </c>
      <c r="E91" s="1"/>
      <c r="F91" s="1"/>
      <c r="G91" s="1" t="s">
        <v>186</v>
      </c>
    </row>
    <row r="92" ht="12.75" customHeight="1">
      <c r="A92" s="1" t="s">
        <v>187</v>
      </c>
      <c r="B92" s="2" t="str">
        <f>HYPERLINK("https://wals.info/values/19A-cyv","None")</f>
        <v>None</v>
      </c>
      <c r="C92" s="2" t="str">
        <f t="shared" si="1"/>
        <v>Presence of Uncommon Consonants</v>
      </c>
      <c r="D92" s="2" t="str">
        <f>HYPERLINK("https://wals.info/languoid/lect/wals_code_cyv","Cayuvava")</f>
        <v>Cayuvava</v>
      </c>
      <c r="E92" s="1"/>
      <c r="F92" s="1"/>
      <c r="G92" s="1" t="s">
        <v>188</v>
      </c>
    </row>
    <row r="93" ht="12.75" customHeight="1">
      <c r="A93" s="1" t="s">
        <v>189</v>
      </c>
      <c r="B93" s="2" t="str">
        <f>HYPERLINK("https://wals.info/values/19A-cha","None")</f>
        <v>None</v>
      </c>
      <c r="C93" s="2" t="str">
        <f t="shared" si="1"/>
        <v>Presence of Uncommon Consonants</v>
      </c>
      <c r="D93" s="2" t="str">
        <f>HYPERLINK("https://wals.info/languoid/lect/wals_code_cha","Chamorro")</f>
        <v>Chamorro</v>
      </c>
      <c r="E93" s="1"/>
      <c r="F93" s="1"/>
      <c r="G93" s="1" t="s">
        <v>190</v>
      </c>
    </row>
    <row r="94" ht="12.75" customHeight="1">
      <c r="A94" s="1" t="s">
        <v>191</v>
      </c>
      <c r="B94" s="2" t="str">
        <f>HYPERLINK("https://wals.info/values/19A-chw","None")</f>
        <v>None</v>
      </c>
      <c r="C94" s="2" t="str">
        <f t="shared" si="1"/>
        <v>Presence of Uncommon Consonants</v>
      </c>
      <c r="D94" s="2" t="str">
        <f>HYPERLINK("https://wals.info/languoid/lect/wals_code_chw","Cham (Western)")</f>
        <v>Cham (Western)</v>
      </c>
      <c r="E94" s="1"/>
      <c r="F94" s="1"/>
      <c r="G94" s="1" t="s">
        <v>192</v>
      </c>
    </row>
    <row r="95" ht="12.75" customHeight="1">
      <c r="A95" s="1" t="s">
        <v>193</v>
      </c>
      <c r="B95" s="2" t="str">
        <f>HYPERLINK("https://wals.info/values/19A-cso","None")</f>
        <v>None</v>
      </c>
      <c r="C95" s="2" t="str">
        <f t="shared" si="1"/>
        <v>Presence of Uncommon Consonants</v>
      </c>
      <c r="D95" s="2" t="str">
        <f>HYPERLINK("https://wals.info/languoid/lect/wals_code_cso","Chatino (Sierra Occidental)")</f>
        <v>Chatino (Sierra Occidental)</v>
      </c>
      <c r="E95" s="1"/>
      <c r="F95" s="1"/>
      <c r="G95" s="1" t="s">
        <v>194</v>
      </c>
    </row>
    <row r="96" ht="12.75" customHeight="1">
      <c r="A96" s="1" t="s">
        <v>195</v>
      </c>
      <c r="B96" s="2" t="str">
        <f>HYPERLINK("https://wals.info/values/19A-chl","None")</f>
        <v>None</v>
      </c>
      <c r="C96" s="2" t="str">
        <f t="shared" si="1"/>
        <v>Presence of Uncommon Consonants</v>
      </c>
      <c r="D96" s="2" t="str">
        <f>HYPERLINK("https://wals.info/languoid/lect/wals_code_chl","Chehalis (Upper)")</f>
        <v>Chehalis (Upper)</v>
      </c>
      <c r="E96" s="1"/>
      <c r="F96" s="1"/>
      <c r="G96" s="1" t="s">
        <v>196</v>
      </c>
    </row>
    <row r="97" ht="12.75" customHeight="1">
      <c r="A97" s="1" t="s">
        <v>197</v>
      </c>
      <c r="B97" s="2" t="str">
        <f>HYPERLINK("https://wals.info/values/19A-che","None")</f>
        <v>None</v>
      </c>
      <c r="C97" s="2" t="str">
        <f t="shared" si="1"/>
        <v>Presence of Uncommon Consonants</v>
      </c>
      <c r="D97" s="2" t="str">
        <f>HYPERLINK("https://wals.info/languoid/lect/wals_code_che","Cherokee")</f>
        <v>Cherokee</v>
      </c>
      <c r="E97" s="1"/>
      <c r="F97" s="1"/>
      <c r="G97" s="1" t="s">
        <v>198</v>
      </c>
    </row>
    <row r="98" ht="12.75" customHeight="1">
      <c r="A98" s="1" t="s">
        <v>199</v>
      </c>
      <c r="B98" s="2" t="str">
        <f>HYPERLINK("https://wals.info/values/19A-cck","None")</f>
        <v>None</v>
      </c>
      <c r="C98" s="2" t="str">
        <f t="shared" si="1"/>
        <v>Presence of Uncommon Consonants</v>
      </c>
      <c r="D98" s="2" t="str">
        <f>HYPERLINK("https://wals.info/languoid/lect/wals_code_cck","Chickasaw")</f>
        <v>Chickasaw</v>
      </c>
      <c r="E98" s="1"/>
      <c r="F98" s="1"/>
      <c r="G98" s="1" t="s">
        <v>200</v>
      </c>
    </row>
    <row r="99" ht="12.75" customHeight="1">
      <c r="A99" s="1" t="s">
        <v>201</v>
      </c>
      <c r="B99" s="2" t="str">
        <f>HYPERLINK("https://wals.info/values/19A-cle","None")</f>
        <v>None</v>
      </c>
      <c r="C99" s="2" t="str">
        <f t="shared" si="1"/>
        <v>Presence of Uncommon Consonants</v>
      </c>
      <c r="D99" s="2" t="str">
        <f>HYPERLINK("https://wals.info/languoid/lect/wals_code_cle","Chinantec (Lealao)")</f>
        <v>Chinantec (Lealao)</v>
      </c>
      <c r="E99" s="1"/>
      <c r="F99" s="1"/>
      <c r="G99" s="1" t="s">
        <v>202</v>
      </c>
    </row>
    <row r="100" ht="12.75" customHeight="1">
      <c r="A100" s="1" t="s">
        <v>203</v>
      </c>
      <c r="B100" s="2" t="str">
        <f>HYPERLINK("https://wals.info/values/19A-chq","'Th' sounds")</f>
        <v>'Th' sounds</v>
      </c>
      <c r="C100" s="2" t="str">
        <f t="shared" si="1"/>
        <v>Presence of Uncommon Consonants</v>
      </c>
      <c r="D100" s="2" t="str">
        <f>HYPERLINK("https://wals.info/languoid/lect/wals_code_chq","Chinantec (Quiotepec)")</f>
        <v>Chinantec (Quiotepec)</v>
      </c>
      <c r="E100" s="1"/>
      <c r="F100" s="1"/>
      <c r="G100" s="1" t="s">
        <v>204</v>
      </c>
    </row>
    <row r="101" ht="12.75" customHeight="1">
      <c r="A101" s="1" t="s">
        <v>205</v>
      </c>
      <c r="B101" s="2" t="str">
        <f>HYPERLINK("https://wals.info/values/19A-cti","None")</f>
        <v>None</v>
      </c>
      <c r="C101" s="2" t="str">
        <f t="shared" si="1"/>
        <v>Presence of Uncommon Consonants</v>
      </c>
      <c r="D101" s="2" t="str">
        <f>HYPERLINK("https://wals.info/languoid/lect/wals_code_cti","Chin (Tiddim)")</f>
        <v>Chin (Tiddim)</v>
      </c>
      <c r="E101" s="1"/>
      <c r="F101" s="1"/>
      <c r="G101" s="1" t="s">
        <v>206</v>
      </c>
    </row>
    <row r="102" ht="12.75" customHeight="1">
      <c r="A102" s="1" t="s">
        <v>207</v>
      </c>
      <c r="B102" s="2" t="str">
        <f>HYPERLINK("https://wals.info/values/19A-chp","'Th' sounds")</f>
        <v>'Th' sounds</v>
      </c>
      <c r="C102" s="2" t="str">
        <f t="shared" si="1"/>
        <v>Presence of Uncommon Consonants</v>
      </c>
      <c r="D102" s="2" t="str">
        <f>HYPERLINK("https://wals.info/languoid/lect/wals_code_chp","Chipewyan")</f>
        <v>Chipewyan</v>
      </c>
      <c r="E102" s="1"/>
      <c r="F102" s="1"/>
      <c r="G102" s="1" t="s">
        <v>208</v>
      </c>
    </row>
    <row r="103" ht="12.75" customHeight="1">
      <c r="A103" s="1" t="s">
        <v>209</v>
      </c>
      <c r="B103" s="2" t="str">
        <f>HYPERLINK("https://wals.info/values/19A-cve","None")</f>
        <v>None</v>
      </c>
      <c r="C103" s="2" t="str">
        <f t="shared" si="1"/>
        <v>Presence of Uncommon Consonants</v>
      </c>
      <c r="D103" s="2" t="str">
        <f>HYPERLINK("https://wals.info/languoid/lect/wals_code_cve","Chuave")</f>
        <v>Chuave</v>
      </c>
      <c r="E103" s="1"/>
      <c r="F103" s="1"/>
      <c r="G103" s="1" t="s">
        <v>210</v>
      </c>
    </row>
    <row r="104" ht="12.75" customHeight="1">
      <c r="A104" s="1" t="s">
        <v>211</v>
      </c>
      <c r="B104" s="2" t="str">
        <f>HYPERLINK("https://wals.info/values/19A-chk","None")</f>
        <v>None</v>
      </c>
      <c r="C104" s="2" t="str">
        <f t="shared" si="1"/>
        <v>Presence of Uncommon Consonants</v>
      </c>
      <c r="D104" s="2" t="str">
        <f>HYPERLINK("https://wals.info/languoid/lect/wals_code_chk","Chukchi")</f>
        <v>Chukchi</v>
      </c>
      <c r="E104" s="1"/>
      <c r="F104" s="1"/>
      <c r="G104" s="1" t="s">
        <v>212</v>
      </c>
    </row>
    <row r="105" ht="12.75" customHeight="1">
      <c r="A105" s="1" t="s">
        <v>213</v>
      </c>
      <c r="B105" s="2" t="str">
        <f>HYPERLINK("https://wals.info/values/19A-chv","None")</f>
        <v>None</v>
      </c>
      <c r="C105" s="2" t="str">
        <f t="shared" si="1"/>
        <v>Presence of Uncommon Consonants</v>
      </c>
      <c r="D105" s="2" t="str">
        <f>HYPERLINK("https://wals.info/languoid/lect/wals_code_chv","Chuvash")</f>
        <v>Chuvash</v>
      </c>
      <c r="E105" s="1"/>
      <c r="F105" s="1"/>
      <c r="G105" s="1" t="s">
        <v>214</v>
      </c>
    </row>
    <row r="106" ht="12.75" customHeight="1">
      <c r="A106" s="1" t="s">
        <v>215</v>
      </c>
      <c r="B106" s="2" t="str">
        <f>HYPERLINK("https://wals.info/values/19A-cil","None")</f>
        <v>None</v>
      </c>
      <c r="C106" s="2" t="str">
        <f t="shared" si="1"/>
        <v>Presence of Uncommon Consonants</v>
      </c>
      <c r="D106" s="2" t="str">
        <f>HYPERLINK("https://wals.info/languoid/lect/wals_code_cil","CiLuba")</f>
        <v>CiLuba</v>
      </c>
      <c r="E106" s="1"/>
      <c r="F106" s="1"/>
      <c r="G106" s="1" t="s">
        <v>216</v>
      </c>
    </row>
    <row r="107" ht="12.75" customHeight="1">
      <c r="A107" s="1" t="s">
        <v>217</v>
      </c>
      <c r="B107" s="2" t="str">
        <f>HYPERLINK("https://wals.info/values/19A-ccp","None")</f>
        <v>None</v>
      </c>
      <c r="C107" s="2" t="str">
        <f t="shared" si="1"/>
        <v>Presence of Uncommon Consonants</v>
      </c>
      <c r="D107" s="2" t="str">
        <f>HYPERLINK("https://wals.info/languoid/lect/wals_code_ccp","Cocopa")</f>
        <v>Cocopa</v>
      </c>
      <c r="E107" s="1"/>
      <c r="F107" s="1"/>
      <c r="G107" s="1" t="s">
        <v>218</v>
      </c>
    </row>
    <row r="108" ht="12.75" customHeight="1">
      <c r="A108" s="1" t="s">
        <v>219</v>
      </c>
      <c r="B108" s="2" t="str">
        <f>HYPERLINK("https://wals.info/values/19A-cof","None")</f>
        <v>None</v>
      </c>
      <c r="C108" s="2" t="str">
        <f t="shared" si="1"/>
        <v>Presence of Uncommon Consonants</v>
      </c>
      <c r="D108" s="2" t="str">
        <f>HYPERLINK("https://wals.info/languoid/lect/wals_code_cof","Cofán")</f>
        <v>Cofán</v>
      </c>
      <c r="E108" s="1"/>
      <c r="F108" s="1"/>
      <c r="G108" s="1" t="s">
        <v>220</v>
      </c>
    </row>
    <row r="109" ht="12.75" customHeight="1">
      <c r="A109" s="1" t="s">
        <v>221</v>
      </c>
      <c r="B109" s="2" t="str">
        <f>HYPERLINK("https://wals.info/values/19A-cmn","None")</f>
        <v>None</v>
      </c>
      <c r="C109" s="2" t="str">
        <f t="shared" si="1"/>
        <v>Presence of Uncommon Consonants</v>
      </c>
      <c r="D109" s="2" t="str">
        <f>HYPERLINK("https://wals.info/languoid/lect/wals_code_cmn","Comanche")</f>
        <v>Comanche</v>
      </c>
      <c r="E109" s="1"/>
      <c r="F109" s="1"/>
      <c r="G109" s="1" t="s">
        <v>222</v>
      </c>
    </row>
    <row r="110" ht="12.75" customHeight="1">
      <c r="A110" s="1" t="s">
        <v>223</v>
      </c>
      <c r="B110" s="2" t="str">
        <f>HYPERLINK("https://wals.info/values/19A-coo","None")</f>
        <v>None</v>
      </c>
      <c r="C110" s="2" t="str">
        <f t="shared" si="1"/>
        <v>Presence of Uncommon Consonants</v>
      </c>
      <c r="D110" s="2" t="str">
        <f>HYPERLINK("https://wals.info/languoid/lect/wals_code_coo","Coos (Hanis)")</f>
        <v>Coos (Hanis)</v>
      </c>
      <c r="E110" s="1"/>
      <c r="F110" s="1"/>
      <c r="G110" s="1" t="s">
        <v>224</v>
      </c>
    </row>
    <row r="111" ht="12.75" customHeight="1">
      <c r="A111" s="1" t="s">
        <v>225</v>
      </c>
      <c r="B111" s="2" t="str">
        <f>HYPERLINK("https://wals.info/values/19A-cre","None")</f>
        <v>None</v>
      </c>
      <c r="C111" s="2" t="str">
        <f t="shared" si="1"/>
        <v>Presence of Uncommon Consonants</v>
      </c>
      <c r="D111" s="2" t="str">
        <f>HYPERLINK("https://wals.info/languoid/lect/wals_code_cre","Cree (Plains)")</f>
        <v>Cree (Plains)</v>
      </c>
      <c r="E111" s="1"/>
      <c r="F111" s="1"/>
      <c r="G111" s="1" t="s">
        <v>226</v>
      </c>
    </row>
    <row r="112" ht="12.75" customHeight="1">
      <c r="A112" s="1" t="s">
        <v>227</v>
      </c>
      <c r="B112" s="2" t="str">
        <f>HYPERLINK("https://wals.info/values/19A-cub","'Th' sounds")</f>
        <v>'Th' sounds</v>
      </c>
      <c r="C112" s="2" t="str">
        <f t="shared" si="1"/>
        <v>Presence of Uncommon Consonants</v>
      </c>
      <c r="D112" s="2" t="str">
        <f>HYPERLINK("https://wals.info/languoid/lect/wals_code_cub","Cubeo")</f>
        <v>Cubeo</v>
      </c>
      <c r="E112" s="1"/>
      <c r="F112" s="1"/>
      <c r="G112" s="1" t="s">
        <v>228</v>
      </c>
    </row>
    <row r="113" ht="12.75" customHeight="1">
      <c r="A113" s="1" t="s">
        <v>229</v>
      </c>
      <c r="B113" s="2" t="str">
        <f>HYPERLINK("https://wals.info/values/19A-dad","None")</f>
        <v>None</v>
      </c>
      <c r="C113" s="2" t="str">
        <f t="shared" si="1"/>
        <v>Presence of Uncommon Consonants</v>
      </c>
      <c r="D113" s="2" t="str">
        <f>HYPERLINK("https://wals.info/languoid/lect/wals_code_dad","Dadibi")</f>
        <v>Dadibi</v>
      </c>
      <c r="E113" s="1"/>
      <c r="F113" s="1"/>
      <c r="G113" s="1" t="s">
        <v>230</v>
      </c>
    </row>
    <row r="114" ht="12.75" customHeight="1">
      <c r="A114" s="1" t="s">
        <v>231</v>
      </c>
      <c r="B114" s="2" t="str">
        <f>HYPERLINK("https://wals.info/values/19A-dag","None")</f>
        <v>None</v>
      </c>
      <c r="C114" s="2" t="str">
        <f t="shared" si="1"/>
        <v>Presence of Uncommon Consonants</v>
      </c>
      <c r="D114" s="2" t="str">
        <f>HYPERLINK("https://wals.info/languoid/lect/wals_code_dag","Daga")</f>
        <v>Daga</v>
      </c>
      <c r="E114" s="1"/>
      <c r="F114" s="1"/>
      <c r="G114" s="1" t="s">
        <v>232</v>
      </c>
    </row>
    <row r="115" ht="12.75" customHeight="1">
      <c r="A115" s="1" t="s">
        <v>233</v>
      </c>
      <c r="B115" s="2" t="str">
        <f>HYPERLINK("https://wals.info/values/19A-dgb","Labial-velars")</f>
        <v>Labial-velars</v>
      </c>
      <c r="C115" s="2" t="str">
        <f t="shared" si="1"/>
        <v>Presence of Uncommon Consonants</v>
      </c>
      <c r="D115" s="2" t="str">
        <f>HYPERLINK("https://wals.info/languoid/lect/wals_code_dgb","Dagbani")</f>
        <v>Dagbani</v>
      </c>
      <c r="E115" s="1"/>
      <c r="F115" s="1"/>
      <c r="G115" s="1" t="s">
        <v>234</v>
      </c>
    </row>
    <row r="116" ht="12.75" customHeight="1">
      <c r="A116" s="1" t="s">
        <v>235</v>
      </c>
      <c r="B116" s="2" t="str">
        <f>HYPERLINK("https://wals.info/values/19A-dgr","None")</f>
        <v>None</v>
      </c>
      <c r="C116" s="2" t="str">
        <f t="shared" si="1"/>
        <v>Presence of Uncommon Consonants</v>
      </c>
      <c r="D116" s="2" t="str">
        <f>HYPERLINK("https://wals.info/languoid/lect/wals_code_dgr","Dagur")</f>
        <v>Dagur</v>
      </c>
      <c r="E116" s="1"/>
      <c r="F116" s="1"/>
      <c r="G116" s="1" t="s">
        <v>236</v>
      </c>
    </row>
    <row r="117" ht="12.75" customHeight="1">
      <c r="A117" s="1" t="s">
        <v>237</v>
      </c>
      <c r="B117" s="2" t="str">
        <f>HYPERLINK("https://wals.info/values/19A-dah","Clicks, pharyngeals, and 'th'")</f>
        <v>Clicks, pharyngeals, and 'th'</v>
      </c>
      <c r="C117" s="2" t="str">
        <f t="shared" si="1"/>
        <v>Presence of Uncommon Consonants</v>
      </c>
      <c r="D117" s="2" t="str">
        <f>HYPERLINK("https://wals.info/languoid/lect/wals_code_dah","Dahalo")</f>
        <v>Dahalo</v>
      </c>
      <c r="E117" s="1"/>
      <c r="F117" s="1"/>
      <c r="G117" s="1" t="s">
        <v>238</v>
      </c>
    </row>
    <row r="118" ht="12.75" customHeight="1">
      <c r="A118" s="1" t="s">
        <v>239</v>
      </c>
      <c r="B118" s="2" t="str">
        <f>HYPERLINK("https://wals.info/values/19A-ddf","None")</f>
        <v>None</v>
      </c>
      <c r="C118" s="2" t="str">
        <f t="shared" si="1"/>
        <v>Presence of Uncommon Consonants</v>
      </c>
      <c r="D118" s="2" t="str">
        <f>HYPERLINK("https://wals.info/languoid/lect/wals_code_ddf","Daju (Dar Fur)")</f>
        <v>Daju (Dar Fur)</v>
      </c>
      <c r="E118" s="1"/>
      <c r="F118" s="1"/>
      <c r="G118" s="1" t="s">
        <v>240</v>
      </c>
    </row>
    <row r="119" ht="12.75" customHeight="1">
      <c r="A119" s="1" t="s">
        <v>241</v>
      </c>
      <c r="B119" s="2" t="str">
        <f>HYPERLINK("https://wals.info/values/19A-dan","Labial-velars")</f>
        <v>Labial-velars</v>
      </c>
      <c r="C119" s="2" t="str">
        <f t="shared" si="1"/>
        <v>Presence of Uncommon Consonants</v>
      </c>
      <c r="D119" s="2" t="str">
        <f>HYPERLINK("https://wals.info/languoid/lect/wals_code_dan","Dan")</f>
        <v>Dan</v>
      </c>
      <c r="E119" s="1"/>
      <c r="F119" s="1"/>
      <c r="G119" s="1" t="s">
        <v>242</v>
      </c>
    </row>
    <row r="120" ht="12.75" customHeight="1">
      <c r="A120" s="1" t="s">
        <v>243</v>
      </c>
      <c r="B120" s="2" t="str">
        <f>HYPERLINK("https://wals.info/values/19A-dnw","None")</f>
        <v>None</v>
      </c>
      <c r="C120" s="2" t="str">
        <f t="shared" si="1"/>
        <v>Presence of Uncommon Consonants</v>
      </c>
      <c r="D120" s="2" t="str">
        <f>HYPERLINK("https://wals.info/languoid/lect/wals_code_dnw","Dangaléat (Western)")</f>
        <v>Dangaléat (Western)</v>
      </c>
      <c r="E120" s="1"/>
      <c r="F120" s="1"/>
      <c r="G120" s="1" t="s">
        <v>244</v>
      </c>
    </row>
    <row r="121" ht="12.75" customHeight="1">
      <c r="A121" s="1" t="s">
        <v>245</v>
      </c>
      <c r="B121" s="2" t="str">
        <f>HYPERLINK("https://wals.info/values/19A-dni","None")</f>
        <v>None</v>
      </c>
      <c r="C121" s="2" t="str">
        <f t="shared" si="1"/>
        <v>Presence of Uncommon Consonants</v>
      </c>
      <c r="D121" s="2" t="str">
        <f>HYPERLINK("https://wals.info/languoid/lect/wals_code_dni","Dani (Lower Grand Valley)")</f>
        <v>Dani (Lower Grand Valley)</v>
      </c>
      <c r="E121" s="1"/>
      <c r="F121" s="1"/>
      <c r="G121" s="1" t="s">
        <v>246</v>
      </c>
    </row>
    <row r="122" ht="12.75" customHeight="1">
      <c r="A122" s="1" t="s">
        <v>247</v>
      </c>
      <c r="B122" s="2" t="str">
        <f>HYPERLINK("https://wals.info/values/19A-dar","None")</f>
        <v>None</v>
      </c>
      <c r="C122" s="2" t="str">
        <f t="shared" si="1"/>
        <v>Presence of Uncommon Consonants</v>
      </c>
      <c r="D122" s="2" t="str">
        <f>HYPERLINK("https://wals.info/languoid/lect/wals_code_dar","Darai")</f>
        <v>Darai</v>
      </c>
      <c r="E122" s="1"/>
      <c r="F122" s="1"/>
      <c r="G122" s="1" t="s">
        <v>248</v>
      </c>
    </row>
    <row r="123" ht="12.75" customHeight="1">
      <c r="A123" s="1" t="s">
        <v>249</v>
      </c>
      <c r="B123" s="2" t="str">
        <f>HYPERLINK("https://wals.info/values/19A-det","Clicks")</f>
        <v>Clicks</v>
      </c>
      <c r="C123" s="2" t="str">
        <f t="shared" si="1"/>
        <v>Presence of Uncommon Consonants</v>
      </c>
      <c r="D123" s="2" t="str">
        <f>HYPERLINK("https://wals.info/languoid/lect/wals_code_det","Deti")</f>
        <v>Deti</v>
      </c>
      <c r="E123" s="1"/>
      <c r="F123" s="1"/>
      <c r="G123" s="1" t="s">
        <v>250</v>
      </c>
    </row>
    <row r="124" ht="12.75" customHeight="1">
      <c r="A124" s="1" t="s">
        <v>251</v>
      </c>
      <c r="B124" s="2" t="str">
        <f>HYPERLINK("https://wals.info/values/19A-die","None")</f>
        <v>None</v>
      </c>
      <c r="C124" s="2" t="str">
        <f t="shared" si="1"/>
        <v>Presence of Uncommon Consonants</v>
      </c>
      <c r="D124" s="2" t="str">
        <f>HYPERLINK("https://wals.info/languoid/lect/wals_code_die","Diegueño (Mesa Grande)")</f>
        <v>Diegueño (Mesa Grande)</v>
      </c>
      <c r="E124" s="1"/>
      <c r="F124" s="1"/>
      <c r="G124" s="1" t="s">
        <v>252</v>
      </c>
    </row>
    <row r="125" ht="12.75" customHeight="1">
      <c r="A125" s="1" t="s">
        <v>253</v>
      </c>
      <c r="B125" s="2" t="str">
        <f>HYPERLINK("https://wals.info/values/19A-din","None")</f>
        <v>None</v>
      </c>
      <c r="C125" s="2" t="str">
        <f t="shared" si="1"/>
        <v>Presence of Uncommon Consonants</v>
      </c>
      <c r="D125" s="2" t="str">
        <f>HYPERLINK("https://wals.info/languoid/lect/wals_code_din","Dinka")</f>
        <v>Dinka</v>
      </c>
      <c r="E125" s="1"/>
      <c r="F125" s="1"/>
      <c r="G125" s="1" t="s">
        <v>254</v>
      </c>
    </row>
    <row r="126" ht="12.75" customHeight="1">
      <c r="A126" s="1" t="s">
        <v>255</v>
      </c>
      <c r="B126" s="2" t="str">
        <f>HYPERLINK("https://wals.info/values/19A-dio","None")</f>
        <v>None</v>
      </c>
      <c r="C126" s="2" t="str">
        <f t="shared" si="1"/>
        <v>Presence of Uncommon Consonants</v>
      </c>
      <c r="D126" s="2" t="str">
        <f>HYPERLINK("https://wals.info/languoid/lect/wals_code_dio","Diola-Fogny")</f>
        <v>Diola-Fogny</v>
      </c>
      <c r="E126" s="1"/>
      <c r="F126" s="1"/>
      <c r="G126" s="1" t="s">
        <v>256</v>
      </c>
    </row>
    <row r="127" ht="12.75" customHeight="1">
      <c r="A127" s="1" t="s">
        <v>257</v>
      </c>
      <c r="B127" s="2" t="str">
        <f>HYPERLINK("https://wals.info/values/19A-diy","None")</f>
        <v>None</v>
      </c>
      <c r="C127" s="2" t="str">
        <f t="shared" si="1"/>
        <v>Presence of Uncommon Consonants</v>
      </c>
      <c r="D127" s="2" t="str">
        <f>HYPERLINK("https://wals.info/languoid/lect/wals_code_diy","Diyari")</f>
        <v>Diyari</v>
      </c>
      <c r="E127" s="1"/>
      <c r="F127" s="1"/>
      <c r="G127" s="1" t="s">
        <v>258</v>
      </c>
    </row>
    <row r="128" ht="12.75" customHeight="1">
      <c r="A128" s="1" t="s">
        <v>259</v>
      </c>
      <c r="B128" s="2" t="str">
        <f>HYPERLINK("https://wals.info/values/19A-diz","None")</f>
        <v>None</v>
      </c>
      <c r="C128" s="2" t="str">
        <f t="shared" si="1"/>
        <v>Presence of Uncommon Consonants</v>
      </c>
      <c r="D128" s="2" t="str">
        <f>HYPERLINK("https://wals.info/languoid/lect/wals_code_diz","Dizi")</f>
        <v>Dizi</v>
      </c>
      <c r="E128" s="1"/>
      <c r="F128" s="1"/>
      <c r="G128" s="1" t="s">
        <v>260</v>
      </c>
    </row>
    <row r="129" ht="12.75" customHeight="1">
      <c r="A129" s="1" t="s">
        <v>261</v>
      </c>
      <c r="B129" s="2" t="str">
        <f>HYPERLINK("https://wals.info/values/19A-djp","None")</f>
        <v>None</v>
      </c>
      <c r="C129" s="2" t="str">
        <f t="shared" si="1"/>
        <v>Presence of Uncommon Consonants</v>
      </c>
      <c r="D129" s="2" t="str">
        <f>HYPERLINK("https://wals.info/languoid/lect/wals_code_djp","Djapu")</f>
        <v>Djapu</v>
      </c>
      <c r="E129" s="1"/>
      <c r="F129" s="1"/>
      <c r="G129" s="1" t="s">
        <v>262</v>
      </c>
    </row>
    <row r="130" ht="12.75" customHeight="1">
      <c r="A130" s="1" t="s">
        <v>263</v>
      </c>
      <c r="B130" s="2" t="str">
        <f>HYPERLINK("https://wals.info/values/19A-der","None")</f>
        <v>None</v>
      </c>
      <c r="C130" s="2" t="str">
        <f t="shared" si="1"/>
        <v>Presence of Uncommon Consonants</v>
      </c>
      <c r="D130" s="2" t="str">
        <f>HYPERLINK("https://wals.info/languoid/lect/wals_code_der","Dla (Proper)")</f>
        <v>Dla (Proper)</v>
      </c>
      <c r="E130" s="1"/>
      <c r="F130" s="1"/>
      <c r="G130" s="1" t="s">
        <v>264</v>
      </c>
    </row>
    <row r="131" ht="12.75" customHeight="1">
      <c r="A131" s="1" t="s">
        <v>265</v>
      </c>
      <c r="B131" s="2" t="str">
        <f>HYPERLINK("https://wals.info/values/19A-doy","Labial-velars")</f>
        <v>Labial-velars</v>
      </c>
      <c r="C131" s="2" t="str">
        <f t="shared" si="1"/>
        <v>Presence of Uncommon Consonants</v>
      </c>
      <c r="D131" s="2" t="str">
        <f>HYPERLINK("https://wals.info/languoid/lect/wals_code_doy","Doyayo")</f>
        <v>Doyayo</v>
      </c>
      <c r="E131" s="1"/>
      <c r="F131" s="1"/>
      <c r="G131" s="1" t="s">
        <v>266</v>
      </c>
    </row>
    <row r="132" ht="12.75" customHeight="1">
      <c r="A132" s="1" t="s">
        <v>267</v>
      </c>
      <c r="B132" s="2" t="str">
        <f>HYPERLINK("https://wals.info/values/19A-dre","'Th' sounds")</f>
        <v>'Th' sounds</v>
      </c>
      <c r="C132" s="2" t="str">
        <f t="shared" si="1"/>
        <v>Presence of Uncommon Consonants</v>
      </c>
      <c r="D132" s="2" t="str">
        <f>HYPERLINK("https://wals.info/languoid/lect/wals_code_dre","Drehu")</f>
        <v>Drehu</v>
      </c>
      <c r="E132" s="1"/>
      <c r="F132" s="1"/>
      <c r="G132" s="1" t="s">
        <v>268</v>
      </c>
    </row>
    <row r="133" ht="12.75" customHeight="1">
      <c r="A133" s="1" t="s">
        <v>269</v>
      </c>
      <c r="B133" s="2" t="str">
        <f>HYPERLINK("https://wals.info/values/19A-dum","None")</f>
        <v>None</v>
      </c>
      <c r="C133" s="2" t="str">
        <f t="shared" si="1"/>
        <v>Presence of Uncommon Consonants</v>
      </c>
      <c r="D133" s="2" t="str">
        <f>HYPERLINK("https://wals.info/languoid/lect/wals_code_dum","Dumo")</f>
        <v>Dumo</v>
      </c>
      <c r="E133" s="1"/>
      <c r="F133" s="1"/>
      <c r="G133" s="1" t="s">
        <v>270</v>
      </c>
    </row>
    <row r="134" ht="12.75" customHeight="1">
      <c r="A134" s="1" t="s">
        <v>271</v>
      </c>
      <c r="B134" s="2" t="str">
        <f>HYPERLINK("https://wals.info/values/19A-dyi","None")</f>
        <v>None</v>
      </c>
      <c r="C134" s="2" t="str">
        <f t="shared" si="1"/>
        <v>Presence of Uncommon Consonants</v>
      </c>
      <c r="D134" s="2" t="str">
        <f>HYPERLINK("https://wals.info/languoid/lect/wals_code_dyi","Dyirbal")</f>
        <v>Dyirbal</v>
      </c>
      <c r="E134" s="1"/>
      <c r="F134" s="1"/>
      <c r="G134" s="1" t="s">
        <v>272</v>
      </c>
    </row>
    <row r="135" ht="12.75" customHeight="1">
      <c r="A135" s="1" t="s">
        <v>273</v>
      </c>
      <c r="B135" s="2" t="str">
        <f>HYPERLINK("https://wals.info/values/19A-efi","Labial-velars")</f>
        <v>Labial-velars</v>
      </c>
      <c r="C135" s="2" t="str">
        <f t="shared" si="1"/>
        <v>Presence of Uncommon Consonants</v>
      </c>
      <c r="D135" s="2" t="str">
        <f>HYPERLINK("https://wals.info/languoid/lect/wals_code_efi","Efik")</f>
        <v>Efik</v>
      </c>
      <c r="E135" s="1"/>
      <c r="F135" s="1"/>
      <c r="G135" s="1" t="s">
        <v>274</v>
      </c>
    </row>
    <row r="136" ht="12.75" customHeight="1">
      <c r="A136" s="1" t="s">
        <v>275</v>
      </c>
      <c r="B136" s="2" t="str">
        <f>HYPERLINK("https://wals.info/values/19A-eja","Labial-velars")</f>
        <v>Labial-velars</v>
      </c>
      <c r="C136" s="2" t="str">
        <f t="shared" si="1"/>
        <v>Presence of Uncommon Consonants</v>
      </c>
      <c r="D136" s="2" t="str">
        <f>HYPERLINK("https://wals.info/languoid/lect/wals_code_eja","Ejagham")</f>
        <v>Ejagham</v>
      </c>
      <c r="E136" s="1"/>
      <c r="F136" s="1"/>
      <c r="G136" s="1" t="s">
        <v>276</v>
      </c>
    </row>
    <row r="137" ht="12.75" customHeight="1">
      <c r="A137" s="1" t="s">
        <v>277</v>
      </c>
      <c r="B137" s="2" t="str">
        <f>HYPERLINK("https://wals.info/values/19A-eka","None")</f>
        <v>None</v>
      </c>
      <c r="C137" s="2" t="str">
        <f t="shared" si="1"/>
        <v>Presence of Uncommon Consonants</v>
      </c>
      <c r="D137" s="2" t="str">
        <f>HYPERLINK("https://wals.info/languoid/lect/wals_code_eka","Ekari")</f>
        <v>Ekari</v>
      </c>
      <c r="E137" s="1"/>
      <c r="F137" s="1"/>
      <c r="G137" s="1" t="s">
        <v>278</v>
      </c>
    </row>
    <row r="138" ht="12.75" customHeight="1">
      <c r="A138" s="1" t="s">
        <v>279</v>
      </c>
      <c r="B138" s="2" t="str">
        <f>HYPERLINK("https://wals.info/values/19A-eng","'Th' sounds")</f>
        <v>'Th' sounds</v>
      </c>
      <c r="C138" s="2" t="str">
        <f t="shared" si="1"/>
        <v>Presence of Uncommon Consonants</v>
      </c>
      <c r="D138" s="2" t="str">
        <f>HYPERLINK("https://wals.info/languoid/lect/wals_code_eng","English")</f>
        <v>English</v>
      </c>
      <c r="E138" s="1"/>
      <c r="F138" s="1"/>
      <c r="G138" s="1" t="s">
        <v>280</v>
      </c>
    </row>
    <row r="139" ht="12.75" customHeight="1">
      <c r="A139" s="1" t="s">
        <v>281</v>
      </c>
      <c r="B139" s="2" t="str">
        <f>HYPERLINK("https://wals.info/values/19A-epe","None")</f>
        <v>None</v>
      </c>
      <c r="C139" s="2" t="str">
        <f t="shared" si="1"/>
        <v>Presence of Uncommon Consonants</v>
      </c>
      <c r="D139" s="2" t="str">
        <f>HYPERLINK("https://wals.info/languoid/lect/wals_code_epe","Epena Pedee")</f>
        <v>Epena Pedee</v>
      </c>
      <c r="E139" s="1"/>
      <c r="F139" s="1"/>
      <c r="G139" s="1" t="s">
        <v>282</v>
      </c>
    </row>
    <row r="140" ht="12.75" customHeight="1">
      <c r="A140" s="1" t="s">
        <v>283</v>
      </c>
      <c r="B140" s="2" t="str">
        <f>HYPERLINK("https://wals.info/values/19A-evn","None")</f>
        <v>None</v>
      </c>
      <c r="C140" s="2" t="str">
        <f t="shared" si="1"/>
        <v>Presence of Uncommon Consonants</v>
      </c>
      <c r="D140" s="2" t="str">
        <f>HYPERLINK("https://wals.info/languoid/lect/wals_code_evn","Even")</f>
        <v>Even</v>
      </c>
      <c r="E140" s="1"/>
      <c r="F140" s="1"/>
      <c r="G140" s="1" t="s">
        <v>284</v>
      </c>
    </row>
    <row r="141" ht="12.75" customHeight="1">
      <c r="A141" s="1" t="s">
        <v>285</v>
      </c>
      <c r="B141" s="2" t="str">
        <f>HYPERLINK("https://wals.info/values/19A-eve","None")</f>
        <v>None</v>
      </c>
      <c r="C141" s="2" t="str">
        <f t="shared" si="1"/>
        <v>Presence of Uncommon Consonants</v>
      </c>
      <c r="D141" s="2" t="str">
        <f>HYPERLINK("https://wals.info/languoid/lect/wals_code_eve","Evenki")</f>
        <v>Evenki</v>
      </c>
      <c r="E141" s="1"/>
      <c r="F141" s="1"/>
      <c r="G141" s="1" t="s">
        <v>286</v>
      </c>
    </row>
    <row r="142" ht="12.75" customHeight="1">
      <c r="A142" s="1" t="s">
        <v>287</v>
      </c>
      <c r="B142" s="2" t="str">
        <f>HYPERLINK("https://wals.info/values/19A-ewe","Labial-velars")</f>
        <v>Labial-velars</v>
      </c>
      <c r="C142" s="2" t="str">
        <f t="shared" si="1"/>
        <v>Presence of Uncommon Consonants</v>
      </c>
      <c r="D142" s="2" t="str">
        <f>HYPERLINK("https://wals.info/languoid/lect/wals_code_ewe","Ewe")</f>
        <v>Ewe</v>
      </c>
      <c r="E142" s="1"/>
      <c r="F142" s="1"/>
      <c r="G142" s="1" t="s">
        <v>288</v>
      </c>
    </row>
    <row r="143" ht="12.75" customHeight="1">
      <c r="A143" s="1" t="s">
        <v>289</v>
      </c>
      <c r="B143" s="2" t="str">
        <f>HYPERLINK("https://wals.info/values/19A-ewo","Labial-velars")</f>
        <v>Labial-velars</v>
      </c>
      <c r="C143" s="2" t="str">
        <f t="shared" si="1"/>
        <v>Presence of Uncommon Consonants</v>
      </c>
      <c r="D143" s="2" t="str">
        <f>HYPERLINK("https://wals.info/languoid/lect/wals_code_ewo","Ewondo")</f>
        <v>Ewondo</v>
      </c>
      <c r="E143" s="1"/>
      <c r="F143" s="1"/>
      <c r="G143" s="1" t="s">
        <v>290</v>
      </c>
    </row>
    <row r="144" ht="12.75" customHeight="1">
      <c r="A144" s="1" t="s">
        <v>291</v>
      </c>
      <c r="B144" s="2" t="str">
        <f>HYPERLINK("https://wals.info/values/19A-eya","None")</f>
        <v>None</v>
      </c>
      <c r="C144" s="2" t="str">
        <f t="shared" si="1"/>
        <v>Presence of Uncommon Consonants</v>
      </c>
      <c r="D144" s="2" t="str">
        <f>HYPERLINK("https://wals.info/languoid/lect/wals_code_eya","Eyak")</f>
        <v>Eyak</v>
      </c>
      <c r="E144" s="1"/>
      <c r="F144" s="1"/>
      <c r="G144" s="1" t="s">
        <v>292</v>
      </c>
    </row>
    <row r="145" ht="12.75" customHeight="1">
      <c r="A145" s="1" t="s">
        <v>293</v>
      </c>
      <c r="B145" s="2" t="str">
        <f>HYPERLINK("https://wals.info/values/19A-fas","None")</f>
        <v>None</v>
      </c>
      <c r="C145" s="2" t="str">
        <f t="shared" si="1"/>
        <v>Presence of Uncommon Consonants</v>
      </c>
      <c r="D145" s="2" t="str">
        <f>HYPERLINK("https://wals.info/languoid/lect/wals_code_fas","Fasu")</f>
        <v>Fasu</v>
      </c>
      <c r="E145" s="1"/>
      <c r="F145" s="1"/>
      <c r="G145" s="1" t="s">
        <v>294</v>
      </c>
    </row>
    <row r="146" ht="12.75" customHeight="1">
      <c r="A146" s="1" t="s">
        <v>295</v>
      </c>
      <c r="B146" s="2" t="str">
        <f>HYPERLINK("https://wals.info/values/19A-fef","None")</f>
        <v>None</v>
      </c>
      <c r="C146" s="2" t="str">
        <f t="shared" si="1"/>
        <v>Presence of Uncommon Consonants</v>
      </c>
      <c r="D146" s="2" t="str">
        <f>HYPERLINK("https://wals.info/languoid/lect/wals_code_fef","Fe'fe'")</f>
        <v>Fe'fe'</v>
      </c>
      <c r="E146" s="1"/>
      <c r="F146" s="1"/>
      <c r="G146" s="1" t="s">
        <v>296</v>
      </c>
    </row>
    <row r="147" ht="12.75" customHeight="1">
      <c r="A147" s="1" t="s">
        <v>297</v>
      </c>
      <c r="B147" s="2" t="str">
        <f>HYPERLINK("https://wals.info/values/19A-fij","'Th' sounds")</f>
        <v>'Th' sounds</v>
      </c>
      <c r="C147" s="2" t="str">
        <f t="shared" si="1"/>
        <v>Presence of Uncommon Consonants</v>
      </c>
      <c r="D147" s="2" t="str">
        <f>HYPERLINK("https://wals.info/languoid/lect/wals_code_fij","Fijian")</f>
        <v>Fijian</v>
      </c>
      <c r="E147" s="1"/>
      <c r="F147" s="1"/>
      <c r="G147" s="1" t="s">
        <v>298</v>
      </c>
    </row>
    <row r="148" ht="12.75" customHeight="1">
      <c r="A148" s="1" t="s">
        <v>299</v>
      </c>
      <c r="B148" s="2" t="str">
        <f>HYPERLINK("https://wals.info/values/19A-fin","None")</f>
        <v>None</v>
      </c>
      <c r="C148" s="2" t="str">
        <f t="shared" si="1"/>
        <v>Presence of Uncommon Consonants</v>
      </c>
      <c r="D148" s="2" t="str">
        <f>HYPERLINK("https://wals.info/languoid/lect/wals_code_fin","Finnish")</f>
        <v>Finnish</v>
      </c>
      <c r="E148" s="1"/>
      <c r="F148" s="1"/>
      <c r="G148" s="1" t="s">
        <v>300</v>
      </c>
    </row>
    <row r="149" ht="12.75" customHeight="1">
      <c r="A149" s="1" t="s">
        <v>301</v>
      </c>
      <c r="B149" s="2" t="str">
        <f>HYPERLINK("https://wals.info/values/19A-fre","None")</f>
        <v>None</v>
      </c>
      <c r="C149" s="2" t="str">
        <f t="shared" si="1"/>
        <v>Presence of Uncommon Consonants</v>
      </c>
      <c r="D149" s="2" t="str">
        <f>HYPERLINK("https://wals.info/languoid/lect/wals_code_fre","French")</f>
        <v>French</v>
      </c>
      <c r="E149" s="1"/>
      <c r="F149" s="1"/>
      <c r="G149" s="1" t="s">
        <v>302</v>
      </c>
    </row>
    <row r="150" ht="12.75" customHeight="1">
      <c r="A150" s="1" t="s">
        <v>303</v>
      </c>
      <c r="B150" s="2" t="str">
        <f>HYPERLINK("https://wals.info/values/19A-ful","None")</f>
        <v>None</v>
      </c>
      <c r="C150" s="2" t="str">
        <f t="shared" si="1"/>
        <v>Presence of Uncommon Consonants</v>
      </c>
      <c r="D150" s="2" t="str">
        <f>HYPERLINK("https://wals.info/languoid/lect/wals_code_ful","Fulniô")</f>
        <v>Fulniô</v>
      </c>
      <c r="E150" s="1"/>
      <c r="F150" s="1"/>
      <c r="G150" s="1" t="s">
        <v>304</v>
      </c>
    </row>
    <row r="151" ht="12.75" customHeight="1">
      <c r="A151" s="1" t="s">
        <v>305</v>
      </c>
      <c r="B151" s="2" t="str">
        <f>HYPERLINK("https://wals.info/values/19A-fur","None")</f>
        <v>None</v>
      </c>
      <c r="C151" s="2" t="str">
        <f t="shared" si="1"/>
        <v>Presence of Uncommon Consonants</v>
      </c>
      <c r="D151" s="2" t="str">
        <f>HYPERLINK("https://wals.info/languoid/lect/wals_code_fur","Fur")</f>
        <v>Fur</v>
      </c>
      <c r="E151" s="1"/>
      <c r="F151" s="1"/>
      <c r="G151" s="1" t="s">
        <v>306</v>
      </c>
    </row>
    <row r="152" ht="12.75" customHeight="1">
      <c r="A152" s="1" t="s">
        <v>307</v>
      </c>
      <c r="B152" s="2" t="str">
        <f>HYPERLINK("https://wals.info/values/19A-fuz","None")</f>
        <v>None</v>
      </c>
      <c r="C152" s="2" t="str">
        <f t="shared" si="1"/>
        <v>Presence of Uncommon Consonants</v>
      </c>
      <c r="D152" s="2" t="str">
        <f>HYPERLINK("https://wals.info/languoid/lect/wals_code_fuz","Fuzhou")</f>
        <v>Fuzhou</v>
      </c>
      <c r="E152" s="1"/>
      <c r="F152" s="1"/>
      <c r="G152" s="1" t="s">
        <v>308</v>
      </c>
    </row>
    <row r="153" ht="12.75" customHeight="1">
      <c r="A153" s="1" t="s">
        <v>309</v>
      </c>
      <c r="B153" s="2" t="str">
        <f>HYPERLINK("https://wals.info/values/19A-fye","None")</f>
        <v>None</v>
      </c>
      <c r="C153" s="2" t="str">
        <f t="shared" si="1"/>
        <v>Presence of Uncommon Consonants</v>
      </c>
      <c r="D153" s="2" t="str">
        <f>HYPERLINK("https://wals.info/languoid/lect/wals_code_fye","Fyem")</f>
        <v>Fyem</v>
      </c>
      <c r="E153" s="1"/>
      <c r="F153" s="1"/>
      <c r="G153" s="1" t="s">
        <v>310</v>
      </c>
    </row>
    <row r="154" ht="12.75" customHeight="1">
      <c r="A154" s="1" t="s">
        <v>311</v>
      </c>
      <c r="B154" s="2" t="str">
        <f>HYPERLINK("https://wals.info/values/19A-ga","Labial-velars")</f>
        <v>Labial-velars</v>
      </c>
      <c r="C154" s="2" t="str">
        <f t="shared" si="1"/>
        <v>Presence of Uncommon Consonants</v>
      </c>
      <c r="D154" s="2" t="str">
        <f>HYPERLINK("https://wals.info/languoid/lect/wals_code_ga","Gã")</f>
        <v>Gã</v>
      </c>
      <c r="E154" s="1"/>
      <c r="F154" s="1"/>
      <c r="G154" s="1" t="s">
        <v>312</v>
      </c>
    </row>
    <row r="155" ht="12.75" customHeight="1">
      <c r="A155" s="1" t="s">
        <v>313</v>
      </c>
      <c r="B155" s="2" t="str">
        <f>HYPERLINK("https://wals.info/values/19A-gds","None")</f>
        <v>None</v>
      </c>
      <c r="C155" s="2" t="str">
        <f t="shared" si="1"/>
        <v>Presence of Uncommon Consonants</v>
      </c>
      <c r="D155" s="2" t="str">
        <f>HYPERLINK("https://wals.info/languoid/lect/wals_code_gds","Gadsup")</f>
        <v>Gadsup</v>
      </c>
      <c r="E155" s="1"/>
      <c r="F155" s="1"/>
      <c r="G155" s="1" t="s">
        <v>314</v>
      </c>
    </row>
    <row r="156" ht="12.75" customHeight="1">
      <c r="A156" s="1" t="s">
        <v>315</v>
      </c>
      <c r="B156" s="2" t="str">
        <f>HYPERLINK("https://wals.info/values/19A-gar","None")</f>
        <v>None</v>
      </c>
      <c r="C156" s="2" t="str">
        <f t="shared" si="1"/>
        <v>Presence of Uncommon Consonants</v>
      </c>
      <c r="D156" s="2" t="str">
        <f>HYPERLINK("https://wals.info/languoid/lect/wals_code_gar","Garo")</f>
        <v>Garo</v>
      </c>
      <c r="E156" s="1"/>
      <c r="F156" s="1"/>
      <c r="G156" s="1" t="s">
        <v>316</v>
      </c>
    </row>
    <row r="157" ht="12.75" customHeight="1">
      <c r="A157" s="1" t="s">
        <v>317</v>
      </c>
      <c r="B157" s="2" t="str">
        <f>HYPERLINK("https://wals.info/values/19A-grr","None")</f>
        <v>None</v>
      </c>
      <c r="C157" s="2" t="str">
        <f t="shared" si="1"/>
        <v>Presence of Uncommon Consonants</v>
      </c>
      <c r="D157" s="2" t="str">
        <f>HYPERLINK("https://wals.info/languoid/lect/wals_code_grr","Garrwa")</f>
        <v>Garrwa</v>
      </c>
      <c r="E157" s="1"/>
      <c r="F157" s="1"/>
      <c r="G157" s="1" t="s">
        <v>318</v>
      </c>
    </row>
    <row r="158" ht="12.75" customHeight="1">
      <c r="A158" s="1" t="s">
        <v>319</v>
      </c>
      <c r="B158" s="2" t="str">
        <f>HYPERLINK("https://wals.info/values/19A-gbb","Labial-velars")</f>
        <v>Labial-velars</v>
      </c>
      <c r="C158" s="2" t="str">
        <f t="shared" si="1"/>
        <v>Presence of Uncommon Consonants</v>
      </c>
      <c r="D158" s="2" t="str">
        <f>HYPERLINK("https://wals.info/languoid/lect/wals_code_gbb","Gbeya Bossangoa")</f>
        <v>Gbeya Bossangoa</v>
      </c>
      <c r="E158" s="1"/>
      <c r="F158" s="1"/>
      <c r="G158" s="1" t="s">
        <v>320</v>
      </c>
    </row>
    <row r="159" ht="12.75" customHeight="1">
      <c r="A159" s="1" t="s">
        <v>321</v>
      </c>
      <c r="B159" s="2" t="str">
        <f>HYPERLINK("https://wals.info/values/19A-gla","None")</f>
        <v>None</v>
      </c>
      <c r="C159" s="2" t="str">
        <f t="shared" si="1"/>
        <v>Presence of Uncommon Consonants</v>
      </c>
      <c r="D159" s="2" t="str">
        <f>HYPERLINK("https://wals.info/languoid/lect/wals_code_gla","Gelao")</f>
        <v>Gelao</v>
      </c>
      <c r="E159" s="1"/>
      <c r="F159" s="1"/>
      <c r="G159" s="1" t="s">
        <v>322</v>
      </c>
    </row>
    <row r="160" ht="12.75" customHeight="1">
      <c r="A160" s="1" t="s">
        <v>323</v>
      </c>
      <c r="B160" s="2" t="str">
        <f>HYPERLINK("https://wals.info/values/19A-geo","None")</f>
        <v>None</v>
      </c>
      <c r="C160" s="2" t="str">
        <f t="shared" si="1"/>
        <v>Presence of Uncommon Consonants</v>
      </c>
      <c r="D160" s="2" t="str">
        <f>HYPERLINK("https://wals.info/languoid/lect/wals_code_geo","Georgian")</f>
        <v>Georgian</v>
      </c>
      <c r="E160" s="1"/>
      <c r="F160" s="1"/>
      <c r="G160" s="1" t="s">
        <v>324</v>
      </c>
    </row>
    <row r="161" ht="12.75" customHeight="1">
      <c r="A161" s="1" t="s">
        <v>325</v>
      </c>
      <c r="B161" s="2" t="str">
        <f>HYPERLINK("https://wals.info/values/19A-ger","None")</f>
        <v>None</v>
      </c>
      <c r="C161" s="2" t="str">
        <f t="shared" si="1"/>
        <v>Presence of Uncommon Consonants</v>
      </c>
      <c r="D161" s="2" t="str">
        <f>HYPERLINK("https://wals.info/languoid/lect/wals_code_ger","German")</f>
        <v>German</v>
      </c>
      <c r="E161" s="1"/>
      <c r="F161" s="1"/>
      <c r="G161" s="1" t="s">
        <v>326</v>
      </c>
    </row>
    <row r="162" ht="12.75" customHeight="1">
      <c r="A162" s="1" t="s">
        <v>327</v>
      </c>
      <c r="B162" s="2" t="str">
        <f>HYPERLINK("https://wals.info/values/19A-goa","None")</f>
        <v>None</v>
      </c>
      <c r="C162" s="2" t="str">
        <f t="shared" si="1"/>
        <v>Presence of Uncommon Consonants</v>
      </c>
      <c r="D162" s="2" t="str">
        <f>HYPERLINK("https://wals.info/languoid/lect/wals_code_goa","Goajiro")</f>
        <v>Goajiro</v>
      </c>
      <c r="E162" s="1"/>
      <c r="F162" s="1"/>
      <c r="G162" s="1" t="s">
        <v>328</v>
      </c>
    </row>
    <row r="163" ht="12.75" customHeight="1">
      <c r="A163" s="1" t="s">
        <v>329</v>
      </c>
      <c r="B163" s="2" t="str">
        <f>HYPERLINK("https://wals.info/values/19A-goo","None")</f>
        <v>None</v>
      </c>
      <c r="C163" s="2" t="str">
        <f t="shared" si="1"/>
        <v>Presence of Uncommon Consonants</v>
      </c>
      <c r="D163" s="2" t="str">
        <f>HYPERLINK("https://wals.info/languoid/lect/wals_code_goo","Gooniyandi")</f>
        <v>Gooniyandi</v>
      </c>
      <c r="E163" s="1"/>
      <c r="F163" s="1"/>
      <c r="G163" s="1" t="s">
        <v>330</v>
      </c>
    </row>
    <row r="164" ht="12.75" customHeight="1">
      <c r="A164" s="1" t="s">
        <v>331</v>
      </c>
      <c r="B164" s="2" t="str">
        <f>HYPERLINK("https://wals.info/values/19A-gan","None")</f>
        <v>None</v>
      </c>
      <c r="C164" s="2" t="str">
        <f t="shared" si="1"/>
        <v>Presence of Uncommon Consonants</v>
      </c>
      <c r="D164" s="2" t="str">
        <f>HYPERLINK("https://wals.info/languoid/lect/wals_code_gan","Great Andamanese")</f>
        <v>Great Andamanese</v>
      </c>
      <c r="E164" s="1"/>
      <c r="F164" s="1"/>
      <c r="G164" s="1" t="s">
        <v>332</v>
      </c>
    </row>
    <row r="165" ht="12.75" customHeight="1">
      <c r="A165" s="1" t="s">
        <v>333</v>
      </c>
      <c r="B165" s="2" t="str">
        <f>HYPERLINK("https://wals.info/values/19A-grb","Labial-velars")</f>
        <v>Labial-velars</v>
      </c>
      <c r="C165" s="2" t="str">
        <f t="shared" si="1"/>
        <v>Presence of Uncommon Consonants</v>
      </c>
      <c r="D165" s="2" t="str">
        <f>HYPERLINK("https://wals.info/languoid/lect/wals_code_grb","Grebo")</f>
        <v>Grebo</v>
      </c>
      <c r="E165" s="1"/>
      <c r="F165" s="1"/>
      <c r="G165" s="1" t="s">
        <v>334</v>
      </c>
    </row>
    <row r="166" ht="12.75" customHeight="1">
      <c r="A166" s="1" t="s">
        <v>335</v>
      </c>
      <c r="B166" s="2" t="str">
        <f>HYPERLINK("https://wals.info/values/19A-grk","'Th' sounds")</f>
        <v>'Th' sounds</v>
      </c>
      <c r="C166" s="2" t="str">
        <f t="shared" si="1"/>
        <v>Presence of Uncommon Consonants</v>
      </c>
      <c r="D166" s="2" t="str">
        <f>HYPERLINK("https://wals.info/languoid/lect/wals_code_grk","Greek (Modern)")</f>
        <v>Greek (Modern)</v>
      </c>
      <c r="E166" s="1"/>
      <c r="F166" s="1"/>
      <c r="G166" s="1" t="s">
        <v>336</v>
      </c>
    </row>
    <row r="167" ht="12.75" customHeight="1">
      <c r="A167" s="1" t="s">
        <v>337</v>
      </c>
      <c r="B167" s="2" t="str">
        <f>HYPERLINK("https://wals.info/values/19A-grw","None")</f>
        <v>None</v>
      </c>
      <c r="C167" s="2" t="str">
        <f t="shared" si="1"/>
        <v>Presence of Uncommon Consonants</v>
      </c>
      <c r="D167" s="2" t="str">
        <f>HYPERLINK("https://wals.info/languoid/lect/wals_code_grw","Greenlandic (West)")</f>
        <v>Greenlandic (West)</v>
      </c>
      <c r="E167" s="1"/>
      <c r="F167" s="1"/>
      <c r="G167" s="1" t="s">
        <v>338</v>
      </c>
    </row>
    <row r="168" ht="12.75" customHeight="1">
      <c r="A168" s="1" t="s">
        <v>339</v>
      </c>
      <c r="B168" s="2" t="str">
        <f>HYPERLINK("https://wals.info/values/19A-ghb","None")</f>
        <v>None</v>
      </c>
      <c r="C168" s="2" t="str">
        <f t="shared" si="1"/>
        <v>Presence of Uncommon Consonants</v>
      </c>
      <c r="D168" s="2" t="str">
        <f>HYPERLINK("https://wals.info/languoid/lect/wals_code_ghb","Guahibo")</f>
        <v>Guahibo</v>
      </c>
      <c r="E168" s="1"/>
      <c r="F168" s="1"/>
      <c r="G168" s="1" t="s">
        <v>340</v>
      </c>
    </row>
    <row r="169" ht="12.75" customHeight="1">
      <c r="A169" s="1" t="s">
        <v>341</v>
      </c>
      <c r="B169" s="2" t="str">
        <f>HYPERLINK("https://wals.info/values/19A-gmb","None")</f>
        <v>None</v>
      </c>
      <c r="C169" s="2" t="str">
        <f t="shared" si="1"/>
        <v>Presence of Uncommon Consonants</v>
      </c>
      <c r="D169" s="2" t="str">
        <f>HYPERLINK("https://wals.info/languoid/lect/wals_code_gmb","Guambiano")</f>
        <v>Guambiano</v>
      </c>
      <c r="E169" s="1"/>
      <c r="F169" s="1"/>
      <c r="G169" s="1" t="s">
        <v>342</v>
      </c>
    </row>
    <row r="170" ht="12.75" customHeight="1">
      <c r="A170" s="1" t="s">
        <v>343</v>
      </c>
      <c r="B170" s="2" t="str">
        <f>HYPERLINK("https://wals.info/values/19A-gua","None")</f>
        <v>None</v>
      </c>
      <c r="C170" s="2" t="str">
        <f t="shared" si="1"/>
        <v>Presence of Uncommon Consonants</v>
      </c>
      <c r="D170" s="2" t="str">
        <f>HYPERLINK("https://wals.info/languoid/lect/wals_code_gua","Guaraní")</f>
        <v>Guaraní</v>
      </c>
      <c r="E170" s="1"/>
      <c r="F170" s="1"/>
      <c r="G170" s="1" t="s">
        <v>344</v>
      </c>
    </row>
    <row r="171" ht="12.75" customHeight="1">
      <c r="A171" s="1" t="s">
        <v>345</v>
      </c>
      <c r="B171" s="2" t="str">
        <f>HYPERLINK("https://wals.info/values/19A-gwa","Labial-velars")</f>
        <v>Labial-velars</v>
      </c>
      <c r="C171" s="2" t="str">
        <f t="shared" si="1"/>
        <v>Presence of Uncommon Consonants</v>
      </c>
      <c r="D171" s="2" t="str">
        <f>HYPERLINK("https://wals.info/languoid/lect/wals_code_gwa","Gwari")</f>
        <v>Gwari</v>
      </c>
      <c r="E171" s="1"/>
      <c r="F171" s="1"/>
      <c r="G171" s="1" t="s">
        <v>346</v>
      </c>
    </row>
    <row r="172" ht="12.75" customHeight="1">
      <c r="A172" s="1" t="s">
        <v>347</v>
      </c>
      <c r="B172" s="2" t="str">
        <f>HYPERLINK("https://wals.info/values/19A-had","Clicks")</f>
        <v>Clicks</v>
      </c>
      <c r="C172" s="2" t="str">
        <f t="shared" si="1"/>
        <v>Presence of Uncommon Consonants</v>
      </c>
      <c r="D172" s="2" t="str">
        <f>HYPERLINK("https://wals.info/languoid/lect/wals_code_had","Hadza")</f>
        <v>Hadza</v>
      </c>
      <c r="E172" s="1"/>
      <c r="F172" s="1"/>
      <c r="G172" s="1" t="s">
        <v>348</v>
      </c>
    </row>
    <row r="173" ht="12.75" customHeight="1">
      <c r="A173" s="1" t="s">
        <v>349</v>
      </c>
      <c r="B173" s="2" t="str">
        <f>HYPERLINK("https://wals.info/values/19A-hai","None")</f>
        <v>None</v>
      </c>
      <c r="C173" s="2" t="str">
        <f t="shared" si="1"/>
        <v>Presence of Uncommon Consonants</v>
      </c>
      <c r="D173" s="2" t="str">
        <f>HYPERLINK("https://wals.info/languoid/lect/wals_code_hai","Haida")</f>
        <v>Haida</v>
      </c>
      <c r="E173" s="1"/>
      <c r="F173" s="1"/>
      <c r="G173" s="1" t="s">
        <v>350</v>
      </c>
    </row>
    <row r="174" ht="12.75" customHeight="1">
      <c r="A174" s="1" t="s">
        <v>351</v>
      </c>
      <c r="B174" s="2" t="str">
        <f>HYPERLINK("https://wals.info/values/19A-hak","None")</f>
        <v>None</v>
      </c>
      <c r="C174" s="2" t="str">
        <f t="shared" si="1"/>
        <v>Presence of Uncommon Consonants</v>
      </c>
      <c r="D174" s="2" t="str">
        <f>HYPERLINK("https://wals.info/languoid/lect/wals_code_hak","Hakka")</f>
        <v>Hakka</v>
      </c>
      <c r="E174" s="1"/>
      <c r="F174" s="1"/>
      <c r="G174" s="1" t="s">
        <v>352</v>
      </c>
    </row>
    <row r="175" ht="12.75" customHeight="1">
      <c r="A175" s="1" t="s">
        <v>353</v>
      </c>
      <c r="B175" s="2" t="str">
        <f>HYPERLINK("https://wals.info/values/19A-hmr","None")</f>
        <v>None</v>
      </c>
      <c r="C175" s="2" t="str">
        <f t="shared" si="1"/>
        <v>Presence of Uncommon Consonants</v>
      </c>
      <c r="D175" s="2" t="str">
        <f>HYPERLINK("https://wals.info/languoid/lect/wals_code_hmr","Hamer")</f>
        <v>Hamer</v>
      </c>
      <c r="E175" s="1"/>
      <c r="F175" s="1"/>
      <c r="G175" s="1" t="s">
        <v>354</v>
      </c>
    </row>
    <row r="176" ht="12.75" customHeight="1">
      <c r="A176" s="1" t="s">
        <v>355</v>
      </c>
      <c r="B176" s="2" t="str">
        <f>HYPERLINK("https://wals.info/values/19A-ham","None")</f>
        <v>None</v>
      </c>
      <c r="C176" s="2" t="str">
        <f t="shared" si="1"/>
        <v>Presence of Uncommon Consonants</v>
      </c>
      <c r="D176" s="2" t="str">
        <f>HYPERLINK("https://wals.info/languoid/lect/wals_code_ham","Hamtai")</f>
        <v>Hamtai</v>
      </c>
      <c r="E176" s="1"/>
      <c r="F176" s="1"/>
      <c r="G176" s="1" t="s">
        <v>356</v>
      </c>
    </row>
    <row r="177" ht="12.75" customHeight="1">
      <c r="A177" s="1" t="s">
        <v>357</v>
      </c>
      <c r="B177" s="2" t="str">
        <f>HYPERLINK("https://wals.info/values/19A-hau","None")</f>
        <v>None</v>
      </c>
      <c r="C177" s="2" t="str">
        <f t="shared" si="1"/>
        <v>Presence of Uncommon Consonants</v>
      </c>
      <c r="D177" s="2" t="str">
        <f>HYPERLINK("https://wals.info/languoid/lect/wals_code_hau","Hausa")</f>
        <v>Hausa</v>
      </c>
      <c r="E177" s="1"/>
      <c r="F177" s="1"/>
      <c r="G177" s="1" t="s">
        <v>358</v>
      </c>
    </row>
    <row r="178" ht="12.75" customHeight="1">
      <c r="A178" s="1" t="s">
        <v>359</v>
      </c>
      <c r="B178" s="2" t="str">
        <f>HYPERLINK("https://wals.info/values/19A-haw","None")</f>
        <v>None</v>
      </c>
      <c r="C178" s="2" t="str">
        <f t="shared" si="1"/>
        <v>Presence of Uncommon Consonants</v>
      </c>
      <c r="D178" s="2" t="str">
        <f>HYPERLINK("https://wals.info/languoid/lect/wals_code_haw","Hawaiian")</f>
        <v>Hawaiian</v>
      </c>
      <c r="E178" s="1"/>
      <c r="F178" s="1"/>
      <c r="G178" s="1" t="s">
        <v>360</v>
      </c>
    </row>
    <row r="179" ht="12.75" customHeight="1">
      <c r="A179" s="1" t="s">
        <v>361</v>
      </c>
      <c r="B179" s="2" t="str">
        <f>HYPERLINK("https://wals.info/values/19A-hba","None")</f>
        <v>None</v>
      </c>
      <c r="C179" s="2" t="str">
        <f t="shared" si="1"/>
        <v>Presence of Uncommon Consonants</v>
      </c>
      <c r="D179" s="2" t="str">
        <f>HYPERLINK("https://wals.info/languoid/lect/wals_code_hba","Hebrew (Modern Ashkenazic)")</f>
        <v>Hebrew (Modern Ashkenazic)</v>
      </c>
      <c r="E179" s="1"/>
      <c r="F179" s="1"/>
      <c r="G179" s="1" t="s">
        <v>362</v>
      </c>
    </row>
    <row r="180" ht="12.75" customHeight="1">
      <c r="A180" s="1" t="s">
        <v>363</v>
      </c>
      <c r="B180" s="2" t="str">
        <f>HYPERLINK("https://wals.info/values/19A-hin","None")</f>
        <v>None</v>
      </c>
      <c r="C180" s="2" t="str">
        <f t="shared" si="1"/>
        <v>Presence of Uncommon Consonants</v>
      </c>
      <c r="D180" s="2" t="str">
        <f>HYPERLINK("https://wals.info/languoid/lect/wals_code_hin","Hindi")</f>
        <v>Hindi</v>
      </c>
      <c r="E180" s="1"/>
      <c r="F180" s="1"/>
      <c r="G180" s="1" t="s">
        <v>364</v>
      </c>
    </row>
    <row r="181" ht="12.75" customHeight="1">
      <c r="A181" s="1" t="s">
        <v>365</v>
      </c>
      <c r="B181" s="2" t="str">
        <f>HYPERLINK("https://wals.info/values/19A-hix","None")</f>
        <v>None</v>
      </c>
      <c r="C181" s="2" t="str">
        <f t="shared" si="1"/>
        <v>Presence of Uncommon Consonants</v>
      </c>
      <c r="D181" s="2" t="str">
        <f>HYPERLINK("https://wals.info/languoid/lect/wals_code_hix","Hixkaryana")</f>
        <v>Hixkaryana</v>
      </c>
      <c r="E181" s="1"/>
      <c r="F181" s="1"/>
      <c r="G181" s="1" t="s">
        <v>366</v>
      </c>
    </row>
    <row r="182" ht="12.75" customHeight="1">
      <c r="A182" s="1" t="s">
        <v>367</v>
      </c>
      <c r="B182" s="2" t="str">
        <f>HYPERLINK("https://wals.info/values/19A-hmo","None")</f>
        <v>None</v>
      </c>
      <c r="C182" s="2" t="str">
        <f t="shared" si="1"/>
        <v>Presence of Uncommon Consonants</v>
      </c>
      <c r="D182" s="2" t="str">
        <f>HYPERLINK("https://wals.info/languoid/lect/wals_code_hmo","Hmong Njua")</f>
        <v>Hmong Njua</v>
      </c>
      <c r="E182" s="1"/>
      <c r="F182" s="1"/>
      <c r="G182" s="1" t="s">
        <v>368</v>
      </c>
    </row>
    <row r="183" ht="12.75" customHeight="1">
      <c r="A183" s="1" t="s">
        <v>369</v>
      </c>
      <c r="B183" s="2" t="str">
        <f>HYPERLINK("https://wals.info/values/19A-hop","None")</f>
        <v>None</v>
      </c>
      <c r="C183" s="2" t="str">
        <f t="shared" si="1"/>
        <v>Presence of Uncommon Consonants</v>
      </c>
      <c r="D183" s="2" t="str">
        <f>HYPERLINK("https://wals.info/languoid/lect/wals_code_hop","Hopi")</f>
        <v>Hopi</v>
      </c>
      <c r="E183" s="1"/>
      <c r="F183" s="1"/>
      <c r="G183" s="1" t="s">
        <v>370</v>
      </c>
    </row>
    <row r="184" ht="12.75" customHeight="1">
      <c r="A184" s="1" t="s">
        <v>371</v>
      </c>
      <c r="B184" s="2" t="str">
        <f>HYPERLINK("https://wals.info/values/19A-htc","'Th' sounds")</f>
        <v>'Th' sounds</v>
      </c>
      <c r="C184" s="2" t="str">
        <f t="shared" si="1"/>
        <v>Presence of Uncommon Consonants</v>
      </c>
      <c r="D184" s="2" t="str">
        <f>HYPERLINK("https://wals.info/languoid/lect/wals_code_htc","Huastec")</f>
        <v>Huastec</v>
      </c>
      <c r="E184" s="1"/>
      <c r="F184" s="1"/>
      <c r="G184" s="1" t="s">
        <v>372</v>
      </c>
    </row>
    <row r="185" ht="12.75" customHeight="1">
      <c r="A185" s="1" t="s">
        <v>373</v>
      </c>
      <c r="B185" s="2" t="str">
        <f>HYPERLINK("https://wals.info/values/19A-hve","'Th' sounds")</f>
        <v>'Th' sounds</v>
      </c>
      <c r="C185" s="2" t="str">
        <f t="shared" si="1"/>
        <v>Presence of Uncommon Consonants</v>
      </c>
      <c r="D185" s="2" t="str">
        <f>HYPERLINK("https://wals.info/languoid/lect/wals_code_hve","Huave (San Mateo del Mar)")</f>
        <v>Huave (San Mateo del Mar)</v>
      </c>
      <c r="E185" s="1"/>
      <c r="F185" s="1"/>
      <c r="G185" s="1" t="s">
        <v>374</v>
      </c>
    </row>
    <row r="186" ht="12.75" customHeight="1">
      <c r="A186" s="1" t="s">
        <v>375</v>
      </c>
      <c r="B186" s="2" t="str">
        <f>HYPERLINK("https://wals.info/values/19A-hum","'Th' sounds")</f>
        <v>'Th' sounds</v>
      </c>
      <c r="C186" s="2" t="str">
        <f t="shared" si="1"/>
        <v>Presence of Uncommon Consonants</v>
      </c>
      <c r="D186" s="2" t="str">
        <f>HYPERLINK("https://wals.info/languoid/lect/wals_code_hum","Huitoto (Murui)")</f>
        <v>Huitoto (Murui)</v>
      </c>
      <c r="E186" s="1"/>
      <c r="F186" s="1"/>
      <c r="G186" s="1" t="s">
        <v>376</v>
      </c>
    </row>
    <row r="187" ht="12.75" customHeight="1">
      <c r="A187" s="1" t="s">
        <v>377</v>
      </c>
      <c r="B187" s="2" t="str">
        <f>HYPERLINK("https://wals.info/values/19A-hun","None")</f>
        <v>None</v>
      </c>
      <c r="C187" s="2" t="str">
        <f t="shared" si="1"/>
        <v>Presence of Uncommon Consonants</v>
      </c>
      <c r="D187" s="2" t="str">
        <f>HYPERLINK("https://wals.info/languoid/lect/wals_code_hun","Hungarian")</f>
        <v>Hungarian</v>
      </c>
      <c r="E187" s="1"/>
      <c r="F187" s="1"/>
      <c r="G187" s="1" t="s">
        <v>378</v>
      </c>
    </row>
    <row r="188" ht="12.75" customHeight="1">
      <c r="A188" s="1" t="s">
        <v>379</v>
      </c>
      <c r="B188" s="2" t="str">
        <f>HYPERLINK("https://wals.info/values/19A-hzb","Pharyngeals")</f>
        <v>Pharyngeals</v>
      </c>
      <c r="C188" s="2" t="str">
        <f t="shared" si="1"/>
        <v>Presence of Uncommon Consonants</v>
      </c>
      <c r="D188" s="2" t="str">
        <f>HYPERLINK("https://wals.info/languoid/lect/wals_code_hzb","Hunzib")</f>
        <v>Hunzib</v>
      </c>
      <c r="E188" s="1"/>
      <c r="F188" s="1"/>
      <c r="G188" s="1" t="s">
        <v>380</v>
      </c>
    </row>
    <row r="189" ht="12.75" customHeight="1">
      <c r="A189" s="1" t="s">
        <v>381</v>
      </c>
      <c r="B189" s="2" t="str">
        <f>HYPERLINK("https://wals.info/values/19A-hup","None")</f>
        <v>None</v>
      </c>
      <c r="C189" s="2" t="str">
        <f t="shared" si="1"/>
        <v>Presence of Uncommon Consonants</v>
      </c>
      <c r="D189" s="2" t="str">
        <f>HYPERLINK("https://wals.info/languoid/lect/wals_code_hup","Hupa")</f>
        <v>Hupa</v>
      </c>
      <c r="E189" s="1"/>
      <c r="F189" s="1"/>
      <c r="G189" s="1" t="s">
        <v>382</v>
      </c>
    </row>
    <row r="190" ht="12.75" customHeight="1">
      <c r="A190" s="1" t="s">
        <v>383</v>
      </c>
      <c r="B190" s="2" t="str">
        <f>HYPERLINK("https://wals.info/values/19A-iaa","'Th' sounds")</f>
        <v>'Th' sounds</v>
      </c>
      <c r="C190" s="2" t="str">
        <f t="shared" si="1"/>
        <v>Presence of Uncommon Consonants</v>
      </c>
      <c r="D190" s="2" t="str">
        <f>HYPERLINK("https://wals.info/languoid/lect/wals_code_iaa","Iaai")</f>
        <v>Iaai</v>
      </c>
      <c r="E190" s="1"/>
      <c r="F190" s="1"/>
      <c r="G190" s="1" t="s">
        <v>384</v>
      </c>
    </row>
    <row r="191" ht="12.75" customHeight="1">
      <c r="A191" s="1" t="s">
        <v>385</v>
      </c>
      <c r="B191" s="2" t="str">
        <f>HYPERLINK("https://wals.info/values/19A-iba","None")</f>
        <v>None</v>
      </c>
      <c r="C191" s="2" t="str">
        <f t="shared" si="1"/>
        <v>Presence of Uncommon Consonants</v>
      </c>
      <c r="D191" s="2" t="str">
        <f>HYPERLINK("https://wals.info/languoid/lect/wals_code_iba","Iban")</f>
        <v>Iban</v>
      </c>
      <c r="E191" s="1"/>
      <c r="F191" s="1"/>
      <c r="G191" s="1" t="s">
        <v>386</v>
      </c>
    </row>
    <row r="192" ht="12.75" customHeight="1">
      <c r="A192" s="1" t="s">
        <v>387</v>
      </c>
      <c r="B192" s="2" t="str">
        <f>HYPERLINK("https://wals.info/values/19A-igb","Labial-velars")</f>
        <v>Labial-velars</v>
      </c>
      <c r="C192" s="2" t="str">
        <f t="shared" si="1"/>
        <v>Presence of Uncommon Consonants</v>
      </c>
      <c r="D192" s="2" t="str">
        <f>HYPERLINK("https://wals.info/languoid/lect/wals_code_igb","Igbo")</f>
        <v>Igbo</v>
      </c>
      <c r="E192" s="1"/>
      <c r="F192" s="1"/>
      <c r="G192" s="1" t="s">
        <v>388</v>
      </c>
    </row>
    <row r="193" ht="12.75" customHeight="1">
      <c r="A193" s="1" t="s">
        <v>389</v>
      </c>
      <c r="B193" s="2" t="str">
        <f>HYPERLINK("https://wals.info/values/19A-ign","None")</f>
        <v>None</v>
      </c>
      <c r="C193" s="2" t="str">
        <f t="shared" si="1"/>
        <v>Presence of Uncommon Consonants</v>
      </c>
      <c r="D193" s="2" t="str">
        <f>HYPERLINK("https://wals.info/languoid/lect/wals_code_ign","Ignaciano")</f>
        <v>Ignaciano</v>
      </c>
      <c r="E193" s="1"/>
      <c r="F193" s="1"/>
      <c r="G193" s="1" t="s">
        <v>390</v>
      </c>
    </row>
    <row r="194" ht="12.75" customHeight="1">
      <c r="A194" s="1" t="s">
        <v>391</v>
      </c>
      <c r="B194" s="2" t="str">
        <f>HYPERLINK("https://wals.info/values/19A-ijo","Labial-velars")</f>
        <v>Labial-velars</v>
      </c>
      <c r="C194" s="2" t="str">
        <f t="shared" si="1"/>
        <v>Presence of Uncommon Consonants</v>
      </c>
      <c r="D194" s="2" t="str">
        <f>HYPERLINK("https://wals.info/languoid/lect/wals_code_ijo","Ijo (Kolokuma)")</f>
        <v>Ijo (Kolokuma)</v>
      </c>
      <c r="E194" s="1"/>
      <c r="F194" s="1"/>
      <c r="G194" s="1" t="s">
        <v>392</v>
      </c>
    </row>
    <row r="195" ht="12.75" customHeight="1">
      <c r="A195" s="1" t="s">
        <v>393</v>
      </c>
      <c r="B195" s="2" t="str">
        <f>HYPERLINK("https://wals.info/values/19A-ik","None")</f>
        <v>None</v>
      </c>
      <c r="C195" s="2" t="str">
        <f t="shared" si="1"/>
        <v>Presence of Uncommon Consonants</v>
      </c>
      <c r="D195" s="2" t="str">
        <f>HYPERLINK("https://wals.info/languoid/lect/wals_code_ik","Ik")</f>
        <v>Ik</v>
      </c>
      <c r="E195" s="1"/>
      <c r="F195" s="1"/>
      <c r="G195" s="1" t="s">
        <v>394</v>
      </c>
    </row>
    <row r="196" ht="12.75" customHeight="1">
      <c r="A196" s="1" t="s">
        <v>395</v>
      </c>
      <c r="B196" s="2" t="str">
        <f>HYPERLINK("https://wals.info/values/19A-ika","None")</f>
        <v>None</v>
      </c>
      <c r="C196" s="2" t="str">
        <f t="shared" si="1"/>
        <v>Presence of Uncommon Consonants</v>
      </c>
      <c r="D196" s="2" t="str">
        <f>HYPERLINK("https://wals.info/languoid/lect/wals_code_ika","Ika")</f>
        <v>Ika</v>
      </c>
      <c r="E196" s="1"/>
      <c r="F196" s="1"/>
      <c r="G196" s="1" t="s">
        <v>396</v>
      </c>
    </row>
    <row r="197" ht="12.75" customHeight="1">
      <c r="A197" s="1" t="s">
        <v>397</v>
      </c>
      <c r="B197" s="2" t="str">
        <f>HYPERLINK("https://wals.info/values/19A-imo","None")</f>
        <v>None</v>
      </c>
      <c r="C197" s="2" t="str">
        <f t="shared" si="1"/>
        <v>Presence of Uncommon Consonants</v>
      </c>
      <c r="D197" s="2" t="str">
        <f>HYPERLINK("https://wals.info/languoid/lect/wals_code_imo","Imonda")</f>
        <v>Imonda</v>
      </c>
      <c r="E197" s="1"/>
      <c r="F197" s="1"/>
      <c r="G197" s="1" t="s">
        <v>398</v>
      </c>
    </row>
    <row r="198" ht="12.75" customHeight="1">
      <c r="A198" s="1" t="s">
        <v>399</v>
      </c>
      <c r="B198" s="2" t="str">
        <f>HYPERLINK("https://wals.info/values/19A-ind","None")</f>
        <v>None</v>
      </c>
      <c r="C198" s="2" t="str">
        <f t="shared" si="1"/>
        <v>Presence of Uncommon Consonants</v>
      </c>
      <c r="D198" s="2" t="str">
        <f>HYPERLINK("https://wals.info/languoid/lect/wals_code_ind","Indonesian")</f>
        <v>Indonesian</v>
      </c>
      <c r="E198" s="1"/>
      <c r="F198" s="1"/>
      <c r="G198" s="1" t="s">
        <v>400</v>
      </c>
    </row>
    <row r="199" ht="12.75" customHeight="1">
      <c r="A199" s="1" t="s">
        <v>401</v>
      </c>
      <c r="B199" s="2" t="str">
        <f>HYPERLINK("https://wals.info/values/19A-igs","'Th' sounds")</f>
        <v>'Th' sounds</v>
      </c>
      <c r="C199" s="2" t="str">
        <f t="shared" si="1"/>
        <v>Presence of Uncommon Consonants</v>
      </c>
      <c r="D199" s="2" t="str">
        <f>HYPERLINK("https://wals.info/languoid/lect/wals_code_igs","Ingessana")</f>
        <v>Ingessana</v>
      </c>
      <c r="E199" s="1"/>
      <c r="F199" s="1"/>
      <c r="G199" s="1" t="s">
        <v>402</v>
      </c>
    </row>
    <row r="200" ht="12.75" customHeight="1">
      <c r="A200" s="1" t="s">
        <v>403</v>
      </c>
      <c r="B200" s="2" t="str">
        <f>HYPERLINK("https://wals.info/values/19A-ing","Pharyngeals")</f>
        <v>Pharyngeals</v>
      </c>
      <c r="C200" s="2" t="str">
        <f t="shared" si="1"/>
        <v>Presence of Uncommon Consonants</v>
      </c>
      <c r="D200" s="2" t="str">
        <f>HYPERLINK("https://wals.info/languoid/lect/wals_code_ing","Ingush")</f>
        <v>Ingush</v>
      </c>
      <c r="E200" s="1"/>
      <c r="F200" s="1"/>
      <c r="G200" s="1" t="s">
        <v>404</v>
      </c>
    </row>
    <row r="201" ht="12.75" customHeight="1">
      <c r="A201" s="1" t="s">
        <v>405</v>
      </c>
      <c r="B201" s="2" t="str">
        <f>HYPERLINK("https://wals.info/values/19A-irx","None")</f>
        <v>None</v>
      </c>
      <c r="C201" s="2" t="str">
        <f t="shared" si="1"/>
        <v>Presence of Uncommon Consonants</v>
      </c>
      <c r="D201" s="2" t="str">
        <f>HYPERLINK("https://wals.info/languoid/lect/wals_code_irx","Iranxe")</f>
        <v>Iranxe</v>
      </c>
      <c r="E201" s="1"/>
      <c r="F201" s="1"/>
      <c r="G201" s="1" t="s">
        <v>406</v>
      </c>
    </row>
    <row r="202" ht="12.75" customHeight="1">
      <c r="A202" s="1" t="s">
        <v>407</v>
      </c>
      <c r="B202" s="2" t="str">
        <f>HYPERLINK("https://wals.info/values/19A-irq","Pharyngeals")</f>
        <v>Pharyngeals</v>
      </c>
      <c r="C202" s="2" t="str">
        <f t="shared" si="1"/>
        <v>Presence of Uncommon Consonants</v>
      </c>
      <c r="D202" s="2" t="str">
        <f>HYPERLINK("https://wals.info/languoid/lect/wals_code_irq","Iraqw")</f>
        <v>Iraqw</v>
      </c>
      <c r="E202" s="1"/>
      <c r="F202" s="1"/>
      <c r="G202" s="1" t="s">
        <v>408</v>
      </c>
    </row>
    <row r="203" ht="12.75" customHeight="1">
      <c r="A203" s="1" t="s">
        <v>409</v>
      </c>
      <c r="B203" s="2" t="str">
        <f>HYPERLINK("https://wals.info/values/19A-irr","None")</f>
        <v>None</v>
      </c>
      <c r="C203" s="2" t="str">
        <f t="shared" si="1"/>
        <v>Presence of Uncommon Consonants</v>
      </c>
      <c r="D203" s="2" t="str">
        <f>HYPERLINK("https://wals.info/languoid/lect/wals_code_irr","Irarutu")</f>
        <v>Irarutu</v>
      </c>
      <c r="E203" s="1"/>
      <c r="F203" s="1"/>
      <c r="G203" s="1" t="s">
        <v>410</v>
      </c>
    </row>
    <row r="204" ht="12.75" customHeight="1">
      <c r="A204" s="1" t="s">
        <v>411</v>
      </c>
      <c r="B204" s="2" t="str">
        <f>HYPERLINK("https://wals.info/values/19A-ird","None")</f>
        <v>None</v>
      </c>
      <c r="C204" s="2" t="str">
        <f t="shared" si="1"/>
        <v>Presence of Uncommon Consonants</v>
      </c>
      <c r="D204" s="2" t="str">
        <f>HYPERLINK("https://wals.info/languoid/lect/wals_code_ird","Irish (Donegal)")</f>
        <v>Irish (Donegal)</v>
      </c>
      <c r="E204" s="1"/>
      <c r="F204" s="1"/>
      <c r="G204" s="1" t="s">
        <v>412</v>
      </c>
    </row>
    <row r="205" ht="12.75" customHeight="1">
      <c r="A205" s="1" t="s">
        <v>413</v>
      </c>
      <c r="B205" s="2" t="str">
        <f>HYPERLINK("https://wals.info/values/19A-iso","Labial-velars")</f>
        <v>Labial-velars</v>
      </c>
      <c r="C205" s="2" t="str">
        <f t="shared" si="1"/>
        <v>Presence of Uncommon Consonants</v>
      </c>
      <c r="D205" s="2" t="str">
        <f>HYPERLINK("https://wals.info/languoid/lect/wals_code_iso","Isoko")</f>
        <v>Isoko</v>
      </c>
      <c r="E205" s="1"/>
      <c r="F205" s="1"/>
      <c r="G205" s="1" t="s">
        <v>414</v>
      </c>
    </row>
    <row r="206" ht="12.75" customHeight="1">
      <c r="A206" s="1" t="s">
        <v>415</v>
      </c>
      <c r="B206" s="2" t="str">
        <f>HYPERLINK("https://wals.info/values/19A-ite","None")</f>
        <v>None</v>
      </c>
      <c r="C206" s="2" t="str">
        <f t="shared" si="1"/>
        <v>Presence of Uncommon Consonants</v>
      </c>
      <c r="D206" s="2" t="str">
        <f>HYPERLINK("https://wals.info/languoid/lect/wals_code_ite","Itelmen")</f>
        <v>Itelmen</v>
      </c>
      <c r="E206" s="1"/>
      <c r="F206" s="1"/>
      <c r="G206" s="1" t="s">
        <v>416</v>
      </c>
    </row>
    <row r="207" ht="12.75" customHeight="1">
      <c r="A207" s="1" t="s">
        <v>417</v>
      </c>
      <c r="B207" s="2" t="str">
        <f>HYPERLINK("https://wals.info/values/19A-ito","None")</f>
        <v>None</v>
      </c>
      <c r="C207" s="2" t="str">
        <f t="shared" si="1"/>
        <v>Presence of Uncommon Consonants</v>
      </c>
      <c r="D207" s="2" t="str">
        <f>HYPERLINK("https://wals.info/languoid/lect/wals_code_ito","Itonama")</f>
        <v>Itonama</v>
      </c>
      <c r="E207" s="1"/>
      <c r="F207" s="1"/>
      <c r="G207" s="1" t="s">
        <v>418</v>
      </c>
    </row>
    <row r="208" ht="12.75" customHeight="1">
      <c r="A208" s="1" t="s">
        <v>419</v>
      </c>
      <c r="B208" s="2" t="str">
        <f>HYPERLINK("https://wals.info/values/19A-ivs","None")</f>
        <v>None</v>
      </c>
      <c r="C208" s="2" t="str">
        <f t="shared" si="1"/>
        <v>Presence of Uncommon Consonants</v>
      </c>
      <c r="D208" s="2" t="str">
        <f>HYPERLINK("https://wals.info/languoid/lect/wals_code_ivs","Ivatan (Southern)")</f>
        <v>Ivatan (Southern)</v>
      </c>
      <c r="E208" s="1"/>
      <c r="F208" s="1"/>
      <c r="G208" s="1" t="s">
        <v>420</v>
      </c>
    </row>
    <row r="209" ht="12.75" customHeight="1">
      <c r="A209" s="1" t="s">
        <v>421</v>
      </c>
      <c r="B209" s="2" t="str">
        <f>HYPERLINK("https://wals.info/values/19A-iwm","None")</f>
        <v>None</v>
      </c>
      <c r="C209" s="2" t="str">
        <f t="shared" si="1"/>
        <v>Presence of Uncommon Consonants</v>
      </c>
      <c r="D209" s="2" t="str">
        <f>HYPERLINK("https://wals.info/languoid/lect/wals_code_iwm","Iwam")</f>
        <v>Iwam</v>
      </c>
      <c r="E209" s="1"/>
      <c r="F209" s="1"/>
      <c r="G209" s="1" t="s">
        <v>422</v>
      </c>
    </row>
    <row r="210" ht="12.75" customHeight="1">
      <c r="A210" s="1" t="s">
        <v>423</v>
      </c>
      <c r="B210" s="2" t="str">
        <f>HYPERLINK("https://wals.info/values/19A-jak","None")</f>
        <v>None</v>
      </c>
      <c r="C210" s="2" t="str">
        <f t="shared" si="1"/>
        <v>Presence of Uncommon Consonants</v>
      </c>
      <c r="D210" s="2" t="str">
        <f>HYPERLINK("https://wals.info/languoid/lect/wals_code_jak","Jakaltek")</f>
        <v>Jakaltek</v>
      </c>
      <c r="E210" s="1"/>
      <c r="F210" s="1"/>
      <c r="G210" s="1" t="s">
        <v>424</v>
      </c>
    </row>
    <row r="211" ht="12.75" customHeight="1">
      <c r="A211" s="1" t="s">
        <v>425</v>
      </c>
      <c r="B211" s="2" t="str">
        <f>HYPERLINK("https://wals.info/values/19A-jpn","None")</f>
        <v>None</v>
      </c>
      <c r="C211" s="2" t="str">
        <f t="shared" si="1"/>
        <v>Presence of Uncommon Consonants</v>
      </c>
      <c r="D211" s="2" t="str">
        <f>HYPERLINK("https://wals.info/languoid/lect/wals_code_jpn","Japanese")</f>
        <v>Japanese</v>
      </c>
      <c r="E211" s="1"/>
      <c r="F211" s="1"/>
      <c r="G211" s="1" t="s">
        <v>426</v>
      </c>
    </row>
    <row r="212" ht="12.75" customHeight="1">
      <c r="A212" s="1" t="s">
        <v>427</v>
      </c>
      <c r="B212" s="2" t="str">
        <f>HYPERLINK("https://wals.info/values/19A-jpr","None")</f>
        <v>None</v>
      </c>
      <c r="C212" s="2" t="str">
        <f t="shared" si="1"/>
        <v>Presence of Uncommon Consonants</v>
      </c>
      <c r="D212" s="2" t="str">
        <f>HYPERLINK("https://wals.info/languoid/lect/wals_code_jpr","Japreria")</f>
        <v>Japreria</v>
      </c>
      <c r="E212" s="1"/>
      <c r="F212" s="1"/>
      <c r="G212" s="1" t="s">
        <v>428</v>
      </c>
    </row>
    <row r="213" ht="12.75" customHeight="1">
      <c r="A213" s="1" t="s">
        <v>429</v>
      </c>
      <c r="B213" s="2" t="str">
        <f>HYPERLINK("https://wals.info/values/19A-jaq","None")</f>
        <v>None</v>
      </c>
      <c r="C213" s="2" t="str">
        <f t="shared" si="1"/>
        <v>Presence of Uncommon Consonants</v>
      </c>
      <c r="D213" s="2" t="str">
        <f>HYPERLINK("https://wals.info/languoid/lect/wals_code_jaq","Jaqaru")</f>
        <v>Jaqaru</v>
      </c>
      <c r="E213" s="1"/>
      <c r="F213" s="1"/>
      <c r="G213" s="1" t="s">
        <v>430</v>
      </c>
    </row>
    <row r="214" ht="12.75" customHeight="1">
      <c r="A214" s="1" t="s">
        <v>431</v>
      </c>
      <c r="B214" s="2" t="str">
        <f>HYPERLINK("https://wals.info/values/19A-jav","None")</f>
        <v>None</v>
      </c>
      <c r="C214" s="2" t="str">
        <f t="shared" si="1"/>
        <v>Presence of Uncommon Consonants</v>
      </c>
      <c r="D214" s="2" t="str">
        <f>HYPERLINK("https://wals.info/languoid/lect/wals_code_jav","Javanese")</f>
        <v>Javanese</v>
      </c>
      <c r="E214" s="1"/>
      <c r="F214" s="1"/>
      <c r="G214" s="1" t="s">
        <v>432</v>
      </c>
    </row>
    <row r="215" ht="12.75" customHeight="1">
      <c r="A215" s="1" t="s">
        <v>433</v>
      </c>
      <c r="B215" s="2" t="str">
        <f>HYPERLINK("https://wals.info/values/19A-jeb","None")</f>
        <v>None</v>
      </c>
      <c r="C215" s="2" t="str">
        <f t="shared" si="1"/>
        <v>Presence of Uncommon Consonants</v>
      </c>
      <c r="D215" s="2" t="str">
        <f>HYPERLINK("https://wals.info/languoid/lect/wals_code_jeb","Jebero")</f>
        <v>Jebero</v>
      </c>
      <c r="E215" s="1"/>
      <c r="F215" s="1"/>
      <c r="G215" s="1" t="s">
        <v>434</v>
      </c>
    </row>
    <row r="216" ht="12.75" customHeight="1">
      <c r="A216" s="1" t="s">
        <v>435</v>
      </c>
      <c r="B216" s="2" t="str">
        <f>HYPERLINK("https://wals.info/values/19A-jeh","None")</f>
        <v>None</v>
      </c>
      <c r="C216" s="2" t="str">
        <f t="shared" si="1"/>
        <v>Presence of Uncommon Consonants</v>
      </c>
      <c r="D216" s="2" t="str">
        <f>HYPERLINK("https://wals.info/languoid/lect/wals_code_jeh","Jeh")</f>
        <v>Jeh</v>
      </c>
      <c r="E216" s="1"/>
      <c r="F216" s="1"/>
      <c r="G216" s="1" t="s">
        <v>436</v>
      </c>
    </row>
    <row r="217" ht="12.75" customHeight="1">
      <c r="A217" s="1" t="s">
        <v>437</v>
      </c>
      <c r="B217" s="2" t="str">
        <f>HYPERLINK("https://wals.info/values/19A-jng","None")</f>
        <v>None</v>
      </c>
      <c r="C217" s="2" t="str">
        <f t="shared" si="1"/>
        <v>Presence of Uncommon Consonants</v>
      </c>
      <c r="D217" s="2" t="str">
        <f>HYPERLINK("https://wals.info/languoid/lect/wals_code_jng","Jingpho")</f>
        <v>Jingpho</v>
      </c>
      <c r="E217" s="1"/>
      <c r="F217" s="1"/>
      <c r="G217" s="1" t="s">
        <v>438</v>
      </c>
    </row>
    <row r="218" ht="12.75" customHeight="1">
      <c r="A218" s="1" t="s">
        <v>439</v>
      </c>
      <c r="B218" s="2" t="str">
        <f>HYPERLINK("https://wals.info/values/19A-jiv","None")</f>
        <v>None</v>
      </c>
      <c r="C218" s="2" t="str">
        <f t="shared" si="1"/>
        <v>Presence of Uncommon Consonants</v>
      </c>
      <c r="D218" s="2" t="str">
        <f>HYPERLINK("https://wals.info/languoid/lect/wals_code_jiv","Jivaro")</f>
        <v>Jivaro</v>
      </c>
      <c r="E218" s="1"/>
      <c r="F218" s="1"/>
      <c r="G218" s="1" t="s">
        <v>440</v>
      </c>
    </row>
    <row r="219" ht="12.75" customHeight="1">
      <c r="A219" s="1" t="s">
        <v>441</v>
      </c>
      <c r="B219" s="2" t="str">
        <f>HYPERLINK("https://wals.info/values/19A-jom","None")</f>
        <v>None</v>
      </c>
      <c r="C219" s="2" t="str">
        <f t="shared" si="1"/>
        <v>Presence of Uncommon Consonants</v>
      </c>
      <c r="D219" s="2" t="str">
        <f>HYPERLINK("https://wals.info/languoid/lect/wals_code_jom","Jomang")</f>
        <v>Jomang</v>
      </c>
      <c r="E219" s="1"/>
      <c r="F219" s="1"/>
      <c r="G219" s="1" t="s">
        <v>442</v>
      </c>
    </row>
    <row r="220" ht="12.75" customHeight="1">
      <c r="A220" s="1" t="s">
        <v>443</v>
      </c>
      <c r="B220" s="2" t="str">
        <f>HYPERLINK("https://wals.info/values/19A-juh","Clicks")</f>
        <v>Clicks</v>
      </c>
      <c r="C220" s="2" t="str">
        <f t="shared" si="1"/>
        <v>Presence of Uncommon Consonants</v>
      </c>
      <c r="D220" s="2" t="str">
        <f>HYPERLINK("https://wals.info/languoid/lect/wals_code_juh","Ju|'hoan")</f>
        <v>Ju|'hoan</v>
      </c>
      <c r="E220" s="1"/>
      <c r="F220" s="1"/>
      <c r="G220" s="1" t="s">
        <v>444</v>
      </c>
    </row>
    <row r="221" ht="12.75" customHeight="1">
      <c r="A221" s="1" t="s">
        <v>445</v>
      </c>
      <c r="B221" s="2" t="str">
        <f>HYPERLINK("https://wals.info/values/19A-kab","Pharyngeals and 'th'")</f>
        <v>Pharyngeals and 'th'</v>
      </c>
      <c r="C221" s="2" t="str">
        <f t="shared" si="1"/>
        <v>Presence of Uncommon Consonants</v>
      </c>
      <c r="D221" s="2" t="str">
        <f>HYPERLINK("https://wals.info/languoid/lect/wals_code_kab","Kabardian")</f>
        <v>Kabardian</v>
      </c>
      <c r="E221" s="1"/>
      <c r="F221" s="1"/>
      <c r="G221" s="1" t="s">
        <v>446</v>
      </c>
    </row>
    <row r="222" ht="12.75" customHeight="1">
      <c r="A222" s="1" t="s">
        <v>447</v>
      </c>
      <c r="B222" s="2" t="str">
        <f>HYPERLINK("https://wals.info/values/19A-kad","None")</f>
        <v>None</v>
      </c>
      <c r="C222" s="2" t="str">
        <f t="shared" si="1"/>
        <v>Presence of Uncommon Consonants</v>
      </c>
      <c r="D222" s="2" t="str">
        <f>HYPERLINK("https://wals.info/languoid/lect/wals_code_kad","Kadugli")</f>
        <v>Kadugli</v>
      </c>
      <c r="E222" s="1"/>
      <c r="F222" s="1"/>
      <c r="G222" s="1" t="s">
        <v>448</v>
      </c>
    </row>
    <row r="223" ht="12.75" customHeight="1">
      <c r="A223" s="1" t="s">
        <v>449</v>
      </c>
      <c r="B223" s="2" t="str">
        <f>HYPERLINK("https://wals.info/values/19A-kng","None")</f>
        <v>None</v>
      </c>
      <c r="C223" s="2" t="str">
        <f t="shared" si="1"/>
        <v>Presence of Uncommon Consonants</v>
      </c>
      <c r="D223" s="2" t="str">
        <f>HYPERLINK("https://wals.info/languoid/lect/wals_code_kng","Kaingang")</f>
        <v>Kaingang</v>
      </c>
      <c r="E223" s="1"/>
      <c r="F223" s="1"/>
      <c r="G223" s="1" t="s">
        <v>450</v>
      </c>
    </row>
    <row r="224" ht="12.75" customHeight="1">
      <c r="A224" s="1" t="s">
        <v>451</v>
      </c>
      <c r="B224" s="2" t="str">
        <f>HYPERLINK("https://wals.info/values/19A-kly","None")</f>
        <v>None</v>
      </c>
      <c r="C224" s="2" t="str">
        <f t="shared" si="1"/>
        <v>Presence of Uncommon Consonants</v>
      </c>
      <c r="D224" s="2" t="str">
        <f>HYPERLINK("https://wals.info/languoid/lect/wals_code_kly","Kala Lagaw Ya")</f>
        <v>Kala Lagaw Ya</v>
      </c>
      <c r="E224" s="1"/>
      <c r="F224" s="1"/>
      <c r="G224" s="1" t="s">
        <v>452</v>
      </c>
    </row>
    <row r="225" ht="12.75" customHeight="1">
      <c r="A225" s="1" t="s">
        <v>453</v>
      </c>
      <c r="B225" s="2" t="str">
        <f>HYPERLINK("https://wals.info/values/19A-kal","None")</f>
        <v>None</v>
      </c>
      <c r="C225" s="2" t="str">
        <f t="shared" si="1"/>
        <v>Presence of Uncommon Consonants</v>
      </c>
      <c r="D225" s="2" t="str">
        <f>HYPERLINK("https://wals.info/languoid/lect/wals_code_kal","Kalami")</f>
        <v>Kalami</v>
      </c>
      <c r="E225" s="1"/>
      <c r="F225" s="1"/>
      <c r="G225" s="1" t="s">
        <v>454</v>
      </c>
    </row>
    <row r="226" ht="12.75" customHeight="1">
      <c r="A226" s="1" t="s">
        <v>455</v>
      </c>
      <c r="B226" s="2" t="str">
        <f>HYPERLINK("https://wals.info/values/19A-kgu","None")</f>
        <v>None</v>
      </c>
      <c r="C226" s="2" t="str">
        <f t="shared" si="1"/>
        <v>Presence of Uncommon Consonants</v>
      </c>
      <c r="D226" s="2" t="str">
        <f>HYPERLINK("https://wals.info/languoid/lect/wals_code_kgu","Kalkatungu")</f>
        <v>Kalkatungu</v>
      </c>
      <c r="E226" s="1"/>
      <c r="F226" s="1"/>
      <c r="G226" s="1" t="s">
        <v>456</v>
      </c>
    </row>
    <row r="227" ht="12.75" customHeight="1">
      <c r="A227" s="1" t="s">
        <v>457</v>
      </c>
      <c r="B227" s="2" t="str">
        <f>HYPERLINK("https://wals.info/values/19A-kzh","None")</f>
        <v>None</v>
      </c>
      <c r="C227" s="2" t="str">
        <f t="shared" si="1"/>
        <v>Presence of Uncommon Consonants</v>
      </c>
      <c r="D227" s="2" t="str">
        <f>HYPERLINK("https://wals.info/languoid/lect/wals_code_kzh","Kam (Zhanglu)")</f>
        <v>Kam (Zhanglu)</v>
      </c>
      <c r="E227" s="1"/>
      <c r="F227" s="1"/>
      <c r="G227" s="1" t="s">
        <v>458</v>
      </c>
    </row>
    <row r="228" ht="12.75" customHeight="1">
      <c r="A228" s="1" t="s">
        <v>459</v>
      </c>
      <c r="B228" s="2" t="str">
        <f>HYPERLINK("https://wals.info/values/19A-knk","None")</f>
        <v>None</v>
      </c>
      <c r="C228" s="2" t="str">
        <f t="shared" si="1"/>
        <v>Presence of Uncommon Consonants</v>
      </c>
      <c r="D228" s="2" t="str">
        <f>HYPERLINK("https://wals.info/languoid/lect/wals_code_knk","Kanakuru")</f>
        <v>Kanakuru</v>
      </c>
      <c r="E228" s="1"/>
      <c r="F228" s="1"/>
      <c r="G228" s="1" t="s">
        <v>460</v>
      </c>
    </row>
    <row r="229" ht="12.75" customHeight="1">
      <c r="A229" s="1" t="s">
        <v>461</v>
      </c>
      <c r="B229" s="2" t="str">
        <f>HYPERLINK("https://wals.info/values/19A-knd","None")</f>
        <v>None</v>
      </c>
      <c r="C229" s="2" t="str">
        <f t="shared" si="1"/>
        <v>Presence of Uncommon Consonants</v>
      </c>
      <c r="D229" s="2" t="str">
        <f>HYPERLINK("https://wals.info/languoid/lect/wals_code_knd","Kannada")</f>
        <v>Kannada</v>
      </c>
      <c r="E229" s="1"/>
      <c r="F229" s="1"/>
      <c r="G229" s="1" t="s">
        <v>462</v>
      </c>
    </row>
    <row r="230" ht="12.75" customHeight="1">
      <c r="A230" s="1" t="s">
        <v>463</v>
      </c>
      <c r="B230" s="2" t="str">
        <f>HYPERLINK("https://wals.info/values/19A-knr","None")</f>
        <v>None</v>
      </c>
      <c r="C230" s="2" t="str">
        <f t="shared" si="1"/>
        <v>Presence of Uncommon Consonants</v>
      </c>
      <c r="D230" s="2" t="str">
        <f>HYPERLINK("https://wals.info/languoid/lect/wals_code_knr","Kanuri")</f>
        <v>Kanuri</v>
      </c>
      <c r="E230" s="1"/>
      <c r="F230" s="1"/>
      <c r="G230" s="1" t="s">
        <v>464</v>
      </c>
    </row>
    <row r="231" ht="12.75" customHeight="1">
      <c r="A231" s="1" t="s">
        <v>465</v>
      </c>
      <c r="B231" s="2" t="str">
        <f>HYPERLINK("https://wals.info/values/19A-ksg","'Th' sounds")</f>
        <v>'Th' sounds</v>
      </c>
      <c r="C231" s="2" t="str">
        <f t="shared" si="1"/>
        <v>Presence of Uncommon Consonants</v>
      </c>
      <c r="D231" s="2" t="str">
        <f>HYPERLINK("https://wals.info/languoid/lect/wals_code_ksg","Karen (Sgaw)")</f>
        <v>Karen (Sgaw)</v>
      </c>
      <c r="E231" s="1"/>
      <c r="F231" s="1"/>
      <c r="G231" s="1" t="s">
        <v>466</v>
      </c>
    </row>
    <row r="232" ht="12.75" customHeight="1">
      <c r="A232" s="1" t="s">
        <v>467</v>
      </c>
      <c r="B232" s="2" t="str">
        <f>HYPERLINK("https://wals.info/values/19A-krk","None")</f>
        <v>None</v>
      </c>
      <c r="C232" s="2" t="str">
        <f t="shared" si="1"/>
        <v>Presence of Uncommon Consonants</v>
      </c>
      <c r="D232" s="2" t="str">
        <f>HYPERLINK("https://wals.info/languoid/lect/wals_code_krk","Karok")</f>
        <v>Karok</v>
      </c>
      <c r="E232" s="1"/>
      <c r="F232" s="1"/>
      <c r="G232" s="1" t="s">
        <v>468</v>
      </c>
    </row>
    <row r="233" ht="12.75" customHeight="1">
      <c r="A233" s="1" t="s">
        <v>469</v>
      </c>
      <c r="B233" s="2" t="str">
        <f>HYPERLINK("https://wals.info/values/19A-kas","None")</f>
        <v>None</v>
      </c>
      <c r="C233" s="2" t="str">
        <f t="shared" si="1"/>
        <v>Presence of Uncommon Consonants</v>
      </c>
      <c r="D233" s="2" t="str">
        <f>HYPERLINK("https://wals.info/languoid/lect/wals_code_kas","Kashmiri")</f>
        <v>Kashmiri</v>
      </c>
      <c r="E233" s="1"/>
      <c r="F233" s="1"/>
      <c r="G233" s="1" t="s">
        <v>470</v>
      </c>
    </row>
    <row r="234" ht="12.75" customHeight="1">
      <c r="A234" s="1" t="s">
        <v>471</v>
      </c>
      <c r="B234" s="2" t="str">
        <f>HYPERLINK("https://wals.info/values/19A-kws","None")</f>
        <v>None</v>
      </c>
      <c r="C234" s="2" t="str">
        <f t="shared" si="1"/>
        <v>Presence of Uncommon Consonants</v>
      </c>
      <c r="D234" s="2" t="str">
        <f>HYPERLINK("https://wals.info/languoid/lect/wals_code_kws","Kawaiisu")</f>
        <v>Kawaiisu</v>
      </c>
      <c r="E234" s="1"/>
      <c r="F234" s="1"/>
      <c r="G234" s="1" t="s">
        <v>472</v>
      </c>
    </row>
    <row r="235" ht="12.75" customHeight="1">
      <c r="A235" s="1" t="s">
        <v>473</v>
      </c>
      <c r="B235" s="2" t="str">
        <f>HYPERLINK("https://wals.info/values/19A-kyl","None")</f>
        <v>None</v>
      </c>
      <c r="C235" s="2" t="str">
        <f t="shared" si="1"/>
        <v>Presence of Uncommon Consonants</v>
      </c>
      <c r="D235" s="2" t="str">
        <f>HYPERLINK("https://wals.info/languoid/lect/wals_code_kyl","Kayah Li (Eastern)")</f>
        <v>Kayah Li (Eastern)</v>
      </c>
      <c r="E235" s="1"/>
      <c r="F235" s="1"/>
      <c r="G235" s="1" t="s">
        <v>474</v>
      </c>
    </row>
    <row r="236" ht="12.75" customHeight="1">
      <c r="A236" s="1" t="s">
        <v>475</v>
      </c>
      <c r="B236" s="2" t="str">
        <f>HYPERLINK("https://wals.info/values/19A-kay","None")</f>
        <v>None</v>
      </c>
      <c r="C236" s="2" t="str">
        <f t="shared" si="1"/>
        <v>Presence of Uncommon Consonants</v>
      </c>
      <c r="D236" s="2" t="str">
        <f>HYPERLINK("https://wals.info/languoid/lect/wals_code_kay","Kayardild")</f>
        <v>Kayardild</v>
      </c>
      <c r="E236" s="1"/>
      <c r="F236" s="1"/>
      <c r="G236" s="1" t="s">
        <v>476</v>
      </c>
    </row>
    <row r="237" ht="12.75" customHeight="1">
      <c r="A237" s="1" t="s">
        <v>477</v>
      </c>
      <c r="B237" s="2" t="str">
        <f>HYPERLINK("https://wals.info/values/19A-ked","None")</f>
        <v>None</v>
      </c>
      <c r="C237" s="2" t="str">
        <f t="shared" si="1"/>
        <v>Presence of Uncommon Consonants</v>
      </c>
      <c r="D237" s="2" t="str">
        <f>HYPERLINK("https://wals.info/languoid/lect/wals_code_ked","Kedang")</f>
        <v>Kedang</v>
      </c>
      <c r="E237" s="1"/>
      <c r="F237" s="1"/>
      <c r="G237" s="1" t="s">
        <v>478</v>
      </c>
    </row>
    <row r="238" ht="12.75" customHeight="1">
      <c r="A238" s="1" t="s">
        <v>479</v>
      </c>
      <c r="B238" s="2" t="str">
        <f>HYPERLINK("https://wals.info/values/19A-kef","None")</f>
        <v>None</v>
      </c>
      <c r="C238" s="2" t="str">
        <f t="shared" si="1"/>
        <v>Presence of Uncommon Consonants</v>
      </c>
      <c r="D238" s="2" t="str">
        <f>HYPERLINK("https://wals.info/languoid/lect/wals_code_kef","Kefa")</f>
        <v>Kefa</v>
      </c>
      <c r="E238" s="1"/>
      <c r="F238" s="1"/>
      <c r="G238" s="1" t="s">
        <v>480</v>
      </c>
    </row>
    <row r="239" ht="12.75" customHeight="1">
      <c r="A239" s="1" t="s">
        <v>481</v>
      </c>
      <c r="B239" s="2" t="str">
        <f>HYPERLINK("https://wals.info/values/19A-kek","None")</f>
        <v>None</v>
      </c>
      <c r="C239" s="2" t="str">
        <f t="shared" si="1"/>
        <v>Presence of Uncommon Consonants</v>
      </c>
      <c r="D239" s="2" t="str">
        <f>HYPERLINK("https://wals.info/languoid/lect/wals_code_kek","K'ekchí")</f>
        <v>K'ekchí</v>
      </c>
      <c r="E239" s="1"/>
      <c r="F239" s="1"/>
      <c r="G239" s="1" t="s">
        <v>482</v>
      </c>
    </row>
    <row r="240" ht="12.75" customHeight="1">
      <c r="A240" s="1" t="s">
        <v>483</v>
      </c>
      <c r="B240" s="2" t="str">
        <f>HYPERLINK("https://wals.info/values/19A-ker","None")</f>
        <v>None</v>
      </c>
      <c r="C240" s="2" t="str">
        <f t="shared" si="1"/>
        <v>Presence of Uncommon Consonants</v>
      </c>
      <c r="D240" s="2" t="str">
        <f>HYPERLINK("https://wals.info/languoid/lect/wals_code_ker","Kera")</f>
        <v>Kera</v>
      </c>
      <c r="E240" s="1"/>
      <c r="F240" s="1"/>
      <c r="G240" s="1" t="s">
        <v>484</v>
      </c>
    </row>
    <row r="241" ht="12.75" customHeight="1">
      <c r="A241" s="1" t="s">
        <v>485</v>
      </c>
      <c r="B241" s="2" t="str">
        <f>HYPERLINK("https://wals.info/values/19A-ket","None")</f>
        <v>None</v>
      </c>
      <c r="C241" s="2" t="str">
        <f t="shared" si="1"/>
        <v>Presence of Uncommon Consonants</v>
      </c>
      <c r="D241" s="2" t="str">
        <f>HYPERLINK("https://wals.info/languoid/lect/wals_code_ket","Ket")</f>
        <v>Ket</v>
      </c>
      <c r="E241" s="1"/>
      <c r="F241" s="1"/>
      <c r="G241" s="1" t="s">
        <v>486</v>
      </c>
    </row>
    <row r="242" ht="12.75" customHeight="1">
      <c r="A242" s="1" t="s">
        <v>487</v>
      </c>
      <c r="B242" s="2" t="str">
        <f>HYPERLINK("https://wals.info/values/19A-kew","None")</f>
        <v>None</v>
      </c>
      <c r="C242" s="2" t="str">
        <f t="shared" si="1"/>
        <v>Presence of Uncommon Consonants</v>
      </c>
      <c r="D242" s="2" t="str">
        <f>HYPERLINK("https://wals.info/languoid/lect/wals_code_kew","Kewa")</f>
        <v>Kewa</v>
      </c>
      <c r="E242" s="1"/>
      <c r="F242" s="1"/>
      <c r="G242" s="1" t="s">
        <v>488</v>
      </c>
    </row>
    <row r="243" ht="12.75" customHeight="1">
      <c r="A243" s="1" t="s">
        <v>489</v>
      </c>
      <c r="B243" s="2" t="str">
        <f>HYPERLINK("https://wals.info/values/19A-kha","None")</f>
        <v>None</v>
      </c>
      <c r="C243" s="2" t="str">
        <f t="shared" si="1"/>
        <v>Presence of Uncommon Consonants</v>
      </c>
      <c r="D243" s="2" t="str">
        <f>HYPERLINK("https://wals.info/languoid/lect/wals_code_kha","Khalkha")</f>
        <v>Khalkha</v>
      </c>
      <c r="E243" s="1"/>
      <c r="F243" s="1"/>
      <c r="G243" s="1" t="s">
        <v>490</v>
      </c>
    </row>
    <row r="244" ht="12.75" customHeight="1">
      <c r="A244" s="1" t="s">
        <v>491</v>
      </c>
      <c r="B244" s="2" t="str">
        <f>HYPERLINK("https://wals.info/values/19A-kty","None")</f>
        <v>None</v>
      </c>
      <c r="C244" s="2" t="str">
        <f t="shared" si="1"/>
        <v>Presence of Uncommon Consonants</v>
      </c>
      <c r="D244" s="2" t="str">
        <f>HYPERLINK("https://wals.info/languoid/lect/wals_code_kty","Khanty")</f>
        <v>Khanty</v>
      </c>
      <c r="E244" s="1"/>
      <c r="F244" s="1"/>
      <c r="G244" s="1" t="s">
        <v>492</v>
      </c>
    </row>
    <row r="245" ht="12.75" customHeight="1">
      <c r="A245" s="1" t="s">
        <v>493</v>
      </c>
      <c r="B245" s="2" t="str">
        <f>HYPERLINK("https://wals.info/values/19A-khr","None")</f>
        <v>None</v>
      </c>
      <c r="C245" s="2" t="str">
        <f t="shared" si="1"/>
        <v>Presence of Uncommon Consonants</v>
      </c>
      <c r="D245" s="2" t="str">
        <f>HYPERLINK("https://wals.info/languoid/lect/wals_code_khr","Kharia")</f>
        <v>Kharia</v>
      </c>
      <c r="E245" s="1"/>
      <c r="F245" s="1"/>
      <c r="G245" s="1" t="s">
        <v>494</v>
      </c>
    </row>
    <row r="246" ht="12.75" customHeight="1">
      <c r="A246" s="1" t="s">
        <v>495</v>
      </c>
      <c r="B246" s="2" t="str">
        <f>HYPERLINK("https://wals.info/values/19A-khs","None")</f>
        <v>None</v>
      </c>
      <c r="C246" s="2" t="str">
        <f t="shared" si="1"/>
        <v>Presence of Uncommon Consonants</v>
      </c>
      <c r="D246" s="2" t="str">
        <f>HYPERLINK("https://wals.info/languoid/lect/wals_code_khs","Khasi")</f>
        <v>Khasi</v>
      </c>
      <c r="E246" s="1"/>
      <c r="F246" s="1"/>
      <c r="G246" s="1" t="s">
        <v>496</v>
      </c>
    </row>
    <row r="247" ht="12.75" customHeight="1">
      <c r="A247" s="1" t="s">
        <v>497</v>
      </c>
      <c r="B247" s="2" t="str">
        <f>HYPERLINK("https://wals.info/values/19A-khm","None")</f>
        <v>None</v>
      </c>
      <c r="C247" s="2" t="str">
        <f t="shared" si="1"/>
        <v>Presence of Uncommon Consonants</v>
      </c>
      <c r="D247" s="2" t="str">
        <f>HYPERLINK("https://wals.info/languoid/lect/wals_code_khm","Khmer")</f>
        <v>Khmer</v>
      </c>
      <c r="E247" s="1"/>
      <c r="F247" s="1"/>
      <c r="G247" s="1" t="s">
        <v>498</v>
      </c>
    </row>
    <row r="248" ht="12.75" customHeight="1">
      <c r="A248" s="1" t="s">
        <v>499</v>
      </c>
      <c r="B248" s="2" t="str">
        <f>HYPERLINK("https://wals.info/values/19A-kmu","None")</f>
        <v>None</v>
      </c>
      <c r="C248" s="2" t="str">
        <f t="shared" si="1"/>
        <v>Presence of Uncommon Consonants</v>
      </c>
      <c r="D248" s="2" t="str">
        <f>HYPERLINK("https://wals.info/languoid/lect/wals_code_kmu","Khmu'")</f>
        <v>Khmu'</v>
      </c>
      <c r="E248" s="1"/>
      <c r="F248" s="1"/>
      <c r="G248" s="1" t="s">
        <v>500</v>
      </c>
    </row>
    <row r="249" ht="12.75" customHeight="1">
      <c r="A249" s="1" t="s">
        <v>501</v>
      </c>
      <c r="B249" s="2" t="str">
        <f>HYPERLINK("https://wals.info/values/19A-kho","Clicks")</f>
        <v>Clicks</v>
      </c>
      <c r="C249" s="2" t="str">
        <f t="shared" si="1"/>
        <v>Presence of Uncommon Consonants</v>
      </c>
      <c r="D249" s="2" t="str">
        <f>HYPERLINK("https://wals.info/languoid/lect/wals_code_kho","Khoekhoe")</f>
        <v>Khoekhoe</v>
      </c>
      <c r="E249" s="1"/>
      <c r="F249" s="1"/>
      <c r="G249" s="1" t="s">
        <v>502</v>
      </c>
    </row>
    <row r="250" ht="12.75" customHeight="1">
      <c r="A250" s="1" t="s">
        <v>503</v>
      </c>
      <c r="B250" s="2" t="str">
        <f>HYPERLINK("https://wals.info/values/19A-klv","None")</f>
        <v>None</v>
      </c>
      <c r="C250" s="2" t="str">
        <f t="shared" si="1"/>
        <v>Presence of Uncommon Consonants</v>
      </c>
      <c r="D250" s="2" t="str">
        <f>HYPERLINK("https://wals.info/languoid/lect/wals_code_klv","Kilivila")</f>
        <v>Kilivila</v>
      </c>
      <c r="E250" s="1"/>
      <c r="F250" s="1"/>
      <c r="G250" s="1" t="s">
        <v>504</v>
      </c>
    </row>
    <row r="251" ht="12.75" customHeight="1">
      <c r="A251" s="1" t="s">
        <v>505</v>
      </c>
      <c r="B251" s="2" t="str">
        <f>HYPERLINK("https://wals.info/values/19A-kio","None")</f>
        <v>None</v>
      </c>
      <c r="C251" s="2" t="str">
        <f t="shared" si="1"/>
        <v>Presence of Uncommon Consonants</v>
      </c>
      <c r="D251" s="2" t="str">
        <f>HYPERLINK("https://wals.info/languoid/lect/wals_code_kio","Kiowa")</f>
        <v>Kiowa</v>
      </c>
      <c r="E251" s="1"/>
      <c r="F251" s="1"/>
      <c r="G251" s="1" t="s">
        <v>506</v>
      </c>
    </row>
    <row r="252" ht="12.75" customHeight="1">
      <c r="A252" s="1" t="s">
        <v>507</v>
      </c>
      <c r="B252" s="2" t="str">
        <f>HYPERLINK("https://wals.info/values/19A-kgz","None")</f>
        <v>None</v>
      </c>
      <c r="C252" s="2" t="str">
        <f t="shared" si="1"/>
        <v>Presence of Uncommon Consonants</v>
      </c>
      <c r="D252" s="2" t="str">
        <f>HYPERLINK("https://wals.info/languoid/lect/wals_code_kgz","Kirghiz")</f>
        <v>Kirghiz</v>
      </c>
      <c r="E252" s="1"/>
      <c r="F252" s="1"/>
      <c r="G252" s="1" t="s">
        <v>508</v>
      </c>
    </row>
    <row r="253" ht="12.75" customHeight="1">
      <c r="A253" s="1" t="s">
        <v>509</v>
      </c>
      <c r="B253" s="2" t="str">
        <f>HYPERLINK("https://wals.info/values/19A-krb","None")</f>
        <v>None</v>
      </c>
      <c r="C253" s="2" t="str">
        <f t="shared" si="1"/>
        <v>Presence of Uncommon Consonants</v>
      </c>
      <c r="D253" s="2" t="str">
        <f>HYPERLINK("https://wals.info/languoid/lect/wals_code_krb","Kiribati")</f>
        <v>Kiribati</v>
      </c>
      <c r="E253" s="1"/>
      <c r="F253" s="1"/>
      <c r="G253" s="1" t="s">
        <v>510</v>
      </c>
    </row>
    <row r="254" ht="12.75" customHeight="1">
      <c r="A254" s="1" t="s">
        <v>511</v>
      </c>
      <c r="B254" s="2" t="str">
        <f>HYPERLINK("https://wals.info/values/19A-kss","Labial-velars")</f>
        <v>Labial-velars</v>
      </c>
      <c r="C254" s="2" t="str">
        <f t="shared" si="1"/>
        <v>Presence of Uncommon Consonants</v>
      </c>
      <c r="D254" s="2" t="str">
        <f>HYPERLINK("https://wals.info/languoid/lect/wals_code_kss","Kisi (Southern)")</f>
        <v>Kisi (Southern)</v>
      </c>
      <c r="E254" s="1"/>
      <c r="F254" s="1"/>
      <c r="G254" s="1" t="s">
        <v>512</v>
      </c>
    </row>
    <row r="255" ht="12.75" customHeight="1">
      <c r="A255" s="1" t="s">
        <v>513</v>
      </c>
      <c r="B255" s="2" t="str">
        <f>HYPERLINK("https://wals.info/values/19A-kiw","None")</f>
        <v>None</v>
      </c>
      <c r="C255" s="2" t="str">
        <f t="shared" si="1"/>
        <v>Presence of Uncommon Consonants</v>
      </c>
      <c r="D255" s="2" t="str">
        <f>HYPERLINK("https://wals.info/languoid/lect/wals_code_kiw"," Kiwai (Southern)")</f>
        <v> Kiwai (Southern)</v>
      </c>
      <c r="E255" s="1"/>
      <c r="F255" s="1"/>
      <c r="G255" s="1" t="s">
        <v>514</v>
      </c>
    </row>
    <row r="256" ht="12.75" customHeight="1">
      <c r="A256" s="1" t="s">
        <v>515</v>
      </c>
      <c r="B256" s="2" t="str">
        <f>HYPERLINK("https://wals.info/values/19A-klm","None")</f>
        <v>None</v>
      </c>
      <c r="C256" s="2" t="str">
        <f t="shared" si="1"/>
        <v>Presence of Uncommon Consonants</v>
      </c>
      <c r="D256" s="2" t="str">
        <f>HYPERLINK("https://wals.info/languoid/lect/wals_code_klm","Klamath")</f>
        <v>Klamath</v>
      </c>
      <c r="E256" s="1"/>
      <c r="F256" s="1"/>
      <c r="G256" s="1" t="s">
        <v>516</v>
      </c>
    </row>
    <row r="257" ht="12.75" customHeight="1">
      <c r="A257" s="1" t="s">
        <v>517</v>
      </c>
      <c r="B257" s="2" t="str">
        <f>HYPERLINK("https://wals.info/values/19A-kla","Labial-velars")</f>
        <v>Labial-velars</v>
      </c>
      <c r="C257" s="2" t="str">
        <f t="shared" si="1"/>
        <v>Presence of Uncommon Consonants</v>
      </c>
      <c r="D257" s="2" t="str">
        <f>HYPERLINK("https://wals.info/languoid/lect/wals_code_kla","Klao")</f>
        <v>Klao</v>
      </c>
      <c r="E257" s="1"/>
      <c r="F257" s="1"/>
      <c r="G257" s="1" t="s">
        <v>518</v>
      </c>
    </row>
    <row r="258" ht="12.75" customHeight="1">
      <c r="A258" s="1" t="s">
        <v>519</v>
      </c>
      <c r="B258" s="2" t="str">
        <f>HYPERLINK("https://wals.info/values/19A-koa","None")</f>
        <v>None</v>
      </c>
      <c r="C258" s="2" t="str">
        <f t="shared" si="1"/>
        <v>Presence of Uncommon Consonants</v>
      </c>
      <c r="D258" s="2" t="str">
        <f>HYPERLINK("https://wals.info/languoid/lect/wals_code_koa","Koasati")</f>
        <v>Koasati</v>
      </c>
      <c r="E258" s="1"/>
      <c r="F258" s="1"/>
      <c r="G258" s="1" t="s">
        <v>520</v>
      </c>
    </row>
    <row r="259" ht="12.75" customHeight="1">
      <c r="A259" s="1" t="s">
        <v>521</v>
      </c>
      <c r="B259" s="2" t="str">
        <f>HYPERLINK("https://wals.info/values/19A-kob","None")</f>
        <v>None</v>
      </c>
      <c r="C259" s="2" t="str">
        <f t="shared" si="1"/>
        <v>Presence of Uncommon Consonants</v>
      </c>
      <c r="D259" s="2" t="str">
        <f>HYPERLINK("https://wals.info/languoid/lect/wals_code_kob","Kobon")</f>
        <v>Kobon</v>
      </c>
      <c r="E259" s="1"/>
      <c r="F259" s="1"/>
      <c r="G259" s="1" t="s">
        <v>522</v>
      </c>
    </row>
    <row r="260" ht="12.75" customHeight="1">
      <c r="A260" s="1" t="s">
        <v>523</v>
      </c>
      <c r="B260" s="2" t="str">
        <f>HYPERLINK("https://wals.info/values/19A-koh","Labial-velars")</f>
        <v>Labial-velars</v>
      </c>
      <c r="C260" s="2" t="str">
        <f t="shared" si="1"/>
        <v>Presence of Uncommon Consonants</v>
      </c>
      <c r="D260" s="2" t="str">
        <f>HYPERLINK("https://wals.info/languoid/lect/wals_code_koh","Kohumono")</f>
        <v>Kohumono</v>
      </c>
      <c r="E260" s="1"/>
      <c r="F260" s="1"/>
      <c r="G260" s="1" t="s">
        <v>524</v>
      </c>
    </row>
    <row r="261" ht="12.75" customHeight="1">
      <c r="A261" s="1" t="s">
        <v>525</v>
      </c>
      <c r="B261" s="2" t="str">
        <f>HYPERLINK("https://wals.info/values/19A-koi","None")</f>
        <v>None</v>
      </c>
      <c r="C261" s="2" t="str">
        <f t="shared" si="1"/>
        <v>Presence of Uncommon Consonants</v>
      </c>
      <c r="D261" s="2" t="str">
        <f>HYPERLINK("https://wals.info/languoid/lect/wals_code_koi","Koiari")</f>
        <v>Koiari</v>
      </c>
      <c r="E261" s="1"/>
      <c r="F261" s="1"/>
      <c r="G261" s="1" t="s">
        <v>526</v>
      </c>
    </row>
    <row r="262" ht="12.75" customHeight="1">
      <c r="A262" s="1" t="s">
        <v>527</v>
      </c>
      <c r="B262" s="2" t="str">
        <f>HYPERLINK("https://wals.info/values/19A-kzy","None")</f>
        <v>None</v>
      </c>
      <c r="C262" s="2" t="str">
        <f t="shared" si="1"/>
        <v>Presence of Uncommon Consonants</v>
      </c>
      <c r="D262" s="2" t="str">
        <f>HYPERLINK("https://wals.info/languoid/lect/wals_code_kzy","Komi-Zyrian")</f>
        <v>Komi-Zyrian</v>
      </c>
      <c r="E262" s="1"/>
      <c r="F262" s="1"/>
      <c r="G262" s="1" t="s">
        <v>528</v>
      </c>
    </row>
    <row r="263" ht="12.75" customHeight="1">
      <c r="A263" s="1" t="s">
        <v>529</v>
      </c>
      <c r="B263" s="2" t="str">
        <f>HYPERLINK("https://wals.info/values/19A-kom","None")</f>
        <v>None</v>
      </c>
      <c r="C263" s="2" t="str">
        <f t="shared" si="1"/>
        <v>Presence of Uncommon Consonants</v>
      </c>
      <c r="D263" s="2" t="str">
        <f>HYPERLINK("https://wals.info/languoid/lect/wals_code_kom","Komo")</f>
        <v>Komo</v>
      </c>
      <c r="E263" s="1"/>
      <c r="F263" s="1"/>
      <c r="G263" s="1" t="s">
        <v>530</v>
      </c>
    </row>
    <row r="264" ht="12.75" customHeight="1">
      <c r="A264" s="1" t="s">
        <v>531</v>
      </c>
      <c r="B264" s="2" t="str">
        <f>HYPERLINK("https://wals.info/values/19A-kkn","None")</f>
        <v>None</v>
      </c>
      <c r="C264" s="2" t="str">
        <f t="shared" si="1"/>
        <v>Presence of Uncommon Consonants</v>
      </c>
      <c r="D264" s="2" t="str">
        <f>HYPERLINK("https://wals.info/languoid/lect/wals_code_kkn","Konkani")</f>
        <v>Konkani</v>
      </c>
      <c r="E264" s="1"/>
      <c r="F264" s="1"/>
      <c r="G264" s="1" t="s">
        <v>532</v>
      </c>
    </row>
    <row r="265" ht="12.75" customHeight="1">
      <c r="A265" s="1" t="s">
        <v>533</v>
      </c>
      <c r="B265" s="2" t="str">
        <f>HYPERLINK("https://wals.info/values/19A-kgi","None")</f>
        <v>None</v>
      </c>
      <c r="C265" s="2" t="str">
        <f t="shared" si="1"/>
        <v>Presence of Uncommon Consonants</v>
      </c>
      <c r="D265" s="2" t="str">
        <f>HYPERLINK("https://wals.info/languoid/lect/wals_code_kgi","Konyagi")</f>
        <v>Konyagi</v>
      </c>
      <c r="E265" s="1"/>
      <c r="F265" s="1"/>
      <c r="G265" s="1" t="s">
        <v>534</v>
      </c>
    </row>
    <row r="266" ht="12.75" customHeight="1">
      <c r="A266" s="1" t="s">
        <v>535</v>
      </c>
      <c r="B266" s="2" t="str">
        <f>HYPERLINK("https://wals.info/values/19A-kor","None")</f>
        <v>None</v>
      </c>
      <c r="C266" s="2" t="str">
        <f t="shared" si="1"/>
        <v>Presence of Uncommon Consonants</v>
      </c>
      <c r="D266" s="2" t="str">
        <f>HYPERLINK("https://wals.info/languoid/lect/wals_code_kor","Korean")</f>
        <v>Korean</v>
      </c>
      <c r="E266" s="1"/>
      <c r="F266" s="1"/>
      <c r="G266" s="1" t="s">
        <v>536</v>
      </c>
    </row>
    <row r="267" ht="12.75" customHeight="1">
      <c r="A267" s="1" t="s">
        <v>537</v>
      </c>
      <c r="B267" s="2" t="str">
        <f>HYPERLINK("https://wals.info/values/19A-kfe","None")</f>
        <v>None</v>
      </c>
      <c r="C267" s="2" t="str">
        <f t="shared" si="1"/>
        <v>Presence of Uncommon Consonants</v>
      </c>
      <c r="D267" s="2" t="str">
        <f>HYPERLINK("https://wals.info/languoid/lect/wals_code_kfe","Koromfe")</f>
        <v>Koromfe</v>
      </c>
      <c r="E267" s="1"/>
      <c r="F267" s="1"/>
      <c r="G267" s="1" t="s">
        <v>538</v>
      </c>
    </row>
    <row r="268" ht="12.75" customHeight="1">
      <c r="A268" s="1" t="s">
        <v>539</v>
      </c>
      <c r="B268" s="2" t="str">
        <f>HYPERLINK("https://wals.info/values/19A-kry","None")</f>
        <v>None</v>
      </c>
      <c r="C268" s="2" t="str">
        <f t="shared" si="1"/>
        <v>Presence of Uncommon Consonants</v>
      </c>
      <c r="D268" s="2" t="str">
        <f>HYPERLINK("https://wals.info/languoid/lect/wals_code_kry","Koryak")</f>
        <v>Koryak</v>
      </c>
      <c r="E268" s="1"/>
      <c r="F268" s="1"/>
      <c r="G268" s="1" t="s">
        <v>540</v>
      </c>
    </row>
    <row r="269" ht="12.75" customHeight="1">
      <c r="A269" s="1" t="s">
        <v>541</v>
      </c>
      <c r="B269" s="2" t="str">
        <f>HYPERLINK("https://wals.info/values/19A-kot","None")</f>
        <v>None</v>
      </c>
      <c r="C269" s="2" t="str">
        <f t="shared" si="1"/>
        <v>Presence of Uncommon Consonants</v>
      </c>
      <c r="D269" s="2" t="str">
        <f>HYPERLINK("https://wals.info/languoid/lect/wals_code_kot","Kota")</f>
        <v>Kota</v>
      </c>
      <c r="E269" s="1"/>
      <c r="F269" s="1"/>
      <c r="G269" s="1" t="s">
        <v>542</v>
      </c>
    </row>
    <row r="270" ht="12.75" customHeight="1">
      <c r="A270" s="1" t="s">
        <v>543</v>
      </c>
      <c r="B270" s="2" t="str">
        <f>HYPERLINK("https://wals.info/values/19A-ktk","Labial-velars")</f>
        <v>Labial-velars</v>
      </c>
      <c r="C270" s="2" t="str">
        <f t="shared" si="1"/>
        <v>Presence of Uncommon Consonants</v>
      </c>
      <c r="D270" s="2" t="str">
        <f>HYPERLINK("https://wals.info/languoid/lect/wals_code_ktk","Kotoko")</f>
        <v>Kotoko</v>
      </c>
      <c r="E270" s="1"/>
      <c r="F270" s="1"/>
      <c r="G270" s="1" t="s">
        <v>544</v>
      </c>
    </row>
    <row r="271" ht="12.75" customHeight="1">
      <c r="A271" s="1" t="s">
        <v>545</v>
      </c>
      <c r="B271" s="2" t="str">
        <f>HYPERLINK("https://wals.info/values/19A-koy","None")</f>
        <v>None</v>
      </c>
      <c r="C271" s="2" t="str">
        <f t="shared" si="1"/>
        <v>Presence of Uncommon Consonants</v>
      </c>
      <c r="D271" s="2" t="str">
        <f>HYPERLINK("https://wals.info/languoid/lect/wals_code_koy","Koya")</f>
        <v>Koya</v>
      </c>
      <c r="E271" s="1"/>
      <c r="F271" s="1"/>
      <c r="G271" s="1" t="s">
        <v>546</v>
      </c>
    </row>
    <row r="272" ht="12.75" customHeight="1">
      <c r="A272" s="1" t="s">
        <v>547</v>
      </c>
      <c r="B272" s="2" t="str">
        <f>HYPERLINK("https://wals.info/values/19A-kse","None")</f>
        <v>None</v>
      </c>
      <c r="C272" s="2" t="str">
        <f t="shared" si="1"/>
        <v>Presence of Uncommon Consonants</v>
      </c>
      <c r="D272" s="2" t="str">
        <f>HYPERLINK("https://wals.info/languoid/lect/wals_code_kse","Koyraboro Senni")</f>
        <v>Koyraboro Senni</v>
      </c>
      <c r="E272" s="1"/>
      <c r="F272" s="1"/>
      <c r="G272" s="1" t="s">
        <v>548</v>
      </c>
    </row>
    <row r="273" ht="12.75" customHeight="1">
      <c r="A273" s="1" t="s">
        <v>549</v>
      </c>
      <c r="B273" s="2" t="str">
        <f>HYPERLINK("https://wals.info/values/19A-kch","None")</f>
        <v>None</v>
      </c>
      <c r="C273" s="2" t="str">
        <f t="shared" si="1"/>
        <v>Presence of Uncommon Consonants</v>
      </c>
      <c r="D273" s="2" t="str">
        <f>HYPERLINK("https://wals.info/languoid/lect/wals_code_kch","Koyra Chiini")</f>
        <v>Koyra Chiini</v>
      </c>
      <c r="E273" s="1"/>
      <c r="F273" s="1"/>
      <c r="G273" s="1" t="s">
        <v>550</v>
      </c>
    </row>
    <row r="274" ht="12.75" customHeight="1">
      <c r="A274" s="1" t="s">
        <v>551</v>
      </c>
      <c r="B274" s="2" t="str">
        <f>HYPERLINK("https://wals.info/values/19A-kpa","Labial-velars")</f>
        <v>Labial-velars</v>
      </c>
      <c r="C274" s="2" t="str">
        <f t="shared" si="1"/>
        <v>Presence of Uncommon Consonants</v>
      </c>
      <c r="D274" s="2" t="str">
        <f>HYPERLINK("https://wals.info/languoid/lect/wals_code_kpa","Kpan")</f>
        <v>Kpan</v>
      </c>
      <c r="E274" s="1"/>
      <c r="F274" s="1"/>
      <c r="G274" s="1" t="s">
        <v>552</v>
      </c>
    </row>
    <row r="275" ht="12.75" customHeight="1">
      <c r="A275" s="1" t="s">
        <v>553</v>
      </c>
      <c r="B275" s="2" t="str">
        <f>HYPERLINK("https://wals.info/values/19A-kpe","Labial-velars")</f>
        <v>Labial-velars</v>
      </c>
      <c r="C275" s="2" t="str">
        <f t="shared" si="1"/>
        <v>Presence of Uncommon Consonants</v>
      </c>
      <c r="D275" s="2" t="str">
        <f>HYPERLINK("https://wals.info/languoid/lect/wals_code_kpe","Kpelle")</f>
        <v>Kpelle</v>
      </c>
      <c r="E275" s="1"/>
      <c r="F275" s="1"/>
      <c r="G275" s="1" t="s">
        <v>554</v>
      </c>
    </row>
    <row r="276" ht="12.75" customHeight="1">
      <c r="A276" s="1" t="s">
        <v>555</v>
      </c>
      <c r="B276" s="2" t="str">
        <f>HYPERLINK("https://wals.info/values/19A-kro","None")</f>
        <v>None</v>
      </c>
      <c r="C276" s="2" t="str">
        <f t="shared" si="1"/>
        <v>Presence of Uncommon Consonants</v>
      </c>
      <c r="D276" s="2" t="str">
        <f>HYPERLINK("https://wals.info/languoid/lect/wals_code_kro","Krongo")</f>
        <v>Krongo</v>
      </c>
      <c r="E276" s="1"/>
      <c r="F276" s="1"/>
      <c r="G276" s="1" t="s">
        <v>556</v>
      </c>
    </row>
    <row r="277" ht="12.75" customHeight="1">
      <c r="A277" s="1" t="s">
        <v>557</v>
      </c>
      <c r="B277" s="2" t="str">
        <f>HYPERLINK("https://wals.info/values/19A-kya","None")</f>
        <v>None</v>
      </c>
      <c r="C277" s="2" t="str">
        <f t="shared" si="1"/>
        <v>Presence of Uncommon Consonants</v>
      </c>
      <c r="D277" s="2" t="str">
        <f>HYPERLINK("https://wals.info/languoid/lect/wals_code_kya","Kuku-Yalanji")</f>
        <v>Kuku-Yalanji</v>
      </c>
      <c r="E277" s="1"/>
      <c r="F277" s="1"/>
      <c r="G277" s="1" t="s">
        <v>558</v>
      </c>
    </row>
    <row r="278" ht="12.75" customHeight="1">
      <c r="A278" s="1" t="s">
        <v>559</v>
      </c>
      <c r="B278" s="2" t="str">
        <f>HYPERLINK("https://wals.info/values/19A-kul","None")</f>
        <v>None</v>
      </c>
      <c r="C278" s="2" t="str">
        <f t="shared" si="1"/>
        <v>Presence of Uncommon Consonants</v>
      </c>
      <c r="D278" s="2" t="str">
        <f>HYPERLINK("https://wals.info/languoid/lect/wals_code_kul","Kullo")</f>
        <v>Kullo</v>
      </c>
      <c r="E278" s="1"/>
      <c r="F278" s="1"/>
      <c r="G278" s="1" t="s">
        <v>560</v>
      </c>
    </row>
    <row r="279" ht="12.75" customHeight="1">
      <c r="A279" s="1" t="s">
        <v>561</v>
      </c>
      <c r="B279" s="2" t="str">
        <f>HYPERLINK("https://wals.info/values/19A-kun","None")</f>
        <v>None</v>
      </c>
      <c r="C279" s="2" t="str">
        <f t="shared" si="1"/>
        <v>Presence of Uncommon Consonants</v>
      </c>
      <c r="D279" s="2" t="str">
        <f>HYPERLINK("https://wals.info/languoid/lect/wals_code_kun","Kuna")</f>
        <v>Kuna</v>
      </c>
      <c r="E279" s="1"/>
      <c r="F279" s="1"/>
      <c r="G279" s="1" t="s">
        <v>562</v>
      </c>
    </row>
    <row r="280" ht="12.75" customHeight="1">
      <c r="A280" s="1" t="s">
        <v>563</v>
      </c>
      <c r="B280" s="2" t="str">
        <f>HYPERLINK("https://wals.info/values/19A-knm","None")</f>
        <v>None</v>
      </c>
      <c r="C280" s="2" t="str">
        <f t="shared" si="1"/>
        <v>Presence of Uncommon Consonants</v>
      </c>
      <c r="D280" s="2" t="str">
        <f>HYPERLINK("https://wals.info/languoid/lect/wals_code_knm","Kunama")</f>
        <v>Kunama</v>
      </c>
      <c r="E280" s="1"/>
      <c r="F280" s="1"/>
      <c r="G280" s="1" t="s">
        <v>564</v>
      </c>
    </row>
    <row r="281" ht="12.75" customHeight="1">
      <c r="A281" s="1" t="s">
        <v>565</v>
      </c>
      <c r="B281" s="2" t="str">
        <f>HYPERLINK("https://wals.info/values/19A-kmp","None")</f>
        <v>None</v>
      </c>
      <c r="C281" s="2" t="str">
        <f t="shared" si="1"/>
        <v>Presence of Uncommon Consonants</v>
      </c>
      <c r="D281" s="2" t="str">
        <f>HYPERLINK("https://wals.info/languoid/lect/wals_code_kmp","Kunimaipa")</f>
        <v>Kunimaipa</v>
      </c>
      <c r="E281" s="1"/>
      <c r="F281" s="1"/>
      <c r="G281" s="1" t="s">
        <v>566</v>
      </c>
    </row>
    <row r="282" ht="12.75" customHeight="1">
      <c r="A282" s="1" t="s">
        <v>567</v>
      </c>
      <c r="B282" s="2" t="str">
        <f>HYPERLINK("https://wals.info/values/19A-krd","Pharyngeals")</f>
        <v>Pharyngeals</v>
      </c>
      <c r="C282" s="2" t="str">
        <f t="shared" si="1"/>
        <v>Presence of Uncommon Consonants</v>
      </c>
      <c r="D282" s="2" t="str">
        <f>HYPERLINK("https://wals.info/languoid/lect/wals_code_krd","Kurdish (Central)")</f>
        <v>Kurdish (Central)</v>
      </c>
      <c r="E282" s="1"/>
      <c r="F282" s="1"/>
      <c r="G282" s="1" t="s">
        <v>568</v>
      </c>
    </row>
    <row r="283" ht="12.75" customHeight="1">
      <c r="A283" s="1" t="s">
        <v>569</v>
      </c>
      <c r="B283" s="2" t="str">
        <f>HYPERLINK("https://wals.info/values/19A-kur","None")</f>
        <v>None</v>
      </c>
      <c r="C283" s="2" t="str">
        <f t="shared" si="1"/>
        <v>Presence of Uncommon Consonants</v>
      </c>
      <c r="D283" s="2" t="str">
        <f>HYPERLINK("https://wals.info/languoid/lect/wals_code_kur","Kurukh")</f>
        <v>Kurukh</v>
      </c>
      <c r="E283" s="1"/>
      <c r="F283" s="1"/>
      <c r="G283" s="1" t="s">
        <v>570</v>
      </c>
    </row>
    <row r="284" ht="12.75" customHeight="1">
      <c r="A284" s="1" t="s">
        <v>571</v>
      </c>
      <c r="B284" s="2" t="str">
        <f>HYPERLINK("https://wals.info/values/19A-kut","None")</f>
        <v>None</v>
      </c>
      <c r="C284" s="2" t="str">
        <f t="shared" si="1"/>
        <v>Presence of Uncommon Consonants</v>
      </c>
      <c r="D284" s="2" t="str">
        <f>HYPERLINK("https://wals.info/languoid/lect/wals_code_kut","Kutenai")</f>
        <v>Kutenai</v>
      </c>
      <c r="E284" s="1"/>
      <c r="F284" s="1"/>
      <c r="G284" s="1" t="s">
        <v>572</v>
      </c>
    </row>
    <row r="285" ht="12.75" customHeight="1">
      <c r="A285" s="1" t="s">
        <v>573</v>
      </c>
      <c r="B285" s="2" t="str">
        <f>HYPERLINK("https://wals.info/values/19A-kwa","None")</f>
        <v>None</v>
      </c>
      <c r="C285" s="2" t="str">
        <f t="shared" si="1"/>
        <v>Presence of Uncommon Consonants</v>
      </c>
      <c r="D285" s="2" t="str">
        <f>HYPERLINK("https://wals.info/languoid/lect/wals_code_kwa","Kwaio")</f>
        <v>Kwaio</v>
      </c>
      <c r="E285" s="1"/>
      <c r="F285" s="1"/>
      <c r="G285" s="1" t="s">
        <v>574</v>
      </c>
    </row>
    <row r="286" ht="12.75" customHeight="1">
      <c r="A286" s="1" t="s">
        <v>575</v>
      </c>
      <c r="B286" s="2" t="str">
        <f>HYPERLINK("https://wals.info/values/19A-kwk","None")</f>
        <v>None</v>
      </c>
      <c r="C286" s="2" t="str">
        <f t="shared" si="1"/>
        <v>Presence of Uncommon Consonants</v>
      </c>
      <c r="D286" s="2" t="str">
        <f>HYPERLINK("https://wals.info/languoid/lect/wals_code_kwk","Kwakw'ala")</f>
        <v>Kwakw'ala</v>
      </c>
      <c r="E286" s="1"/>
      <c r="F286" s="1"/>
      <c r="G286" s="1" t="s">
        <v>576</v>
      </c>
    </row>
    <row r="287" ht="12.75" customHeight="1">
      <c r="A287" s="1" t="s">
        <v>577</v>
      </c>
      <c r="B287" s="2" t="str">
        <f>HYPERLINK("https://wals.info/values/19A-kwo","None")</f>
        <v>None</v>
      </c>
      <c r="C287" s="2" t="str">
        <f t="shared" si="1"/>
        <v>Presence of Uncommon Consonants</v>
      </c>
      <c r="D287" s="2" t="str">
        <f>HYPERLINK("https://wals.info/languoid/lect/wals_code_kwo","Kwoma")</f>
        <v>Kwoma</v>
      </c>
      <c r="E287" s="1"/>
      <c r="F287" s="1"/>
      <c r="G287" s="1" t="s">
        <v>578</v>
      </c>
    </row>
    <row r="288" ht="12.75" customHeight="1">
      <c r="A288" s="1" t="s">
        <v>579</v>
      </c>
      <c r="B288" s="2" t="str">
        <f>HYPERLINK("https://wals.info/values/19A-lad","None")</f>
        <v>None</v>
      </c>
      <c r="C288" s="2" t="str">
        <f t="shared" si="1"/>
        <v>Presence of Uncommon Consonants</v>
      </c>
      <c r="D288" s="2" t="str">
        <f>HYPERLINK("https://wals.info/languoid/lect/wals_code_lad","Ladakhi")</f>
        <v>Ladakhi</v>
      </c>
      <c r="E288" s="1"/>
      <c r="F288" s="1"/>
      <c r="G288" s="1" t="s">
        <v>580</v>
      </c>
    </row>
    <row r="289" ht="12.75" customHeight="1">
      <c r="A289" s="1" t="s">
        <v>581</v>
      </c>
      <c r="B289" s="2" t="str">
        <f>HYPERLINK("https://wals.info/values/19A-lah","None")</f>
        <v>None</v>
      </c>
      <c r="C289" s="2" t="str">
        <f t="shared" si="1"/>
        <v>Presence of Uncommon Consonants</v>
      </c>
      <c r="D289" s="2" t="str">
        <f>HYPERLINK("https://wals.info/languoid/lect/wals_code_lah","Lahu")</f>
        <v>Lahu</v>
      </c>
      <c r="E289" s="1"/>
      <c r="F289" s="1"/>
      <c r="G289" s="1" t="s">
        <v>582</v>
      </c>
    </row>
    <row r="290" ht="12.75" customHeight="1">
      <c r="A290" s="1" t="s">
        <v>583</v>
      </c>
      <c r="B290" s="2" t="str">
        <f>HYPERLINK("https://wals.info/values/19A-lak","Pharyngeals")</f>
        <v>Pharyngeals</v>
      </c>
      <c r="C290" s="2" t="str">
        <f t="shared" si="1"/>
        <v>Presence of Uncommon Consonants</v>
      </c>
      <c r="D290" s="2" t="str">
        <f>HYPERLINK("https://wals.info/languoid/lect/wals_code_lak","Lak")</f>
        <v>Lak</v>
      </c>
      <c r="E290" s="1"/>
      <c r="F290" s="1"/>
      <c r="G290" s="1" t="s">
        <v>584</v>
      </c>
    </row>
    <row r="291" ht="12.75" customHeight="1">
      <c r="A291" s="1" t="s">
        <v>585</v>
      </c>
      <c r="B291" s="2" t="str">
        <f>HYPERLINK("https://wals.info/values/19A-lkt","None")</f>
        <v>None</v>
      </c>
      <c r="C291" s="2" t="str">
        <f t="shared" si="1"/>
        <v>Presence of Uncommon Consonants</v>
      </c>
      <c r="D291" s="2" t="str">
        <f>HYPERLINK("https://wals.info/languoid/lect/wals_code_lkt","Lakhota")</f>
        <v>Lakhota</v>
      </c>
      <c r="E291" s="1"/>
      <c r="F291" s="1"/>
      <c r="G291" s="1" t="s">
        <v>586</v>
      </c>
    </row>
    <row r="292" ht="12.75" customHeight="1">
      <c r="A292" s="1" t="s">
        <v>587</v>
      </c>
      <c r="B292" s="2" t="str">
        <f>HYPERLINK("https://wals.info/values/19A-lkk","'Th' sounds")</f>
        <v>'Th' sounds</v>
      </c>
      <c r="C292" s="2" t="str">
        <f t="shared" si="1"/>
        <v>Presence of Uncommon Consonants</v>
      </c>
      <c r="D292" s="2" t="str">
        <f>HYPERLINK("https://wals.info/languoid/lect/wals_code_lkk","Lakkia")</f>
        <v>Lakkia</v>
      </c>
      <c r="E292" s="1"/>
      <c r="F292" s="1"/>
      <c r="G292" s="1" t="s">
        <v>588</v>
      </c>
    </row>
    <row r="293" ht="12.75" customHeight="1">
      <c r="A293" s="1" t="s">
        <v>589</v>
      </c>
      <c r="B293" s="2" t="str">
        <f>HYPERLINK("https://wals.info/values/19A-lam","None")</f>
        <v>None</v>
      </c>
      <c r="C293" s="2" t="str">
        <f t="shared" si="1"/>
        <v>Presence of Uncommon Consonants</v>
      </c>
      <c r="D293" s="2" t="str">
        <f>HYPERLINK("https://wals.info/languoid/lect/wals_code_lam","Lamé")</f>
        <v>Lamé</v>
      </c>
      <c r="E293" s="1"/>
      <c r="F293" s="1"/>
      <c r="G293" s="1" t="s">
        <v>590</v>
      </c>
    </row>
    <row r="294" ht="12.75" customHeight="1">
      <c r="A294" s="1" t="s">
        <v>591</v>
      </c>
      <c r="B294" s="2" t="str">
        <f>HYPERLINK("https://wals.info/values/19A-lan","None")</f>
        <v>None</v>
      </c>
      <c r="C294" s="2" t="str">
        <f t="shared" si="1"/>
        <v>Presence of Uncommon Consonants</v>
      </c>
      <c r="D294" s="2" t="str">
        <f>HYPERLINK("https://wals.info/languoid/lect/wals_code_lan","Lango")</f>
        <v>Lango</v>
      </c>
      <c r="E294" s="1"/>
      <c r="F294" s="1"/>
      <c r="G294" s="1" t="s">
        <v>592</v>
      </c>
    </row>
    <row r="295" ht="12.75" customHeight="1">
      <c r="A295" s="1" t="s">
        <v>593</v>
      </c>
      <c r="B295" s="2" t="str">
        <f>HYPERLINK("https://wals.info/values/19A-lat","None")</f>
        <v>None</v>
      </c>
      <c r="C295" s="2" t="str">
        <f t="shared" si="1"/>
        <v>Presence of Uncommon Consonants</v>
      </c>
      <c r="D295" s="2" t="str">
        <f>HYPERLINK("https://wals.info/languoid/lect/wals_code_lat","Latvian")</f>
        <v>Latvian</v>
      </c>
      <c r="E295" s="1"/>
      <c r="F295" s="1"/>
      <c r="G295" s="1" t="s">
        <v>594</v>
      </c>
    </row>
    <row r="296" ht="12.75" customHeight="1">
      <c r="A296" s="1" t="s">
        <v>595</v>
      </c>
      <c r="B296" s="2" t="str">
        <f>HYPERLINK("https://wals.info/values/19A-lav","None")</f>
        <v>None</v>
      </c>
      <c r="C296" s="2" t="str">
        <f t="shared" si="1"/>
        <v>Presence of Uncommon Consonants</v>
      </c>
      <c r="D296" s="2" t="str">
        <f>HYPERLINK("https://wals.info/languoid/lect/wals_code_lav","Lavukaleve")</f>
        <v>Lavukaleve</v>
      </c>
      <c r="E296" s="1"/>
      <c r="F296" s="1"/>
      <c r="G296" s="1" t="s">
        <v>596</v>
      </c>
    </row>
    <row r="297" ht="12.75" customHeight="1">
      <c r="A297" s="1" t="s">
        <v>597</v>
      </c>
      <c r="B297" s="2" t="str">
        <f>HYPERLINK("https://wals.info/values/19A-llm","Labial-velars")</f>
        <v>Labial-velars</v>
      </c>
      <c r="C297" s="2" t="str">
        <f t="shared" si="1"/>
        <v>Presence of Uncommon Consonants</v>
      </c>
      <c r="D297" s="2" t="str">
        <f>HYPERLINK("https://wals.info/languoid/lect/wals_code_llm","Lelemi")</f>
        <v>Lelemi</v>
      </c>
      <c r="E297" s="1"/>
      <c r="F297" s="1"/>
      <c r="G297" s="1" t="s">
        <v>598</v>
      </c>
    </row>
    <row r="298" ht="12.75" customHeight="1">
      <c r="A298" s="1" t="s">
        <v>599</v>
      </c>
      <c r="B298" s="2" t="str">
        <f>HYPERLINK("https://wals.info/values/19A-len","None")</f>
        <v>None</v>
      </c>
      <c r="C298" s="2" t="str">
        <f t="shared" si="1"/>
        <v>Presence of Uncommon Consonants</v>
      </c>
      <c r="D298" s="2" t="str">
        <f>HYPERLINK("https://wals.info/languoid/lect/wals_code_len","Lenakel")</f>
        <v>Lenakel</v>
      </c>
      <c r="E298" s="1"/>
      <c r="F298" s="1"/>
      <c r="G298" s="1" t="s">
        <v>600</v>
      </c>
    </row>
    <row r="299" ht="12.75" customHeight="1">
      <c r="A299" s="1" t="s">
        <v>601</v>
      </c>
      <c r="B299" s="2" t="str">
        <f>HYPERLINK("https://wals.info/values/19A-lep","None")</f>
        <v>None</v>
      </c>
      <c r="C299" s="2" t="str">
        <f t="shared" si="1"/>
        <v>Presence of Uncommon Consonants</v>
      </c>
      <c r="D299" s="2" t="str">
        <f>HYPERLINK("https://wals.info/languoid/lect/wals_code_lep","Lepcha")</f>
        <v>Lepcha</v>
      </c>
      <c r="E299" s="1"/>
      <c r="F299" s="1"/>
      <c r="G299" s="1" t="s">
        <v>602</v>
      </c>
    </row>
    <row r="300" ht="12.75" customHeight="1">
      <c r="A300" s="1" t="s">
        <v>603</v>
      </c>
      <c r="B300" s="2" t="str">
        <f>HYPERLINK("https://wals.info/values/19A-lez","None")</f>
        <v>None</v>
      </c>
      <c r="C300" s="2" t="str">
        <f t="shared" si="1"/>
        <v>Presence of Uncommon Consonants</v>
      </c>
      <c r="D300" s="2" t="str">
        <f>HYPERLINK("https://wals.info/languoid/lect/wals_code_lez","Lezgian")</f>
        <v>Lezgian</v>
      </c>
      <c r="E300" s="1"/>
      <c r="F300" s="1"/>
      <c r="G300" s="1" t="s">
        <v>604</v>
      </c>
    </row>
    <row r="301" ht="12.75" customHeight="1">
      <c r="A301" s="1" t="s">
        <v>605</v>
      </c>
      <c r="B301" s="2" t="str">
        <f>HYPERLINK("https://wals.info/values/19A-lit","None")</f>
        <v>None</v>
      </c>
      <c r="C301" s="2" t="str">
        <f t="shared" si="1"/>
        <v>Presence of Uncommon Consonants</v>
      </c>
      <c r="D301" s="2" t="str">
        <f>HYPERLINK("https://wals.info/languoid/lect/wals_code_lit","Lithuanian")</f>
        <v>Lithuanian</v>
      </c>
      <c r="E301" s="1"/>
      <c r="F301" s="1"/>
      <c r="G301" s="1" t="s">
        <v>606</v>
      </c>
    </row>
    <row r="302" ht="12.75" customHeight="1">
      <c r="A302" s="1" t="s">
        <v>607</v>
      </c>
      <c r="B302" s="2" t="str">
        <f>HYPERLINK("https://wals.info/values/19A-lu","None")</f>
        <v>None</v>
      </c>
      <c r="C302" s="2" t="str">
        <f t="shared" si="1"/>
        <v>Presence of Uncommon Consonants</v>
      </c>
      <c r="D302" s="2" t="str">
        <f>HYPERLINK("https://wals.info/languoid/lect/wals_code_lu","Lü")</f>
        <v>Lü</v>
      </c>
      <c r="E302" s="1"/>
      <c r="F302" s="1"/>
      <c r="G302" s="1" t="s">
        <v>608</v>
      </c>
    </row>
    <row r="303" ht="12.75" customHeight="1">
      <c r="A303" s="1" t="s">
        <v>609</v>
      </c>
      <c r="B303" s="2" t="str">
        <f>HYPERLINK("https://wals.info/values/19A-lua","None")</f>
        <v>None</v>
      </c>
      <c r="C303" s="2" t="str">
        <f t="shared" si="1"/>
        <v>Presence of Uncommon Consonants</v>
      </c>
      <c r="D303" s="2" t="str">
        <f>HYPERLINK("https://wals.info/languoid/lect/wals_code_lua","Lua")</f>
        <v>Lua</v>
      </c>
      <c r="E303" s="1"/>
      <c r="F303" s="1"/>
      <c r="G303" s="1" t="s">
        <v>610</v>
      </c>
    </row>
    <row r="304" ht="12.75" customHeight="1">
      <c r="A304" s="1" t="s">
        <v>611</v>
      </c>
      <c r="B304" s="2" t="str">
        <f>HYPERLINK("https://wals.info/values/19A-lug","Labial-velars")</f>
        <v>Labial-velars</v>
      </c>
      <c r="C304" s="2" t="str">
        <f t="shared" si="1"/>
        <v>Presence of Uncommon Consonants</v>
      </c>
      <c r="D304" s="2" t="str">
        <f>HYPERLINK("https://wals.info/languoid/lect/wals_code_lug","Lugbara")</f>
        <v>Lugbara</v>
      </c>
      <c r="E304" s="1"/>
      <c r="F304" s="1"/>
      <c r="G304" s="1" t="s">
        <v>612</v>
      </c>
    </row>
    <row r="305" ht="12.75" customHeight="1">
      <c r="A305" s="1" t="s">
        <v>613</v>
      </c>
      <c r="B305" s="2" t="str">
        <f>HYPERLINK("https://wals.info/values/19A-lui","None")</f>
        <v>None</v>
      </c>
      <c r="C305" s="2" t="str">
        <f t="shared" si="1"/>
        <v>Presence of Uncommon Consonants</v>
      </c>
      <c r="D305" s="2" t="str">
        <f>HYPERLINK("https://wals.info/languoid/lect/wals_code_lui","Luiseño")</f>
        <v>Luiseño</v>
      </c>
      <c r="E305" s="1"/>
      <c r="F305" s="1"/>
      <c r="G305" s="1" t="s">
        <v>614</v>
      </c>
    </row>
    <row r="306" ht="12.75" customHeight="1">
      <c r="A306" s="1" t="s">
        <v>615</v>
      </c>
      <c r="B306" s="2" t="str">
        <f>HYPERLINK("https://wals.info/values/19A-luo","None")</f>
        <v>None</v>
      </c>
      <c r="C306" s="2" t="str">
        <f t="shared" si="1"/>
        <v>Presence of Uncommon Consonants</v>
      </c>
      <c r="D306" s="2" t="str">
        <f>HYPERLINK("https://wals.info/languoid/lect/wals_code_luo","Luo")</f>
        <v>Luo</v>
      </c>
      <c r="E306" s="1"/>
      <c r="F306" s="1"/>
      <c r="G306" s="1" t="s">
        <v>616</v>
      </c>
    </row>
    <row r="307" ht="12.75" customHeight="1">
      <c r="A307" s="1" t="s">
        <v>617</v>
      </c>
      <c r="B307" s="2" t="str">
        <f>HYPERLINK("https://wals.info/values/19A-lus","None")</f>
        <v>None</v>
      </c>
      <c r="C307" s="2" t="str">
        <f t="shared" si="1"/>
        <v>Presence of Uncommon Consonants</v>
      </c>
      <c r="D307" s="2" t="str">
        <f>HYPERLINK("https://wals.info/languoid/lect/wals_code_lus","Lushootseed")</f>
        <v>Lushootseed</v>
      </c>
      <c r="E307" s="1"/>
      <c r="F307" s="1"/>
      <c r="G307" s="1" t="s">
        <v>618</v>
      </c>
    </row>
    <row r="308" ht="12.75" customHeight="1">
      <c r="A308" s="1" t="s">
        <v>619</v>
      </c>
      <c r="B308" s="2" t="str">
        <f>HYPERLINK("https://wals.info/values/19A-kkv","None")</f>
        <v>None</v>
      </c>
      <c r="C308" s="2" t="str">
        <f t="shared" si="1"/>
        <v>Presence of Uncommon Consonants</v>
      </c>
      <c r="D308" s="2" t="str">
        <f>HYPERLINK("https://wals.info/languoid/lect/wals_code_kkv","Lusi")</f>
        <v>Lusi</v>
      </c>
      <c r="E308" s="1"/>
      <c r="F308" s="1"/>
      <c r="G308" s="1" t="s">
        <v>620</v>
      </c>
    </row>
    <row r="309" ht="12.75" customHeight="1">
      <c r="A309" s="1" t="s">
        <v>621</v>
      </c>
      <c r="B309" s="2" t="str">
        <f>HYPERLINK("https://wals.info/values/19A-luv","None")</f>
        <v>None</v>
      </c>
      <c r="C309" s="2" t="str">
        <f t="shared" si="1"/>
        <v>Presence of Uncommon Consonants</v>
      </c>
      <c r="D309" s="2" t="str">
        <f>HYPERLINK("https://wals.info/languoid/lect/wals_code_luv","Luvale")</f>
        <v>Luvale</v>
      </c>
      <c r="E309" s="1"/>
      <c r="F309" s="1"/>
      <c r="G309" s="1" t="s">
        <v>622</v>
      </c>
    </row>
    <row r="310" ht="12.75" customHeight="1">
      <c r="A310" s="1" t="s">
        <v>623</v>
      </c>
      <c r="B310" s="2" t="str">
        <f>HYPERLINK("https://wals.info/values/19A-maa","None")</f>
        <v>None</v>
      </c>
      <c r="C310" s="2" t="str">
        <f t="shared" si="1"/>
        <v>Presence of Uncommon Consonants</v>
      </c>
      <c r="D310" s="2" t="str">
        <f>HYPERLINK("https://wals.info/languoid/lect/wals_code_maa","Maasai")</f>
        <v>Maasai</v>
      </c>
      <c r="E310" s="1"/>
      <c r="F310" s="1"/>
      <c r="G310" s="1" t="s">
        <v>624</v>
      </c>
    </row>
    <row r="311" ht="12.75" customHeight="1">
      <c r="A311" s="1" t="s">
        <v>625</v>
      </c>
      <c r="B311" s="2" t="str">
        <f>HYPERLINK("https://wals.info/values/19A-mab","None")</f>
        <v>None</v>
      </c>
      <c r="C311" s="2" t="str">
        <f t="shared" si="1"/>
        <v>Presence of Uncommon Consonants</v>
      </c>
      <c r="D311" s="2" t="str">
        <f>HYPERLINK("https://wals.info/languoid/lect/wals_code_mab","Maba")</f>
        <v>Maba</v>
      </c>
      <c r="E311" s="1"/>
      <c r="F311" s="1"/>
      <c r="G311" s="1" t="s">
        <v>530</v>
      </c>
    </row>
    <row r="312" ht="12.75" customHeight="1">
      <c r="A312" s="1" t="s">
        <v>626</v>
      </c>
      <c r="B312" s="2" t="str">
        <f>HYPERLINK("https://wals.info/values/19A-mne","None")</f>
        <v>None</v>
      </c>
      <c r="C312" s="2" t="str">
        <f t="shared" si="1"/>
        <v>Presence of Uncommon Consonants</v>
      </c>
      <c r="D312" s="2" t="str">
        <f>HYPERLINK("https://wals.info/languoid/lect/wals_code_mne","Maidu (Northeast)")</f>
        <v>Maidu (Northeast)</v>
      </c>
      <c r="E312" s="1"/>
      <c r="F312" s="1"/>
      <c r="G312" s="1" t="s">
        <v>627</v>
      </c>
    </row>
    <row r="313" ht="12.75" customHeight="1">
      <c r="A313" s="1" t="s">
        <v>628</v>
      </c>
      <c r="B313" s="2" t="str">
        <f>HYPERLINK("https://wals.info/values/19A-mak","None")</f>
        <v>None</v>
      </c>
      <c r="C313" s="2" t="str">
        <f t="shared" si="1"/>
        <v>Presence of Uncommon Consonants</v>
      </c>
      <c r="D313" s="2" t="str">
        <f>HYPERLINK("https://wals.info/languoid/lect/wals_code_mak","Makah")</f>
        <v>Makah</v>
      </c>
      <c r="E313" s="1"/>
      <c r="F313" s="1"/>
      <c r="G313" s="1" t="s">
        <v>629</v>
      </c>
    </row>
    <row r="314" ht="12.75" customHeight="1">
      <c r="A314" s="1" t="s">
        <v>630</v>
      </c>
      <c r="B314" s="2" t="str">
        <f>HYPERLINK("https://wals.info/values/19A-mal","None")</f>
        <v>None</v>
      </c>
      <c r="C314" s="2" t="str">
        <f t="shared" si="1"/>
        <v>Presence of Uncommon Consonants</v>
      </c>
      <c r="D314" s="2" t="str">
        <f>HYPERLINK("https://wals.info/languoid/lect/wals_code_mal","Malagasy")</f>
        <v>Malagasy</v>
      </c>
      <c r="E314" s="1"/>
      <c r="F314" s="1"/>
      <c r="G314" s="1" t="s">
        <v>631</v>
      </c>
    </row>
    <row r="315" ht="12.75" customHeight="1">
      <c r="A315" s="1" t="s">
        <v>632</v>
      </c>
      <c r="B315" s="2" t="str">
        <f>HYPERLINK("https://wals.info/values/19A-mlk","None")</f>
        <v>None</v>
      </c>
      <c r="C315" s="2" t="str">
        <f t="shared" si="1"/>
        <v>Presence of Uncommon Consonants</v>
      </c>
      <c r="D315" s="2" t="str">
        <f>HYPERLINK("https://wals.info/languoid/lect/wals_code_mlk","Malakmalak")</f>
        <v>Malakmalak</v>
      </c>
      <c r="E315" s="1"/>
      <c r="F315" s="1"/>
      <c r="G315" s="1" t="s">
        <v>633</v>
      </c>
    </row>
    <row r="316" ht="12.75" customHeight="1">
      <c r="A316" s="1" t="s">
        <v>634</v>
      </c>
      <c r="B316" s="2" t="str">
        <f>HYPERLINK("https://wals.info/values/19A-mla","None")</f>
        <v>None</v>
      </c>
      <c r="C316" s="2" t="str">
        <f t="shared" si="1"/>
        <v>Presence of Uncommon Consonants</v>
      </c>
      <c r="D316" s="2" t="str">
        <f>HYPERLINK("https://wals.info/languoid/lect/wals_code_mla","Mambila")</f>
        <v>Mambila</v>
      </c>
      <c r="E316" s="1"/>
      <c r="F316" s="1"/>
      <c r="G316" s="1" t="s">
        <v>635</v>
      </c>
    </row>
    <row r="317" ht="12.75" customHeight="1">
      <c r="A317" s="1" t="s">
        <v>636</v>
      </c>
      <c r="B317" s="2" t="str">
        <f>HYPERLINK("https://wals.info/values/19A-mnc","None")</f>
        <v>None</v>
      </c>
      <c r="C317" s="2" t="str">
        <f t="shared" si="1"/>
        <v>Presence of Uncommon Consonants</v>
      </c>
      <c r="D317" s="2" t="str">
        <f>HYPERLINK("https://wals.info/languoid/lect/wals_code_mnc","Manchu")</f>
        <v>Manchu</v>
      </c>
      <c r="E317" s="1"/>
      <c r="F317" s="1"/>
      <c r="G317" s="1" t="s">
        <v>637</v>
      </c>
    </row>
    <row r="318" ht="12.75" customHeight="1">
      <c r="A318" s="1" t="s">
        <v>638</v>
      </c>
      <c r="B318" s="2" t="str">
        <f>HYPERLINK("https://wals.info/values/19A-mnd","None")</f>
        <v>None</v>
      </c>
      <c r="C318" s="2" t="str">
        <f t="shared" si="1"/>
        <v>Presence of Uncommon Consonants</v>
      </c>
      <c r="D318" s="2" t="str">
        <f>HYPERLINK("https://wals.info/languoid/lect/wals_code_mnd","Mandarin")</f>
        <v>Mandarin</v>
      </c>
      <c r="E318" s="1"/>
      <c r="F318" s="1"/>
      <c r="G318" s="1" t="s">
        <v>639</v>
      </c>
    </row>
    <row r="319" ht="12.75" customHeight="1">
      <c r="A319" s="1" t="s">
        <v>640</v>
      </c>
      <c r="B319" s="2" t="str">
        <f>HYPERLINK("https://wals.info/values/19A-myi","None")</f>
        <v>None</v>
      </c>
      <c r="C319" s="2" t="str">
        <f t="shared" si="1"/>
        <v>Presence of Uncommon Consonants</v>
      </c>
      <c r="D319" s="2" t="str">
        <f>HYPERLINK("https://wals.info/languoid/lect/wals_code_myi","Mangarrayi")</f>
        <v>Mangarrayi</v>
      </c>
      <c r="E319" s="1"/>
      <c r="F319" s="1"/>
      <c r="G319" s="1" t="s">
        <v>641</v>
      </c>
    </row>
    <row r="320" ht="12.75" customHeight="1">
      <c r="A320" s="1" t="s">
        <v>642</v>
      </c>
      <c r="B320" s="2" t="str">
        <f>HYPERLINK("https://wals.info/values/19A-mgg","None")</f>
        <v>None</v>
      </c>
      <c r="C320" s="2" t="str">
        <f t="shared" si="1"/>
        <v>Presence of Uncommon Consonants</v>
      </c>
      <c r="D320" s="2" t="str">
        <f>HYPERLINK("https://wals.info/languoid/lect/wals_code_mgg","Mangghuer")</f>
        <v>Mangghuer</v>
      </c>
      <c r="E320" s="1"/>
      <c r="F320" s="1"/>
      <c r="G320" s="1" t="s">
        <v>643</v>
      </c>
    </row>
    <row r="321" ht="12.75" customHeight="1">
      <c r="A321" s="1" t="s">
        <v>644</v>
      </c>
      <c r="B321" s="2" t="str">
        <f>HYPERLINK("https://wals.info/values/19A-mao","None")</f>
        <v>None</v>
      </c>
      <c r="C321" s="2" t="str">
        <f t="shared" si="1"/>
        <v>Presence of Uncommon Consonants</v>
      </c>
      <c r="D321" s="2" t="str">
        <f>HYPERLINK("https://wals.info/languoid/lect/wals_code_mao","Maori")</f>
        <v>Maori</v>
      </c>
      <c r="E321" s="1"/>
      <c r="F321" s="1"/>
      <c r="G321" s="1" t="s">
        <v>645</v>
      </c>
    </row>
    <row r="322" ht="12.75" customHeight="1">
      <c r="A322" s="1" t="s">
        <v>646</v>
      </c>
      <c r="B322" s="2" t="str">
        <f>HYPERLINK("https://wals.info/values/19A-map","'Th' sounds")</f>
        <v>'Th' sounds</v>
      </c>
      <c r="C322" s="2" t="str">
        <f t="shared" si="1"/>
        <v>Presence of Uncommon Consonants</v>
      </c>
      <c r="D322" s="2" t="str">
        <f>HYPERLINK("https://wals.info/languoid/lect/wals_code_map","Mapudungun")</f>
        <v>Mapudungun</v>
      </c>
      <c r="E322" s="1"/>
      <c r="F322" s="1"/>
      <c r="G322" s="1" t="s">
        <v>647</v>
      </c>
    </row>
    <row r="323" ht="12.75" customHeight="1">
      <c r="A323" s="1" t="s">
        <v>648</v>
      </c>
      <c r="B323" s="2" t="str">
        <f>HYPERLINK("https://wals.info/values/19A-mrn","None")</f>
        <v>None</v>
      </c>
      <c r="C323" s="2" t="str">
        <f t="shared" si="1"/>
        <v>Presence of Uncommon Consonants</v>
      </c>
      <c r="D323" s="2" t="str">
        <f>HYPERLINK("https://wals.info/languoid/lect/wals_code_mrn","Maranao")</f>
        <v>Maranao</v>
      </c>
      <c r="E323" s="1"/>
      <c r="F323" s="1"/>
      <c r="G323" s="1" t="s">
        <v>649</v>
      </c>
    </row>
    <row r="324" ht="12.75" customHeight="1">
      <c r="A324" s="1" t="s">
        <v>650</v>
      </c>
      <c r="B324" s="2" t="str">
        <f>HYPERLINK("https://wals.info/values/19A-mku","None")</f>
        <v>None</v>
      </c>
      <c r="C324" s="2" t="str">
        <f t="shared" si="1"/>
        <v>Presence of Uncommon Consonants</v>
      </c>
      <c r="D324" s="2" t="str">
        <f>HYPERLINK("https://wals.info/languoid/lect/wals_code_mku","Maranungku")</f>
        <v>Maranungku</v>
      </c>
      <c r="E324" s="1"/>
      <c r="F324" s="1"/>
      <c r="G324" s="1" t="s">
        <v>651</v>
      </c>
    </row>
    <row r="325" ht="12.75" customHeight="1">
      <c r="A325" s="1" t="s">
        <v>652</v>
      </c>
      <c r="B325" s="2" t="str">
        <f>HYPERLINK("https://wals.info/values/19A-mrg","None")</f>
        <v>None</v>
      </c>
      <c r="C325" s="2" t="str">
        <f t="shared" si="1"/>
        <v>Presence of Uncommon Consonants</v>
      </c>
      <c r="D325" s="2" t="str">
        <f>HYPERLINK("https://wals.info/languoid/lect/wals_code_mrg","Margi")</f>
        <v>Margi</v>
      </c>
      <c r="E325" s="1"/>
      <c r="F325" s="1"/>
      <c r="G325" s="1" t="s">
        <v>653</v>
      </c>
    </row>
    <row r="326" ht="12.75" customHeight="1">
      <c r="A326" s="1" t="s">
        <v>654</v>
      </c>
      <c r="B326" s="2" t="str">
        <f>HYPERLINK("https://wals.info/values/19A-mar","'Th' sounds")</f>
        <v>'Th' sounds</v>
      </c>
      <c r="C326" s="2" t="str">
        <f t="shared" si="1"/>
        <v>Presence of Uncommon Consonants</v>
      </c>
      <c r="D326" s="2" t="str">
        <f>HYPERLINK("https://wals.info/languoid/lect/wals_code_mar","Maricopa")</f>
        <v>Maricopa</v>
      </c>
      <c r="E326" s="1"/>
      <c r="F326" s="1"/>
      <c r="G326" s="1" t="s">
        <v>655</v>
      </c>
    </row>
    <row r="327" ht="12.75" customHeight="1">
      <c r="A327" s="1" t="s">
        <v>656</v>
      </c>
      <c r="B327" s="2" t="str">
        <f>HYPERLINK("https://wals.info/values/19A-mme","'Th' sounds")</f>
        <v>'Th' sounds</v>
      </c>
      <c r="C327" s="2" t="str">
        <f t="shared" si="1"/>
        <v>Presence of Uncommon Consonants</v>
      </c>
      <c r="D327" s="2" t="str">
        <f>HYPERLINK("https://wals.info/languoid/lect/wals_code_mme","Mari (Meadow)")</f>
        <v>Mari (Meadow)</v>
      </c>
      <c r="E327" s="1"/>
      <c r="F327" s="1"/>
      <c r="G327" s="1" t="s">
        <v>657</v>
      </c>
    </row>
    <row r="328" ht="12.75" customHeight="1">
      <c r="A328" s="1" t="s">
        <v>658</v>
      </c>
      <c r="B328" s="2" t="str">
        <f>HYPERLINK("https://wals.info/values/19A-mrd","None")</f>
        <v>None</v>
      </c>
      <c r="C328" s="2" t="str">
        <f t="shared" si="1"/>
        <v>Presence of Uncommon Consonants</v>
      </c>
      <c r="D328" s="2" t="str">
        <f>HYPERLINK("https://wals.info/languoid/lect/wals_code_mrd","Marind")</f>
        <v>Marind</v>
      </c>
      <c r="E328" s="1"/>
      <c r="F328" s="1"/>
      <c r="G328" s="1" t="s">
        <v>659</v>
      </c>
    </row>
    <row r="329" ht="12.75" customHeight="1">
      <c r="A329" s="1" t="s">
        <v>660</v>
      </c>
      <c r="B329" s="2" t="str">
        <f>HYPERLINK("https://wals.info/values/19A-mrt","None")</f>
        <v>None</v>
      </c>
      <c r="C329" s="2" t="str">
        <f t="shared" si="1"/>
        <v>Presence of Uncommon Consonants</v>
      </c>
      <c r="D329" s="2" t="str">
        <f>HYPERLINK("https://wals.info/languoid/lect/wals_code_mrt","Martuthunira")</f>
        <v>Martuthunira</v>
      </c>
      <c r="E329" s="1"/>
      <c r="F329" s="1"/>
      <c r="G329" s="1" t="s">
        <v>661</v>
      </c>
    </row>
    <row r="330" ht="12.75" customHeight="1">
      <c r="A330" s="1" t="s">
        <v>662</v>
      </c>
      <c r="B330" s="2" t="str">
        <f>HYPERLINK("https://wals.info/values/19A-mau","None")</f>
        <v>None</v>
      </c>
      <c r="C330" s="2" t="str">
        <f t="shared" si="1"/>
        <v>Presence of Uncommon Consonants</v>
      </c>
      <c r="D330" s="2" t="str">
        <f>HYPERLINK("https://wals.info/languoid/lect/wals_code_mau","Maung")</f>
        <v>Maung</v>
      </c>
      <c r="E330" s="1"/>
      <c r="F330" s="1"/>
      <c r="G330" s="1" t="s">
        <v>663</v>
      </c>
    </row>
    <row r="331" ht="12.75" customHeight="1">
      <c r="A331" s="1" t="s">
        <v>664</v>
      </c>
      <c r="B331" s="2" t="str">
        <f>HYPERLINK("https://wals.info/values/19A-max","None")</f>
        <v>None</v>
      </c>
      <c r="C331" s="2" t="str">
        <f t="shared" si="1"/>
        <v>Presence of Uncommon Consonants</v>
      </c>
      <c r="D331" s="2" t="str">
        <f>HYPERLINK("https://wals.info/languoid/lect/wals_code_max","Maxakalí")</f>
        <v>Maxakalí</v>
      </c>
      <c r="E331" s="1"/>
      <c r="F331" s="1"/>
      <c r="G331" s="1" t="s">
        <v>665</v>
      </c>
    </row>
    <row r="332" ht="12.75" customHeight="1">
      <c r="A332" s="1" t="s">
        <v>666</v>
      </c>
      <c r="B332" s="2" t="str">
        <f>HYPERLINK("https://wals.info/values/19A-mya","None")</f>
        <v>None</v>
      </c>
      <c r="C332" s="2" t="str">
        <f t="shared" si="1"/>
        <v>Presence of Uncommon Consonants</v>
      </c>
      <c r="D332" s="2" t="str">
        <f>HYPERLINK("https://wals.info/languoid/lect/wals_code_mya","Ma'ya")</f>
        <v>Ma'ya</v>
      </c>
      <c r="E332" s="1"/>
      <c r="F332" s="1"/>
      <c r="G332" s="1" t="s">
        <v>667</v>
      </c>
    </row>
    <row r="333" ht="12.75" customHeight="1">
      <c r="A333" s="1" t="s">
        <v>668</v>
      </c>
      <c r="B333" s="2" t="str">
        <f>HYPERLINK("https://wals.info/values/19A-may","None")</f>
        <v>None</v>
      </c>
      <c r="C333" s="2" t="str">
        <f t="shared" si="1"/>
        <v>Presence of Uncommon Consonants</v>
      </c>
      <c r="D333" s="2" t="str">
        <f>HYPERLINK("https://wals.info/languoid/lect/wals_code_may","Maybrat")</f>
        <v>Maybrat</v>
      </c>
      <c r="E333" s="1"/>
      <c r="F333" s="1"/>
      <c r="G333" s="1" t="s">
        <v>669</v>
      </c>
    </row>
    <row r="334" ht="12.75" customHeight="1">
      <c r="A334" s="1" t="s">
        <v>670</v>
      </c>
      <c r="B334" s="2" t="str">
        <f>HYPERLINK("https://wals.info/values/19A-maz","None")</f>
        <v>None</v>
      </c>
      <c r="C334" s="2" t="str">
        <f t="shared" si="1"/>
        <v>Presence of Uncommon Consonants</v>
      </c>
      <c r="D334" s="2" t="str">
        <f>HYPERLINK("https://wals.info/languoid/lect/wals_code_maz","Mazahua")</f>
        <v>Mazahua</v>
      </c>
      <c r="E334" s="1"/>
      <c r="F334" s="1"/>
      <c r="G334" s="1" t="s">
        <v>671</v>
      </c>
    </row>
    <row r="335" ht="12.75" customHeight="1">
      <c r="A335" s="1" t="s">
        <v>672</v>
      </c>
      <c r="B335" s="2" t="str">
        <f>HYPERLINK("https://wals.info/values/19A-mzc","None")</f>
        <v>None</v>
      </c>
      <c r="C335" s="2" t="str">
        <f t="shared" si="1"/>
        <v>Presence of Uncommon Consonants</v>
      </c>
      <c r="D335" s="2" t="str">
        <f>HYPERLINK("https://wals.info/languoid/lect/wals_code_mzc","Mazatec (Chiquihuitlán)")</f>
        <v>Mazatec (Chiquihuitlán)</v>
      </c>
      <c r="E335" s="1"/>
      <c r="F335" s="1"/>
      <c r="G335" s="1" t="s">
        <v>673</v>
      </c>
    </row>
    <row r="336" ht="12.75" customHeight="1">
      <c r="A336" s="1" t="s">
        <v>674</v>
      </c>
      <c r="B336" s="2" t="str">
        <f>HYPERLINK("https://wals.info/values/19A-mba","Labial-velars")</f>
        <v>Labial-velars</v>
      </c>
      <c r="C336" s="2" t="str">
        <f t="shared" si="1"/>
        <v>Presence of Uncommon Consonants</v>
      </c>
      <c r="D336" s="2" t="str">
        <f>HYPERLINK("https://wals.info/languoid/lect/wals_code_mba","Mba")</f>
        <v>Mba</v>
      </c>
      <c r="E336" s="1"/>
      <c r="F336" s="1"/>
      <c r="G336" s="1" t="s">
        <v>675</v>
      </c>
    </row>
    <row r="337" ht="12.75" customHeight="1">
      <c r="A337" s="1" t="s">
        <v>676</v>
      </c>
      <c r="B337" s="2" t="str">
        <f>HYPERLINK("https://wals.info/values/19A-mbb","None")</f>
        <v>None</v>
      </c>
      <c r="C337" s="2" t="str">
        <f t="shared" si="1"/>
        <v>Presence of Uncommon Consonants</v>
      </c>
      <c r="D337" s="2" t="str">
        <f>HYPERLINK("https://wals.info/languoid/lect/wals_code_mbb","Mbabaram")</f>
        <v>Mbabaram</v>
      </c>
      <c r="E337" s="1"/>
      <c r="F337" s="1"/>
      <c r="G337" s="1" t="s">
        <v>677</v>
      </c>
    </row>
    <row r="338" ht="12.75" customHeight="1">
      <c r="A338" s="1" t="s">
        <v>678</v>
      </c>
      <c r="B338" s="2" t="str">
        <f>HYPERLINK("https://wals.info/values/19A-mbm","Labial-velars")</f>
        <v>Labial-velars</v>
      </c>
      <c r="C338" s="2" t="str">
        <f t="shared" si="1"/>
        <v>Presence of Uncommon Consonants</v>
      </c>
      <c r="D338" s="2" t="str">
        <f>HYPERLINK("https://wals.info/languoid/lect/wals_code_mbm","Mbum")</f>
        <v>Mbum</v>
      </c>
      <c r="E338" s="1"/>
      <c r="F338" s="1"/>
      <c r="G338" s="1" t="s">
        <v>679</v>
      </c>
    </row>
    <row r="339" ht="12.75" customHeight="1">
      <c r="A339" s="1" t="s">
        <v>680</v>
      </c>
      <c r="B339" s="2" t="str">
        <f>HYPERLINK("https://wals.info/values/19A-mei","None")</f>
        <v>None</v>
      </c>
      <c r="C339" s="2" t="str">
        <f t="shared" si="1"/>
        <v>Presence of Uncommon Consonants</v>
      </c>
      <c r="D339" s="2" t="str">
        <f>HYPERLINK("https://wals.info/languoid/lect/wals_code_mei","Meithei")</f>
        <v>Meithei</v>
      </c>
      <c r="E339" s="1"/>
      <c r="F339" s="1"/>
      <c r="G339" s="1" t="s">
        <v>681</v>
      </c>
    </row>
    <row r="340" ht="12.75" customHeight="1">
      <c r="A340" s="1" t="s">
        <v>682</v>
      </c>
      <c r="B340" s="2" t="str">
        <f>HYPERLINK("https://wals.info/values/19A-mie","None")</f>
        <v>None</v>
      </c>
      <c r="C340" s="2" t="str">
        <f t="shared" si="1"/>
        <v>Presence of Uncommon Consonants</v>
      </c>
      <c r="D340" s="2" t="str">
        <f>HYPERLINK("https://wals.info/languoid/lect/wals_code_mie","Mien")</f>
        <v>Mien</v>
      </c>
      <c r="E340" s="1"/>
      <c r="F340" s="1"/>
      <c r="G340" s="1" t="s">
        <v>683</v>
      </c>
    </row>
    <row r="341" ht="12.75" customHeight="1">
      <c r="A341" s="1" t="s">
        <v>684</v>
      </c>
      <c r="B341" s="2" t="str">
        <f>HYPERLINK("https://wals.info/values/19A-mss","None")</f>
        <v>None</v>
      </c>
      <c r="C341" s="2" t="str">
        <f t="shared" si="1"/>
        <v>Presence of Uncommon Consonants</v>
      </c>
      <c r="D341" s="2" t="str">
        <f>HYPERLINK("https://wals.info/languoid/lect/wals_code_mss","Miwok (Southern Sierra)")</f>
        <v>Miwok (Southern Sierra)</v>
      </c>
      <c r="E341" s="1"/>
      <c r="F341" s="1"/>
      <c r="G341" s="1" t="s">
        <v>685</v>
      </c>
    </row>
    <row r="342" ht="12.75" customHeight="1">
      <c r="A342" s="1" t="s">
        <v>686</v>
      </c>
      <c r="B342" s="2" t="str">
        <f>HYPERLINK("https://wals.info/values/19A-mtp","None")</f>
        <v>None</v>
      </c>
      <c r="C342" s="2" t="str">
        <f t="shared" si="1"/>
        <v>Presence of Uncommon Consonants</v>
      </c>
      <c r="D342" s="2" t="str">
        <f>HYPERLINK("https://wals.info/languoid/lect/wals_code_mtp","Mixe (Totontepec)")</f>
        <v>Mixe (Totontepec)</v>
      </c>
      <c r="E342" s="1"/>
      <c r="F342" s="1"/>
      <c r="G342" s="1" t="s">
        <v>687</v>
      </c>
    </row>
    <row r="343" ht="12.75" customHeight="1">
      <c r="A343" s="1" t="s">
        <v>688</v>
      </c>
      <c r="B343" s="2" t="str">
        <f>HYPERLINK("https://wals.info/values/19A-mxc","'Th' sounds")</f>
        <v>'Th' sounds</v>
      </c>
      <c r="C343" s="2" t="str">
        <f t="shared" si="1"/>
        <v>Presence of Uncommon Consonants</v>
      </c>
      <c r="D343" s="2" t="str">
        <f>HYPERLINK("https://wals.info/languoid/lect/wals_code_mxc","Mixtec (Chalcatongo)")</f>
        <v>Mixtec (Chalcatongo)</v>
      </c>
      <c r="E343" s="1"/>
      <c r="F343" s="1"/>
      <c r="G343" s="1" t="s">
        <v>689</v>
      </c>
    </row>
    <row r="344" ht="12.75" customHeight="1">
      <c r="A344" s="1" t="s">
        <v>690</v>
      </c>
      <c r="B344" s="2" t="str">
        <f>HYPERLINK("https://wals.info/values/19A-mxm","'Th' sounds")</f>
        <v>'Th' sounds</v>
      </c>
      <c r="C344" s="2" t="str">
        <f t="shared" si="1"/>
        <v>Presence of Uncommon Consonants</v>
      </c>
      <c r="D344" s="2" t="str">
        <f>HYPERLINK("https://wals.info/languoid/lect/wals_code_mxm","Mixtec (Molinos)")</f>
        <v>Mixtec (Molinos)</v>
      </c>
      <c r="E344" s="1"/>
      <c r="F344" s="1"/>
      <c r="G344" s="1" t="s">
        <v>691</v>
      </c>
    </row>
    <row r="345" ht="12.75" customHeight="1">
      <c r="A345" s="1" t="s">
        <v>692</v>
      </c>
      <c r="B345" s="2" t="str">
        <f>HYPERLINK("https://wals.info/values/19A-mog","None")</f>
        <v>None</v>
      </c>
      <c r="C345" s="2" t="str">
        <f t="shared" si="1"/>
        <v>Presence of Uncommon Consonants</v>
      </c>
      <c r="D345" s="2" t="str">
        <f>HYPERLINK("https://wals.info/languoid/lect/wals_code_mog","Moghol")</f>
        <v>Moghol</v>
      </c>
      <c r="E345" s="1"/>
      <c r="F345" s="1"/>
      <c r="G345" s="1" t="s">
        <v>693</v>
      </c>
    </row>
    <row r="346" ht="12.75" customHeight="1">
      <c r="A346" s="1" t="s">
        <v>694</v>
      </c>
      <c r="B346" s="2" t="str">
        <f>HYPERLINK("https://wals.info/values/19A-mor","None")</f>
        <v>None</v>
      </c>
      <c r="C346" s="2" t="str">
        <f t="shared" si="1"/>
        <v>Presence of Uncommon Consonants</v>
      </c>
      <c r="D346" s="2" t="str">
        <f>HYPERLINK("https://wals.info/languoid/lect/wals_code_mor","Mor")</f>
        <v>Mor</v>
      </c>
      <c r="E346" s="1"/>
      <c r="F346" s="1"/>
      <c r="G346" s="1" t="s">
        <v>695</v>
      </c>
    </row>
    <row r="347" ht="12.75" customHeight="1">
      <c r="A347" s="1" t="s">
        <v>696</v>
      </c>
      <c r="B347" s="2" t="str">
        <f>HYPERLINK("https://wals.info/values/19A-mro","'Th' sounds")</f>
        <v>'Th' sounds</v>
      </c>
      <c r="C347" s="2" t="str">
        <f t="shared" si="1"/>
        <v>Presence of Uncommon Consonants</v>
      </c>
      <c r="D347" s="2" t="str">
        <f>HYPERLINK("https://wals.info/languoid/lect/wals_code_mro","Moro")</f>
        <v>Moro</v>
      </c>
      <c r="E347" s="1"/>
      <c r="F347" s="1"/>
      <c r="G347" s="1" t="s">
        <v>697</v>
      </c>
    </row>
    <row r="348" ht="12.75" customHeight="1">
      <c r="A348" s="1" t="s">
        <v>698</v>
      </c>
      <c r="B348" s="2" t="str">
        <f>HYPERLINK("https://wals.info/values/19A-mov","None")</f>
        <v>None</v>
      </c>
      <c r="C348" s="2" t="str">
        <f t="shared" si="1"/>
        <v>Presence of Uncommon Consonants</v>
      </c>
      <c r="D348" s="2" t="str">
        <f>HYPERLINK("https://wals.info/languoid/lect/wals_code_mov","Movima")</f>
        <v>Movima</v>
      </c>
      <c r="E348" s="1"/>
      <c r="F348" s="1"/>
      <c r="G348" s="1" t="s">
        <v>699</v>
      </c>
    </row>
    <row r="349" ht="12.75" customHeight="1">
      <c r="A349" s="1" t="s">
        <v>700</v>
      </c>
      <c r="B349" s="2" t="str">
        <f>HYPERLINK("https://wals.info/values/19A-mui","None")</f>
        <v>None</v>
      </c>
      <c r="C349" s="2" t="str">
        <f t="shared" si="1"/>
        <v>Presence of Uncommon Consonants</v>
      </c>
      <c r="D349" s="2" t="str">
        <f>HYPERLINK("https://wals.info/languoid/lect/wals_code_mui","Muinane")</f>
        <v>Muinane</v>
      </c>
      <c r="E349" s="1"/>
      <c r="F349" s="1"/>
      <c r="G349" s="1" t="s">
        <v>701</v>
      </c>
    </row>
    <row r="350" ht="12.75" customHeight="1">
      <c r="A350" s="1" t="s">
        <v>702</v>
      </c>
      <c r="B350" s="2" t="str">
        <f>HYPERLINK("https://wals.info/values/19A-mum","Labial-velars")</f>
        <v>Labial-velars</v>
      </c>
      <c r="C350" s="2" t="str">
        <f t="shared" si="1"/>
        <v>Presence of Uncommon Consonants</v>
      </c>
      <c r="D350" s="2" t="str">
        <f>HYPERLINK("https://wals.info/languoid/lect/wals_code_mum","Mumuye")</f>
        <v>Mumuye</v>
      </c>
      <c r="E350" s="1"/>
      <c r="F350" s="1"/>
      <c r="G350" s="1" t="s">
        <v>703</v>
      </c>
    </row>
    <row r="351" ht="12.75" customHeight="1">
      <c r="A351" s="1" t="s">
        <v>704</v>
      </c>
      <c r="B351" s="2" t="str">
        <f>HYPERLINK("https://wals.info/values/19A-mun","None")</f>
        <v>None</v>
      </c>
      <c r="C351" s="2" t="str">
        <f t="shared" si="1"/>
        <v>Presence of Uncommon Consonants</v>
      </c>
      <c r="D351" s="2" t="str">
        <f>HYPERLINK("https://wals.info/languoid/lect/wals_code_mun","Mundari")</f>
        <v>Mundari</v>
      </c>
      <c r="E351" s="1"/>
      <c r="F351" s="1"/>
      <c r="G351" s="1" t="s">
        <v>705</v>
      </c>
    </row>
    <row r="352" ht="12.75" customHeight="1">
      <c r="A352" s="1" t="s">
        <v>706</v>
      </c>
      <c r="B352" s="2" t="str">
        <f>HYPERLINK("https://wals.info/values/19A-mrl","'Th' sounds")</f>
        <v>'Th' sounds</v>
      </c>
      <c r="C352" s="2" t="str">
        <f t="shared" si="1"/>
        <v>Presence of Uncommon Consonants</v>
      </c>
      <c r="D352" s="2" t="str">
        <f>HYPERLINK("https://wals.info/languoid/lect/wals_code_mrl","Murle")</f>
        <v>Murle</v>
      </c>
      <c r="E352" s="1"/>
      <c r="F352" s="1"/>
      <c r="G352" s="1" t="s">
        <v>707</v>
      </c>
    </row>
    <row r="353" ht="12.75" customHeight="1">
      <c r="A353" s="1" t="s">
        <v>708</v>
      </c>
      <c r="B353" s="2" t="str">
        <f>HYPERLINK("https://wals.info/values/19A-mpa","None")</f>
        <v>None</v>
      </c>
      <c r="C353" s="2" t="str">
        <f t="shared" si="1"/>
        <v>Presence of Uncommon Consonants</v>
      </c>
      <c r="D353" s="2" t="str">
        <f>HYPERLINK("https://wals.info/languoid/lect/wals_code_mpa","Murrinh-Patha")</f>
        <v>Murrinh-Patha</v>
      </c>
      <c r="E353" s="1"/>
      <c r="F353" s="1"/>
      <c r="G353" s="1" t="s">
        <v>709</v>
      </c>
    </row>
    <row r="354" ht="12.75" customHeight="1">
      <c r="A354" s="1" t="s">
        <v>710</v>
      </c>
      <c r="B354" s="2" t="str">
        <f>HYPERLINK("https://wals.info/values/19A-nhn","None")</f>
        <v>None</v>
      </c>
      <c r="C354" s="2" t="str">
        <f t="shared" si="1"/>
        <v>Presence of Uncommon Consonants</v>
      </c>
      <c r="D354" s="2" t="str">
        <f>HYPERLINK("https://wals.info/languoid/lect/wals_code_nhn","Nahuatl (North Puebla)")</f>
        <v>Nahuatl (North Puebla)</v>
      </c>
      <c r="E354" s="1"/>
      <c r="F354" s="1"/>
      <c r="G354" s="1" t="s">
        <v>711</v>
      </c>
    </row>
    <row r="355" ht="12.75" customHeight="1">
      <c r="A355" s="1" t="s">
        <v>712</v>
      </c>
      <c r="B355" s="2" t="str">
        <f>HYPERLINK("https://wals.info/values/19A-nht","None")</f>
        <v>None</v>
      </c>
      <c r="C355" s="2" t="str">
        <f t="shared" si="1"/>
        <v>Presence of Uncommon Consonants</v>
      </c>
      <c r="D355" s="2" t="str">
        <f>HYPERLINK("https://wals.info/languoid/lect/wals_code_nht","Nahuatl (Tetelcingo)")</f>
        <v>Nahuatl (Tetelcingo)</v>
      </c>
      <c r="E355" s="1"/>
      <c r="F355" s="1"/>
      <c r="G355" s="1" t="s">
        <v>713</v>
      </c>
    </row>
    <row r="356" ht="12.75" customHeight="1">
      <c r="A356" s="1" t="s">
        <v>714</v>
      </c>
      <c r="B356" s="2" t="str">
        <f>HYPERLINK("https://wals.info/values/19A-nmb","None")</f>
        <v>None</v>
      </c>
      <c r="C356" s="2" t="str">
        <f t="shared" si="1"/>
        <v>Presence of Uncommon Consonants</v>
      </c>
      <c r="D356" s="2" t="str">
        <f>HYPERLINK("https://wals.info/languoid/lect/wals_code_nmb","Nambikuára (Southern)")</f>
        <v>Nambikuára (Southern)</v>
      </c>
      <c r="E356" s="1"/>
      <c r="F356" s="1"/>
      <c r="G356" s="1" t="s">
        <v>715</v>
      </c>
    </row>
    <row r="357" ht="12.75" customHeight="1">
      <c r="A357" s="1" t="s">
        <v>716</v>
      </c>
      <c r="B357" s="2" t="str">
        <f>HYPERLINK("https://wals.info/values/19A-nai","None")</f>
        <v>None</v>
      </c>
      <c r="C357" s="2" t="str">
        <f t="shared" si="1"/>
        <v>Presence of Uncommon Consonants</v>
      </c>
      <c r="D357" s="2" t="str">
        <f>HYPERLINK("https://wals.info/languoid/lect/wals_code_nai","Nanai")</f>
        <v>Nanai</v>
      </c>
      <c r="E357" s="1"/>
      <c r="F357" s="1"/>
      <c r="G357" s="1" t="s">
        <v>717</v>
      </c>
    </row>
    <row r="358" ht="12.75" customHeight="1">
      <c r="A358" s="1" t="s">
        <v>718</v>
      </c>
      <c r="B358" s="2" t="str">
        <f>HYPERLINK("https://wals.info/values/19A-nnc","None")</f>
        <v>None</v>
      </c>
      <c r="C358" s="2" t="str">
        <f t="shared" si="1"/>
        <v>Presence of Uncommon Consonants</v>
      </c>
      <c r="D358" s="2" t="str">
        <f>HYPERLINK("https://wals.info/languoid/lect/wals_code_nnc","Nancowry")</f>
        <v>Nancowry</v>
      </c>
      <c r="E358" s="1"/>
      <c r="F358" s="1"/>
      <c r="G358" s="1" t="s">
        <v>719</v>
      </c>
    </row>
    <row r="359" ht="12.75" customHeight="1">
      <c r="A359" s="1" t="s">
        <v>720</v>
      </c>
      <c r="B359" s="2" t="str">
        <f>HYPERLINK("https://wals.info/values/19A-nan","None")</f>
        <v>None</v>
      </c>
      <c r="C359" s="2" t="str">
        <f t="shared" si="1"/>
        <v>Presence of Uncommon Consonants</v>
      </c>
      <c r="D359" s="2" t="str">
        <f>HYPERLINK("https://wals.info/languoid/lect/wals_code_nan","Nandi")</f>
        <v>Nandi</v>
      </c>
      <c r="E359" s="1"/>
      <c r="F359" s="1"/>
      <c r="G359" s="1" t="s">
        <v>721</v>
      </c>
    </row>
    <row r="360" ht="12.75" customHeight="1">
      <c r="A360" s="1" t="s">
        <v>722</v>
      </c>
      <c r="B360" s="2" t="str">
        <f>HYPERLINK("https://wals.info/values/19A-nar","None")</f>
        <v>None</v>
      </c>
      <c r="C360" s="2" t="str">
        <f t="shared" si="1"/>
        <v>Presence of Uncommon Consonants</v>
      </c>
      <c r="D360" s="2" t="str">
        <f>HYPERLINK("https://wals.info/languoid/lect/wals_code_nar","Nara (in Ethiopia)")</f>
        <v>Nara (in Ethiopia)</v>
      </c>
      <c r="E360" s="1"/>
      <c r="F360" s="1"/>
      <c r="G360" s="1" t="s">
        <v>723</v>
      </c>
    </row>
    <row r="361" ht="12.75" customHeight="1">
      <c r="A361" s="1" t="s">
        <v>724</v>
      </c>
      <c r="B361" s="2" t="str">
        <f>HYPERLINK("https://wals.info/values/19A-nas","None")</f>
        <v>None</v>
      </c>
      <c r="C361" s="2" t="str">
        <f t="shared" si="1"/>
        <v>Presence of Uncommon Consonants</v>
      </c>
      <c r="D361" s="2" t="str">
        <f>HYPERLINK("https://wals.info/languoid/lect/wals_code_nas","Nasioi")</f>
        <v>Nasioi</v>
      </c>
      <c r="E361" s="1"/>
      <c r="F361" s="1"/>
      <c r="G361" s="1" t="s">
        <v>725</v>
      </c>
    </row>
    <row r="362" ht="12.75" customHeight="1">
      <c r="A362" s="1" t="s">
        <v>726</v>
      </c>
      <c r="B362" s="2" t="str">
        <f>HYPERLINK("https://wals.info/values/19A-nbk","None")</f>
        <v>None</v>
      </c>
      <c r="C362" s="2" t="str">
        <f t="shared" si="1"/>
        <v>Presence of Uncommon Consonants</v>
      </c>
      <c r="D362" s="2" t="str">
        <f>HYPERLINK("https://wals.info/languoid/lect/wals_code_nbk","Natügu")</f>
        <v>Natügu</v>
      </c>
      <c r="E362" s="1"/>
      <c r="F362" s="1"/>
      <c r="G362" s="1" t="s">
        <v>727</v>
      </c>
    </row>
    <row r="363" ht="12.75" customHeight="1">
      <c r="A363" s="1" t="s">
        <v>728</v>
      </c>
      <c r="B363" s="2" t="str">
        <f>HYPERLINK("https://wals.info/values/19A-nav","None")</f>
        <v>None</v>
      </c>
      <c r="C363" s="2" t="str">
        <f t="shared" si="1"/>
        <v>Presence of Uncommon Consonants</v>
      </c>
      <c r="D363" s="2" t="str">
        <f>HYPERLINK("https://wals.info/languoid/lect/wals_code_nav","Navajo")</f>
        <v>Navajo</v>
      </c>
      <c r="E363" s="1"/>
      <c r="F363" s="1"/>
      <c r="G363" s="1" t="s">
        <v>729</v>
      </c>
    </row>
    <row r="364" ht="12.75" customHeight="1">
      <c r="A364" s="1" t="s">
        <v>730</v>
      </c>
      <c r="B364" s="2" t="str">
        <f>HYPERLINK("https://wals.info/values/19A-nax","None")</f>
        <v>None</v>
      </c>
      <c r="C364" s="2" t="str">
        <f t="shared" si="1"/>
        <v>Presence of Uncommon Consonants</v>
      </c>
      <c r="D364" s="2" t="str">
        <f>HYPERLINK("https://wals.info/languoid/lect/wals_code_nax","Naxi")</f>
        <v>Naxi</v>
      </c>
      <c r="E364" s="1"/>
      <c r="F364" s="1"/>
      <c r="G364" s="1" t="s">
        <v>731</v>
      </c>
    </row>
    <row r="365" ht="12.75" customHeight="1">
      <c r="A365" s="1" t="s">
        <v>732</v>
      </c>
      <c r="B365" s="2" t="str">
        <f>HYPERLINK("https://wals.info/values/19A-ndt","None")</f>
        <v>None</v>
      </c>
      <c r="C365" s="2" t="str">
        <f t="shared" si="1"/>
        <v>Presence of Uncommon Consonants</v>
      </c>
      <c r="D365" s="2" t="str">
        <f>HYPERLINK("https://wals.info/languoid/lect/wals_code_ndt","Ndut")</f>
        <v>Ndut</v>
      </c>
      <c r="E365" s="1"/>
      <c r="F365" s="1"/>
      <c r="G365" s="1" t="s">
        <v>733</v>
      </c>
    </row>
    <row r="366" ht="12.75" customHeight="1">
      <c r="A366" s="1" t="s">
        <v>734</v>
      </c>
      <c r="B366" s="2" t="str">
        <f>HYPERLINK("https://wals.info/values/19A-ndy","None")</f>
        <v>None</v>
      </c>
      <c r="C366" s="2" t="str">
        <f t="shared" si="1"/>
        <v>Presence of Uncommon Consonants</v>
      </c>
      <c r="D366" s="2" t="str">
        <f>HYPERLINK("https://wals.info/languoid/lect/wals_code_ndy","Ndyuka")</f>
        <v>Ndyuka</v>
      </c>
      <c r="E366" s="1"/>
      <c r="F366" s="1"/>
      <c r="G366" s="1" t="s">
        <v>735</v>
      </c>
    </row>
    <row r="367" ht="12.75" customHeight="1">
      <c r="A367" s="1" t="s">
        <v>736</v>
      </c>
      <c r="B367" s="2" t="str">
        <f>HYPERLINK("https://wals.info/values/19A-nen","Pharyngeals and 'th'")</f>
        <v>Pharyngeals and 'th'</v>
      </c>
      <c r="C367" s="2" t="str">
        <f t="shared" si="1"/>
        <v>Presence of Uncommon Consonants</v>
      </c>
      <c r="D367" s="2" t="str">
        <f>HYPERLINK("https://wals.info/languoid/lect/wals_code_nen","Nenets")</f>
        <v>Nenets</v>
      </c>
      <c r="E367" s="1"/>
      <c r="F367" s="1"/>
      <c r="G367" s="1" t="s">
        <v>737</v>
      </c>
    </row>
    <row r="368" ht="12.75" customHeight="1">
      <c r="A368" s="1" t="s">
        <v>738</v>
      </c>
      <c r="B368" s="2" t="str">
        <f>HYPERLINK("https://wals.info/values/19A-nap","None")</f>
        <v>None</v>
      </c>
      <c r="C368" s="2" t="str">
        <f t="shared" si="1"/>
        <v>Presence of Uncommon Consonants</v>
      </c>
      <c r="D368" s="2" t="str">
        <f>HYPERLINK("https://wals.info/languoid/lect/wals_code_nap","Neo-Aramaic (Persian Azerbaijan)")</f>
        <v>Neo-Aramaic (Persian Azerbaijan)</v>
      </c>
      <c r="E368" s="1"/>
      <c r="F368" s="1"/>
      <c r="G368" s="1" t="s">
        <v>739</v>
      </c>
    </row>
    <row r="369" ht="12.75" customHeight="1">
      <c r="A369" s="1" t="s">
        <v>740</v>
      </c>
      <c r="B369" s="2" t="str">
        <f>HYPERLINK("https://wals.info/values/19A-nep","None")</f>
        <v>None</v>
      </c>
      <c r="C369" s="2" t="str">
        <f t="shared" si="1"/>
        <v>Presence of Uncommon Consonants</v>
      </c>
      <c r="D369" s="2" t="str">
        <f>HYPERLINK("https://wals.info/languoid/lect/wals_code_nep","Nepali")</f>
        <v>Nepali</v>
      </c>
      <c r="E369" s="1"/>
      <c r="F369" s="1"/>
      <c r="G369" s="1" t="s">
        <v>741</v>
      </c>
    </row>
    <row r="370" ht="12.75" customHeight="1">
      <c r="A370" s="1" t="s">
        <v>742</v>
      </c>
      <c r="B370" s="2" t="str">
        <f>HYPERLINK("https://wals.info/values/19A-new","None")</f>
        <v>None</v>
      </c>
      <c r="C370" s="2" t="str">
        <f t="shared" si="1"/>
        <v>Presence of Uncommon Consonants</v>
      </c>
      <c r="D370" s="2" t="str">
        <f>HYPERLINK("https://wals.info/languoid/lect/wals_code_new","Newari (Kathmandu)")</f>
        <v>Newari (Kathmandu)</v>
      </c>
      <c r="E370" s="1"/>
      <c r="F370" s="1"/>
      <c r="G370" s="1" t="s">
        <v>743</v>
      </c>
    </row>
    <row r="371" ht="12.75" customHeight="1">
      <c r="A371" s="1" t="s">
        <v>744</v>
      </c>
      <c r="B371" s="2" t="str">
        <f>HYPERLINK("https://wals.info/values/19A-nez","None")</f>
        <v>None</v>
      </c>
      <c r="C371" s="2" t="str">
        <f t="shared" si="1"/>
        <v>Presence of Uncommon Consonants</v>
      </c>
      <c r="D371" s="2" t="str">
        <f>HYPERLINK("https://wals.info/languoid/lect/wals_code_nez","Nez Perce")</f>
        <v>Nez Perce</v>
      </c>
      <c r="E371" s="1"/>
      <c r="F371" s="1"/>
      <c r="G371" s="1" t="s">
        <v>745</v>
      </c>
    </row>
    <row r="372" ht="12.75" customHeight="1">
      <c r="A372" s="1" t="s">
        <v>746</v>
      </c>
      <c r="B372" s="2" t="str">
        <f>HYPERLINK("https://wals.info/values/19A-nga","'Th' sounds")</f>
        <v>'Th' sounds</v>
      </c>
      <c r="C372" s="2" t="str">
        <f t="shared" si="1"/>
        <v>Presence of Uncommon Consonants</v>
      </c>
      <c r="D372" s="2" t="str">
        <f>HYPERLINK("https://wals.info/languoid/lect/wals_code_nga","Nganasan")</f>
        <v>Nganasan</v>
      </c>
      <c r="E372" s="1"/>
      <c r="F372" s="1"/>
      <c r="G372" s="1" t="s">
        <v>747</v>
      </c>
    </row>
    <row r="373" ht="12.75" customHeight="1">
      <c r="A373" s="1" t="s">
        <v>748</v>
      </c>
      <c r="B373" s="2" t="str">
        <f>HYPERLINK("https://wals.info/values/19A-nti","Labial-velars")</f>
        <v>Labial-velars</v>
      </c>
      <c r="C373" s="2" t="str">
        <f t="shared" si="1"/>
        <v>Presence of Uncommon Consonants</v>
      </c>
      <c r="D373" s="2" t="str">
        <f>HYPERLINK("https://wals.info/languoid/lect/wals_code_nti","Ngiti")</f>
        <v>Ngiti</v>
      </c>
      <c r="E373" s="1"/>
      <c r="F373" s="1"/>
      <c r="G373" s="1" t="s">
        <v>749</v>
      </c>
    </row>
    <row r="374" ht="12.75" customHeight="1">
      <c r="A374" s="1" t="s">
        <v>750</v>
      </c>
      <c r="B374" s="2" t="str">
        <f>HYPERLINK("https://wals.info/values/19A-ngi","'Th' sounds")</f>
        <v>'Th' sounds</v>
      </c>
      <c r="C374" s="2" t="str">
        <f t="shared" si="1"/>
        <v>Presence of Uncommon Consonants</v>
      </c>
      <c r="D374" s="2" t="str">
        <f>HYPERLINK("https://wals.info/languoid/lect/wals_code_ngi","Ngiyambaa")</f>
        <v>Ngiyambaa</v>
      </c>
      <c r="E374" s="1"/>
      <c r="F374" s="1"/>
      <c r="G374" s="1" t="s">
        <v>751</v>
      </c>
    </row>
    <row r="375" ht="12.75" customHeight="1">
      <c r="A375" s="1" t="s">
        <v>752</v>
      </c>
      <c r="B375" s="2" t="str">
        <f>HYPERLINK("https://wals.info/values/19A-ngz","None")</f>
        <v>None</v>
      </c>
      <c r="C375" s="2" t="str">
        <f t="shared" si="1"/>
        <v>Presence of Uncommon Consonants</v>
      </c>
      <c r="D375" s="2" t="str">
        <f>HYPERLINK("https://wals.info/languoid/lect/wals_code_ngz","Ngizim")</f>
        <v>Ngizim</v>
      </c>
      <c r="E375" s="1"/>
      <c r="F375" s="1"/>
      <c r="G375" s="1" t="s">
        <v>753</v>
      </c>
    </row>
    <row r="376" ht="12.75" customHeight="1">
      <c r="A376" s="1" t="s">
        <v>754</v>
      </c>
      <c r="B376" s="2" t="str">
        <f>HYPERLINK("https://wals.info/values/19A-nim","None")</f>
        <v>None</v>
      </c>
      <c r="C376" s="2" t="str">
        <f t="shared" si="1"/>
        <v>Presence of Uncommon Consonants</v>
      </c>
      <c r="D376" s="2" t="str">
        <f>HYPERLINK("https://wals.info/languoid/lect/wals_code_nim","Nimboran")</f>
        <v>Nimboran</v>
      </c>
      <c r="E376" s="1"/>
      <c r="F376" s="1"/>
      <c r="G376" s="1" t="s">
        <v>755</v>
      </c>
    </row>
    <row r="377" ht="12.75" customHeight="1">
      <c r="A377" s="1" t="s">
        <v>756</v>
      </c>
      <c r="B377" s="2" t="str">
        <f>HYPERLINK("https://wals.info/values/19A-chu","None")</f>
        <v>None</v>
      </c>
      <c r="C377" s="2" t="str">
        <f t="shared" si="1"/>
        <v>Presence of Uncommon Consonants</v>
      </c>
      <c r="D377" s="2" t="str">
        <f>HYPERLINK("https://wals.info/languoid/lect/wals_code_chu","Nivacle")</f>
        <v>Nivacle</v>
      </c>
      <c r="E377" s="1"/>
      <c r="F377" s="1"/>
      <c r="G377" s="1" t="s">
        <v>757</v>
      </c>
    </row>
    <row r="378" ht="12.75" customHeight="1">
      <c r="A378" s="1" t="s">
        <v>758</v>
      </c>
      <c r="B378" s="2" t="str">
        <f>HYPERLINK("https://wals.info/values/19A-niv","None")</f>
        <v>None</v>
      </c>
      <c r="C378" s="2" t="str">
        <f t="shared" si="1"/>
        <v>Presence of Uncommon Consonants</v>
      </c>
      <c r="D378" s="2" t="str">
        <f>HYPERLINK("https://wals.info/languoid/lect/wals_code_niv","Nivkh")</f>
        <v>Nivkh</v>
      </c>
      <c r="E378" s="1"/>
      <c r="F378" s="1"/>
      <c r="G378" s="1" t="s">
        <v>759</v>
      </c>
    </row>
    <row r="379" ht="12.75" customHeight="1">
      <c r="A379" s="1" t="s">
        <v>760</v>
      </c>
      <c r="B379" s="2" t="str">
        <f>HYPERLINK("https://wals.info/values/19A-nko","None")</f>
        <v>None</v>
      </c>
      <c r="C379" s="2" t="str">
        <f t="shared" si="1"/>
        <v>Presence of Uncommon Consonants</v>
      </c>
      <c r="D379" s="2" t="str">
        <f>HYPERLINK("https://wals.info/languoid/lect/wals_code_nko","Nkore-Kiga")</f>
        <v>Nkore-Kiga</v>
      </c>
      <c r="E379" s="1"/>
      <c r="F379" s="1"/>
      <c r="G379" s="1" t="s">
        <v>761</v>
      </c>
    </row>
    <row r="380" ht="12.75" customHeight="1">
      <c r="A380" s="1" t="s">
        <v>762</v>
      </c>
      <c r="B380" s="2" t="str">
        <f>HYPERLINK("https://wals.info/values/19A-nob","None")</f>
        <v>None</v>
      </c>
      <c r="C380" s="2" t="str">
        <f t="shared" si="1"/>
        <v>Presence of Uncommon Consonants</v>
      </c>
      <c r="D380" s="2" t="str">
        <f>HYPERLINK("https://wals.info/languoid/lect/wals_code_nob","Nobiin")</f>
        <v>Nobiin</v>
      </c>
      <c r="E380" s="1"/>
      <c r="F380" s="1"/>
      <c r="G380" s="1" t="s">
        <v>763</v>
      </c>
    </row>
    <row r="381" ht="12.75" customHeight="1">
      <c r="A381" s="1" t="s">
        <v>764</v>
      </c>
      <c r="B381" s="2" t="str">
        <f>HYPERLINK("https://wals.info/values/19A-non","None")</f>
        <v>None</v>
      </c>
      <c r="C381" s="2" t="str">
        <f t="shared" si="1"/>
        <v>Presence of Uncommon Consonants</v>
      </c>
      <c r="D381" s="2" t="str">
        <f>HYPERLINK("https://wals.info/languoid/lect/wals_code_non","Noni")</f>
        <v>Noni</v>
      </c>
      <c r="E381" s="1"/>
      <c r="F381" s="1"/>
      <c r="G381" s="1" t="s">
        <v>765</v>
      </c>
    </row>
    <row r="382" ht="12.75" customHeight="1">
      <c r="A382" s="1" t="s">
        <v>766</v>
      </c>
      <c r="B382" s="2" t="str">
        <f>HYPERLINK("https://wals.info/values/19A-nor","None")</f>
        <v>None</v>
      </c>
      <c r="C382" s="2" t="str">
        <f t="shared" si="1"/>
        <v>Presence of Uncommon Consonants</v>
      </c>
      <c r="D382" s="2" t="str">
        <f>HYPERLINK("https://wals.info/languoid/lect/wals_code_nor","Norwegian")</f>
        <v>Norwegian</v>
      </c>
      <c r="E382" s="1"/>
      <c r="F382" s="1"/>
      <c r="G382" s="1" t="s">
        <v>767</v>
      </c>
    </row>
    <row r="383" ht="12.75" customHeight="1">
      <c r="A383" s="1" t="s">
        <v>768</v>
      </c>
      <c r="B383" s="2" t="str">
        <f>HYPERLINK("https://wals.info/values/19A-nug","None")</f>
        <v>None</v>
      </c>
      <c r="C383" s="2" t="str">
        <f t="shared" si="1"/>
        <v>Presence of Uncommon Consonants</v>
      </c>
      <c r="D383" s="2" t="str">
        <f>HYPERLINK("https://wals.info/languoid/lect/wals_code_nug","Nunggubuyu")</f>
        <v>Nunggubuyu</v>
      </c>
      <c r="E383" s="1"/>
      <c r="F383" s="1"/>
      <c r="G383" s="1" t="s">
        <v>769</v>
      </c>
    </row>
    <row r="384" ht="12.75" customHeight="1">
      <c r="A384" s="1" t="s">
        <v>770</v>
      </c>
      <c r="B384" s="2" t="str">
        <f>HYPERLINK("https://wals.info/values/19A-nun","None")</f>
        <v>None</v>
      </c>
      <c r="C384" s="2" t="str">
        <f t="shared" si="1"/>
        <v>Presence of Uncommon Consonants</v>
      </c>
      <c r="D384" s="2" t="str">
        <f>HYPERLINK("https://wals.info/languoid/lect/wals_code_nun","Nung (in Vietnam)")</f>
        <v>Nung (in Vietnam)</v>
      </c>
      <c r="E384" s="1"/>
      <c r="F384" s="1"/>
      <c r="G384" s="1" t="s">
        <v>771</v>
      </c>
    </row>
    <row r="385" ht="12.75" customHeight="1">
      <c r="A385" s="1" t="s">
        <v>772</v>
      </c>
      <c r="B385" s="2" t="str">
        <f>HYPERLINK("https://wals.info/values/19A-nuu","Pharyngeals")</f>
        <v>Pharyngeals</v>
      </c>
      <c r="C385" s="2" t="str">
        <f t="shared" si="1"/>
        <v>Presence of Uncommon Consonants</v>
      </c>
      <c r="D385" s="2" t="str">
        <f>HYPERLINK("https://wals.info/languoid/lect/wals_code_nuu","Nuuchahnulth")</f>
        <v>Nuuchahnulth</v>
      </c>
      <c r="E385" s="1"/>
      <c r="F385" s="1"/>
      <c r="G385" s="1" t="s">
        <v>773</v>
      </c>
    </row>
    <row r="386" ht="12.75" customHeight="1">
      <c r="A386" s="1" t="s">
        <v>774</v>
      </c>
      <c r="B386" s="2" t="str">
        <f>HYPERLINK("https://wals.info/values/19A-nkt","None")</f>
        <v>None</v>
      </c>
      <c r="C386" s="2" t="str">
        <f t="shared" si="1"/>
        <v>Presence of Uncommon Consonants</v>
      </c>
      <c r="D386" s="2" t="str">
        <f>HYPERLINK("https://wals.info/languoid/lect/wals_code_nkt","Nyah Kur (Tha Pong)")</f>
        <v>Nyah Kur (Tha Pong)</v>
      </c>
      <c r="E386" s="1"/>
      <c r="F386" s="1"/>
      <c r="G386" s="1" t="s">
        <v>775</v>
      </c>
    </row>
    <row r="387" ht="12.75" customHeight="1">
      <c r="A387" s="1" t="s">
        <v>776</v>
      </c>
      <c r="B387" s="2" t="str">
        <f>HYPERLINK("https://wals.info/values/19A-nyg","None")</f>
        <v>None</v>
      </c>
      <c r="C387" s="2" t="str">
        <f t="shared" si="1"/>
        <v>Presence of Uncommon Consonants</v>
      </c>
      <c r="D387" s="2" t="str">
        <f>HYPERLINK("https://wals.info/languoid/lect/wals_code_nyg","Nyangi")</f>
        <v>Nyangi</v>
      </c>
      <c r="E387" s="1"/>
      <c r="F387" s="1"/>
      <c r="G387" s="1" t="s">
        <v>777</v>
      </c>
    </row>
    <row r="388" ht="12.75" customHeight="1">
      <c r="A388" s="1" t="s">
        <v>778</v>
      </c>
      <c r="B388" s="2" t="str">
        <f>HYPERLINK("https://wals.info/values/19A-nyi","None")</f>
        <v>None</v>
      </c>
      <c r="C388" s="2" t="str">
        <f t="shared" si="1"/>
        <v>Presence of Uncommon Consonants</v>
      </c>
      <c r="D388" s="2" t="str">
        <f>HYPERLINK("https://wals.info/languoid/lect/wals_code_nyi","Nyimang")</f>
        <v>Nyimang</v>
      </c>
      <c r="E388" s="1"/>
      <c r="F388" s="1"/>
      <c r="G388" s="1" t="s">
        <v>779</v>
      </c>
    </row>
    <row r="389" ht="12.75" customHeight="1">
      <c r="A389" s="1" t="s">
        <v>780</v>
      </c>
      <c r="B389" s="2" t="str">
        <f>HYPERLINK("https://wals.info/values/19A-nis","None")</f>
        <v>None</v>
      </c>
      <c r="C389" s="2" t="str">
        <f t="shared" si="1"/>
        <v>Presence of Uncommon Consonants</v>
      </c>
      <c r="D389" s="2" t="str">
        <f>HYPERLINK("https://wals.info/languoid/lect/wals_code_nis","Nyishi")</f>
        <v>Nyishi</v>
      </c>
      <c r="E389" s="1"/>
      <c r="F389" s="1"/>
      <c r="G389" s="1" t="s">
        <v>781</v>
      </c>
    </row>
    <row r="390" ht="12.75" customHeight="1">
      <c r="A390" s="1" t="s">
        <v>782</v>
      </c>
      <c r="B390" s="2" t="str">
        <f>HYPERLINK("https://wals.info/values/19A-oca","None")</f>
        <v>None</v>
      </c>
      <c r="C390" s="2" t="str">
        <f t="shared" si="1"/>
        <v>Presence of Uncommon Consonants</v>
      </c>
      <c r="D390" s="2" t="str">
        <f>HYPERLINK("https://wals.info/languoid/lect/wals_code_oca","Ocaina")</f>
        <v>Ocaina</v>
      </c>
      <c r="E390" s="1"/>
      <c r="F390" s="1"/>
      <c r="G390" s="1" t="s">
        <v>783</v>
      </c>
    </row>
    <row r="391" ht="12.75" customHeight="1">
      <c r="A391" s="1" t="s">
        <v>784</v>
      </c>
      <c r="B391" s="2" t="str">
        <f>HYPERLINK("https://wals.info/values/19A-ogb","Labial-velars")</f>
        <v>Labial-velars</v>
      </c>
      <c r="C391" s="2" t="str">
        <f t="shared" si="1"/>
        <v>Presence of Uncommon Consonants</v>
      </c>
      <c r="D391" s="2" t="str">
        <f>HYPERLINK("https://wals.info/languoid/lect/wals_code_ogb","Ogbia")</f>
        <v>Ogbia</v>
      </c>
      <c r="E391" s="1"/>
      <c r="F391" s="1"/>
      <c r="G391" s="1" t="s">
        <v>785</v>
      </c>
    </row>
    <row r="392" ht="12.75" customHeight="1">
      <c r="A392" s="1" t="s">
        <v>786</v>
      </c>
      <c r="B392" s="2" t="str">
        <f>HYPERLINK("https://wals.info/values/19A-oji","None")</f>
        <v>None</v>
      </c>
      <c r="C392" s="2" t="str">
        <f t="shared" si="1"/>
        <v>Presence of Uncommon Consonants</v>
      </c>
      <c r="D392" s="2" t="str">
        <f>HYPERLINK("https://wals.info/languoid/lect/wals_code_oji","Ojibwa (Eastern)")</f>
        <v>Ojibwa (Eastern)</v>
      </c>
      <c r="E392" s="1"/>
      <c r="F392" s="1"/>
      <c r="G392" s="1" t="s">
        <v>787</v>
      </c>
    </row>
    <row r="393" ht="12.75" customHeight="1">
      <c r="A393" s="1" t="s">
        <v>788</v>
      </c>
      <c r="B393" s="2" t="str">
        <f>HYPERLINK("https://wals.info/values/19A-ond","None")</f>
        <v>None</v>
      </c>
      <c r="C393" s="2" t="str">
        <f t="shared" si="1"/>
        <v>Presence of Uncommon Consonants</v>
      </c>
      <c r="D393" s="2" t="str">
        <f>HYPERLINK("https://wals.info/languoid/lect/wals_code_ond","Oneida")</f>
        <v>Oneida</v>
      </c>
      <c r="E393" s="1"/>
      <c r="F393" s="1"/>
      <c r="G393" s="1" t="s">
        <v>789</v>
      </c>
    </row>
    <row r="394" ht="12.75" customHeight="1">
      <c r="A394" s="1" t="s">
        <v>790</v>
      </c>
      <c r="B394" s="2" t="str">
        <f>HYPERLINK("https://wals.info/values/19A-ood","None")</f>
        <v>None</v>
      </c>
      <c r="C394" s="2" t="str">
        <f t="shared" si="1"/>
        <v>Presence of Uncommon Consonants</v>
      </c>
      <c r="D394" s="2" t="str">
        <f>HYPERLINK("https://wals.info/languoid/lect/wals_code_ood","O'odham")</f>
        <v>O'odham</v>
      </c>
      <c r="E394" s="1"/>
      <c r="F394" s="1"/>
      <c r="G394" s="1" t="s">
        <v>791</v>
      </c>
    </row>
    <row r="395" ht="12.75" customHeight="1">
      <c r="A395" s="1" t="s">
        <v>792</v>
      </c>
      <c r="B395" s="2" t="str">
        <f>HYPERLINK("https://wals.info/values/19A-orm","None")</f>
        <v>None</v>
      </c>
      <c r="C395" s="2" t="str">
        <f t="shared" si="1"/>
        <v>Presence of Uncommon Consonants</v>
      </c>
      <c r="D395" s="2" t="str">
        <f>HYPERLINK("https://wals.info/languoid/lect/wals_code_orm","Ormuri")</f>
        <v>Ormuri</v>
      </c>
      <c r="E395" s="1"/>
      <c r="F395" s="1"/>
      <c r="G395" s="1" t="s">
        <v>793</v>
      </c>
    </row>
    <row r="396" ht="12.75" customHeight="1">
      <c r="A396" s="1" t="s">
        <v>794</v>
      </c>
      <c r="B396" s="2" t="str">
        <f>HYPERLINK("https://wals.info/values/19A-orh","None")</f>
        <v>None</v>
      </c>
      <c r="C396" s="2" t="str">
        <f t="shared" si="1"/>
        <v>Presence of Uncommon Consonants</v>
      </c>
      <c r="D396" s="2" t="str">
        <f>HYPERLINK("https://wals.info/languoid/lect/wals_code_orh","Oromo (Harar)")</f>
        <v>Oromo (Harar)</v>
      </c>
      <c r="E396" s="1"/>
      <c r="F396" s="1"/>
      <c r="G396" s="1" t="s">
        <v>795</v>
      </c>
    </row>
    <row r="397" ht="12.75" customHeight="1">
      <c r="A397" s="1" t="s">
        <v>796</v>
      </c>
      <c r="B397" s="2" t="str">
        <f>HYPERLINK("https://wals.info/values/19A-otm","'Th' sounds")</f>
        <v>'Th' sounds</v>
      </c>
      <c r="C397" s="2" t="str">
        <f t="shared" si="1"/>
        <v>Presence of Uncommon Consonants</v>
      </c>
      <c r="D397" s="2" t="str">
        <f>HYPERLINK("https://wals.info/languoid/lect/wals_code_otm","Otomí (Mezquital)")</f>
        <v>Otomí (Mezquital)</v>
      </c>
      <c r="E397" s="1"/>
      <c r="F397" s="1"/>
      <c r="G397" s="1" t="s">
        <v>797</v>
      </c>
    </row>
    <row r="398" ht="12.75" customHeight="1">
      <c r="A398" s="1" t="s">
        <v>798</v>
      </c>
      <c r="B398" s="2" t="str">
        <f>HYPERLINK("https://wals.info/values/19A-pms","None")</f>
        <v>None</v>
      </c>
      <c r="C398" s="2" t="str">
        <f t="shared" si="1"/>
        <v>Presence of Uncommon Consonants</v>
      </c>
      <c r="D398" s="2" t="str">
        <f>HYPERLINK("https://wals.info/languoid/lect/wals_code_pms","Paamese")</f>
        <v>Paamese</v>
      </c>
      <c r="E398" s="1"/>
      <c r="F398" s="1"/>
      <c r="G398" s="1" t="s">
        <v>799</v>
      </c>
    </row>
    <row r="399" ht="12.75" customHeight="1">
      <c r="A399" s="1" t="s">
        <v>800</v>
      </c>
      <c r="B399" s="2" t="str">
        <f>HYPERLINK("https://wals.info/values/19A-pac","None")</f>
        <v>None</v>
      </c>
      <c r="C399" s="2" t="str">
        <f t="shared" si="1"/>
        <v>Presence of Uncommon Consonants</v>
      </c>
      <c r="D399" s="2" t="str">
        <f>HYPERLINK("https://wals.info/languoid/lect/wals_code_pac","Pacoh")</f>
        <v>Pacoh</v>
      </c>
      <c r="E399" s="1"/>
      <c r="F399" s="1"/>
      <c r="G399" s="1" t="s">
        <v>801</v>
      </c>
    </row>
    <row r="400" ht="12.75" customHeight="1">
      <c r="A400" s="1" t="s">
        <v>802</v>
      </c>
      <c r="B400" s="2" t="str">
        <f>HYPERLINK("https://wals.info/values/19A-pae","None")</f>
        <v>None</v>
      </c>
      <c r="C400" s="2" t="str">
        <f t="shared" si="1"/>
        <v>Presence of Uncommon Consonants</v>
      </c>
      <c r="D400" s="2" t="str">
        <f>HYPERLINK("https://wals.info/languoid/lect/wals_code_pae","Páez")</f>
        <v>Páez</v>
      </c>
      <c r="E400" s="1"/>
      <c r="F400" s="1"/>
      <c r="G400" s="1" t="s">
        <v>803</v>
      </c>
    </row>
    <row r="401" ht="12.75" customHeight="1">
      <c r="A401" s="1" t="s">
        <v>804</v>
      </c>
      <c r="B401" s="2" t="str">
        <f>HYPERLINK("https://wals.info/values/19A-pai","None")</f>
        <v>None</v>
      </c>
      <c r="C401" s="2" t="str">
        <f t="shared" si="1"/>
        <v>Presence of Uncommon Consonants</v>
      </c>
      <c r="D401" s="2" t="str">
        <f>HYPERLINK("https://wals.info/languoid/lect/wals_code_pai","Paiwan")</f>
        <v>Paiwan</v>
      </c>
      <c r="E401" s="1"/>
      <c r="F401" s="1"/>
      <c r="G401" s="1" t="s">
        <v>805</v>
      </c>
    </row>
    <row r="402" ht="12.75" customHeight="1">
      <c r="A402" s="1" t="s">
        <v>806</v>
      </c>
      <c r="B402" s="2" t="str">
        <f>HYPERLINK("https://wals.info/values/19A-pnr","None")</f>
        <v>None</v>
      </c>
      <c r="C402" s="2" t="str">
        <f t="shared" si="1"/>
        <v>Presence of Uncommon Consonants</v>
      </c>
      <c r="D402" s="2" t="str">
        <f>HYPERLINK("https://wals.info/languoid/lect/wals_code_pnr","Panare")</f>
        <v>Panare</v>
      </c>
      <c r="E402" s="1"/>
      <c r="F402" s="1"/>
      <c r="G402" s="1" t="s">
        <v>807</v>
      </c>
    </row>
    <row r="403" ht="12.75" customHeight="1">
      <c r="A403" s="1" t="s">
        <v>808</v>
      </c>
      <c r="B403" s="2" t="str">
        <f>HYPERLINK("https://wals.info/values/19A-puk","None")</f>
        <v>None</v>
      </c>
      <c r="C403" s="2" t="str">
        <f t="shared" si="1"/>
        <v>Presence of Uncommon Consonants</v>
      </c>
      <c r="D403" s="2" t="str">
        <f>HYPERLINK("https://wals.info/languoid/lect/wals_code_puk","Parauk")</f>
        <v>Parauk</v>
      </c>
      <c r="E403" s="1"/>
      <c r="F403" s="1"/>
      <c r="G403" s="1" t="s">
        <v>809</v>
      </c>
    </row>
    <row r="404" ht="12.75" customHeight="1">
      <c r="A404" s="1" t="s">
        <v>810</v>
      </c>
      <c r="B404" s="2" t="str">
        <f>HYPERLINK("https://wals.info/values/19A-psh","None")</f>
        <v>None</v>
      </c>
      <c r="C404" s="2" t="str">
        <f t="shared" si="1"/>
        <v>Presence of Uncommon Consonants</v>
      </c>
      <c r="D404" s="2" t="str">
        <f>HYPERLINK("https://wals.info/languoid/lect/wals_code_psh","Pashto")</f>
        <v>Pashto</v>
      </c>
      <c r="E404" s="1"/>
      <c r="F404" s="1"/>
      <c r="G404" s="1" t="s">
        <v>811</v>
      </c>
    </row>
    <row r="405" ht="12.75" customHeight="1">
      <c r="A405" s="1" t="s">
        <v>812</v>
      </c>
      <c r="B405" s="2" t="str">
        <f>HYPERLINK("https://wals.info/values/19A-psm","None")</f>
        <v>None</v>
      </c>
      <c r="C405" s="2" t="str">
        <f t="shared" si="1"/>
        <v>Presence of Uncommon Consonants</v>
      </c>
      <c r="D405" s="2" t="str">
        <f>HYPERLINK("https://wals.info/languoid/lect/wals_code_psm","Passamaquoddy-Maliseet")</f>
        <v>Passamaquoddy-Maliseet</v>
      </c>
      <c r="E405" s="1"/>
      <c r="F405" s="1"/>
      <c r="G405" s="1" t="s">
        <v>813</v>
      </c>
    </row>
    <row r="406" ht="12.75" customHeight="1">
      <c r="A406" s="1" t="s">
        <v>814</v>
      </c>
      <c r="B406" s="2" t="str">
        <f>HYPERLINK("https://wals.info/values/19A-pau","None")</f>
        <v>None</v>
      </c>
      <c r="C406" s="2" t="str">
        <f t="shared" si="1"/>
        <v>Presence of Uncommon Consonants</v>
      </c>
      <c r="D406" s="2" t="str">
        <f>HYPERLINK("https://wals.info/languoid/lect/wals_code_pau","Paumarí")</f>
        <v>Paumarí</v>
      </c>
      <c r="E406" s="1"/>
      <c r="F406" s="1"/>
      <c r="G406" s="1" t="s">
        <v>815</v>
      </c>
    </row>
    <row r="407" ht="12.75" customHeight="1">
      <c r="A407" s="1" t="s">
        <v>816</v>
      </c>
      <c r="B407" s="2" t="str">
        <f>HYPERLINK("https://wals.info/values/19A-paw","None")</f>
        <v>None</v>
      </c>
      <c r="C407" s="2" t="str">
        <f t="shared" si="1"/>
        <v>Presence of Uncommon Consonants</v>
      </c>
      <c r="D407" s="2" t="str">
        <f>HYPERLINK("https://wals.info/languoid/lect/wals_code_paw","Pawaian")</f>
        <v>Pawaian</v>
      </c>
      <c r="E407" s="1"/>
      <c r="F407" s="1"/>
      <c r="G407" s="1" t="s">
        <v>817</v>
      </c>
    </row>
    <row r="408" ht="12.75" customHeight="1">
      <c r="A408" s="1" t="s">
        <v>818</v>
      </c>
      <c r="B408" s="2" t="str">
        <f>HYPERLINK("https://wals.info/values/19A-pec","None")</f>
        <v>None</v>
      </c>
      <c r="C408" s="2" t="str">
        <f t="shared" si="1"/>
        <v>Presence of Uncommon Consonants</v>
      </c>
      <c r="D408" s="2" t="str">
        <f>HYPERLINK("https://wals.info/languoid/lect/wals_code_pec","Pech")</f>
        <v>Pech</v>
      </c>
      <c r="E408" s="1"/>
      <c r="F408" s="1"/>
      <c r="G408" s="1" t="s">
        <v>819</v>
      </c>
    </row>
    <row r="409" ht="12.75" customHeight="1">
      <c r="A409" s="1" t="s">
        <v>820</v>
      </c>
      <c r="B409" s="2" t="str">
        <f>HYPERLINK("https://wals.info/values/19A-prs","None")</f>
        <v>None</v>
      </c>
      <c r="C409" s="2" t="str">
        <f t="shared" si="1"/>
        <v>Presence of Uncommon Consonants</v>
      </c>
      <c r="D409" s="2" t="str">
        <f>HYPERLINK("https://wals.info/languoid/lect/wals_code_prs","Persian")</f>
        <v>Persian</v>
      </c>
      <c r="E409" s="1"/>
      <c r="F409" s="1"/>
      <c r="G409" s="1" t="s">
        <v>821</v>
      </c>
    </row>
    <row r="410" ht="12.75" customHeight="1">
      <c r="A410" s="1" t="s">
        <v>822</v>
      </c>
      <c r="B410" s="2" t="str">
        <f>HYPERLINK("https://wals.info/values/19A-phl","None")</f>
        <v>None</v>
      </c>
      <c r="C410" s="2" t="str">
        <f t="shared" si="1"/>
        <v>Presence of Uncommon Consonants</v>
      </c>
      <c r="D410" s="2" t="str">
        <f>HYPERLINK("https://wals.info/languoid/lect/wals_code_phl","Phlong")</f>
        <v>Phlong</v>
      </c>
      <c r="E410" s="1"/>
      <c r="F410" s="1"/>
      <c r="G410" s="1" t="s">
        <v>823</v>
      </c>
    </row>
    <row r="411" ht="12.75" customHeight="1">
      <c r="A411" s="1" t="s">
        <v>824</v>
      </c>
      <c r="B411" s="2" t="str">
        <f>HYPERLINK("https://wals.info/values/19A-prh","None")</f>
        <v>None</v>
      </c>
      <c r="C411" s="2" t="str">
        <f t="shared" si="1"/>
        <v>Presence of Uncommon Consonants</v>
      </c>
      <c r="D411" s="2" t="str">
        <f>HYPERLINK("https://wals.info/languoid/lect/wals_code_prh","Pirahã")</f>
        <v>Pirahã</v>
      </c>
      <c r="E411" s="1"/>
      <c r="F411" s="1"/>
      <c r="G411" s="1" t="s">
        <v>825</v>
      </c>
    </row>
    <row r="412" ht="12.75" customHeight="1">
      <c r="A412" s="1" t="s">
        <v>826</v>
      </c>
      <c r="B412" s="2" t="str">
        <f>HYPERLINK("https://wals.info/values/19A-pit","None")</f>
        <v>None</v>
      </c>
      <c r="C412" s="2" t="str">
        <f t="shared" si="1"/>
        <v>Presence of Uncommon Consonants</v>
      </c>
      <c r="D412" s="2" t="str">
        <f>HYPERLINK("https://wals.info/languoid/lect/wals_code_pit","Pitjantjatjara")</f>
        <v>Pitjantjatjara</v>
      </c>
      <c r="E412" s="1"/>
      <c r="F412" s="1"/>
      <c r="G412" s="1" t="s">
        <v>827</v>
      </c>
    </row>
    <row r="413" ht="12.75" customHeight="1">
      <c r="A413" s="1" t="s">
        <v>828</v>
      </c>
      <c r="B413" s="2" t="str">
        <f>HYPERLINK("https://wals.info/values/19A-poa","None")</f>
        <v>None</v>
      </c>
      <c r="C413" s="2" t="str">
        <f t="shared" si="1"/>
        <v>Presence of Uncommon Consonants</v>
      </c>
      <c r="D413" s="2" t="str">
        <f>HYPERLINK("https://wals.info/languoid/lect/wals_code_poa","Po-Ai")</f>
        <v>Po-Ai</v>
      </c>
      <c r="E413" s="1"/>
      <c r="F413" s="1"/>
      <c r="G413" s="1"/>
    </row>
    <row r="414" ht="12.75" customHeight="1">
      <c r="A414" s="1" t="s">
        <v>829</v>
      </c>
      <c r="B414" s="2" t="str">
        <f>HYPERLINK("https://wals.info/values/19A-poh","None")</f>
        <v>None</v>
      </c>
      <c r="C414" s="2" t="str">
        <f t="shared" si="1"/>
        <v>Presence of Uncommon Consonants</v>
      </c>
      <c r="D414" s="2" t="str">
        <f>HYPERLINK("https://wals.info/languoid/lect/wals_code_poh","Pohnpeian")</f>
        <v>Pohnpeian</v>
      </c>
      <c r="E414" s="1"/>
      <c r="F414" s="1"/>
      <c r="G414" s="1" t="s">
        <v>830</v>
      </c>
    </row>
    <row r="415" ht="12.75" customHeight="1">
      <c r="A415" s="1" t="s">
        <v>831</v>
      </c>
      <c r="B415" s="2" t="str">
        <f>HYPERLINK("https://wals.info/values/19A-pol","None")</f>
        <v>None</v>
      </c>
      <c r="C415" s="2" t="str">
        <f t="shared" si="1"/>
        <v>Presence of Uncommon Consonants</v>
      </c>
      <c r="D415" s="2" t="str">
        <f>HYPERLINK("https://wals.info/languoid/lect/wals_code_pol","Polish")</f>
        <v>Polish</v>
      </c>
      <c r="E415" s="1"/>
      <c r="F415" s="1"/>
      <c r="G415" s="1"/>
    </row>
    <row r="416" ht="12.75" customHeight="1">
      <c r="A416" s="1" t="s">
        <v>832</v>
      </c>
      <c r="B416" s="2" t="str">
        <f>HYPERLINK("https://wals.info/values/19A-pso","None")</f>
        <v>None</v>
      </c>
      <c r="C416" s="2" t="str">
        <f t="shared" si="1"/>
        <v>Presence of Uncommon Consonants</v>
      </c>
      <c r="D416" s="2" t="str">
        <f>HYPERLINK("https://wals.info/languoid/lect/wals_code_pso","Pomo (Southeastern)")</f>
        <v>Pomo (Southeastern)</v>
      </c>
      <c r="E416" s="1"/>
      <c r="F416" s="1"/>
      <c r="G416" s="1" t="s">
        <v>833</v>
      </c>
    </row>
    <row r="417" ht="12.75" customHeight="1">
      <c r="A417" s="1" t="s">
        <v>834</v>
      </c>
      <c r="B417" s="2" t="str">
        <f>HYPERLINK("https://wals.info/values/19A-pur","None")</f>
        <v>None</v>
      </c>
      <c r="C417" s="2" t="str">
        <f t="shared" si="1"/>
        <v>Presence of Uncommon Consonants</v>
      </c>
      <c r="D417" s="2" t="str">
        <f>HYPERLINK("https://wals.info/languoid/lect/wals_code_pur","Purépecha")</f>
        <v>Purépecha</v>
      </c>
      <c r="E417" s="1"/>
      <c r="F417" s="1"/>
      <c r="G417" s="1" t="s">
        <v>835</v>
      </c>
    </row>
    <row r="418" ht="12.75" customHeight="1">
      <c r="A418" s="1" t="s">
        <v>836</v>
      </c>
      <c r="B418" s="2" t="str">
        <f>HYPERLINK("https://wals.info/values/19A-bng","None")</f>
        <v>None</v>
      </c>
      <c r="C418" s="2" t="str">
        <f t="shared" si="1"/>
        <v>Presence of Uncommon Consonants</v>
      </c>
      <c r="D418" s="2" t="str">
        <f>HYPERLINK("https://wals.info/languoid/lect/wals_code_bng","Qaget")</f>
        <v>Qaget</v>
      </c>
      <c r="E418" s="1"/>
      <c r="F418" s="1"/>
      <c r="G418" s="1" t="s">
        <v>837</v>
      </c>
    </row>
    <row r="419" ht="12.75" customHeight="1">
      <c r="A419" s="1" t="s">
        <v>838</v>
      </c>
      <c r="B419" s="2" t="str">
        <f>HYPERLINK("https://wals.info/values/19A-qaw","None")</f>
        <v>None</v>
      </c>
      <c r="C419" s="2" t="str">
        <f t="shared" si="1"/>
        <v>Presence of Uncommon Consonants</v>
      </c>
      <c r="D419" s="2" t="str">
        <f>HYPERLINK("https://wals.info/languoid/lect/wals_code_qaw","Qawasqar")</f>
        <v>Qawasqar</v>
      </c>
      <c r="E419" s="1"/>
      <c r="F419" s="1"/>
      <c r="G419" s="1" t="s">
        <v>839</v>
      </c>
    </row>
    <row r="420" ht="12.75" customHeight="1">
      <c r="A420" s="1" t="s">
        <v>840</v>
      </c>
      <c r="B420" s="2" t="str">
        <f>HYPERLINK("https://wals.info/values/19A-qco","'Th' sounds")</f>
        <v>'Th' sounds</v>
      </c>
      <c r="C420" s="2" t="str">
        <f t="shared" si="1"/>
        <v>Presence of Uncommon Consonants</v>
      </c>
      <c r="D420" s="2" t="str">
        <f>HYPERLINK("https://wals.info/languoid/lect/wals_code_qco","Quechua (Cochabamba)")</f>
        <v>Quechua (Cochabamba)</v>
      </c>
      <c r="E420" s="1"/>
      <c r="F420" s="1"/>
      <c r="G420" s="1" t="s">
        <v>841</v>
      </c>
    </row>
    <row r="421" ht="12.75" customHeight="1">
      <c r="A421" s="1" t="s">
        <v>842</v>
      </c>
      <c r="B421" s="2" t="str">
        <f>HYPERLINK("https://wals.info/values/19A-qui","None")</f>
        <v>None</v>
      </c>
      <c r="C421" s="2" t="str">
        <f t="shared" si="1"/>
        <v>Presence of Uncommon Consonants</v>
      </c>
      <c r="D421" s="2" t="str">
        <f>HYPERLINK("https://wals.info/languoid/lect/wals_code_qui","Quileute")</f>
        <v>Quileute</v>
      </c>
      <c r="E421" s="1"/>
      <c r="F421" s="1"/>
      <c r="G421" s="1" t="s">
        <v>843</v>
      </c>
    </row>
    <row r="422" ht="12.75" customHeight="1">
      <c r="A422" s="1" t="s">
        <v>844</v>
      </c>
      <c r="B422" s="2" t="str">
        <f>HYPERLINK("https://wals.info/values/19A-ram","None")</f>
        <v>None</v>
      </c>
      <c r="C422" s="2" t="str">
        <f t="shared" si="1"/>
        <v>Presence of Uncommon Consonants</v>
      </c>
      <c r="D422" s="2" t="str">
        <f>HYPERLINK("https://wals.info/languoid/lect/wals_code_ram","Rama")</f>
        <v>Rama</v>
      </c>
      <c r="E422" s="1"/>
      <c r="F422" s="1"/>
      <c r="G422" s="1" t="s">
        <v>845</v>
      </c>
    </row>
    <row r="423" ht="12.75" customHeight="1">
      <c r="A423" s="1" t="s">
        <v>846</v>
      </c>
      <c r="B423" s="2" t="str">
        <f>HYPERLINK("https://wals.info/values/19A-rap","None")</f>
        <v>None</v>
      </c>
      <c r="C423" s="2" t="str">
        <f t="shared" si="1"/>
        <v>Presence of Uncommon Consonants</v>
      </c>
      <c r="D423" s="2" t="str">
        <f>HYPERLINK("https://wals.info/languoid/lect/wals_code_rap","Rapanui")</f>
        <v>Rapanui</v>
      </c>
      <c r="E423" s="1"/>
      <c r="F423" s="1"/>
      <c r="G423" s="1" t="s">
        <v>847</v>
      </c>
    </row>
    <row r="424" ht="12.75" customHeight="1">
      <c r="A424" s="1" t="s">
        <v>848</v>
      </c>
      <c r="B424" s="2" t="str">
        <f>HYPERLINK("https://wals.info/values/19A-res","None")</f>
        <v>None</v>
      </c>
      <c r="C424" s="2" t="str">
        <f t="shared" si="1"/>
        <v>Presence of Uncommon Consonants</v>
      </c>
      <c r="D424" s="2" t="str">
        <f>HYPERLINK("https://wals.info/languoid/lect/wals_code_res","Resígaro")</f>
        <v>Resígaro</v>
      </c>
      <c r="E424" s="1"/>
      <c r="F424" s="1"/>
      <c r="G424" s="1" t="s">
        <v>849</v>
      </c>
    </row>
    <row r="425" ht="12.75" customHeight="1">
      <c r="A425" s="1" t="s">
        <v>850</v>
      </c>
      <c r="B425" s="2" t="str">
        <f>HYPERLINK("https://wals.info/values/19A-rom","None")</f>
        <v>None</v>
      </c>
      <c r="C425" s="2" t="str">
        <f t="shared" si="1"/>
        <v>Presence of Uncommon Consonants</v>
      </c>
      <c r="D425" s="2" t="str">
        <f>HYPERLINK("https://wals.info/languoid/lect/wals_code_rom","Romanian")</f>
        <v>Romanian</v>
      </c>
      <c r="E425" s="1"/>
      <c r="F425" s="1"/>
      <c r="G425" s="1" t="s">
        <v>851</v>
      </c>
    </row>
    <row r="426" ht="12.75" customHeight="1">
      <c r="A426" s="1" t="s">
        <v>852</v>
      </c>
      <c r="B426" s="2" t="str">
        <f>HYPERLINK("https://wals.info/values/19A-rsc","None")</f>
        <v>None</v>
      </c>
      <c r="C426" s="2" t="str">
        <f t="shared" si="1"/>
        <v>Presence of Uncommon Consonants</v>
      </c>
      <c r="D426" s="2" t="str">
        <f>HYPERLINK("https://wals.info/languoid/lect/wals_code_rsc","Romansch (Scharans)")</f>
        <v>Romansch (Scharans)</v>
      </c>
      <c r="E426" s="1"/>
      <c r="F426" s="1"/>
      <c r="G426" s="1" t="s">
        <v>853</v>
      </c>
    </row>
    <row r="427" ht="12.75" customHeight="1">
      <c r="A427" s="1" t="s">
        <v>854</v>
      </c>
      <c r="B427" s="2" t="str">
        <f>HYPERLINK("https://wals.info/values/19A-ror","None")</f>
        <v>None</v>
      </c>
      <c r="C427" s="2" t="str">
        <f t="shared" si="1"/>
        <v>Presence of Uncommon Consonants</v>
      </c>
      <c r="D427" s="2" t="str">
        <f>HYPERLINK("https://wals.info/languoid/lect/wals_code_ror","Roro")</f>
        <v>Roro</v>
      </c>
      <c r="E427" s="1"/>
      <c r="F427" s="1"/>
      <c r="G427" s="1" t="s">
        <v>855</v>
      </c>
    </row>
    <row r="428" ht="12.75" customHeight="1">
      <c r="A428" s="1" t="s">
        <v>856</v>
      </c>
      <c r="B428" s="2" t="str">
        <f>HYPERLINK("https://wals.info/values/19A-rtk","'Th' sounds")</f>
        <v>'Th' sounds</v>
      </c>
      <c r="C428" s="2" t="str">
        <f t="shared" si="1"/>
        <v>Presence of Uncommon Consonants</v>
      </c>
      <c r="D428" s="2" t="str">
        <f>HYPERLINK("https://wals.info/languoid/lect/wals_code_rtk","Rotokas")</f>
        <v>Rotokas</v>
      </c>
      <c r="E428" s="1"/>
      <c r="F428" s="1"/>
      <c r="G428" s="1" t="s">
        <v>857</v>
      </c>
    </row>
    <row r="429" ht="12.75" customHeight="1">
      <c r="A429" s="1" t="s">
        <v>858</v>
      </c>
      <c r="B429" s="2" t="str">
        <f>HYPERLINK("https://wals.info/values/19A-ruk","'Th' sounds")</f>
        <v>'Th' sounds</v>
      </c>
      <c r="C429" s="2" t="str">
        <f t="shared" si="1"/>
        <v>Presence of Uncommon Consonants</v>
      </c>
      <c r="D429" s="2" t="str">
        <f>HYPERLINK("https://wals.info/languoid/lect/wals_code_ruk","Rukai (Tanan)")</f>
        <v>Rukai (Tanan)</v>
      </c>
      <c r="E429" s="1"/>
      <c r="F429" s="1"/>
      <c r="G429" s="1" t="s">
        <v>859</v>
      </c>
    </row>
    <row r="430" ht="12.75" customHeight="1">
      <c r="A430" s="1" t="s">
        <v>860</v>
      </c>
      <c r="B430" s="2" t="str">
        <f>HYPERLINK("https://wals.info/values/19A-rus","None")</f>
        <v>None</v>
      </c>
      <c r="C430" s="2" t="str">
        <f t="shared" si="1"/>
        <v>Presence of Uncommon Consonants</v>
      </c>
      <c r="D430" s="2" t="str">
        <f>HYPERLINK("https://wals.info/languoid/lect/wals_code_rus","Russian")</f>
        <v>Russian</v>
      </c>
      <c r="E430" s="1"/>
      <c r="F430" s="1"/>
      <c r="G430" s="1" t="s">
        <v>861</v>
      </c>
    </row>
    <row r="431" ht="12.75" customHeight="1">
      <c r="A431" s="1" t="s">
        <v>862</v>
      </c>
      <c r="B431" s="2" t="str">
        <f>HYPERLINK("https://wals.info/values/19A-rut","Pharyngeals")</f>
        <v>Pharyngeals</v>
      </c>
      <c r="C431" s="2" t="str">
        <f t="shared" si="1"/>
        <v>Presence of Uncommon Consonants</v>
      </c>
      <c r="D431" s="2" t="str">
        <f>HYPERLINK("https://wals.info/languoid/lect/wals_code_rut","Rutul")</f>
        <v>Rutul</v>
      </c>
      <c r="E431" s="1"/>
      <c r="F431" s="1"/>
      <c r="G431" s="1" t="s">
        <v>863</v>
      </c>
    </row>
    <row r="432" ht="12.75" customHeight="1">
      <c r="A432" s="1" t="s">
        <v>864</v>
      </c>
      <c r="B432" s="2" t="str">
        <f>HYPERLINK("https://wals.info/values/19A-scs","None")</f>
        <v>None</v>
      </c>
      <c r="C432" s="2" t="str">
        <f t="shared" si="1"/>
        <v>Presence of Uncommon Consonants</v>
      </c>
      <c r="D432" s="2" t="str">
        <f>HYPERLINK("https://wals.info/languoid/lect/wals_code_scs","Saami (Central-South)")</f>
        <v>Saami (Central-South)</v>
      </c>
      <c r="E432" s="1"/>
      <c r="F432" s="1"/>
      <c r="G432" s="1" t="s">
        <v>865</v>
      </c>
    </row>
    <row r="433" ht="12.75" customHeight="1">
      <c r="A433" s="1" t="s">
        <v>866</v>
      </c>
      <c r="B433" s="2" t="str">
        <f>HYPERLINK("https://wals.info/values/19A-sab","None")</f>
        <v>None</v>
      </c>
      <c r="C433" s="2" t="str">
        <f t="shared" si="1"/>
        <v>Presence of Uncommon Consonants</v>
      </c>
      <c r="D433" s="2" t="str">
        <f>HYPERLINK("https://wals.info/languoid/lect/wals_code_sab","Sa'ban")</f>
        <v>Sa'ban</v>
      </c>
      <c r="E433" s="1"/>
      <c r="F433" s="1"/>
      <c r="G433" s="1" t="s">
        <v>867</v>
      </c>
    </row>
    <row r="434" ht="12.75" customHeight="1">
      <c r="A434" s="1" t="s">
        <v>868</v>
      </c>
      <c r="B434" s="2" t="str">
        <f>HYPERLINK("https://wals.info/values/19A-sba","None")</f>
        <v>None</v>
      </c>
      <c r="C434" s="2" t="str">
        <f t="shared" si="1"/>
        <v>Presence of Uncommon Consonants</v>
      </c>
      <c r="D434" s="2" t="str">
        <f>HYPERLINK("https://wals.info/languoid/lect/wals_code_sba","Sáliba (in Colombia)")</f>
        <v>Sáliba (in Colombia)</v>
      </c>
      <c r="E434" s="1"/>
      <c r="F434" s="1"/>
      <c r="G434" s="1" t="s">
        <v>869</v>
      </c>
    </row>
    <row r="435" ht="12.75" customHeight="1">
      <c r="A435" s="1" t="s">
        <v>870</v>
      </c>
      <c r="B435" s="2" t="str">
        <f>HYPERLINK("https://wals.info/values/19A-sdw","Clicks")</f>
        <v>Clicks</v>
      </c>
      <c r="C435" s="2" t="str">
        <f t="shared" si="1"/>
        <v>Presence of Uncommon Consonants</v>
      </c>
      <c r="D435" s="2" t="str">
        <f>HYPERLINK("https://wals.info/languoid/lect/wals_code_sdw","Sandawe")</f>
        <v>Sandawe</v>
      </c>
      <c r="E435" s="1"/>
      <c r="F435" s="1"/>
      <c r="G435" s="1" t="s">
        <v>871</v>
      </c>
    </row>
    <row r="436" ht="12.75" customHeight="1">
      <c r="A436" s="1" t="s">
        <v>872</v>
      </c>
      <c r="B436" s="2" t="str">
        <f>HYPERLINK("https://wals.info/values/19A-san","Labial-velars")</f>
        <v>Labial-velars</v>
      </c>
      <c r="C436" s="2" t="str">
        <f t="shared" si="1"/>
        <v>Presence of Uncommon Consonants</v>
      </c>
      <c r="D436" s="2" t="str">
        <f>HYPERLINK("https://wals.info/languoid/lect/wals_code_san","Sango")</f>
        <v>Sango</v>
      </c>
      <c r="E436" s="1"/>
      <c r="F436" s="1"/>
      <c r="G436" s="1" t="s">
        <v>873</v>
      </c>
    </row>
    <row r="437" ht="12.75" customHeight="1">
      <c r="A437" s="1" t="s">
        <v>874</v>
      </c>
      <c r="B437" s="2" t="str">
        <f>HYPERLINK("https://wals.info/values/19A-snm","None")</f>
        <v>None</v>
      </c>
      <c r="C437" s="2" t="str">
        <f t="shared" si="1"/>
        <v>Presence of Uncommon Consonants</v>
      </c>
      <c r="D437" s="2" t="str">
        <f>HYPERLINK("https://wals.info/languoid/lect/wals_code_snm","Sanuma")</f>
        <v>Sanuma</v>
      </c>
      <c r="E437" s="1"/>
      <c r="F437" s="1"/>
      <c r="G437" s="1" t="s">
        <v>875</v>
      </c>
    </row>
    <row r="438" ht="12.75" customHeight="1">
      <c r="A438" s="1" t="s">
        <v>876</v>
      </c>
      <c r="B438" s="2" t="str">
        <f>HYPERLINK("https://wals.info/values/19A-svs","None")</f>
        <v>None</v>
      </c>
      <c r="C438" s="2" t="str">
        <f t="shared" si="1"/>
        <v>Presence of Uncommon Consonants</v>
      </c>
      <c r="D438" s="2" t="str">
        <f>HYPERLINK("https://wals.info/languoid/lect/wals_code_svs","Savosavo")</f>
        <v>Savosavo</v>
      </c>
      <c r="E438" s="1"/>
      <c r="F438" s="1"/>
      <c r="G438" s="1" t="s">
        <v>877</v>
      </c>
    </row>
    <row r="439" ht="12.75" customHeight="1">
      <c r="A439" s="1" t="s">
        <v>878</v>
      </c>
      <c r="B439" s="2" t="str">
        <f>HYPERLINK("https://wals.info/values/19A-seb","None")</f>
        <v>None</v>
      </c>
      <c r="C439" s="2" t="str">
        <f t="shared" si="1"/>
        <v>Presence of Uncommon Consonants</v>
      </c>
      <c r="D439" s="2" t="str">
        <f>HYPERLINK("https://wals.info/languoid/lect/wals_code_seb","Sebei")</f>
        <v>Sebei</v>
      </c>
      <c r="E439" s="1"/>
      <c r="F439" s="1"/>
      <c r="G439" s="1" t="s">
        <v>879</v>
      </c>
    </row>
    <row r="440" ht="12.75" customHeight="1">
      <c r="A440" s="1" t="s">
        <v>880</v>
      </c>
      <c r="B440" s="2" t="str">
        <f>HYPERLINK("https://wals.info/values/19A-sed","None")</f>
        <v>None</v>
      </c>
      <c r="C440" s="2" t="str">
        <f t="shared" si="1"/>
        <v>Presence of Uncommon Consonants</v>
      </c>
      <c r="D440" s="2" t="str">
        <f>HYPERLINK("https://wals.info/languoid/lect/wals_code_sed","Sedang")</f>
        <v>Sedang</v>
      </c>
      <c r="E440" s="1"/>
      <c r="F440" s="1"/>
      <c r="G440" s="1" t="s">
        <v>881</v>
      </c>
    </row>
    <row r="441" ht="12.75" customHeight="1">
      <c r="A441" s="1" t="s">
        <v>882</v>
      </c>
      <c r="B441" s="2" t="str">
        <f>HYPERLINK("https://wals.info/values/19A-slp","None")</f>
        <v>None</v>
      </c>
      <c r="C441" s="2" t="str">
        <f t="shared" si="1"/>
        <v>Presence of Uncommon Consonants</v>
      </c>
      <c r="D441" s="2" t="str">
        <f>HYPERLINK("https://wals.info/languoid/lect/wals_code_slp","Selepet")</f>
        <v>Selepet</v>
      </c>
      <c r="E441" s="1"/>
      <c r="F441" s="1"/>
      <c r="G441" s="1" t="s">
        <v>883</v>
      </c>
    </row>
    <row r="442" ht="12.75" customHeight="1">
      <c r="A442" s="1" t="s">
        <v>884</v>
      </c>
      <c r="B442" s="2" t="str">
        <f>HYPERLINK("https://wals.info/values/19A-sel","None")</f>
        <v>None</v>
      </c>
      <c r="C442" s="2" t="str">
        <f t="shared" si="1"/>
        <v>Presence of Uncommon Consonants</v>
      </c>
      <c r="D442" s="2" t="str">
        <f>HYPERLINK("https://wals.info/languoid/lect/wals_code_sel","Selknam")</f>
        <v>Selknam</v>
      </c>
      <c r="E442" s="1"/>
      <c r="F442" s="1"/>
      <c r="G442" s="1" t="s">
        <v>885</v>
      </c>
    </row>
    <row r="443" ht="12.75" customHeight="1">
      <c r="A443" s="1" t="s">
        <v>886</v>
      </c>
      <c r="B443" s="2" t="str">
        <f>HYPERLINK("https://wals.info/values/19A-skp","None")</f>
        <v>None</v>
      </c>
      <c r="C443" s="2" t="str">
        <f t="shared" si="1"/>
        <v>Presence of Uncommon Consonants</v>
      </c>
      <c r="D443" s="2" t="str">
        <f>HYPERLINK("https://wals.info/languoid/lect/wals_code_skp","Selkup")</f>
        <v>Selkup</v>
      </c>
      <c r="E443" s="1"/>
      <c r="F443" s="1"/>
      <c r="G443" s="1" t="s">
        <v>887</v>
      </c>
    </row>
    <row r="444" ht="12.75" customHeight="1">
      <c r="A444" s="1" t="s">
        <v>888</v>
      </c>
      <c r="B444" s="2" t="str">
        <f>HYPERLINK("https://wals.info/values/19A-sml","None")</f>
        <v>None</v>
      </c>
      <c r="C444" s="2" t="str">
        <f t="shared" si="1"/>
        <v>Presence of Uncommon Consonants</v>
      </c>
      <c r="D444" s="2" t="str">
        <f>HYPERLINK("https://wals.info/languoid/lect/wals_code_sml","Semelai")</f>
        <v>Semelai</v>
      </c>
      <c r="E444" s="1"/>
      <c r="F444" s="1"/>
      <c r="G444" s="1" t="s">
        <v>889</v>
      </c>
    </row>
    <row r="445" ht="12.75" customHeight="1">
      <c r="A445" s="1" t="s">
        <v>890</v>
      </c>
      <c r="B445" s="2" t="str">
        <f>HYPERLINK("https://wals.info/values/19A-snd","Labial-velars")</f>
        <v>Labial-velars</v>
      </c>
      <c r="C445" s="2" t="str">
        <f t="shared" si="1"/>
        <v>Presence of Uncommon Consonants</v>
      </c>
      <c r="D445" s="2" t="str">
        <f>HYPERLINK("https://wals.info/languoid/lect/wals_code_snd","Senadi")</f>
        <v>Senadi</v>
      </c>
      <c r="E445" s="1"/>
      <c r="F445" s="1"/>
      <c r="G445" s="1" t="s">
        <v>891</v>
      </c>
    </row>
    <row r="446" ht="12.75" customHeight="1">
      <c r="A446" s="1" t="s">
        <v>892</v>
      </c>
      <c r="B446" s="2" t="str">
        <f>HYPERLINK("https://wals.info/values/19A-snc","None")</f>
        <v>None</v>
      </c>
      <c r="C446" s="2" t="str">
        <f t="shared" si="1"/>
        <v>Presence of Uncommon Consonants</v>
      </c>
      <c r="D446" s="2" t="str">
        <f>HYPERLINK("https://wals.info/languoid/lect/wals_code_snc","Seneca")</f>
        <v>Seneca</v>
      </c>
      <c r="E446" s="1"/>
      <c r="F446" s="1"/>
      <c r="G446" s="1" t="s">
        <v>893</v>
      </c>
    </row>
    <row r="447" ht="12.75" customHeight="1">
      <c r="A447" s="1" t="s">
        <v>894</v>
      </c>
      <c r="B447" s="2" t="str">
        <f>HYPERLINK("https://wals.info/values/19A-snt","None")</f>
        <v>None</v>
      </c>
      <c r="C447" s="2" t="str">
        <f t="shared" si="1"/>
        <v>Presence of Uncommon Consonants</v>
      </c>
      <c r="D447" s="2" t="str">
        <f>HYPERLINK("https://wals.info/languoid/lect/wals_code_snt","Sentani")</f>
        <v>Sentani</v>
      </c>
      <c r="E447" s="1"/>
      <c r="F447" s="1"/>
      <c r="G447" s="1" t="s">
        <v>895</v>
      </c>
    </row>
    <row r="448" ht="12.75" customHeight="1">
      <c r="A448" s="1" t="s">
        <v>896</v>
      </c>
      <c r="B448" s="2" t="str">
        <f>HYPERLINK("https://wals.info/values/19A-sha","None")</f>
        <v>None</v>
      </c>
      <c r="C448" s="2" t="str">
        <f t="shared" si="1"/>
        <v>Presence of Uncommon Consonants</v>
      </c>
      <c r="D448" s="2" t="str">
        <f>HYPERLINK("https://wals.info/languoid/lect/wals_code_sha","Shan")</f>
        <v>Shan</v>
      </c>
      <c r="E448" s="1"/>
      <c r="F448" s="1"/>
      <c r="G448" s="1" t="s">
        <v>897</v>
      </c>
    </row>
    <row r="449" ht="12.75" customHeight="1">
      <c r="A449" s="1" t="s">
        <v>898</v>
      </c>
      <c r="B449" s="2" t="str">
        <f>HYPERLINK("https://wals.info/values/19A-shs","None")</f>
        <v>None</v>
      </c>
      <c r="C449" s="2" t="str">
        <f t="shared" si="1"/>
        <v>Presence of Uncommon Consonants</v>
      </c>
      <c r="D449" s="2" t="str">
        <f>HYPERLINK("https://wals.info/languoid/lect/wals_code_shs","Shasta")</f>
        <v>Shasta</v>
      </c>
      <c r="E449" s="1"/>
      <c r="F449" s="1"/>
      <c r="G449" s="1" t="s">
        <v>899</v>
      </c>
    </row>
    <row r="450" ht="12.75" customHeight="1">
      <c r="A450" s="1" t="s">
        <v>900</v>
      </c>
      <c r="B450" s="2" t="str">
        <f>HYPERLINK("https://wals.info/values/19A-shk","None")</f>
        <v>None</v>
      </c>
      <c r="C450" s="2" t="str">
        <f t="shared" si="1"/>
        <v>Presence of Uncommon Consonants</v>
      </c>
      <c r="D450" s="2" t="str">
        <f>HYPERLINK("https://wals.info/languoid/lect/wals_code_shk","Shipibo-Konibo")</f>
        <v>Shipibo-Konibo</v>
      </c>
      <c r="E450" s="1"/>
      <c r="F450" s="1"/>
      <c r="G450" s="1" t="s">
        <v>901</v>
      </c>
    </row>
    <row r="451" ht="12.75" customHeight="1">
      <c r="A451" s="1" t="s">
        <v>902</v>
      </c>
      <c r="B451" s="2" t="str">
        <f>HYPERLINK("https://wals.info/values/19A-shi","None")</f>
        <v>None</v>
      </c>
      <c r="C451" s="2" t="str">
        <f t="shared" si="1"/>
        <v>Presence of Uncommon Consonants</v>
      </c>
      <c r="D451" s="2" t="str">
        <f>HYPERLINK("https://wals.info/languoid/lect/wals_code_shi","Shiriana")</f>
        <v>Shiriana</v>
      </c>
      <c r="E451" s="1"/>
      <c r="F451" s="1"/>
      <c r="G451" s="1" t="s">
        <v>903</v>
      </c>
    </row>
    <row r="452" ht="12.75" customHeight="1">
      <c r="A452" s="1" t="s">
        <v>904</v>
      </c>
      <c r="B452" s="2" t="str">
        <f>HYPERLINK("https://wals.info/values/19A-shu","None")</f>
        <v>None</v>
      </c>
      <c r="C452" s="2" t="str">
        <f t="shared" si="1"/>
        <v>Presence of Uncommon Consonants</v>
      </c>
      <c r="D452" s="2" t="str">
        <f>HYPERLINK("https://wals.info/languoid/lect/wals_code_shu","Shuswap")</f>
        <v>Shuswap</v>
      </c>
      <c r="E452" s="1"/>
      <c r="F452" s="1"/>
      <c r="G452" s="1" t="s">
        <v>905</v>
      </c>
    </row>
    <row r="453" ht="12.75" customHeight="1">
      <c r="A453" s="1" t="s">
        <v>906</v>
      </c>
      <c r="B453" s="2" t="str">
        <f>HYPERLINK("https://wals.info/values/19A-sdh","None")</f>
        <v>None</v>
      </c>
      <c r="C453" s="2" t="str">
        <f t="shared" si="1"/>
        <v>Presence of Uncommon Consonants</v>
      </c>
      <c r="D453" s="2" t="str">
        <f>HYPERLINK("https://wals.info/languoid/lect/wals_code_sdh","Sindhi")</f>
        <v>Sindhi</v>
      </c>
      <c r="E453" s="1"/>
      <c r="F453" s="1"/>
      <c r="G453" s="1" t="s">
        <v>907</v>
      </c>
    </row>
    <row r="454" ht="12.75" customHeight="1">
      <c r="A454" s="1" t="s">
        <v>908</v>
      </c>
      <c r="B454" s="2" t="str">
        <f>HYPERLINK("https://wals.info/values/19A-snh","None")</f>
        <v>None</v>
      </c>
      <c r="C454" s="2" t="str">
        <f t="shared" si="1"/>
        <v>Presence of Uncommon Consonants</v>
      </c>
      <c r="D454" s="2" t="str">
        <f>HYPERLINK("https://wals.info/languoid/lect/wals_code_snh","Sinhala")</f>
        <v>Sinhala</v>
      </c>
      <c r="E454" s="1"/>
      <c r="F454" s="1"/>
      <c r="G454" s="1" t="s">
        <v>909</v>
      </c>
    </row>
    <row r="455" ht="12.75" customHeight="1">
      <c r="A455" s="1" t="s">
        <v>910</v>
      </c>
      <c r="B455" s="2" t="str">
        <f>HYPERLINK("https://wals.info/values/19A-sin","None")</f>
        <v>None</v>
      </c>
      <c r="C455" s="2" t="str">
        <f t="shared" si="1"/>
        <v>Presence of Uncommon Consonants</v>
      </c>
      <c r="D455" s="2" t="str">
        <f>HYPERLINK("https://wals.info/languoid/lect/wals_code_sin","Siona")</f>
        <v>Siona</v>
      </c>
      <c r="E455" s="1"/>
      <c r="F455" s="1"/>
      <c r="G455" s="1" t="s">
        <v>911</v>
      </c>
    </row>
    <row r="456" ht="12.75" customHeight="1">
      <c r="A456" s="1" t="s">
        <v>912</v>
      </c>
      <c r="B456" s="2" t="str">
        <f>HYPERLINK("https://wals.info/values/19A-srn","None")</f>
        <v>None</v>
      </c>
      <c r="C456" s="2" t="str">
        <f t="shared" si="1"/>
        <v>Presence of Uncommon Consonants</v>
      </c>
      <c r="D456" s="2" t="str">
        <f>HYPERLINK("https://wals.info/languoid/lect/wals_code_srn","Sirionó")</f>
        <v>Sirionó</v>
      </c>
      <c r="E456" s="1"/>
      <c r="F456" s="1"/>
      <c r="G456" s="1" t="s">
        <v>913</v>
      </c>
    </row>
    <row r="457" ht="12.75" customHeight="1">
      <c r="A457" s="1" t="s">
        <v>914</v>
      </c>
      <c r="B457" s="2" t="str">
        <f>HYPERLINK("https://wals.info/values/19A-sla","None")</f>
        <v>None</v>
      </c>
      <c r="C457" s="2" t="str">
        <f t="shared" si="1"/>
        <v>Presence of Uncommon Consonants</v>
      </c>
      <c r="D457" s="2" t="str">
        <f>HYPERLINK("https://wals.info/languoid/lect/wals_code_sla","Slave")</f>
        <v>Slave</v>
      </c>
      <c r="E457" s="1"/>
      <c r="F457" s="1"/>
      <c r="G457" s="1" t="s">
        <v>915</v>
      </c>
    </row>
    <row r="458" ht="12.75" customHeight="1">
      <c r="A458" s="1" t="s">
        <v>916</v>
      </c>
      <c r="B458" s="2" t="str">
        <f>HYPERLINK("https://wals.info/values/19A-som","Pharyngeals")</f>
        <v>Pharyngeals</v>
      </c>
      <c r="C458" s="2" t="str">
        <f t="shared" si="1"/>
        <v>Presence of Uncommon Consonants</v>
      </c>
      <c r="D458" s="2" t="str">
        <f>HYPERLINK("https://wals.info/languoid/lect/wals_code_som","Somali")</f>
        <v>Somali</v>
      </c>
      <c r="E458" s="1"/>
      <c r="F458" s="1"/>
      <c r="G458" s="1" t="s">
        <v>917</v>
      </c>
    </row>
    <row r="459" ht="12.75" customHeight="1">
      <c r="A459" s="1" t="s">
        <v>918</v>
      </c>
      <c r="B459" s="2" t="str">
        <f>HYPERLINK("https://wals.info/values/19A-soq","Pharyngeals")</f>
        <v>Pharyngeals</v>
      </c>
      <c r="C459" s="2" t="str">
        <f t="shared" si="1"/>
        <v>Presence of Uncommon Consonants</v>
      </c>
      <c r="D459" s="2" t="str">
        <f>HYPERLINK("https://wals.info/languoid/lect/wals_code_soq","Soqotri")</f>
        <v>Soqotri</v>
      </c>
      <c r="E459" s="1"/>
      <c r="F459" s="1"/>
      <c r="G459" s="1" t="s">
        <v>919</v>
      </c>
    </row>
    <row r="460" ht="12.75" customHeight="1">
      <c r="A460" s="1" t="s">
        <v>920</v>
      </c>
      <c r="B460" s="2" t="str">
        <f>HYPERLINK("https://wals.info/values/19A-sor","None")</f>
        <v>None</v>
      </c>
      <c r="C460" s="2" t="str">
        <f t="shared" si="1"/>
        <v>Presence of Uncommon Consonants</v>
      </c>
      <c r="D460" s="2" t="str">
        <f>HYPERLINK("https://wals.info/languoid/lect/wals_code_sor","Sora")</f>
        <v>Sora</v>
      </c>
      <c r="E460" s="1"/>
      <c r="F460" s="1"/>
      <c r="G460" s="1" t="s">
        <v>921</v>
      </c>
    </row>
    <row r="461" ht="12.75" customHeight="1">
      <c r="A461" s="1" t="s">
        <v>922</v>
      </c>
      <c r="B461" s="2" t="str">
        <f>HYPERLINK("https://wals.info/values/19A-spa","'Th' sounds")</f>
        <v>'Th' sounds</v>
      </c>
      <c r="C461" s="2" t="str">
        <f t="shared" si="1"/>
        <v>Presence of Uncommon Consonants</v>
      </c>
      <c r="D461" s="2" t="str">
        <f>HYPERLINK("https://wals.info/languoid/lect/wals_code_spa","Spanish")</f>
        <v>Spanish</v>
      </c>
      <c r="E461" s="1"/>
      <c r="F461" s="1"/>
      <c r="G461" s="1" t="s">
        <v>923</v>
      </c>
    </row>
    <row r="462" ht="12.75" customHeight="1">
      <c r="A462" s="1" t="s">
        <v>924</v>
      </c>
      <c r="B462" s="2" t="str">
        <f>HYPERLINK("https://wals.info/values/19A-squ","Pharyngeals")</f>
        <v>Pharyngeals</v>
      </c>
      <c r="C462" s="2" t="str">
        <f t="shared" si="1"/>
        <v>Presence of Uncommon Consonants</v>
      </c>
      <c r="D462" s="2" t="str">
        <f>HYPERLINK("https://wals.info/languoid/lect/wals_code_squ","Squamish")</f>
        <v>Squamish</v>
      </c>
      <c r="E462" s="1"/>
      <c r="F462" s="1"/>
      <c r="G462" s="1" t="s">
        <v>925</v>
      </c>
    </row>
    <row r="463" ht="12.75" customHeight="1">
      <c r="A463" s="1" t="s">
        <v>926</v>
      </c>
      <c r="B463" s="2" t="str">
        <f>HYPERLINK("https://wals.info/values/19A-sre","None")</f>
        <v>None</v>
      </c>
      <c r="C463" s="2" t="str">
        <f t="shared" si="1"/>
        <v>Presence of Uncommon Consonants</v>
      </c>
      <c r="D463" s="2" t="str">
        <f>HYPERLINK("https://wals.info/languoid/lect/wals_code_sre","Sre")</f>
        <v>Sre</v>
      </c>
      <c r="E463" s="1"/>
      <c r="F463" s="1"/>
      <c r="G463" s="1" t="s">
        <v>927</v>
      </c>
    </row>
    <row r="464" ht="12.75" customHeight="1">
      <c r="A464" s="1" t="s">
        <v>928</v>
      </c>
      <c r="B464" s="2" t="str">
        <f>HYPERLINK("https://wals.info/values/19A-sue","None")</f>
        <v>None</v>
      </c>
      <c r="C464" s="2" t="str">
        <f t="shared" si="1"/>
        <v>Presence of Uncommon Consonants</v>
      </c>
      <c r="D464" s="2" t="str">
        <f>HYPERLINK("https://wals.info/languoid/lect/wals_code_sue","Suena")</f>
        <v>Suena</v>
      </c>
      <c r="E464" s="1"/>
      <c r="F464" s="1"/>
      <c r="G464" s="1" t="s">
        <v>929</v>
      </c>
    </row>
    <row r="465" ht="12.75" customHeight="1">
      <c r="A465" s="1" t="s">
        <v>930</v>
      </c>
      <c r="B465" s="2" t="str">
        <f>HYPERLINK("https://wals.info/values/19A-sui","None")</f>
        <v>None</v>
      </c>
      <c r="C465" s="2" t="str">
        <f t="shared" si="1"/>
        <v>Presence of Uncommon Consonants</v>
      </c>
      <c r="D465" s="2" t="str">
        <f>HYPERLINK("https://wals.info/languoid/lect/wals_code_sui","Sui")</f>
        <v>Sui</v>
      </c>
      <c r="E465" s="1"/>
      <c r="F465" s="1"/>
      <c r="G465" s="1" t="s">
        <v>931</v>
      </c>
    </row>
    <row r="466" ht="12.75" customHeight="1">
      <c r="A466" s="1" t="s">
        <v>932</v>
      </c>
      <c r="B466" s="2" t="str">
        <f>HYPERLINK("https://wals.info/values/19A-sup","None")</f>
        <v>None</v>
      </c>
      <c r="C466" s="2" t="str">
        <f t="shared" si="1"/>
        <v>Presence of Uncommon Consonants</v>
      </c>
      <c r="D466" s="2" t="str">
        <f>HYPERLINK("https://wals.info/languoid/lect/wals_code_sup","Supyire")</f>
        <v>Supyire</v>
      </c>
      <c r="E466" s="1"/>
      <c r="F466" s="1"/>
      <c r="G466" s="1" t="s">
        <v>933</v>
      </c>
    </row>
    <row r="467" ht="12.75" customHeight="1">
      <c r="A467" s="1" t="s">
        <v>934</v>
      </c>
      <c r="B467" s="2" t="str">
        <f>HYPERLINK("https://wals.info/values/19A-swa","'Th' sounds")</f>
        <v>'Th' sounds</v>
      </c>
      <c r="C467" s="2" t="str">
        <f t="shared" si="1"/>
        <v>Presence of Uncommon Consonants</v>
      </c>
      <c r="D467" s="2" t="str">
        <f>HYPERLINK("https://wals.info/languoid/lect/wals_code_swa","Swahili")</f>
        <v>Swahili</v>
      </c>
      <c r="E467" s="1"/>
      <c r="F467" s="1"/>
      <c r="G467" s="1" t="s">
        <v>935</v>
      </c>
    </row>
    <row r="468" ht="12.75" customHeight="1">
      <c r="A468" s="1" t="s">
        <v>936</v>
      </c>
      <c r="B468" s="2" t="str">
        <f>HYPERLINK("https://wals.info/values/19A-tab","None")</f>
        <v>None</v>
      </c>
      <c r="C468" s="2" t="str">
        <f t="shared" si="1"/>
        <v>Presence of Uncommon Consonants</v>
      </c>
      <c r="D468" s="2" t="str">
        <f>HYPERLINK("https://wals.info/languoid/lect/wals_code_tab","Taba")</f>
        <v>Taba</v>
      </c>
      <c r="E468" s="1"/>
      <c r="F468" s="1"/>
      <c r="G468" s="1" t="s">
        <v>937</v>
      </c>
    </row>
    <row r="469" ht="12.75" customHeight="1">
      <c r="A469" s="1" t="s">
        <v>938</v>
      </c>
      <c r="B469" s="2" t="str">
        <f>HYPERLINK("https://wals.info/values/19A-tac","'Th' sounds")</f>
        <v>'Th' sounds</v>
      </c>
      <c r="C469" s="2" t="str">
        <f t="shared" si="1"/>
        <v>Presence of Uncommon Consonants</v>
      </c>
      <c r="D469" s="2" t="str">
        <f>HYPERLINK("https://wals.info/languoid/lect/wals_code_tac","Tacana")</f>
        <v>Tacana</v>
      </c>
      <c r="E469" s="1"/>
      <c r="F469" s="1"/>
      <c r="G469" s="1" t="s">
        <v>939</v>
      </c>
    </row>
    <row r="470" ht="12.75" customHeight="1">
      <c r="A470" s="1" t="s">
        <v>940</v>
      </c>
      <c r="B470" s="2" t="str">
        <f>HYPERLINK("https://wals.info/values/19A-tag","None")</f>
        <v>None</v>
      </c>
      <c r="C470" s="2" t="str">
        <f t="shared" si="1"/>
        <v>Presence of Uncommon Consonants</v>
      </c>
      <c r="D470" s="2" t="str">
        <f>HYPERLINK("https://wals.info/languoid/lect/wals_code_tag","Tagalog")</f>
        <v>Tagalog</v>
      </c>
      <c r="E470" s="1"/>
      <c r="F470" s="1"/>
      <c r="G470" s="1" t="s">
        <v>941</v>
      </c>
    </row>
    <row r="471" ht="12.75" customHeight="1">
      <c r="A471" s="1" t="s">
        <v>942</v>
      </c>
      <c r="B471" s="2" t="str">
        <f>HYPERLINK("https://wals.info/values/19A-tma","Pharyngeals")</f>
        <v>Pharyngeals</v>
      </c>
      <c r="C471" s="2" t="str">
        <f t="shared" si="1"/>
        <v>Presence of Uncommon Consonants</v>
      </c>
      <c r="D471" s="2" t="str">
        <f>HYPERLINK("https://wals.info/languoid/lect/wals_code_tma","Tama")</f>
        <v>Tama</v>
      </c>
      <c r="E471" s="1"/>
      <c r="F471" s="1"/>
      <c r="G471" s="1" t="s">
        <v>530</v>
      </c>
    </row>
    <row r="472" ht="12.75" customHeight="1">
      <c r="A472" s="1" t="s">
        <v>943</v>
      </c>
      <c r="B472" s="2" t="str">
        <f>HYPERLINK("https://wals.info/values/19A-tam","None")</f>
        <v>None</v>
      </c>
      <c r="C472" s="2" t="str">
        <f t="shared" si="1"/>
        <v>Presence of Uncommon Consonants</v>
      </c>
      <c r="D472" s="2" t="str">
        <f>HYPERLINK("https://wals.info/languoid/lect/wals_code_tam","Tamang (Eastern)")</f>
        <v>Tamang (Eastern)</v>
      </c>
      <c r="E472" s="1"/>
      <c r="F472" s="1"/>
      <c r="G472" s="1" t="s">
        <v>944</v>
      </c>
    </row>
    <row r="473" ht="12.75" customHeight="1">
      <c r="A473" s="1" t="s">
        <v>945</v>
      </c>
      <c r="B473" s="2" t="str">
        <f>HYPERLINK("https://wals.info/values/19A-tmp","Labial-velars")</f>
        <v>Labial-velars</v>
      </c>
      <c r="C473" s="2" t="str">
        <f t="shared" si="1"/>
        <v>Presence of Uncommon Consonants</v>
      </c>
      <c r="D473" s="2" t="str">
        <f>HYPERLINK("https://wals.info/languoid/lect/wals_code_tmp","Tampulma")</f>
        <v>Tampulma</v>
      </c>
      <c r="E473" s="1"/>
      <c r="F473" s="1"/>
      <c r="G473" s="1" t="s">
        <v>946</v>
      </c>
    </row>
    <row r="474" ht="12.75" customHeight="1">
      <c r="A474" s="1" t="s">
        <v>947</v>
      </c>
      <c r="B474" s="2" t="str">
        <f>HYPERLINK("https://wals.info/values/19A-tok","Labial-velars")</f>
        <v>Labial-velars</v>
      </c>
      <c r="C474" s="2" t="str">
        <f t="shared" si="1"/>
        <v>Presence of Uncommon Consonants</v>
      </c>
      <c r="D474" s="2" t="str">
        <f>HYPERLINK("https://wals.info/languoid/lect/wals_code_tok","Tarok")</f>
        <v>Tarok</v>
      </c>
      <c r="E474" s="1"/>
      <c r="F474" s="1"/>
      <c r="G474" s="1" t="s">
        <v>948</v>
      </c>
    </row>
    <row r="475" ht="12.75" customHeight="1">
      <c r="A475" s="1" t="s">
        <v>949</v>
      </c>
      <c r="B475" s="2" t="str">
        <f>HYPERLINK("https://wals.info/values/19A-tas","Pharyngeals")</f>
        <v>Pharyngeals</v>
      </c>
      <c r="C475" s="2" t="str">
        <f t="shared" si="1"/>
        <v>Presence of Uncommon Consonants</v>
      </c>
      <c r="D475" s="2" t="str">
        <f>HYPERLINK("https://wals.info/languoid/lect/wals_code_tas","Tashlhiyt")</f>
        <v>Tashlhiyt</v>
      </c>
      <c r="E475" s="1"/>
      <c r="F475" s="1"/>
      <c r="G475" s="1" t="s">
        <v>950</v>
      </c>
    </row>
    <row r="476" ht="12.75" customHeight="1">
      <c r="A476" s="1" t="s">
        <v>951</v>
      </c>
      <c r="B476" s="2" t="str">
        <f>HYPERLINK("https://wals.info/values/19A-tsg","None")</f>
        <v>None</v>
      </c>
      <c r="C476" s="2" t="str">
        <f t="shared" si="1"/>
        <v>Presence of Uncommon Consonants</v>
      </c>
      <c r="D476" s="2" t="str">
        <f>HYPERLINK("https://wals.info/languoid/lect/wals_code_tsg","Tausug")</f>
        <v>Tausug</v>
      </c>
      <c r="E476" s="1"/>
      <c r="F476" s="1"/>
      <c r="G476" s="1" t="s">
        <v>952</v>
      </c>
    </row>
    <row r="477" ht="12.75" customHeight="1">
      <c r="A477" s="1" t="s">
        <v>953</v>
      </c>
      <c r="B477" s="2" t="str">
        <f>HYPERLINK("https://wals.info/values/19A-teh","None")</f>
        <v>None</v>
      </c>
      <c r="C477" s="2" t="str">
        <f t="shared" si="1"/>
        <v>Presence of Uncommon Consonants</v>
      </c>
      <c r="D477" s="2" t="str">
        <f>HYPERLINK("https://wals.info/languoid/lect/wals_code_teh","Tehuelche")</f>
        <v>Tehuelche</v>
      </c>
      <c r="E477" s="1"/>
      <c r="F477" s="1"/>
      <c r="G477" s="1" t="s">
        <v>954</v>
      </c>
    </row>
    <row r="478" ht="12.75" customHeight="1">
      <c r="A478" s="1" t="s">
        <v>955</v>
      </c>
      <c r="B478" s="2" t="str">
        <f>HYPERLINK("https://wals.info/values/19A-tks","None")</f>
        <v>None</v>
      </c>
      <c r="C478" s="2" t="str">
        <f t="shared" si="1"/>
        <v>Presence of Uncommon Consonants</v>
      </c>
      <c r="D478" s="2" t="str">
        <f>HYPERLINK("https://wals.info/languoid/lect/wals_code_tks","Teke (Southern)")</f>
        <v>Teke (Southern)</v>
      </c>
      <c r="E478" s="1"/>
      <c r="F478" s="1"/>
      <c r="G478" s="1" t="s">
        <v>956</v>
      </c>
    </row>
    <row r="479" ht="12.75" customHeight="1">
      <c r="A479" s="1" t="s">
        <v>957</v>
      </c>
      <c r="B479" s="2" t="str">
        <f>HYPERLINK("https://wals.info/values/19A-tel","None")</f>
        <v>None</v>
      </c>
      <c r="C479" s="2" t="str">
        <f t="shared" si="1"/>
        <v>Presence of Uncommon Consonants</v>
      </c>
      <c r="D479" s="2" t="str">
        <f>HYPERLINK("https://wals.info/languoid/lect/wals_code_tel","Telugu")</f>
        <v>Telugu</v>
      </c>
      <c r="E479" s="1"/>
      <c r="F479" s="1"/>
      <c r="G479" s="1" t="s">
        <v>958</v>
      </c>
    </row>
    <row r="480" ht="12.75" customHeight="1">
      <c r="A480" s="1" t="s">
        <v>959</v>
      </c>
      <c r="B480" s="2" t="str">
        <f>HYPERLINK("https://wals.info/values/19A-tmn","None")</f>
        <v>None</v>
      </c>
      <c r="C480" s="2" t="str">
        <f t="shared" si="1"/>
        <v>Presence of Uncommon Consonants</v>
      </c>
      <c r="D480" s="2" t="str">
        <f>HYPERLINK("https://wals.info/languoid/lect/wals_code_tmn","Temein")</f>
        <v>Temein</v>
      </c>
      <c r="E480" s="1"/>
      <c r="F480" s="1"/>
      <c r="G480" s="1" t="s">
        <v>530</v>
      </c>
    </row>
    <row r="481" ht="12.75" customHeight="1">
      <c r="A481" s="1" t="s">
        <v>960</v>
      </c>
      <c r="B481" s="2" t="str">
        <f>HYPERLINK("https://wals.info/values/19A-tne","Labial-velars")</f>
        <v>Labial-velars</v>
      </c>
      <c r="C481" s="2" t="str">
        <f t="shared" si="1"/>
        <v>Presence of Uncommon Consonants</v>
      </c>
      <c r="D481" s="2" t="str">
        <f>HYPERLINK("https://wals.info/languoid/lect/wals_code_tne","Temne")</f>
        <v>Temne</v>
      </c>
      <c r="E481" s="1"/>
      <c r="F481" s="1"/>
      <c r="G481" s="1" t="s">
        <v>961</v>
      </c>
    </row>
    <row r="482" ht="12.75" customHeight="1">
      <c r="A482" s="1" t="s">
        <v>962</v>
      </c>
      <c r="B482" s="2" t="str">
        <f>HYPERLINK("https://wals.info/values/19A-ter","None")</f>
        <v>None</v>
      </c>
      <c r="C482" s="2" t="str">
        <f t="shared" si="1"/>
        <v>Presence of Uncommon Consonants</v>
      </c>
      <c r="D482" s="2" t="str">
        <f>HYPERLINK("https://wals.info/languoid/lect/wals_code_ter","Tera")</f>
        <v>Tera</v>
      </c>
      <c r="E482" s="1"/>
      <c r="F482" s="1"/>
      <c r="G482" s="1" t="s">
        <v>963</v>
      </c>
    </row>
    <row r="483" ht="12.75" customHeight="1">
      <c r="A483" s="1" t="s">
        <v>964</v>
      </c>
      <c r="B483" s="2" t="str">
        <f>HYPERLINK("https://wals.info/values/19A-ttn","None")</f>
        <v>None</v>
      </c>
      <c r="C483" s="2" t="str">
        <f t="shared" si="1"/>
        <v>Presence of Uncommon Consonants</v>
      </c>
      <c r="D483" s="2" t="str">
        <f>HYPERLINK("https://wals.info/languoid/lect/wals_code_ttn","Tetun")</f>
        <v>Tetun</v>
      </c>
      <c r="E483" s="1"/>
      <c r="F483" s="1"/>
      <c r="G483" s="1" t="s">
        <v>965</v>
      </c>
    </row>
    <row r="484" ht="12.75" customHeight="1">
      <c r="A484" s="1" t="s">
        <v>966</v>
      </c>
      <c r="B484" s="2" t="str">
        <f>HYPERLINK("https://wals.info/values/19A-tha","None")</f>
        <v>None</v>
      </c>
      <c r="C484" s="2" t="str">
        <f t="shared" si="1"/>
        <v>Presence of Uncommon Consonants</v>
      </c>
      <c r="D484" s="2" t="str">
        <f>HYPERLINK("https://wals.info/languoid/lect/wals_code_tha","Thai")</f>
        <v>Thai</v>
      </c>
      <c r="E484" s="1"/>
      <c r="F484" s="1"/>
      <c r="G484" s="1" t="s">
        <v>967</v>
      </c>
    </row>
    <row r="485" ht="12.75" customHeight="1">
      <c r="A485" s="1" t="s">
        <v>968</v>
      </c>
      <c r="B485" s="2" t="str">
        <f>HYPERLINK("https://wals.info/values/19A-tib","None")</f>
        <v>None</v>
      </c>
      <c r="C485" s="2" t="str">
        <f t="shared" si="1"/>
        <v>Presence of Uncommon Consonants</v>
      </c>
      <c r="D485" s="2" t="str">
        <f>HYPERLINK("https://wals.info/languoid/lect/wals_code_tib","Tibetan (Standard Spoken)")</f>
        <v>Tibetan (Standard Spoken)</v>
      </c>
      <c r="E485" s="1"/>
      <c r="F485" s="1"/>
      <c r="G485" s="1" t="s">
        <v>969</v>
      </c>
    </row>
    <row r="486" ht="12.75" customHeight="1">
      <c r="A486" s="1" t="s">
        <v>970</v>
      </c>
      <c r="B486" s="2" t="str">
        <f>HYPERLINK("https://wals.info/values/19A-tic","None")</f>
        <v>None</v>
      </c>
      <c r="C486" s="2" t="str">
        <f t="shared" si="1"/>
        <v>Presence of Uncommon Consonants</v>
      </c>
      <c r="D486" s="2" t="str">
        <f>HYPERLINK("https://wals.info/languoid/lect/wals_code_tic","Ticuna")</f>
        <v>Ticuna</v>
      </c>
      <c r="E486" s="1"/>
      <c r="F486" s="1"/>
      <c r="G486" s="1" t="s">
        <v>971</v>
      </c>
    </row>
    <row r="487" ht="12.75" customHeight="1">
      <c r="A487" s="1" t="s">
        <v>972</v>
      </c>
      <c r="B487" s="2" t="str">
        <f>HYPERLINK("https://wals.info/values/19A-tgk","None")</f>
        <v>None</v>
      </c>
      <c r="C487" s="2" t="str">
        <f t="shared" si="1"/>
        <v>Presence of Uncommon Consonants</v>
      </c>
      <c r="D487" s="2" t="str">
        <f>HYPERLINK("https://wals.info/languoid/lect/wals_code_tgk","Tigak")</f>
        <v>Tigak</v>
      </c>
      <c r="E487" s="1"/>
      <c r="F487" s="1"/>
      <c r="G487" s="1" t="s">
        <v>973</v>
      </c>
    </row>
    <row r="488" ht="12.75" customHeight="1">
      <c r="A488" s="1" t="s">
        <v>974</v>
      </c>
      <c r="B488" s="2" t="str">
        <f>HYPERLINK("https://wals.info/values/19A-tgr","Pharyngeals")</f>
        <v>Pharyngeals</v>
      </c>
      <c r="C488" s="2" t="str">
        <f t="shared" si="1"/>
        <v>Presence of Uncommon Consonants</v>
      </c>
      <c r="D488" s="2" t="str">
        <f>HYPERLINK("https://wals.info/languoid/lect/wals_code_tgr","Tigré")</f>
        <v>Tigré</v>
      </c>
      <c r="E488" s="1"/>
      <c r="F488" s="1"/>
      <c r="G488" s="1" t="s">
        <v>975</v>
      </c>
    </row>
    <row r="489" ht="12.75" customHeight="1">
      <c r="A489" s="1" t="s">
        <v>976</v>
      </c>
      <c r="B489" s="2" t="str">
        <f>HYPERLINK("https://wals.info/values/19A-try","None")</f>
        <v>None</v>
      </c>
      <c r="C489" s="2" t="str">
        <f t="shared" si="1"/>
        <v>Presence of Uncommon Consonants</v>
      </c>
      <c r="D489" s="2" t="str">
        <f>HYPERLINK("https://wals.info/languoid/lect/wals_code_try","Tiruray")</f>
        <v>Tiruray</v>
      </c>
      <c r="E489" s="1"/>
      <c r="F489" s="1"/>
      <c r="G489" s="1" t="s">
        <v>977</v>
      </c>
    </row>
    <row r="490" ht="12.75" customHeight="1">
      <c r="A490" s="1" t="s">
        <v>978</v>
      </c>
      <c r="B490" s="2" t="str">
        <f>HYPERLINK("https://wals.info/values/19A-twn","None")</f>
        <v>None</v>
      </c>
      <c r="C490" s="2" t="str">
        <f t="shared" si="1"/>
        <v>Presence of Uncommon Consonants</v>
      </c>
      <c r="D490" s="2" t="str">
        <f>HYPERLINK("https://wals.info/languoid/lect/wals_code_twn","Tiwa (Northern)")</f>
        <v>Tiwa (Northern)</v>
      </c>
      <c r="E490" s="1"/>
      <c r="F490" s="1"/>
      <c r="G490" s="1" t="s">
        <v>979</v>
      </c>
    </row>
    <row r="491" ht="12.75" customHeight="1">
      <c r="A491" s="1" t="s">
        <v>980</v>
      </c>
      <c r="B491" s="2" t="str">
        <f>HYPERLINK("https://wals.info/values/19A-tiw","None")</f>
        <v>None</v>
      </c>
      <c r="C491" s="2" t="str">
        <f t="shared" si="1"/>
        <v>Presence of Uncommon Consonants</v>
      </c>
      <c r="D491" s="2" t="str">
        <f>HYPERLINK("https://wals.info/languoid/lect/wals_code_tiw","Tiwi")</f>
        <v>Tiwi</v>
      </c>
      <c r="E491" s="1"/>
      <c r="F491" s="1"/>
      <c r="G491" s="1" t="s">
        <v>981</v>
      </c>
    </row>
    <row r="492" ht="12.75" customHeight="1">
      <c r="A492" s="1" t="s">
        <v>982</v>
      </c>
      <c r="B492" s="2" t="str">
        <f>HYPERLINK("https://wals.info/values/19A-tlp","None")</f>
        <v>None</v>
      </c>
      <c r="C492" s="2" t="str">
        <f t="shared" si="1"/>
        <v>Presence of Uncommon Consonants</v>
      </c>
      <c r="D492" s="2" t="str">
        <f>HYPERLINK("https://wals.info/languoid/lect/wals_code_tlp","Tlapanec")</f>
        <v>Tlapanec</v>
      </c>
      <c r="E492" s="1"/>
      <c r="F492" s="1"/>
      <c r="G492" s="1" t="s">
        <v>983</v>
      </c>
    </row>
    <row r="493" ht="12.75" customHeight="1">
      <c r="A493" s="1" t="s">
        <v>984</v>
      </c>
      <c r="B493" s="2" t="str">
        <f>HYPERLINK("https://wals.info/values/19A-tli","None")</f>
        <v>None</v>
      </c>
      <c r="C493" s="2" t="str">
        <f t="shared" si="1"/>
        <v>Presence of Uncommon Consonants</v>
      </c>
      <c r="D493" s="2" t="str">
        <f>HYPERLINK("https://wals.info/languoid/lect/wals_code_tli","Tlingit")</f>
        <v>Tlingit</v>
      </c>
      <c r="E493" s="1"/>
      <c r="F493" s="1"/>
      <c r="G493" s="1" t="s">
        <v>985</v>
      </c>
    </row>
    <row r="494" ht="12.75" customHeight="1">
      <c r="A494" s="1" t="s">
        <v>986</v>
      </c>
      <c r="B494" s="2" t="str">
        <f>HYPERLINK("https://wals.info/values/19A-toa","None")</f>
        <v>None</v>
      </c>
      <c r="C494" s="2" t="str">
        <f t="shared" si="1"/>
        <v>Presence of Uncommon Consonants</v>
      </c>
      <c r="D494" s="2" t="str">
        <f>HYPERLINK("https://wals.info/languoid/lect/wals_code_toa","Toaripi")</f>
        <v>Toaripi</v>
      </c>
      <c r="E494" s="1"/>
      <c r="F494" s="1"/>
      <c r="G494" s="1" t="s">
        <v>987</v>
      </c>
    </row>
    <row r="495" ht="12.75" customHeight="1">
      <c r="A495" s="1" t="s">
        <v>988</v>
      </c>
      <c r="B495" s="2" t="str">
        <f>HYPERLINK("https://wals.info/values/19A-tol","None")</f>
        <v>None</v>
      </c>
      <c r="C495" s="2" t="str">
        <f t="shared" si="1"/>
        <v>Presence of Uncommon Consonants</v>
      </c>
      <c r="D495" s="2" t="str">
        <f>HYPERLINK("https://wals.info/languoid/lect/wals_code_tol","Tol")</f>
        <v>Tol</v>
      </c>
      <c r="E495" s="1"/>
      <c r="F495" s="1"/>
      <c r="G495" s="1" t="s">
        <v>989</v>
      </c>
    </row>
    <row r="496" ht="12.75" customHeight="1">
      <c r="A496" s="1" t="s">
        <v>990</v>
      </c>
      <c r="B496" s="2" t="str">
        <f>HYPERLINK("https://wals.info/values/19A-ton","None")</f>
        <v>None</v>
      </c>
      <c r="C496" s="2" t="str">
        <f t="shared" si="1"/>
        <v>Presence of Uncommon Consonants</v>
      </c>
      <c r="D496" s="2" t="str">
        <f>HYPERLINK("https://wals.info/languoid/lect/wals_code_ton","Tonkawa")</f>
        <v>Tonkawa</v>
      </c>
      <c r="E496" s="1"/>
      <c r="F496" s="1"/>
      <c r="G496" s="1" t="s">
        <v>991</v>
      </c>
    </row>
    <row r="497" ht="12.75" customHeight="1">
      <c r="A497" s="1" t="s">
        <v>992</v>
      </c>
      <c r="B497" s="2" t="str">
        <f>HYPERLINK("https://wals.info/values/19A-dts","'Th' sounds")</f>
        <v>'Th' sounds</v>
      </c>
      <c r="C497" s="2" t="str">
        <f t="shared" si="1"/>
        <v>Presence of Uncommon Consonants</v>
      </c>
      <c r="D497" s="2" t="str">
        <f>HYPERLINK("https://wals.info/languoid/lect/wals_code_dts","Toro So")</f>
        <v>Toro So</v>
      </c>
      <c r="E497" s="1"/>
      <c r="F497" s="1"/>
      <c r="G497" s="1" t="s">
        <v>993</v>
      </c>
    </row>
    <row r="498" ht="12.75" customHeight="1">
      <c r="A498" s="1" t="s">
        <v>994</v>
      </c>
      <c r="B498" s="2" t="str">
        <f>HYPERLINK("https://wals.info/values/19A-tpa","None")</f>
        <v>None</v>
      </c>
      <c r="C498" s="2" t="str">
        <f t="shared" si="1"/>
        <v>Presence of Uncommon Consonants</v>
      </c>
      <c r="D498" s="2" t="str">
        <f>HYPERLINK("https://wals.info/languoid/lect/wals_code_tpa","Totonac (Papantla)")</f>
        <v>Totonac (Papantla)</v>
      </c>
      <c r="E498" s="1"/>
      <c r="F498" s="1"/>
      <c r="G498" s="1" t="s">
        <v>995</v>
      </c>
    </row>
    <row r="499" ht="12.75" customHeight="1">
      <c r="A499" s="1" t="s">
        <v>996</v>
      </c>
      <c r="B499" s="2" t="str">
        <f>HYPERLINK("https://wals.info/values/19A-tru","None")</f>
        <v>None</v>
      </c>
      <c r="C499" s="2" t="str">
        <f t="shared" si="1"/>
        <v>Presence of Uncommon Consonants</v>
      </c>
      <c r="D499" s="2" t="str">
        <f>HYPERLINK("https://wals.info/languoid/lect/wals_code_tru","Trumai")</f>
        <v>Trumai</v>
      </c>
      <c r="E499" s="1"/>
      <c r="F499" s="1"/>
      <c r="G499" s="1" t="s">
        <v>997</v>
      </c>
    </row>
    <row r="500" ht="12.75" customHeight="1">
      <c r="A500" s="1" t="s">
        <v>998</v>
      </c>
      <c r="B500" s="2" t="str">
        <f>HYPERLINK("https://wals.info/values/19A-tsi","None")</f>
        <v>None</v>
      </c>
      <c r="C500" s="2" t="str">
        <f t="shared" si="1"/>
        <v>Presence of Uncommon Consonants</v>
      </c>
      <c r="D500" s="2" t="str">
        <f>HYPERLINK("https://wals.info/languoid/lect/wals_code_tsi","Tsimshian (Coast)")</f>
        <v>Tsimshian (Coast)</v>
      </c>
      <c r="E500" s="1"/>
      <c r="F500" s="1"/>
      <c r="G500" s="1" t="s">
        <v>999</v>
      </c>
    </row>
    <row r="501" ht="12.75" customHeight="1">
      <c r="A501" s="1" t="s">
        <v>1000</v>
      </c>
      <c r="B501" s="2" t="str">
        <f>HYPERLINK("https://wals.info/values/19A-tso","None")</f>
        <v>None</v>
      </c>
      <c r="C501" s="2" t="str">
        <f t="shared" si="1"/>
        <v>Presence of Uncommon Consonants</v>
      </c>
      <c r="D501" s="2" t="str">
        <f>HYPERLINK("https://wals.info/languoid/lect/wals_code_tso","Tsou")</f>
        <v>Tsou</v>
      </c>
      <c r="E501" s="1"/>
      <c r="F501" s="1"/>
      <c r="G501" s="1" t="s">
        <v>1001</v>
      </c>
    </row>
    <row r="502" ht="12.75" customHeight="1">
      <c r="A502" s="1" t="s">
        <v>1002</v>
      </c>
      <c r="B502" s="2" t="str">
        <f>HYPERLINK("https://wals.info/values/19A-ttu","Pharyngeals")</f>
        <v>Pharyngeals</v>
      </c>
      <c r="C502" s="2" t="str">
        <f t="shared" si="1"/>
        <v>Presence of Uncommon Consonants</v>
      </c>
      <c r="D502" s="2" t="str">
        <f>HYPERLINK("https://wals.info/languoid/lect/wals_code_ttu","Tsova-Tush")</f>
        <v>Tsova-Tush</v>
      </c>
      <c r="E502" s="1"/>
      <c r="F502" s="1"/>
      <c r="G502" s="1" t="s">
        <v>1003</v>
      </c>
    </row>
    <row r="503" ht="12.75" customHeight="1">
      <c r="A503" s="1" t="s">
        <v>1004</v>
      </c>
      <c r="B503" s="2" t="str">
        <f>HYPERLINK("https://wals.info/values/19A-tug","None")</f>
        <v>None</v>
      </c>
      <c r="C503" s="2" t="str">
        <f t="shared" si="1"/>
        <v>Presence of Uncommon Consonants</v>
      </c>
      <c r="D503" s="2" t="str">
        <f>HYPERLINK("https://wals.info/languoid/lect/wals_code_tug","Tuareg (Ahaggar)")</f>
        <v>Tuareg (Ahaggar)</v>
      </c>
      <c r="E503" s="1"/>
      <c r="F503" s="1"/>
      <c r="G503" s="1" t="s">
        <v>1005</v>
      </c>
    </row>
    <row r="504" ht="12.75" customHeight="1">
      <c r="A504" s="1" t="s">
        <v>1006</v>
      </c>
      <c r="B504" s="2" t="str">
        <f>HYPERLINK("https://wals.info/values/19A-tuk","None")</f>
        <v>None</v>
      </c>
      <c r="C504" s="2" t="str">
        <f t="shared" si="1"/>
        <v>Presence of Uncommon Consonants</v>
      </c>
      <c r="D504" s="2" t="str">
        <f>HYPERLINK("https://wals.info/languoid/lect/wals_code_tuk","Tukang Besi")</f>
        <v>Tukang Besi</v>
      </c>
      <c r="E504" s="1"/>
      <c r="F504" s="1"/>
      <c r="G504" s="1" t="s">
        <v>1007</v>
      </c>
    </row>
    <row r="505" ht="12.75" customHeight="1">
      <c r="A505" s="1" t="s">
        <v>1008</v>
      </c>
      <c r="B505" s="2" t="str">
        <f>HYPERLINK("https://wals.info/values/19A-tul","None")</f>
        <v>None</v>
      </c>
      <c r="C505" s="2" t="str">
        <f t="shared" si="1"/>
        <v>Presence of Uncommon Consonants</v>
      </c>
      <c r="D505" s="2" t="str">
        <f>HYPERLINK("https://wals.info/languoid/lect/wals_code_tul","Tulu")</f>
        <v>Tulu</v>
      </c>
      <c r="E505" s="1"/>
      <c r="F505" s="1"/>
      <c r="G505" s="1" t="s">
        <v>1009</v>
      </c>
    </row>
    <row r="506" ht="12.75" customHeight="1">
      <c r="A506" s="1" t="s">
        <v>1010</v>
      </c>
      <c r="B506" s="2" t="str">
        <f>HYPERLINK("https://wals.info/values/19A-tun","None")</f>
        <v>None</v>
      </c>
      <c r="C506" s="2" t="str">
        <f t="shared" si="1"/>
        <v>Presence of Uncommon Consonants</v>
      </c>
      <c r="D506" s="2" t="str">
        <f>HYPERLINK("https://wals.info/languoid/lect/wals_code_tun","Tunica")</f>
        <v>Tunica</v>
      </c>
      <c r="E506" s="1"/>
      <c r="F506" s="1"/>
      <c r="G506" s="1" t="s">
        <v>1011</v>
      </c>
    </row>
    <row r="507" ht="12.75" customHeight="1">
      <c r="A507" s="1" t="s">
        <v>1012</v>
      </c>
      <c r="B507" s="2" t="str">
        <f>HYPERLINK("https://wals.info/values/19A-tur","None")</f>
        <v>None</v>
      </c>
      <c r="C507" s="2" t="str">
        <f t="shared" si="1"/>
        <v>Presence of Uncommon Consonants</v>
      </c>
      <c r="D507" s="2" t="str">
        <f>HYPERLINK("https://wals.info/languoid/lect/wals_code_tur","Turkish")</f>
        <v>Turkish</v>
      </c>
      <c r="E507" s="1"/>
      <c r="F507" s="1"/>
      <c r="G507" s="1" t="s">
        <v>1013</v>
      </c>
    </row>
    <row r="508" ht="12.75" customHeight="1">
      <c r="A508" s="1" t="s">
        <v>1014</v>
      </c>
      <c r="B508" s="2" t="str">
        <f>HYPERLINK("https://wals.info/values/19A-tuv","None")</f>
        <v>None</v>
      </c>
      <c r="C508" s="2" t="str">
        <f t="shared" si="1"/>
        <v>Presence of Uncommon Consonants</v>
      </c>
      <c r="D508" s="2" t="str">
        <f>HYPERLINK("https://wals.info/languoid/lect/wals_code_tuv","Tuvan")</f>
        <v>Tuvan</v>
      </c>
      <c r="E508" s="1"/>
      <c r="F508" s="1"/>
      <c r="G508" s="1" t="s">
        <v>1015</v>
      </c>
    </row>
    <row r="509" ht="12.75" customHeight="1">
      <c r="A509" s="1" t="s">
        <v>1016</v>
      </c>
      <c r="B509" s="2" t="str">
        <f>HYPERLINK("https://wals.info/values/19A-tza","None")</f>
        <v>None</v>
      </c>
      <c r="C509" s="2" t="str">
        <f t="shared" si="1"/>
        <v>Presence of Uncommon Consonants</v>
      </c>
      <c r="D509" s="2" t="str">
        <f>HYPERLINK("https://wals.info/languoid/lect/wals_code_tza","Tzeltal (Aguacatenango)")</f>
        <v>Tzeltal (Aguacatenango)</v>
      </c>
      <c r="E509" s="1"/>
      <c r="F509" s="1"/>
      <c r="G509" s="1" t="s">
        <v>1017</v>
      </c>
    </row>
    <row r="510" ht="12.75" customHeight="1">
      <c r="A510" s="1" t="s">
        <v>1018</v>
      </c>
      <c r="B510" s="2" t="str">
        <f>HYPERLINK("https://wals.info/values/19A-umb","None")</f>
        <v>None</v>
      </c>
      <c r="C510" s="2" t="str">
        <f t="shared" si="1"/>
        <v>Presence of Uncommon Consonants</v>
      </c>
      <c r="D510" s="2" t="str">
        <f>HYPERLINK("https://wals.info/languoid/lect/wals_code_umb","UMbundu")</f>
        <v>UMbundu</v>
      </c>
      <c r="E510" s="1"/>
      <c r="F510" s="1"/>
      <c r="G510" s="1" t="s">
        <v>1019</v>
      </c>
    </row>
    <row r="511" ht="12.75" customHeight="1">
      <c r="A511" s="1" t="s">
        <v>1020</v>
      </c>
      <c r="B511" s="2" t="str">
        <f>HYPERLINK("https://wals.info/values/19A-una","None")</f>
        <v>None</v>
      </c>
      <c r="C511" s="2" t="str">
        <f t="shared" si="1"/>
        <v>Presence of Uncommon Consonants</v>
      </c>
      <c r="D511" s="2" t="str">
        <f>HYPERLINK("https://wals.info/languoid/lect/wals_code_una","Una")</f>
        <v>Una</v>
      </c>
      <c r="E511" s="1"/>
      <c r="F511" s="1"/>
      <c r="G511" s="1" t="s">
        <v>1021</v>
      </c>
    </row>
    <row r="512" ht="12.75" customHeight="1">
      <c r="A512" s="1" t="s">
        <v>1022</v>
      </c>
      <c r="B512" s="2" t="str">
        <f>HYPERLINK("https://wals.info/values/19A-ung","None")</f>
        <v>None</v>
      </c>
      <c r="C512" s="2" t="str">
        <f t="shared" si="1"/>
        <v>Presence of Uncommon Consonants</v>
      </c>
      <c r="D512" s="2" t="str">
        <f>HYPERLINK("https://wals.info/languoid/lect/wals_code_ung","Ungarinjin")</f>
        <v>Ungarinjin</v>
      </c>
      <c r="E512" s="1"/>
      <c r="F512" s="1"/>
      <c r="G512" s="1" t="s">
        <v>1023</v>
      </c>
    </row>
    <row r="513" ht="12.75" customHeight="1">
      <c r="A513" s="1" t="s">
        <v>1024</v>
      </c>
      <c r="B513" s="2" t="str">
        <f>HYPERLINK("https://wals.info/values/19A-urk","None")</f>
        <v>None</v>
      </c>
      <c r="C513" s="2" t="str">
        <f t="shared" si="1"/>
        <v>Presence of Uncommon Consonants</v>
      </c>
      <c r="D513" s="2" t="str">
        <f>HYPERLINK("https://wals.info/languoid/lect/wals_code_urk","Urubú-Kaapor")</f>
        <v>Urubú-Kaapor</v>
      </c>
      <c r="E513" s="1"/>
      <c r="F513" s="1"/>
      <c r="G513" s="1" t="s">
        <v>1025</v>
      </c>
    </row>
    <row r="514" ht="12.75" customHeight="1">
      <c r="A514" s="1" t="s">
        <v>1026</v>
      </c>
      <c r="B514" s="2" t="str">
        <f>HYPERLINK("https://wals.info/values/19A-usa","None")</f>
        <v>None</v>
      </c>
      <c r="C514" s="2" t="str">
        <f t="shared" si="1"/>
        <v>Presence of Uncommon Consonants</v>
      </c>
      <c r="D514" s="2" t="str">
        <f>HYPERLINK("https://wals.info/languoid/lect/wals_code_usa","Usan")</f>
        <v>Usan</v>
      </c>
      <c r="E514" s="1"/>
      <c r="F514" s="1"/>
      <c r="G514" s="1" t="s">
        <v>1027</v>
      </c>
    </row>
    <row r="515" ht="12.75" customHeight="1">
      <c r="A515" s="1" t="s">
        <v>1028</v>
      </c>
      <c r="B515" s="2" t="str">
        <f>HYPERLINK("https://wals.info/values/19A-uzn","None")</f>
        <v>None</v>
      </c>
      <c r="C515" s="2" t="str">
        <f t="shared" si="1"/>
        <v>Presence of Uncommon Consonants</v>
      </c>
      <c r="D515" s="2" t="str">
        <f>HYPERLINK("https://wals.info/languoid/lect/wals_code_uzn","Uzbek (Northern)")</f>
        <v>Uzbek (Northern)</v>
      </c>
      <c r="E515" s="1"/>
      <c r="F515" s="1"/>
      <c r="G515" s="1" t="s">
        <v>1029</v>
      </c>
    </row>
    <row r="516" ht="12.75" customHeight="1">
      <c r="A516" s="1" t="s">
        <v>1030</v>
      </c>
      <c r="B516" s="2" t="str">
        <f>HYPERLINK("https://wals.info/values/19A-vie","None")</f>
        <v>None</v>
      </c>
      <c r="C516" s="2" t="str">
        <f t="shared" si="1"/>
        <v>Presence of Uncommon Consonants</v>
      </c>
      <c r="D516" s="2" t="str">
        <f>HYPERLINK("https://wals.info/languoid/lect/wals_code_vie","Vietnamese")</f>
        <v>Vietnamese</v>
      </c>
      <c r="E516" s="1"/>
      <c r="F516" s="1"/>
      <c r="G516" s="1" t="s">
        <v>1031</v>
      </c>
    </row>
    <row r="517" ht="12.75" customHeight="1">
      <c r="A517" s="1" t="s">
        <v>1032</v>
      </c>
      <c r="B517" s="2" t="str">
        <f>HYPERLINK("https://wals.info/values/19A-wah","None")</f>
        <v>None</v>
      </c>
      <c r="C517" s="2" t="str">
        <f t="shared" si="1"/>
        <v>Presence of Uncommon Consonants</v>
      </c>
      <c r="D517" s="2" t="str">
        <f>HYPERLINK("https://wals.info/languoid/lect/wals_code_wah","Wahgi")</f>
        <v>Wahgi</v>
      </c>
      <c r="E517" s="1"/>
      <c r="F517" s="1"/>
      <c r="G517" s="1" t="s">
        <v>1033</v>
      </c>
    </row>
    <row r="518" ht="12.75" customHeight="1">
      <c r="A518" s="1" t="s">
        <v>1034</v>
      </c>
      <c r="B518" s="2" t="str">
        <f>HYPERLINK("https://wals.info/values/19A-bno","None")</f>
        <v>None</v>
      </c>
      <c r="C518" s="2" t="str">
        <f t="shared" si="1"/>
        <v>Presence of Uncommon Consonants</v>
      </c>
      <c r="D518" s="2" t="str">
        <f>HYPERLINK("https://wals.info/languoid/lect/wals_code_bno","Waimaha")</f>
        <v>Waimaha</v>
      </c>
      <c r="E518" s="1"/>
      <c r="F518" s="1"/>
      <c r="G518" s="1" t="s">
        <v>1035</v>
      </c>
    </row>
    <row r="519" ht="12.75" customHeight="1">
      <c r="A519" s="1" t="s">
        <v>1036</v>
      </c>
      <c r="B519" s="2" t="str">
        <f>HYPERLINK("https://wals.info/values/19A-wam","None")</f>
        <v>None</v>
      </c>
      <c r="C519" s="2" t="str">
        <f t="shared" si="1"/>
        <v>Presence of Uncommon Consonants</v>
      </c>
      <c r="D519" s="2" t="str">
        <f>HYPERLINK("https://wals.info/languoid/lect/wals_code_wam","Wambaya")</f>
        <v>Wambaya</v>
      </c>
      <c r="E519" s="1"/>
      <c r="F519" s="1"/>
      <c r="G519" s="1" t="s">
        <v>1037</v>
      </c>
    </row>
    <row r="520" ht="12.75" customHeight="1">
      <c r="A520" s="1" t="s">
        <v>1038</v>
      </c>
      <c r="B520" s="2" t="str">
        <f>HYPERLINK("https://wals.info/values/19A-wnt","None")</f>
        <v>None</v>
      </c>
      <c r="C520" s="2" t="str">
        <f t="shared" si="1"/>
        <v>Presence of Uncommon Consonants</v>
      </c>
      <c r="D520" s="2" t="str">
        <f>HYPERLINK("https://wals.info/languoid/lect/wals_code_wnt","Wantoat")</f>
        <v>Wantoat</v>
      </c>
      <c r="E520" s="1"/>
      <c r="F520" s="1"/>
      <c r="G520" s="1" t="s">
        <v>1039</v>
      </c>
    </row>
    <row r="521" ht="12.75" customHeight="1">
      <c r="A521" s="1" t="s">
        <v>1040</v>
      </c>
      <c r="B521" s="2" t="str">
        <f>HYPERLINK("https://wals.info/values/19A-wao","None")</f>
        <v>None</v>
      </c>
      <c r="C521" s="2" t="str">
        <f t="shared" si="1"/>
        <v>Presence of Uncommon Consonants</v>
      </c>
      <c r="D521" s="2" t="str">
        <f>HYPERLINK("https://wals.info/languoid/lect/wals_code_wao","Waorani")</f>
        <v>Waorani</v>
      </c>
      <c r="E521" s="1"/>
      <c r="F521" s="1"/>
      <c r="G521" s="1" t="s">
        <v>1041</v>
      </c>
    </row>
    <row r="522" ht="12.75" customHeight="1">
      <c r="A522" s="1" t="s">
        <v>1042</v>
      </c>
      <c r="B522" s="2" t="str">
        <f>HYPERLINK("https://wals.info/values/19A-wps","None")</f>
        <v>None</v>
      </c>
      <c r="C522" s="2" t="str">
        <f t="shared" si="1"/>
        <v>Presence of Uncommon Consonants</v>
      </c>
      <c r="D522" s="2" t="str">
        <f>HYPERLINK("https://wals.info/languoid/lect/wals_code_wps","Wapishana")</f>
        <v>Wapishana</v>
      </c>
      <c r="E522" s="1"/>
      <c r="F522" s="1"/>
      <c r="G522" s="1" t="s">
        <v>1043</v>
      </c>
    </row>
    <row r="523" ht="12.75" customHeight="1">
      <c r="A523" s="1" t="s">
        <v>1044</v>
      </c>
      <c r="B523" s="2" t="str">
        <f>HYPERLINK("https://wals.info/values/19A-wap","None")</f>
        <v>None</v>
      </c>
      <c r="C523" s="2" t="str">
        <f t="shared" si="1"/>
        <v>Presence of Uncommon Consonants</v>
      </c>
      <c r="D523" s="2" t="str">
        <f>HYPERLINK("https://wals.info/languoid/lect/wals_code_wap","Wappo")</f>
        <v>Wappo</v>
      </c>
      <c r="E523" s="1"/>
      <c r="F523" s="1"/>
      <c r="G523" s="1" t="s">
        <v>1045</v>
      </c>
    </row>
    <row r="524" ht="12.75" customHeight="1">
      <c r="A524" s="1" t="s">
        <v>1046</v>
      </c>
      <c r="B524" s="2" t="str">
        <f>HYPERLINK("https://wals.info/values/19A-wra","None")</f>
        <v>None</v>
      </c>
      <c r="C524" s="2" t="str">
        <f t="shared" si="1"/>
        <v>Presence of Uncommon Consonants</v>
      </c>
      <c r="D524" s="2" t="str">
        <f>HYPERLINK("https://wals.info/languoid/lect/wals_code_wra","Warao")</f>
        <v>Warao</v>
      </c>
      <c r="E524" s="1"/>
      <c r="F524" s="1"/>
      <c r="G524" s="1" t="s">
        <v>1047</v>
      </c>
    </row>
    <row r="525" ht="12.75" customHeight="1">
      <c r="A525" s="1" t="s">
        <v>1048</v>
      </c>
      <c r="B525" s="2" t="str">
        <f>HYPERLINK("https://wals.info/values/19A-wry","None")</f>
        <v>None</v>
      </c>
      <c r="C525" s="2" t="str">
        <f t="shared" si="1"/>
        <v>Presence of Uncommon Consonants</v>
      </c>
      <c r="D525" s="2" t="str">
        <f>HYPERLINK("https://wals.info/languoid/lect/wals_code_wry","Waray (in Australia)")</f>
        <v>Waray (in Australia)</v>
      </c>
      <c r="E525" s="1"/>
      <c r="F525" s="1"/>
      <c r="G525" s="1" t="s">
        <v>1049</v>
      </c>
    </row>
    <row r="526" ht="12.75" customHeight="1">
      <c r="A526" s="1" t="s">
        <v>1050</v>
      </c>
      <c r="B526" s="2" t="str">
        <f>HYPERLINK("https://wals.info/values/19A-wrd","None")</f>
        <v>None</v>
      </c>
      <c r="C526" s="2" t="str">
        <f t="shared" si="1"/>
        <v>Presence of Uncommon Consonants</v>
      </c>
      <c r="D526" s="2" t="str">
        <f>HYPERLINK("https://wals.info/languoid/lect/wals_code_wrd","Wardaman")</f>
        <v>Wardaman</v>
      </c>
      <c r="E526" s="1"/>
      <c r="F526" s="1"/>
      <c r="G526" s="1" t="s">
        <v>1051</v>
      </c>
    </row>
    <row r="527" ht="12.75" customHeight="1">
      <c r="A527" s="1" t="s">
        <v>1052</v>
      </c>
      <c r="B527" s="2" t="str">
        <f>HYPERLINK("https://wals.info/values/19A-war","None")</f>
        <v>None</v>
      </c>
      <c r="C527" s="2" t="str">
        <f t="shared" si="1"/>
        <v>Presence of Uncommon Consonants</v>
      </c>
      <c r="D527" s="2" t="str">
        <f>HYPERLINK("https://wals.info/languoid/lect/wals_code_war","Wari'")</f>
        <v>Wari'</v>
      </c>
      <c r="E527" s="1"/>
      <c r="F527" s="1"/>
      <c r="G527" s="1" t="s">
        <v>1053</v>
      </c>
    </row>
    <row r="528" ht="12.75" customHeight="1">
      <c r="A528" s="1" t="s">
        <v>1054</v>
      </c>
      <c r="B528" s="2" t="str">
        <f>HYPERLINK("https://wals.info/values/19A-wrs","None")</f>
        <v>None</v>
      </c>
      <c r="C528" s="2" t="str">
        <f t="shared" si="1"/>
        <v>Presence of Uncommon Consonants</v>
      </c>
      <c r="D528" s="2" t="str">
        <f>HYPERLINK("https://wals.info/languoid/lect/wals_code_wrs","Waris")</f>
        <v>Waris</v>
      </c>
      <c r="E528" s="1"/>
      <c r="F528" s="1"/>
      <c r="G528" s="1" t="s">
        <v>1055</v>
      </c>
    </row>
    <row r="529" ht="12.75" customHeight="1">
      <c r="A529" s="1" t="s">
        <v>1056</v>
      </c>
      <c r="B529" s="2" t="str">
        <f>HYPERLINK("https://wals.info/values/19A-wdo","None")</f>
        <v>None</v>
      </c>
      <c r="C529" s="2" t="str">
        <f t="shared" si="1"/>
        <v>Presence of Uncommon Consonants</v>
      </c>
      <c r="D529" s="2" t="str">
        <f>HYPERLINK("https://wals.info/languoid/lect/wals_code_wdo","Western Desert (Ooldea)")</f>
        <v>Western Desert (Ooldea)</v>
      </c>
      <c r="E529" s="1"/>
      <c r="F529" s="1"/>
      <c r="G529" s="1" t="s">
        <v>1057</v>
      </c>
    </row>
    <row r="530" ht="12.75" customHeight="1">
      <c r="A530" s="1" t="s">
        <v>1058</v>
      </c>
      <c r="B530" s="2" t="str">
        <f>HYPERLINK("https://wals.info/values/19A-wma","None")</f>
        <v>None</v>
      </c>
      <c r="C530" s="2" t="str">
        <f t="shared" si="1"/>
        <v>Presence of Uncommon Consonants</v>
      </c>
      <c r="D530" s="2" t="str">
        <f>HYPERLINK("https://wals.info/languoid/lect/wals_code_wma","West Makian")</f>
        <v>West Makian</v>
      </c>
      <c r="E530" s="1"/>
      <c r="F530" s="1"/>
      <c r="G530" s="1" t="s">
        <v>1059</v>
      </c>
    </row>
    <row r="531" ht="12.75" customHeight="1">
      <c r="A531" s="1" t="s">
        <v>1060</v>
      </c>
      <c r="B531" s="2" t="str">
        <f>HYPERLINK("https://wals.info/values/19A-wch","None")</f>
        <v>None</v>
      </c>
      <c r="C531" s="2" t="str">
        <f t="shared" si="1"/>
        <v>Presence of Uncommon Consonants</v>
      </c>
      <c r="D531" s="2" t="str">
        <f>HYPERLINK("https://wals.info/languoid/lect/wals_code_wch","Wichí")</f>
        <v>Wichí</v>
      </c>
      <c r="E531" s="1"/>
      <c r="F531" s="1"/>
      <c r="G531" s="1" t="s">
        <v>1061</v>
      </c>
    </row>
    <row r="532" ht="12.75" customHeight="1">
      <c r="A532" s="1" t="s">
        <v>1062</v>
      </c>
      <c r="B532" s="2" t="str">
        <f>HYPERLINK("https://wals.info/values/19A-wic","None")</f>
        <v>None</v>
      </c>
      <c r="C532" s="2" t="str">
        <f t="shared" si="1"/>
        <v>Presence of Uncommon Consonants</v>
      </c>
      <c r="D532" s="2" t="str">
        <f>HYPERLINK("https://wals.info/languoid/lect/wals_code_wic","Wichita")</f>
        <v>Wichita</v>
      </c>
      <c r="E532" s="1"/>
      <c r="F532" s="1"/>
      <c r="G532" s="1" t="s">
        <v>1063</v>
      </c>
    </row>
    <row r="533" ht="12.75" customHeight="1">
      <c r="A533" s="1" t="s">
        <v>1064</v>
      </c>
      <c r="B533" s="2" t="str">
        <f>HYPERLINK("https://wals.info/values/19A-wmu","None")</f>
        <v>None</v>
      </c>
      <c r="C533" s="2" t="str">
        <f t="shared" si="1"/>
        <v>Presence of Uncommon Consonants</v>
      </c>
      <c r="D533" s="2" t="str">
        <f>HYPERLINK("https://wals.info/languoid/lect/wals_code_wmu","Wik Munkan")</f>
        <v>Wik Munkan</v>
      </c>
      <c r="E533" s="1"/>
      <c r="F533" s="1"/>
      <c r="G533" s="1" t="s">
        <v>1065</v>
      </c>
    </row>
    <row r="534" ht="12.75" customHeight="1">
      <c r="A534" s="1" t="s">
        <v>1066</v>
      </c>
      <c r="B534" s="2" t="str">
        <f>HYPERLINK("https://wals.info/values/19A-win","None")</f>
        <v>None</v>
      </c>
      <c r="C534" s="2" t="str">
        <f t="shared" si="1"/>
        <v>Presence of Uncommon Consonants</v>
      </c>
      <c r="D534" s="2" t="str">
        <f>HYPERLINK("https://wals.info/languoid/lect/wals_code_win","Wintu")</f>
        <v>Wintu</v>
      </c>
      <c r="E534" s="1"/>
      <c r="F534" s="1"/>
      <c r="G534" s="1" t="s">
        <v>1067</v>
      </c>
    </row>
    <row r="535" ht="12.75" customHeight="1">
      <c r="A535" s="1" t="s">
        <v>1068</v>
      </c>
      <c r="B535" s="2" t="str">
        <f>HYPERLINK("https://wals.info/values/19A-wiy","None")</f>
        <v>None</v>
      </c>
      <c r="C535" s="2" t="str">
        <f t="shared" si="1"/>
        <v>Presence of Uncommon Consonants</v>
      </c>
      <c r="D535" s="2" t="str">
        <f>HYPERLINK("https://wals.info/languoid/lect/wals_code_wiy","Wiyot")</f>
        <v>Wiyot</v>
      </c>
      <c r="E535" s="1"/>
      <c r="F535" s="1"/>
      <c r="G535" s="1" t="s">
        <v>1069</v>
      </c>
    </row>
    <row r="536" ht="12.75" customHeight="1">
      <c r="A536" s="1" t="s">
        <v>1070</v>
      </c>
      <c r="B536" s="2" t="str">
        <f>HYPERLINK("https://wals.info/values/19A-woi","None")</f>
        <v>None</v>
      </c>
      <c r="C536" s="2" t="str">
        <f t="shared" si="1"/>
        <v>Presence of Uncommon Consonants</v>
      </c>
      <c r="D536" s="2" t="str">
        <f>HYPERLINK("https://wals.info/languoid/lect/wals_code_woi","Woisika")</f>
        <v>Woisika</v>
      </c>
      <c r="E536" s="1"/>
      <c r="F536" s="1"/>
      <c r="G536" s="1" t="s">
        <v>1071</v>
      </c>
    </row>
    <row r="537" ht="12.75" customHeight="1">
      <c r="A537" s="1" t="s">
        <v>1072</v>
      </c>
      <c r="B537" s="2" t="str">
        <f>HYPERLINK("https://wals.info/values/19A-wlf","None")</f>
        <v>None</v>
      </c>
      <c r="C537" s="2" t="str">
        <f t="shared" si="1"/>
        <v>Presence of Uncommon Consonants</v>
      </c>
      <c r="D537" s="2" t="str">
        <f>HYPERLINK("https://wals.info/languoid/lect/wals_code_wlf","Wolof")</f>
        <v>Wolof</v>
      </c>
      <c r="E537" s="1"/>
      <c r="F537" s="1"/>
      <c r="G537" s="1" t="s">
        <v>1073</v>
      </c>
    </row>
    <row r="538" ht="12.75" customHeight="1">
      <c r="A538" s="1" t="s">
        <v>1074</v>
      </c>
      <c r="B538" s="2" t="str">
        <f>HYPERLINK("https://wals.info/values/19A-wuc","None")</f>
        <v>None</v>
      </c>
      <c r="C538" s="2" t="str">
        <f t="shared" si="1"/>
        <v>Presence of Uncommon Consonants</v>
      </c>
      <c r="D538" s="2" t="str">
        <f>HYPERLINK("https://wals.info/languoid/lect/wals_code_wuc","Wu")</f>
        <v>Wu</v>
      </c>
      <c r="E538" s="1"/>
      <c r="F538" s="1"/>
      <c r="G538" s="1" t="s">
        <v>1075</v>
      </c>
    </row>
    <row r="539" ht="12.75" customHeight="1">
      <c r="A539" s="1" t="s">
        <v>1076</v>
      </c>
      <c r="B539" s="2" t="str">
        <f>HYPERLINK("https://wals.info/values/19A-xia","None")</f>
        <v>None</v>
      </c>
      <c r="C539" s="2" t="str">
        <f t="shared" si="1"/>
        <v>Presence of Uncommon Consonants</v>
      </c>
      <c r="D539" s="2" t="str">
        <f>HYPERLINK("https://wals.info/languoid/lect/wals_code_xia","Xiamen")</f>
        <v>Xiamen</v>
      </c>
      <c r="E539" s="1"/>
      <c r="F539" s="1"/>
      <c r="G539" s="1" t="s">
        <v>1077</v>
      </c>
    </row>
    <row r="540" ht="12.75" customHeight="1">
      <c r="A540" s="1" t="s">
        <v>1078</v>
      </c>
      <c r="B540" s="2" t="str">
        <f>HYPERLINK("https://wals.info/values/19A-xoo","Clicks")</f>
        <v>Clicks</v>
      </c>
      <c r="C540" s="2" t="str">
        <f t="shared" si="1"/>
        <v>Presence of Uncommon Consonants</v>
      </c>
      <c r="D540" s="2" t="str">
        <f>HYPERLINK("https://wals.info/languoid/lect/wals_code_xoo","!Xóõ")</f>
        <v>!Xóõ</v>
      </c>
      <c r="E540" s="1"/>
      <c r="F540" s="1"/>
      <c r="G540" s="1" t="s">
        <v>1079</v>
      </c>
    </row>
    <row r="541" ht="12.75" customHeight="1">
      <c r="A541" s="1" t="s">
        <v>1080</v>
      </c>
      <c r="B541" s="2" t="str">
        <f>HYPERLINK("https://wals.info/values/19A-ygr","None")</f>
        <v>None</v>
      </c>
      <c r="C541" s="2" t="str">
        <f t="shared" si="1"/>
        <v>Presence of Uncommon Consonants</v>
      </c>
      <c r="D541" s="2" t="str">
        <f>HYPERLINK("https://wals.info/languoid/lect/wals_code_ygr","Yagaria")</f>
        <v>Yagaria</v>
      </c>
      <c r="E541" s="1"/>
      <c r="F541" s="1"/>
      <c r="G541" s="1" t="s">
        <v>1081</v>
      </c>
    </row>
    <row r="542" ht="12.75" customHeight="1">
      <c r="A542" s="1" t="s">
        <v>1082</v>
      </c>
      <c r="B542" s="2" t="str">
        <f>HYPERLINK("https://wals.info/values/19A-yag","None")</f>
        <v>None</v>
      </c>
      <c r="C542" s="2" t="str">
        <f t="shared" si="1"/>
        <v>Presence of Uncommon Consonants</v>
      </c>
      <c r="D542" s="2" t="str">
        <f>HYPERLINK("https://wals.info/languoid/lect/wals_code_yag","Yagua")</f>
        <v>Yagua</v>
      </c>
      <c r="E542" s="1"/>
      <c r="F542" s="1"/>
      <c r="G542" s="1" t="s">
        <v>1083</v>
      </c>
    </row>
    <row r="543" ht="12.75" customHeight="1">
      <c r="A543" s="1" t="s">
        <v>1084</v>
      </c>
      <c r="B543" s="2" t="str">
        <f>HYPERLINK("https://wals.info/values/19A-ykt","None")</f>
        <v>None</v>
      </c>
      <c r="C543" s="2" t="str">
        <f t="shared" si="1"/>
        <v>Presence of Uncommon Consonants</v>
      </c>
      <c r="D543" s="2" t="str">
        <f>HYPERLINK("https://wals.info/languoid/lect/wals_code_ykt","Yakut")</f>
        <v>Yakut</v>
      </c>
      <c r="E543" s="1"/>
      <c r="F543" s="1"/>
      <c r="G543" s="1" t="s">
        <v>1085</v>
      </c>
    </row>
    <row r="544" ht="12.75" customHeight="1">
      <c r="A544" s="1" t="s">
        <v>1086</v>
      </c>
      <c r="B544" s="2" t="str">
        <f>HYPERLINK("https://wals.info/values/19A-yan","None")</f>
        <v>None</v>
      </c>
      <c r="C544" s="2" t="str">
        <f t="shared" si="1"/>
        <v>Presence of Uncommon Consonants</v>
      </c>
      <c r="D544" s="2" t="str">
        <f>HYPERLINK("https://wals.info/languoid/lect/wals_code_yan","Yana")</f>
        <v>Yana</v>
      </c>
      <c r="E544" s="1"/>
      <c r="F544" s="1"/>
      <c r="G544" s="1" t="s">
        <v>1087</v>
      </c>
    </row>
    <row r="545" ht="12.75" customHeight="1">
      <c r="A545" s="1" t="s">
        <v>1088</v>
      </c>
      <c r="B545" s="2" t="str">
        <f>HYPERLINK("https://wals.info/values/19A-yny","None")</f>
        <v>None</v>
      </c>
      <c r="C545" s="2" t="str">
        <f t="shared" si="1"/>
        <v>Presence of Uncommon Consonants</v>
      </c>
      <c r="D545" s="2" t="str">
        <f>HYPERLINK("https://wals.info/languoid/lect/wals_code_yny","Yanyuwa")</f>
        <v>Yanyuwa</v>
      </c>
      <c r="E545" s="1"/>
      <c r="F545" s="1"/>
      <c r="G545" s="1" t="s">
        <v>1089</v>
      </c>
    </row>
    <row r="546" ht="12.75" customHeight="1">
      <c r="A546" s="1" t="s">
        <v>1090</v>
      </c>
      <c r="B546" s="2" t="str">
        <f>HYPERLINK("https://wals.info/values/19A-yap","'Th' sounds")</f>
        <v>'Th' sounds</v>
      </c>
      <c r="C546" s="2" t="str">
        <f t="shared" si="1"/>
        <v>Presence of Uncommon Consonants</v>
      </c>
      <c r="D546" s="2" t="str">
        <f>HYPERLINK("https://wals.info/languoid/lect/wals_code_yap","Yapese")</f>
        <v>Yapese</v>
      </c>
      <c r="E546" s="1"/>
      <c r="F546" s="1"/>
      <c r="G546" s="1" t="s">
        <v>1091</v>
      </c>
    </row>
    <row r="547" ht="12.75" customHeight="1">
      <c r="A547" s="1" t="s">
        <v>1092</v>
      </c>
      <c r="B547" s="2" t="str">
        <f>HYPERLINK("https://wals.info/values/19A-yaq","None")</f>
        <v>None</v>
      </c>
      <c r="C547" s="2" t="str">
        <f t="shared" si="1"/>
        <v>Presence of Uncommon Consonants</v>
      </c>
      <c r="D547" s="2" t="str">
        <f>HYPERLINK("https://wals.info/languoid/lect/wals_code_yaq","Yaqui")</f>
        <v>Yaqui</v>
      </c>
      <c r="E547" s="1"/>
      <c r="F547" s="1"/>
      <c r="G547" s="1" t="s">
        <v>1093</v>
      </c>
    </row>
    <row r="548" ht="12.75" customHeight="1">
      <c r="A548" s="1" t="s">
        <v>1094</v>
      </c>
      <c r="B548" s="2" t="str">
        <f>HYPERLINK("https://wals.info/values/19A-yar","None")</f>
        <v>None</v>
      </c>
      <c r="C548" s="2" t="str">
        <f t="shared" si="1"/>
        <v>Presence of Uncommon Consonants</v>
      </c>
      <c r="D548" s="2" t="str">
        <f>HYPERLINK("https://wals.info/languoid/lect/wals_code_yar","Yareba")</f>
        <v>Yareba</v>
      </c>
      <c r="E548" s="1"/>
      <c r="F548" s="1"/>
      <c r="G548" s="1" t="s">
        <v>1095</v>
      </c>
    </row>
    <row r="549" ht="12.75" customHeight="1">
      <c r="A549" s="1" t="s">
        <v>1096</v>
      </c>
      <c r="B549" s="2" t="str">
        <f>HYPERLINK("https://wals.info/values/19A-yaw","None")</f>
        <v>None</v>
      </c>
      <c r="C549" s="2" t="str">
        <f t="shared" si="1"/>
        <v>Presence of Uncommon Consonants</v>
      </c>
      <c r="D549" s="2" t="str">
        <f>HYPERLINK("https://wals.info/languoid/lect/wals_code_yaw","Yawa")</f>
        <v>Yawa</v>
      </c>
      <c r="E549" s="1"/>
      <c r="F549" s="1"/>
      <c r="G549" s="1" t="s">
        <v>1097</v>
      </c>
    </row>
    <row r="550" ht="12.75" customHeight="1">
      <c r="A550" s="1" t="s">
        <v>1098</v>
      </c>
      <c r="B550" s="2" t="str">
        <f>HYPERLINK("https://wals.info/values/19A-yay","'Th' sounds")</f>
        <v>'Th' sounds</v>
      </c>
      <c r="C550" s="2" t="str">
        <f t="shared" si="1"/>
        <v>Presence of Uncommon Consonants</v>
      </c>
      <c r="D550" s="2" t="str">
        <f>HYPERLINK("https://wals.info/languoid/lect/wals_code_yay","Yay")</f>
        <v>Yay</v>
      </c>
      <c r="E550" s="1"/>
      <c r="F550" s="1"/>
      <c r="G550" s="1" t="s">
        <v>1099</v>
      </c>
    </row>
    <row r="551" ht="12.75" customHeight="1">
      <c r="A551" s="1" t="s">
        <v>1100</v>
      </c>
      <c r="B551" s="2" t="str">
        <f>HYPERLINK("https://wals.info/values/19A-yel","Labial-velars")</f>
        <v>Labial-velars</v>
      </c>
      <c r="C551" s="2" t="str">
        <f t="shared" si="1"/>
        <v>Presence of Uncommon Consonants</v>
      </c>
      <c r="D551" s="2" t="str">
        <f>HYPERLINK("https://wals.info/languoid/lect/wals_code_yel","Yelî Dnye")</f>
        <v>Yelî Dnye</v>
      </c>
      <c r="E551" s="1"/>
      <c r="F551" s="1"/>
      <c r="G551" s="1"/>
    </row>
    <row r="552" ht="12.75" customHeight="1">
      <c r="A552" s="1" t="s">
        <v>1101</v>
      </c>
      <c r="B552" s="2" t="str">
        <f>HYPERLINK("https://wals.info/values/19A-yes","None")</f>
        <v>None</v>
      </c>
      <c r="C552" s="2" t="str">
        <f t="shared" si="1"/>
        <v>Presence of Uncommon Consonants</v>
      </c>
      <c r="D552" s="2" t="str">
        <f>HYPERLINK("https://wals.info/languoid/lect/wals_code_yes","Yessan-Mayo")</f>
        <v>Yessan-Mayo</v>
      </c>
      <c r="E552" s="1"/>
      <c r="F552" s="1"/>
      <c r="G552" s="1" t="s">
        <v>1102</v>
      </c>
    </row>
    <row r="553" ht="12.75" customHeight="1">
      <c r="A553" s="1" t="s">
        <v>1103</v>
      </c>
      <c r="B553" s="2" t="str">
        <f>HYPERLINK("https://wals.info/values/19A-yey","Clicks")</f>
        <v>Clicks</v>
      </c>
      <c r="C553" s="2" t="str">
        <f t="shared" si="1"/>
        <v>Presence of Uncommon Consonants</v>
      </c>
      <c r="D553" s="2" t="str">
        <f>HYPERLINK("https://wals.info/languoid/lect/wals_code_yey","Yeyi")</f>
        <v>Yeyi</v>
      </c>
      <c r="E553" s="1"/>
      <c r="F553" s="1"/>
      <c r="G553" s="1" t="s">
        <v>1104</v>
      </c>
    </row>
    <row r="554" ht="12.75" customHeight="1">
      <c r="A554" s="1" t="s">
        <v>1105</v>
      </c>
      <c r="B554" s="2" t="str">
        <f>HYPERLINK("https://wals.info/values/19A-yid","None")</f>
        <v>None</v>
      </c>
      <c r="C554" s="2" t="str">
        <f t="shared" si="1"/>
        <v>Presence of Uncommon Consonants</v>
      </c>
      <c r="D554" s="2" t="str">
        <f>HYPERLINK("https://wals.info/languoid/lect/wals_code_yid","Yidiny")</f>
        <v>Yidiny</v>
      </c>
      <c r="E554" s="1"/>
      <c r="F554" s="1"/>
      <c r="G554" s="1" t="s">
        <v>1106</v>
      </c>
    </row>
    <row r="555" ht="12.75" customHeight="1">
      <c r="A555" s="1" t="s">
        <v>1107</v>
      </c>
      <c r="B555" s="2" t="str">
        <f>HYPERLINK("https://wals.info/values/19A-yim","None")</f>
        <v>None</v>
      </c>
      <c r="C555" s="2" t="str">
        <f t="shared" si="1"/>
        <v>Presence of Uncommon Consonants</v>
      </c>
      <c r="D555" s="2" t="str">
        <f>HYPERLINK("https://wals.info/languoid/lect/wals_code_yim","Yimas")</f>
        <v>Yimas</v>
      </c>
      <c r="E555" s="1"/>
      <c r="F555" s="1"/>
      <c r="G555" s="1" t="s">
        <v>1108</v>
      </c>
    </row>
    <row r="556" ht="12.75" customHeight="1">
      <c r="A556" s="1" t="s">
        <v>1109</v>
      </c>
      <c r="B556" s="2" t="str">
        <f>HYPERLINK("https://wals.info/values/19A-yor","Labial-velars")</f>
        <v>Labial-velars</v>
      </c>
      <c r="C556" s="2" t="str">
        <f t="shared" si="1"/>
        <v>Presence of Uncommon Consonants</v>
      </c>
      <c r="D556" s="2" t="str">
        <f>HYPERLINK("https://wals.info/languoid/lect/wals_code_yor","Yoruba")</f>
        <v>Yoruba</v>
      </c>
      <c r="E556" s="1"/>
      <c r="F556" s="1"/>
      <c r="G556" s="1" t="s">
        <v>1110</v>
      </c>
    </row>
    <row r="557" ht="12.75" customHeight="1">
      <c r="A557" s="1" t="s">
        <v>1111</v>
      </c>
      <c r="B557" s="2" t="str">
        <f>HYPERLINK("https://wals.info/values/19A-yct","None")</f>
        <v>None</v>
      </c>
      <c r="C557" s="2" t="str">
        <f t="shared" si="1"/>
        <v>Presence of Uncommon Consonants</v>
      </c>
      <c r="D557" s="2" t="str">
        <f>HYPERLINK("https://wals.info/languoid/lect/wals_code_yct","Yucatec")</f>
        <v>Yucatec</v>
      </c>
      <c r="E557" s="1"/>
      <c r="F557" s="1"/>
      <c r="G557" s="1" t="s">
        <v>1112</v>
      </c>
    </row>
    <row r="558" ht="12.75" customHeight="1">
      <c r="A558" s="1" t="s">
        <v>1113</v>
      </c>
      <c r="B558" s="2" t="str">
        <f>HYPERLINK("https://wals.info/values/19A-yuc","None")</f>
        <v>None</v>
      </c>
      <c r="C558" s="2" t="str">
        <f t="shared" si="1"/>
        <v>Presence of Uncommon Consonants</v>
      </c>
      <c r="D558" s="2" t="str">
        <f>HYPERLINK("https://wals.info/languoid/lect/wals_code_yuc","Yuchi")</f>
        <v>Yuchi</v>
      </c>
      <c r="E558" s="1"/>
      <c r="F558" s="1"/>
      <c r="G558" s="1" t="s">
        <v>1114</v>
      </c>
    </row>
    <row r="559" ht="12.75" customHeight="1">
      <c r="A559" s="1" t="s">
        <v>1115</v>
      </c>
      <c r="B559" s="2" t="str">
        <f>HYPERLINK("https://wals.info/values/19A-ycn","None")</f>
        <v>None</v>
      </c>
      <c r="C559" s="2" t="str">
        <f t="shared" si="1"/>
        <v>Presence of Uncommon Consonants</v>
      </c>
      <c r="D559" s="2" t="str">
        <f>HYPERLINK("https://wals.info/languoid/lect/wals_code_ycn","Yucuna")</f>
        <v>Yucuna</v>
      </c>
      <c r="E559" s="1"/>
      <c r="F559" s="1"/>
      <c r="G559" s="1" t="s">
        <v>1116</v>
      </c>
    </row>
    <row r="560" ht="12.75" customHeight="1">
      <c r="A560" s="1" t="s">
        <v>1117</v>
      </c>
      <c r="B560" s="2" t="str">
        <f>HYPERLINK("https://wals.info/values/19A-yko","None")</f>
        <v>None</v>
      </c>
      <c r="C560" s="2" t="str">
        <f t="shared" si="1"/>
        <v>Presence of Uncommon Consonants</v>
      </c>
      <c r="D560" s="2" t="str">
        <f>HYPERLINK("https://wals.info/languoid/lect/wals_code_yko","Yukaghir (Kolyma)")</f>
        <v>Yukaghir (Kolyma)</v>
      </c>
      <c r="E560" s="1"/>
      <c r="F560" s="1"/>
      <c r="G560" s="1" t="s">
        <v>1118</v>
      </c>
    </row>
    <row r="561" ht="12.75" customHeight="1">
      <c r="A561" s="1" t="s">
        <v>1119</v>
      </c>
      <c r="B561" s="2" t="str">
        <f>HYPERLINK("https://wals.info/values/19A-ytu","None")</f>
        <v>None</v>
      </c>
      <c r="C561" s="2" t="str">
        <f t="shared" si="1"/>
        <v>Presence of Uncommon Consonants</v>
      </c>
      <c r="D561" s="2" t="str">
        <f>HYPERLINK("https://wals.info/languoid/lect/wals_code_ytu","Yukaghir (Tundra)")</f>
        <v>Yukaghir (Tundra)</v>
      </c>
      <c r="E561" s="1"/>
      <c r="F561" s="1"/>
      <c r="G561" s="1" t="s">
        <v>1120</v>
      </c>
    </row>
    <row r="562" ht="12.75" customHeight="1">
      <c r="A562" s="1" t="s">
        <v>1121</v>
      </c>
      <c r="B562" s="2" t="str">
        <f>HYPERLINK("https://wals.info/values/19A-yul","Labial-velars")</f>
        <v>Labial-velars</v>
      </c>
      <c r="C562" s="2" t="str">
        <f t="shared" si="1"/>
        <v>Presence of Uncommon Consonants</v>
      </c>
      <c r="D562" s="2" t="str">
        <f>HYPERLINK("https://wals.info/languoid/lect/wals_code_yul","Yulu")</f>
        <v>Yulu</v>
      </c>
      <c r="E562" s="1"/>
      <c r="F562" s="1"/>
      <c r="G562" s="1" t="s">
        <v>1122</v>
      </c>
    </row>
    <row r="563" ht="12.75" customHeight="1">
      <c r="A563" s="1" t="s">
        <v>1123</v>
      </c>
      <c r="B563" s="2" t="str">
        <f>HYPERLINK("https://wals.info/values/19A-yus","None")</f>
        <v>None</v>
      </c>
      <c r="C563" s="2" t="str">
        <f t="shared" si="1"/>
        <v>Presence of Uncommon Consonants</v>
      </c>
      <c r="D563" s="2" t="str">
        <f>HYPERLINK("https://wals.info/languoid/lect/wals_code_yus","Yupik (Siberian)")</f>
        <v>Yupik (Siberian)</v>
      </c>
      <c r="E563" s="1"/>
      <c r="F563" s="1"/>
      <c r="G563" s="1" t="s">
        <v>1124</v>
      </c>
    </row>
    <row r="564" ht="12.75" customHeight="1">
      <c r="A564" s="1" t="s">
        <v>1125</v>
      </c>
      <c r="B564" s="2" t="str">
        <f>HYPERLINK("https://wals.info/values/19A-yur","None")</f>
        <v>None</v>
      </c>
      <c r="C564" s="2" t="str">
        <f t="shared" si="1"/>
        <v>Presence of Uncommon Consonants</v>
      </c>
      <c r="D564" s="2" t="str">
        <f>HYPERLINK("https://wals.info/languoid/lect/wals_code_yur","Yurok")</f>
        <v>Yurok</v>
      </c>
      <c r="E564" s="1"/>
      <c r="F564" s="1"/>
      <c r="G564" s="1" t="s">
        <v>1126</v>
      </c>
    </row>
    <row r="565" ht="12.75" customHeight="1">
      <c r="A565" s="1" t="s">
        <v>1127</v>
      </c>
      <c r="B565" s="2" t="str">
        <f>HYPERLINK("https://wals.info/values/19A-zan","Labial-velars")</f>
        <v>Labial-velars</v>
      </c>
      <c r="C565" s="2" t="str">
        <f t="shared" si="1"/>
        <v>Presence of Uncommon Consonants</v>
      </c>
      <c r="D565" s="2" t="str">
        <f>HYPERLINK("https://wals.info/languoid/lect/wals_code_zan","Zande")</f>
        <v>Zande</v>
      </c>
      <c r="E565" s="1"/>
      <c r="F565" s="1"/>
      <c r="G565" s="1" t="s">
        <v>1128</v>
      </c>
    </row>
    <row r="566" ht="12.75" customHeight="1">
      <c r="A566" s="1" t="s">
        <v>1129</v>
      </c>
      <c r="B566" s="2" t="str">
        <f>HYPERLINK("https://wals.info/values/19A-zqc","None")</f>
        <v>None</v>
      </c>
      <c r="C566" s="2" t="str">
        <f t="shared" si="1"/>
        <v>Presence of Uncommon Consonants</v>
      </c>
      <c r="D566" s="2" t="str">
        <f>HYPERLINK("https://wals.info/languoid/lect/wals_code_zqc","Zoque (Copainalá)")</f>
        <v>Zoque (Copainalá)</v>
      </c>
      <c r="E566" s="1"/>
      <c r="F566" s="1"/>
      <c r="G566" s="1" t="s">
        <v>1130</v>
      </c>
    </row>
    <row r="567" ht="12.75" customHeight="1">
      <c r="A567" s="1" t="s">
        <v>1131</v>
      </c>
      <c r="B567" s="2" t="str">
        <f>HYPERLINK("https://wals.info/values/19A-zul","Clicks")</f>
        <v>Clicks</v>
      </c>
      <c r="C567" s="2" t="str">
        <f t="shared" si="1"/>
        <v>Presence of Uncommon Consonants</v>
      </c>
      <c r="D567" s="2" t="str">
        <f>HYPERLINK("https://wals.info/languoid/lect/wals_code_zul","Zulu")</f>
        <v>Zulu</v>
      </c>
      <c r="E567" s="1"/>
      <c r="F567" s="1"/>
      <c r="G567" s="1" t="s">
        <v>1132</v>
      </c>
    </row>
    <row r="568" ht="12.75" customHeight="1">
      <c r="A568" s="1" t="s">
        <v>1133</v>
      </c>
      <c r="B568" s="2" t="str">
        <f>HYPERLINK("https://wals.info/values/19A-zun","None")</f>
        <v>None</v>
      </c>
      <c r="C568" s="2" t="str">
        <f t="shared" si="1"/>
        <v>Presence of Uncommon Consonants</v>
      </c>
      <c r="D568" s="2" t="str">
        <f>HYPERLINK("https://wals.info/languoid/lect/wals_code_zun","Zuni")</f>
        <v>Zuni</v>
      </c>
      <c r="E568" s="1"/>
      <c r="F568" s="1"/>
      <c r="G568" s="1" t="s">
        <v>1134</v>
      </c>
    </row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