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X\Desktop\Cauã\Planilhas\"/>
    </mc:Choice>
  </mc:AlternateContent>
  <xr:revisionPtr revIDLastSave="0" documentId="13_ncr:1_{966DA422-A852-44A2-AF49-7B3CAD3F058D}" xr6:coauthVersionLast="47" xr6:coauthVersionMax="47" xr10:uidLastSave="{00000000-0000-0000-0000-000000000000}"/>
  <bookViews>
    <workbookView showSheetTabs="0" xWindow="-120" yWindow="-120" windowWidth="29040" windowHeight="15840" tabRatio="856" activeTab="1" xr2:uid="{76B066EC-EC75-4C2C-830D-C61FE2E197E8}"/>
  </bookViews>
  <sheets>
    <sheet name="INÍCIO" sheetId="1" r:id="rId1"/>
    <sheet name="Pelego" sheetId="2" r:id="rId2"/>
    <sheet name="Ordem1" sheetId="29" state="veryHidden" r:id="rId3"/>
    <sheet name="Fibras" sheetId="7" r:id="rId4"/>
    <sheet name="Ordem 2" sheetId="30" state="veryHidden" r:id="rId5"/>
    <sheet name="Minério" sheetId="8" r:id="rId6"/>
    <sheet name="Ordem 3" sheetId="31" state="veryHidden" r:id="rId7"/>
    <sheet name="Madeira" sheetId="9" r:id="rId8"/>
    <sheet name="Ordem 4" sheetId="32" state="veryHidden" r:id="rId9"/>
    <sheet name="Rochas" sheetId="5" r:id="rId10"/>
    <sheet name="Ordem 6" sheetId="33" state="veryHidden" r:id="rId11"/>
    <sheet name="espec" sheetId="4" r:id="rId12"/>
    <sheet name="Configurações" sheetId="3" r:id="rId13"/>
    <sheet name="valoresAlbion" sheetId="26" r:id="rId14"/>
    <sheet name="URL" sheetId="35" state="veryHidden" r:id="rId15"/>
    <sheet name="OrganizadorAPI" sheetId="36" state="veryHidden" r:id="rId16"/>
    <sheet name="Dados" sheetId="22" state="veryHidden" r:id="rId17"/>
    <sheet name="API" sheetId="27" r:id="rId18"/>
    <sheet name="APIAUX" sheetId="37" state="veryHidden" r:id="rId19"/>
    <sheet name="API2" sheetId="34" r:id="rId20"/>
    <sheet name="organizador" sheetId="23" state="veryHidden" r:id="rId21"/>
    <sheet name="PC" sheetId="15" state="veryHidden" r:id="rId22"/>
    <sheet name="FT" sheetId="16" state="veryHidden" r:id="rId23"/>
    <sheet name="MB" sheetId="17" state="veryHidden" r:id="rId24"/>
    <sheet name="MT" sheetId="18" state="veryHidden" r:id="rId25"/>
    <sheet name="RB" sheetId="19" state="veryHidden" r:id="rId26"/>
  </sheets>
  <definedNames>
    <definedName name="_xlnm._FilterDatabase" localSheetId="21" hidden="1">PC!$A$1:$I$183</definedName>
    <definedName name="BARRA">MB!$C$192:$F$380</definedName>
    <definedName name="BLOCO">RB!$C$157:$F$205</definedName>
    <definedName name="codigo1" comment="codigo de pelegos">PC!$G$2:$G$190</definedName>
    <definedName name="codigo10" comment="codigo de bloco">RB!$G$157:$G$205</definedName>
    <definedName name="codigo2" comment="codigo de couro">PC!$G$192:$G$380</definedName>
    <definedName name="codigo3" comment="codigo de fibra">FT!$G$2:$G$190</definedName>
    <definedName name="codigo4" comment="codigo de tecido">FT!$G$192:$G$380</definedName>
    <definedName name="codigo5" comment="codigo de minerio">MB!$G$2:$G$190</definedName>
    <definedName name="codigo6" comment="codigo de barra">MB!$G$192:$G$380</definedName>
    <definedName name="codigo7" comment="codigo de madeira">MT!$G$2:$G$190</definedName>
    <definedName name="codigo8" comment="codigo de tabua">MT!$G$192:$G$380</definedName>
    <definedName name="codigo9" comment="codigo de rocha">RB!$G$2:$G$155</definedName>
    <definedName name="COURO">PC!$C$192:$F$380</definedName>
    <definedName name="FIBRA">FT!$C$2:$F$190</definedName>
    <definedName name="MADEIRA">MT!$C$2:$F$190</definedName>
    <definedName name="MINERIO">MB!$C$2:$F$190</definedName>
    <definedName name="PELEGO">PC!$C$2:$F$190</definedName>
    <definedName name="ROCHA">RB!$C$2:$F$155</definedName>
    <definedName name="TABUA">MT!$C$192:$F$380</definedName>
    <definedName name="TECIDO">FT!$C$192:$F$380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5" l="1"/>
  <c r="G24" i="7"/>
  <c r="G24" i="8"/>
  <c r="G24" i="9"/>
  <c r="G24" i="2"/>
  <c r="G23" i="7"/>
  <c r="G23" i="8"/>
  <c r="G23" i="9"/>
  <c r="G23" i="2"/>
  <c r="N17" i="2" a="1"/>
  <c r="N17" i="2" s="1"/>
  <c r="B3" i="3"/>
  <c r="N9" i="3"/>
  <c r="R35" i="34"/>
  <c r="R36" i="34"/>
  <c r="U32" i="34"/>
  <c r="U33" i="34"/>
  <c r="U34" i="34"/>
  <c r="L27" i="34"/>
  <c r="L28" i="34"/>
  <c r="L29" i="34"/>
  <c r="I14" i="34"/>
  <c r="I15" i="34"/>
  <c r="I26" i="34"/>
  <c r="I27" i="34"/>
  <c r="I28" i="34"/>
  <c r="I35" i="34"/>
  <c r="I38" i="34"/>
  <c r="L12" i="34"/>
  <c r="I12" i="34"/>
  <c r="H7" i="37"/>
  <c r="H12" i="37"/>
  <c r="H17" i="37"/>
  <c r="H22" i="37"/>
  <c r="H27" i="37"/>
  <c r="N4" i="34"/>
  <c r="A3" i="3"/>
  <c r="R13" i="34" s="1"/>
  <c r="R4" i="8"/>
  <c r="R4" i="9"/>
  <c r="R4" i="7"/>
  <c r="U4" i="8"/>
  <c r="U4" i="9"/>
  <c r="U4" i="7"/>
  <c r="V1" i="5"/>
  <c r="G3" i="5"/>
  <c r="I3" i="5"/>
  <c r="K3" i="5"/>
  <c r="R34" i="34" l="1"/>
  <c r="I25" i="34"/>
  <c r="L26" i="34"/>
  <c r="U31" i="34"/>
  <c r="R33" i="34"/>
  <c r="I24" i="34"/>
  <c r="L25" i="34"/>
  <c r="U30" i="34"/>
  <c r="R32" i="34"/>
  <c r="I23" i="34"/>
  <c r="L24" i="34"/>
  <c r="U29" i="34"/>
  <c r="R31" i="34"/>
  <c r="I22" i="34"/>
  <c r="L23" i="34"/>
  <c r="U28" i="34"/>
  <c r="R30" i="34"/>
  <c r="I21" i="34"/>
  <c r="L22" i="34"/>
  <c r="U27" i="34"/>
  <c r="R29" i="34"/>
  <c r="I20" i="34"/>
  <c r="L21" i="34"/>
  <c r="U26" i="34"/>
  <c r="R28" i="34"/>
  <c r="I19" i="34"/>
  <c r="L20" i="34"/>
  <c r="U25" i="34"/>
  <c r="R27" i="34"/>
  <c r="I18" i="34"/>
  <c r="L19" i="34"/>
  <c r="U24" i="34"/>
  <c r="R26" i="34"/>
  <c r="I17" i="34"/>
  <c r="L18" i="34"/>
  <c r="U23" i="34"/>
  <c r="R25" i="34"/>
  <c r="I16" i="34"/>
  <c r="L17" i="34"/>
  <c r="U22" i="34"/>
  <c r="R24" i="34"/>
  <c r="L16" i="34"/>
  <c r="U21" i="34"/>
  <c r="R23" i="34"/>
  <c r="L15" i="34"/>
  <c r="U20" i="34"/>
  <c r="R22" i="34"/>
  <c r="I37" i="34"/>
  <c r="I13" i="34"/>
  <c r="L14" i="34"/>
  <c r="U19" i="34"/>
  <c r="R21" i="34"/>
  <c r="I36" i="34"/>
  <c r="L37" i="34"/>
  <c r="L13" i="34"/>
  <c r="U18" i="34"/>
  <c r="R20" i="34"/>
  <c r="L36" i="34"/>
  <c r="L38" i="34"/>
  <c r="U17" i="34"/>
  <c r="R19" i="34"/>
  <c r="I34" i="34"/>
  <c r="L35" i="34"/>
  <c r="R12" i="34"/>
  <c r="U16" i="34"/>
  <c r="R18" i="34"/>
  <c r="I33" i="34"/>
  <c r="L34" i="34"/>
  <c r="U12" i="34"/>
  <c r="U15" i="34"/>
  <c r="R17" i="34"/>
  <c r="I32" i="34"/>
  <c r="L33" i="34"/>
  <c r="U38" i="34"/>
  <c r="U14" i="34"/>
  <c r="R16" i="34"/>
  <c r="I31" i="34"/>
  <c r="L32" i="34"/>
  <c r="U37" i="34"/>
  <c r="U13" i="34"/>
  <c r="R15" i="34"/>
  <c r="I30" i="34"/>
  <c r="L31" i="34"/>
  <c r="U36" i="34"/>
  <c r="R38" i="34"/>
  <c r="R14" i="34"/>
  <c r="I29" i="34"/>
  <c r="L30" i="34"/>
  <c r="U35" i="34"/>
  <c r="R37" i="34"/>
  <c r="H4" i="7"/>
  <c r="H4" i="8"/>
  <c r="H4" i="9"/>
  <c r="H4" i="2"/>
  <c r="J4" i="2"/>
  <c r="J4" i="9"/>
  <c r="J4" i="8"/>
  <c r="J4" i="7"/>
  <c r="L4" i="7"/>
  <c r="L4" i="8"/>
  <c r="L4" i="9"/>
  <c r="L4" i="2"/>
  <c r="V2" i="5"/>
  <c r="AB25" i="36"/>
  <c r="AA25" i="36"/>
  <c r="Y25" i="36"/>
  <c r="X25" i="36"/>
  <c r="AB20" i="36"/>
  <c r="AA20" i="36"/>
  <c r="Y20" i="36"/>
  <c r="X20" i="36"/>
  <c r="X15" i="36"/>
  <c r="Y15" i="36"/>
  <c r="AA15" i="36"/>
  <c r="AB15" i="36"/>
  <c r="AB10" i="36"/>
  <c r="AA10" i="36"/>
  <c r="Y10" i="36"/>
  <c r="X10" i="36"/>
  <c r="W4" i="36"/>
  <c r="X4" i="36"/>
  <c r="Y4" i="36"/>
  <c r="Z4" i="36"/>
  <c r="AA4" i="36"/>
  <c r="AB4" i="36"/>
  <c r="W5" i="36"/>
  <c r="X5" i="36"/>
  <c r="Y5" i="36"/>
  <c r="Z5" i="36"/>
  <c r="AA5" i="36"/>
  <c r="AB5" i="36"/>
  <c r="AB3" i="36"/>
  <c r="AA3" i="36"/>
  <c r="Y3" i="36"/>
  <c r="X3" i="36"/>
  <c r="P26" i="36"/>
  <c r="Q26" i="36"/>
  <c r="R26" i="36"/>
  <c r="S26" i="36"/>
  <c r="T26" i="36"/>
  <c r="H24" i="37" s="1"/>
  <c r="U26" i="36"/>
  <c r="P27" i="36"/>
  <c r="Q27" i="36"/>
  <c r="R27" i="36"/>
  <c r="S27" i="36"/>
  <c r="T27" i="36"/>
  <c r="H25" i="37" s="1"/>
  <c r="U27" i="36"/>
  <c r="P28" i="36"/>
  <c r="Q28" i="36"/>
  <c r="R28" i="36"/>
  <c r="S28" i="36"/>
  <c r="T28" i="36"/>
  <c r="H26" i="37" s="1"/>
  <c r="U28" i="36"/>
  <c r="U25" i="36"/>
  <c r="T25" i="36"/>
  <c r="H23" i="37" s="1"/>
  <c r="R25" i="36"/>
  <c r="Q25" i="36"/>
  <c r="U23" i="36"/>
  <c r="T23" i="36"/>
  <c r="H21" i="37" s="1"/>
  <c r="S23" i="36"/>
  <c r="R23" i="36"/>
  <c r="Q23" i="36"/>
  <c r="P23" i="36"/>
  <c r="U22" i="36"/>
  <c r="T22" i="36"/>
  <c r="H20" i="37" s="1"/>
  <c r="S22" i="36"/>
  <c r="R22" i="36"/>
  <c r="Q22" i="36"/>
  <c r="P22" i="36"/>
  <c r="U21" i="36"/>
  <c r="T21" i="36"/>
  <c r="H19" i="37" s="1"/>
  <c r="S21" i="36"/>
  <c r="R21" i="36"/>
  <c r="Q21" i="36"/>
  <c r="P21" i="36"/>
  <c r="U20" i="36"/>
  <c r="T20" i="36"/>
  <c r="H18" i="37" s="1"/>
  <c r="R20" i="36"/>
  <c r="Q20" i="36"/>
  <c r="P16" i="36"/>
  <c r="Q16" i="36"/>
  <c r="R16" i="36"/>
  <c r="S16" i="36"/>
  <c r="T16" i="36"/>
  <c r="H14" i="37" s="1"/>
  <c r="U16" i="36"/>
  <c r="P17" i="36"/>
  <c r="Q17" i="36"/>
  <c r="R17" i="36"/>
  <c r="S17" i="36"/>
  <c r="T17" i="36"/>
  <c r="H15" i="37" s="1"/>
  <c r="U17" i="36"/>
  <c r="P18" i="36"/>
  <c r="Q18" i="36"/>
  <c r="R18" i="36"/>
  <c r="S18" i="36"/>
  <c r="T18" i="36"/>
  <c r="H16" i="37" s="1"/>
  <c r="U18" i="36"/>
  <c r="U15" i="36"/>
  <c r="T15" i="36"/>
  <c r="H13" i="37" s="1"/>
  <c r="R15" i="36"/>
  <c r="Q15" i="36"/>
  <c r="P11" i="36"/>
  <c r="Q11" i="36"/>
  <c r="R11" i="36"/>
  <c r="S11" i="36"/>
  <c r="T11" i="36"/>
  <c r="H9" i="37" s="1"/>
  <c r="K20" i="34" s="1"/>
  <c r="U11" i="36"/>
  <c r="P12" i="36"/>
  <c r="Q12" i="36"/>
  <c r="R12" i="36"/>
  <c r="S12" i="36"/>
  <c r="T12" i="36"/>
  <c r="H10" i="37" s="1"/>
  <c r="U12" i="36"/>
  <c r="P13" i="36"/>
  <c r="Q13" i="36"/>
  <c r="R13" i="36"/>
  <c r="S13" i="36"/>
  <c r="T13" i="36"/>
  <c r="H11" i="37" s="1"/>
  <c r="K22" i="34" s="1"/>
  <c r="U13" i="36"/>
  <c r="U10" i="36"/>
  <c r="T10" i="36"/>
  <c r="H8" i="37" s="1"/>
  <c r="K19" i="34" s="1"/>
  <c r="R10" i="36"/>
  <c r="Q10" i="36"/>
  <c r="P4" i="36"/>
  <c r="Q4" i="36"/>
  <c r="R4" i="36"/>
  <c r="S4" i="36"/>
  <c r="T4" i="36"/>
  <c r="H2" i="37" s="1"/>
  <c r="U4" i="36"/>
  <c r="P5" i="36"/>
  <c r="Q5" i="36"/>
  <c r="R5" i="36"/>
  <c r="S5" i="36"/>
  <c r="T5" i="36"/>
  <c r="H3" i="37" s="1"/>
  <c r="K14" i="34" s="1"/>
  <c r="U5" i="36"/>
  <c r="P6" i="36"/>
  <c r="Q6" i="36"/>
  <c r="R6" i="36"/>
  <c r="S6" i="36"/>
  <c r="T6" i="36"/>
  <c r="H4" i="37" s="1"/>
  <c r="K15" i="34" s="1"/>
  <c r="U6" i="36"/>
  <c r="P7" i="36"/>
  <c r="Q7" i="36"/>
  <c r="R7" i="36"/>
  <c r="S7" i="36"/>
  <c r="T7" i="36"/>
  <c r="H5" i="37" s="1"/>
  <c r="U7" i="36"/>
  <c r="P8" i="36"/>
  <c r="Q8" i="36"/>
  <c r="R8" i="36"/>
  <c r="S8" i="36"/>
  <c r="T8" i="36"/>
  <c r="H6" i="37" s="1"/>
  <c r="U8" i="36"/>
  <c r="U3" i="36"/>
  <c r="T3" i="36"/>
  <c r="H1" i="37" s="1"/>
  <c r="R3" i="36"/>
  <c r="Q3" i="36"/>
  <c r="I4" i="36"/>
  <c r="J4" i="36"/>
  <c r="J2" i="37" s="1"/>
  <c r="K4" i="36"/>
  <c r="K2" i="37" s="1"/>
  <c r="L4" i="36"/>
  <c r="M4" i="36"/>
  <c r="L2" i="37" s="1"/>
  <c r="N4" i="36"/>
  <c r="M2" i="37" s="1"/>
  <c r="I5" i="36"/>
  <c r="J5" i="36"/>
  <c r="J3" i="37" s="1"/>
  <c r="K5" i="36"/>
  <c r="K3" i="37" s="1"/>
  <c r="L5" i="36"/>
  <c r="M5" i="36"/>
  <c r="L3" i="37" s="1"/>
  <c r="N5" i="36"/>
  <c r="M3" i="37" s="1"/>
  <c r="I6" i="36"/>
  <c r="P15" i="34" s="1"/>
  <c r="J6" i="36"/>
  <c r="J4" i="37" s="1"/>
  <c r="Q15" i="34" s="1"/>
  <c r="K6" i="36"/>
  <c r="K4" i="37" s="1"/>
  <c r="L6" i="36"/>
  <c r="S15" i="34" s="1"/>
  <c r="M6" i="36"/>
  <c r="L4" i="37" s="1"/>
  <c r="N6" i="36"/>
  <c r="M4" i="37" s="1"/>
  <c r="I7" i="36"/>
  <c r="P16" i="34" s="1"/>
  <c r="J7" i="36"/>
  <c r="J5" i="37" s="1"/>
  <c r="Q16" i="34" s="1"/>
  <c r="K7" i="36"/>
  <c r="K5" i="37" s="1"/>
  <c r="L7" i="36"/>
  <c r="S16" i="34" s="1"/>
  <c r="M7" i="36"/>
  <c r="L5" i="37" s="1"/>
  <c r="N7" i="36"/>
  <c r="M5" i="37" s="1"/>
  <c r="I8" i="36"/>
  <c r="P17" i="34" s="1"/>
  <c r="J8" i="36"/>
  <c r="J6" i="37" s="1"/>
  <c r="Q17" i="34" s="1"/>
  <c r="K8" i="36"/>
  <c r="K6" i="37" s="1"/>
  <c r="L8" i="36"/>
  <c r="S17" i="34" s="1"/>
  <c r="M8" i="36"/>
  <c r="L6" i="37" s="1"/>
  <c r="T17" i="34" s="1"/>
  <c r="N8" i="36"/>
  <c r="M6" i="37" s="1"/>
  <c r="I9" i="36"/>
  <c r="P18" i="34" s="1"/>
  <c r="J9" i="36"/>
  <c r="J7" i="37" s="1"/>
  <c r="K9" i="36"/>
  <c r="K7" i="37" s="1"/>
  <c r="L9" i="36"/>
  <c r="S18" i="34" s="1"/>
  <c r="M9" i="36"/>
  <c r="L7" i="37" s="1"/>
  <c r="T18" i="34" s="1"/>
  <c r="N9" i="36"/>
  <c r="M7" i="37" s="1"/>
  <c r="I10" i="36"/>
  <c r="J10" i="36"/>
  <c r="J8" i="37" s="1"/>
  <c r="K10" i="36"/>
  <c r="K8" i="37" s="1"/>
  <c r="L10" i="36"/>
  <c r="M10" i="36"/>
  <c r="L8" i="37" s="1"/>
  <c r="N10" i="36"/>
  <c r="M8" i="37" s="1"/>
  <c r="I11" i="36"/>
  <c r="P20" i="34" s="1"/>
  <c r="J11" i="36"/>
  <c r="J9" i="37" s="1"/>
  <c r="K11" i="36"/>
  <c r="K9" i="37" s="1"/>
  <c r="L11" i="36"/>
  <c r="S20" i="34" s="1"/>
  <c r="M11" i="36"/>
  <c r="L9" i="37" s="1"/>
  <c r="N11" i="36"/>
  <c r="M9" i="37" s="1"/>
  <c r="I12" i="36"/>
  <c r="P21" i="34" s="1"/>
  <c r="J12" i="36"/>
  <c r="J10" i="37" s="1"/>
  <c r="K12" i="36"/>
  <c r="K10" i="37" s="1"/>
  <c r="L12" i="36"/>
  <c r="S21" i="34" s="1"/>
  <c r="M12" i="36"/>
  <c r="L10" i="37" s="1"/>
  <c r="N12" i="36"/>
  <c r="M10" i="37" s="1"/>
  <c r="I13" i="36"/>
  <c r="P22" i="34" s="1"/>
  <c r="J13" i="36"/>
  <c r="J11" i="37" s="1"/>
  <c r="K13" i="36"/>
  <c r="K11" i="37" s="1"/>
  <c r="L13" i="36"/>
  <c r="S22" i="34" s="1"/>
  <c r="M13" i="36"/>
  <c r="L11" i="37" s="1"/>
  <c r="N13" i="36"/>
  <c r="M11" i="37" s="1"/>
  <c r="I14" i="36"/>
  <c r="P23" i="34" s="1"/>
  <c r="J14" i="36"/>
  <c r="J12" i="37" s="1"/>
  <c r="Q23" i="34" s="1"/>
  <c r="K14" i="36"/>
  <c r="K12" i="37" s="1"/>
  <c r="L14" i="36"/>
  <c r="S23" i="34" s="1"/>
  <c r="M14" i="36"/>
  <c r="L12" i="37" s="1"/>
  <c r="T23" i="34" s="1"/>
  <c r="N14" i="36"/>
  <c r="M12" i="37" s="1"/>
  <c r="I15" i="36"/>
  <c r="J15" i="36"/>
  <c r="J13" i="37" s="1"/>
  <c r="Q24" i="34" s="1"/>
  <c r="K15" i="36"/>
  <c r="K13" i="37" s="1"/>
  <c r="L15" i="36"/>
  <c r="M15" i="36"/>
  <c r="L13" i="37" s="1"/>
  <c r="N15" i="36"/>
  <c r="M13" i="37" s="1"/>
  <c r="I16" i="36"/>
  <c r="P25" i="34" s="1"/>
  <c r="J16" i="36"/>
  <c r="J14" i="37" s="1"/>
  <c r="K16" i="36"/>
  <c r="K14" i="37" s="1"/>
  <c r="L16" i="36"/>
  <c r="S25" i="34" s="1"/>
  <c r="M16" i="36"/>
  <c r="L14" i="37" s="1"/>
  <c r="T25" i="34" s="1"/>
  <c r="N16" i="36"/>
  <c r="M14" i="37" s="1"/>
  <c r="I17" i="36"/>
  <c r="P26" i="34" s="1"/>
  <c r="J17" i="36"/>
  <c r="J15" i="37" s="1"/>
  <c r="K17" i="36"/>
  <c r="K15" i="37" s="1"/>
  <c r="L17" i="36"/>
  <c r="S26" i="34" s="1"/>
  <c r="M17" i="36"/>
  <c r="L15" i="37" s="1"/>
  <c r="N17" i="36"/>
  <c r="M15" i="37" s="1"/>
  <c r="I18" i="36"/>
  <c r="P27" i="34" s="1"/>
  <c r="J18" i="36"/>
  <c r="J16" i="37" s="1"/>
  <c r="K18" i="36"/>
  <c r="K16" i="37" s="1"/>
  <c r="L18" i="36"/>
  <c r="S27" i="34" s="1"/>
  <c r="M18" i="36"/>
  <c r="L16" i="37" s="1"/>
  <c r="N18" i="36"/>
  <c r="M16" i="37" s="1"/>
  <c r="I19" i="36"/>
  <c r="P28" i="34" s="1"/>
  <c r="J19" i="36"/>
  <c r="J17" i="37" s="1"/>
  <c r="Q28" i="34" s="1"/>
  <c r="K19" i="36"/>
  <c r="K17" i="37" s="1"/>
  <c r="L19" i="36"/>
  <c r="S28" i="34" s="1"/>
  <c r="M19" i="36"/>
  <c r="L17" i="37" s="1"/>
  <c r="N19" i="36"/>
  <c r="M17" i="37" s="1"/>
  <c r="I20" i="36"/>
  <c r="J20" i="36"/>
  <c r="J18" i="37" s="1"/>
  <c r="K20" i="36"/>
  <c r="K18" i="37" s="1"/>
  <c r="L20" i="36"/>
  <c r="M20" i="36"/>
  <c r="L18" i="37" s="1"/>
  <c r="T29" i="34" s="1"/>
  <c r="N20" i="36"/>
  <c r="M18" i="37" s="1"/>
  <c r="I21" i="36"/>
  <c r="P30" i="34" s="1"/>
  <c r="J21" i="36"/>
  <c r="J19" i="37" s="1"/>
  <c r="K21" i="36"/>
  <c r="K19" i="37" s="1"/>
  <c r="L21" i="36"/>
  <c r="S30" i="34" s="1"/>
  <c r="M21" i="36"/>
  <c r="L19" i="37" s="1"/>
  <c r="N21" i="36"/>
  <c r="M19" i="37" s="1"/>
  <c r="I22" i="36"/>
  <c r="P31" i="34" s="1"/>
  <c r="J22" i="36"/>
  <c r="J20" i="37" s="1"/>
  <c r="K22" i="36"/>
  <c r="K20" i="37" s="1"/>
  <c r="L22" i="36"/>
  <c r="S31" i="34" s="1"/>
  <c r="M22" i="36"/>
  <c r="L20" i="37" s="1"/>
  <c r="T31" i="34" s="1"/>
  <c r="N22" i="36"/>
  <c r="M20" i="37" s="1"/>
  <c r="I23" i="36"/>
  <c r="P32" i="34" s="1"/>
  <c r="J23" i="36"/>
  <c r="J21" i="37" s="1"/>
  <c r="K23" i="36"/>
  <c r="K21" i="37" s="1"/>
  <c r="L23" i="36"/>
  <c r="S32" i="34" s="1"/>
  <c r="M23" i="36"/>
  <c r="L21" i="37" s="1"/>
  <c r="N23" i="36"/>
  <c r="M21" i="37" s="1"/>
  <c r="I24" i="36"/>
  <c r="P33" i="34" s="1"/>
  <c r="J24" i="36"/>
  <c r="J22" i="37" s="1"/>
  <c r="K24" i="36"/>
  <c r="K22" i="37" s="1"/>
  <c r="L24" i="36"/>
  <c r="S33" i="34" s="1"/>
  <c r="M24" i="36"/>
  <c r="L22" i="37" s="1"/>
  <c r="N24" i="36"/>
  <c r="M22" i="37" s="1"/>
  <c r="I25" i="36"/>
  <c r="J25" i="36"/>
  <c r="J23" i="37" s="1"/>
  <c r="K25" i="36"/>
  <c r="K23" i="37" s="1"/>
  <c r="L25" i="36"/>
  <c r="M25" i="36"/>
  <c r="L23" i="37" s="1"/>
  <c r="N25" i="36"/>
  <c r="M23" i="37" s="1"/>
  <c r="I26" i="36"/>
  <c r="P35" i="34" s="1"/>
  <c r="J26" i="36"/>
  <c r="J24" i="37" s="1"/>
  <c r="K26" i="36"/>
  <c r="K24" i="37" s="1"/>
  <c r="L26" i="36"/>
  <c r="S35" i="34" s="1"/>
  <c r="M26" i="36"/>
  <c r="L24" i="37" s="1"/>
  <c r="N26" i="36"/>
  <c r="M24" i="37" s="1"/>
  <c r="I27" i="36"/>
  <c r="P36" i="34" s="1"/>
  <c r="J27" i="36"/>
  <c r="J25" i="37" s="1"/>
  <c r="K27" i="36"/>
  <c r="K25" i="37" s="1"/>
  <c r="L27" i="36"/>
  <c r="S36" i="34" s="1"/>
  <c r="M27" i="36"/>
  <c r="L25" i="37" s="1"/>
  <c r="N27" i="36"/>
  <c r="M25" i="37" s="1"/>
  <c r="I28" i="36"/>
  <c r="P37" i="34" s="1"/>
  <c r="J28" i="36"/>
  <c r="J26" i="37" s="1"/>
  <c r="K28" i="36"/>
  <c r="K26" i="37" s="1"/>
  <c r="L28" i="36"/>
  <c r="S37" i="34" s="1"/>
  <c r="M28" i="36"/>
  <c r="L26" i="37" s="1"/>
  <c r="N28" i="36"/>
  <c r="M26" i="37" s="1"/>
  <c r="I29" i="36"/>
  <c r="P38" i="34" s="1"/>
  <c r="J29" i="36"/>
  <c r="J27" i="37" s="1"/>
  <c r="K29" i="36"/>
  <c r="K27" i="37" s="1"/>
  <c r="L29" i="36"/>
  <c r="S38" i="34" s="1"/>
  <c r="M29" i="36"/>
  <c r="L27" i="37" s="1"/>
  <c r="N29" i="36"/>
  <c r="M27" i="37" s="1"/>
  <c r="B4" i="36"/>
  <c r="C4" i="36"/>
  <c r="F2" i="37" s="1"/>
  <c r="H13" i="34" s="1"/>
  <c r="D4" i="36"/>
  <c r="G2" i="37" s="1"/>
  <c r="E4" i="36"/>
  <c r="F4" i="36"/>
  <c r="G4" i="36"/>
  <c r="I2" i="37" s="1"/>
  <c r="B5" i="36"/>
  <c r="G14" i="34" s="1"/>
  <c r="C5" i="36"/>
  <c r="F3" i="37" s="1"/>
  <c r="D5" i="36"/>
  <c r="G3" i="37" s="1"/>
  <c r="E5" i="36"/>
  <c r="F5" i="36"/>
  <c r="G5" i="36"/>
  <c r="I3" i="37" s="1"/>
  <c r="B6" i="36"/>
  <c r="C6" i="36"/>
  <c r="F4" i="37" s="1"/>
  <c r="D6" i="36"/>
  <c r="G4" i="37" s="1"/>
  <c r="E6" i="36"/>
  <c r="J15" i="34" s="1"/>
  <c r="F6" i="36"/>
  <c r="G6" i="36"/>
  <c r="I4" i="37" s="1"/>
  <c r="B7" i="36"/>
  <c r="C7" i="36"/>
  <c r="F5" i="37" s="1"/>
  <c r="D7" i="36"/>
  <c r="G5" i="37" s="1"/>
  <c r="E7" i="36"/>
  <c r="F7" i="36"/>
  <c r="G7" i="36"/>
  <c r="I5" i="37" s="1"/>
  <c r="B8" i="36"/>
  <c r="C8" i="36"/>
  <c r="F6" i="37" s="1"/>
  <c r="D8" i="36"/>
  <c r="G6" i="37" s="1"/>
  <c r="E8" i="36"/>
  <c r="F8" i="36"/>
  <c r="G8" i="36"/>
  <c r="I6" i="37" s="1"/>
  <c r="B9" i="36"/>
  <c r="G18" i="34" s="1"/>
  <c r="C9" i="36"/>
  <c r="F7" i="37" s="1"/>
  <c r="D9" i="36"/>
  <c r="G7" i="37" s="1"/>
  <c r="E9" i="36"/>
  <c r="J18" i="34" s="1"/>
  <c r="F9" i="36"/>
  <c r="G9" i="36"/>
  <c r="I7" i="37" s="1"/>
  <c r="B10" i="36"/>
  <c r="C10" i="36"/>
  <c r="F8" i="37" s="1"/>
  <c r="D10" i="36"/>
  <c r="G8" i="37" s="1"/>
  <c r="E10" i="36"/>
  <c r="F10" i="36"/>
  <c r="G10" i="36"/>
  <c r="I8" i="37" s="1"/>
  <c r="B11" i="36"/>
  <c r="C11" i="36"/>
  <c r="F9" i="37" s="1"/>
  <c r="D11" i="36"/>
  <c r="G9" i="37" s="1"/>
  <c r="E11" i="36"/>
  <c r="J20" i="34" s="1"/>
  <c r="F11" i="36"/>
  <c r="G11" i="36"/>
  <c r="I9" i="37" s="1"/>
  <c r="B12" i="36"/>
  <c r="C12" i="36"/>
  <c r="F10" i="37" s="1"/>
  <c r="D12" i="36"/>
  <c r="G10" i="37" s="1"/>
  <c r="E12" i="36"/>
  <c r="F12" i="36"/>
  <c r="G12" i="36"/>
  <c r="I10" i="37" s="1"/>
  <c r="B13" i="36"/>
  <c r="C13" i="36"/>
  <c r="F11" i="37" s="1"/>
  <c r="D13" i="36"/>
  <c r="G11" i="37" s="1"/>
  <c r="E13" i="36"/>
  <c r="F13" i="36"/>
  <c r="G13" i="36"/>
  <c r="I11" i="37" s="1"/>
  <c r="B14" i="36"/>
  <c r="G23" i="34" s="1"/>
  <c r="C14" i="36"/>
  <c r="F12" i="37" s="1"/>
  <c r="D14" i="36"/>
  <c r="G12" i="37" s="1"/>
  <c r="E14" i="36"/>
  <c r="J23" i="34" s="1"/>
  <c r="F14" i="36"/>
  <c r="G14" i="36"/>
  <c r="I12" i="37" s="1"/>
  <c r="B15" i="36"/>
  <c r="G24" i="34" s="1"/>
  <c r="C15" i="36"/>
  <c r="F13" i="37" s="1"/>
  <c r="D15" i="36"/>
  <c r="G13" i="37" s="1"/>
  <c r="E15" i="36"/>
  <c r="J24" i="34" s="1"/>
  <c r="F15" i="36"/>
  <c r="G15" i="36"/>
  <c r="I13" i="37" s="1"/>
  <c r="B16" i="36"/>
  <c r="C16" i="36"/>
  <c r="F14" i="37" s="1"/>
  <c r="H25" i="34" s="1"/>
  <c r="D16" i="36"/>
  <c r="G14" i="37" s="1"/>
  <c r="E16" i="36"/>
  <c r="F16" i="36"/>
  <c r="G16" i="36"/>
  <c r="I14" i="37" s="1"/>
  <c r="B17" i="36"/>
  <c r="C17" i="36"/>
  <c r="F15" i="37" s="1"/>
  <c r="D17" i="36"/>
  <c r="G15" i="37" s="1"/>
  <c r="E17" i="36"/>
  <c r="F17" i="36"/>
  <c r="G17" i="36"/>
  <c r="I15" i="37" s="1"/>
  <c r="B18" i="36"/>
  <c r="C18" i="36"/>
  <c r="F16" i="37" s="1"/>
  <c r="D18" i="36"/>
  <c r="G16" i="37" s="1"/>
  <c r="E18" i="36"/>
  <c r="F18" i="36"/>
  <c r="G18" i="36"/>
  <c r="I16" i="37" s="1"/>
  <c r="B19" i="36"/>
  <c r="G28" i="34" s="1"/>
  <c r="C19" i="36"/>
  <c r="F17" i="37" s="1"/>
  <c r="D19" i="36"/>
  <c r="G17" i="37" s="1"/>
  <c r="E19" i="36"/>
  <c r="J28" i="34" s="1"/>
  <c r="F19" i="36"/>
  <c r="G19" i="36"/>
  <c r="I17" i="37" s="1"/>
  <c r="K28" i="34" s="1"/>
  <c r="B20" i="36"/>
  <c r="C20" i="36"/>
  <c r="F18" i="37" s="1"/>
  <c r="D20" i="36"/>
  <c r="G18" i="37" s="1"/>
  <c r="E20" i="36"/>
  <c r="F20" i="36"/>
  <c r="G20" i="36"/>
  <c r="I18" i="37" s="1"/>
  <c r="B21" i="36"/>
  <c r="C21" i="36"/>
  <c r="F19" i="37" s="1"/>
  <c r="D21" i="36"/>
  <c r="G19" i="37" s="1"/>
  <c r="E21" i="36"/>
  <c r="F21" i="36"/>
  <c r="G21" i="36"/>
  <c r="I19" i="37" s="1"/>
  <c r="B22" i="36"/>
  <c r="C22" i="36"/>
  <c r="F20" i="37" s="1"/>
  <c r="D22" i="36"/>
  <c r="G20" i="37" s="1"/>
  <c r="E22" i="36"/>
  <c r="F22" i="36"/>
  <c r="G22" i="36"/>
  <c r="I20" i="37" s="1"/>
  <c r="B23" i="36"/>
  <c r="C23" i="36"/>
  <c r="F21" i="37" s="1"/>
  <c r="H32" i="34" s="1"/>
  <c r="D23" i="36"/>
  <c r="G21" i="37" s="1"/>
  <c r="E23" i="36"/>
  <c r="F23" i="36"/>
  <c r="G23" i="36"/>
  <c r="I21" i="37" s="1"/>
  <c r="B24" i="36"/>
  <c r="G33" i="34" s="1"/>
  <c r="C24" i="36"/>
  <c r="F22" i="37" s="1"/>
  <c r="D24" i="36"/>
  <c r="G22" i="37" s="1"/>
  <c r="E24" i="36"/>
  <c r="J33" i="34" s="1"/>
  <c r="F24" i="36"/>
  <c r="G24" i="36"/>
  <c r="I22" i="37" s="1"/>
  <c r="K33" i="34" s="1"/>
  <c r="B25" i="36"/>
  <c r="C25" i="36"/>
  <c r="F23" i="37" s="1"/>
  <c r="D25" i="36"/>
  <c r="G23" i="37" s="1"/>
  <c r="E25" i="36"/>
  <c r="F25" i="36"/>
  <c r="G25" i="36"/>
  <c r="I23" i="37" s="1"/>
  <c r="B26" i="36"/>
  <c r="C26" i="36"/>
  <c r="F24" i="37" s="1"/>
  <c r="D26" i="36"/>
  <c r="G24" i="37" s="1"/>
  <c r="E26" i="36"/>
  <c r="F26" i="36"/>
  <c r="G26" i="36"/>
  <c r="I24" i="37" s="1"/>
  <c r="B27" i="36"/>
  <c r="C27" i="36"/>
  <c r="F25" i="37" s="1"/>
  <c r="D27" i="36"/>
  <c r="G25" i="37" s="1"/>
  <c r="E27" i="36"/>
  <c r="F27" i="36"/>
  <c r="G27" i="36"/>
  <c r="I25" i="37" s="1"/>
  <c r="B28" i="36"/>
  <c r="C28" i="36"/>
  <c r="F26" i="37" s="1"/>
  <c r="H37" i="34" s="1"/>
  <c r="D28" i="36"/>
  <c r="G26" i="37" s="1"/>
  <c r="E28" i="36"/>
  <c r="F28" i="36"/>
  <c r="G28" i="36"/>
  <c r="I26" i="37" s="1"/>
  <c r="B29" i="36"/>
  <c r="G38" i="34" s="1"/>
  <c r="C29" i="36"/>
  <c r="F27" i="37" s="1"/>
  <c r="D29" i="36"/>
  <c r="G27" i="37" s="1"/>
  <c r="E29" i="36"/>
  <c r="J38" i="34" s="1"/>
  <c r="F29" i="36"/>
  <c r="G29" i="36"/>
  <c r="I27" i="37" s="1"/>
  <c r="N3" i="36"/>
  <c r="M1" i="37" s="1"/>
  <c r="M3" i="36"/>
  <c r="L1" i="37" s="1"/>
  <c r="K3" i="36"/>
  <c r="K1" i="37" s="1"/>
  <c r="J3" i="36"/>
  <c r="J1" i="37" s="1"/>
  <c r="G3" i="36"/>
  <c r="I1" i="37" s="1"/>
  <c r="F3" i="36"/>
  <c r="D3" i="36"/>
  <c r="G1" i="37" s="1"/>
  <c r="C3" i="36"/>
  <c r="F1" i="37" s="1"/>
  <c r="H12" i="34" s="1"/>
  <c r="D12" i="35"/>
  <c r="O10" i="34"/>
  <c r="M4" i="34"/>
  <c r="F10" i="34" s="1"/>
  <c r="L3" i="36"/>
  <c r="I3" i="36"/>
  <c r="E3" i="36"/>
  <c r="B3" i="36"/>
  <c r="S10" i="36"/>
  <c r="S15" i="36"/>
  <c r="S20" i="36"/>
  <c r="S25" i="36"/>
  <c r="S3" i="36"/>
  <c r="P10" i="36"/>
  <c r="P15" i="36"/>
  <c r="P20" i="36"/>
  <c r="P25" i="36"/>
  <c r="P3" i="36"/>
  <c r="L23" i="5" l="1"/>
  <c r="G34" i="2"/>
  <c r="L16" i="2"/>
  <c r="T38" i="34"/>
  <c r="T37" i="34"/>
  <c r="Q36" i="34"/>
  <c r="T35" i="34"/>
  <c r="Q35" i="34"/>
  <c r="Q33" i="34"/>
  <c r="T30" i="34"/>
  <c r="Q29" i="34"/>
  <c r="Q27" i="34"/>
  <c r="T22" i="34"/>
  <c r="Q21" i="34"/>
  <c r="T34" i="34"/>
  <c r="T12" i="34"/>
  <c r="T19" i="34"/>
  <c r="H38" i="34"/>
  <c r="T13" i="34"/>
  <c r="K34" i="34"/>
  <c r="H33" i="34"/>
  <c r="K35" i="34"/>
  <c r="K31" i="34"/>
  <c r="K27" i="34"/>
  <c r="H26" i="34"/>
  <c r="H29" i="34"/>
  <c r="K26" i="34"/>
  <c r="K21" i="34"/>
  <c r="H21" i="34"/>
  <c r="H20" i="34"/>
  <c r="H19" i="34"/>
  <c r="H17" i="34"/>
  <c r="H14" i="34"/>
  <c r="K13" i="34"/>
  <c r="K12" i="34"/>
  <c r="H31" i="34"/>
  <c r="K38" i="34"/>
  <c r="Q20" i="34"/>
  <c r="K25" i="34"/>
  <c r="H24" i="34"/>
  <c r="Q32" i="34"/>
  <c r="T16" i="34"/>
  <c r="K37" i="34"/>
  <c r="H36" i="34"/>
  <c r="K18" i="34"/>
  <c r="T28" i="34"/>
  <c r="H23" i="34"/>
  <c r="T21" i="34"/>
  <c r="K30" i="34"/>
  <c r="Q14" i="34"/>
  <c r="H35" i="34"/>
  <c r="T33" i="34"/>
  <c r="H16" i="34"/>
  <c r="Q26" i="34"/>
  <c r="Q19" i="34"/>
  <c r="H28" i="34"/>
  <c r="T15" i="34"/>
  <c r="Q38" i="34"/>
  <c r="Q31" i="34"/>
  <c r="Q12" i="34"/>
  <c r="T27" i="34"/>
  <c r="K24" i="34"/>
  <c r="K17" i="34"/>
  <c r="Q13" i="34"/>
  <c r="K36" i="34"/>
  <c r="K29" i="34"/>
  <c r="Q25" i="34"/>
  <c r="H22" i="34"/>
  <c r="H15" i="34"/>
  <c r="Q37" i="34"/>
  <c r="H34" i="34"/>
  <c r="T20" i="34"/>
  <c r="H27" i="34"/>
  <c r="K23" i="34"/>
  <c r="T32" i="34"/>
  <c r="Q18" i="34"/>
  <c r="T14" i="34"/>
  <c r="Q30" i="34"/>
  <c r="T24" i="34"/>
  <c r="T26" i="34"/>
  <c r="K16" i="34"/>
  <c r="T36" i="34"/>
  <c r="Q22" i="34"/>
  <c r="Q34" i="34"/>
  <c r="K32" i="34"/>
  <c r="H18" i="34"/>
  <c r="H30" i="34"/>
  <c r="J13" i="34"/>
  <c r="A19" i="5"/>
  <c r="G16" i="34"/>
  <c r="G15" i="34"/>
  <c r="J14" i="34"/>
  <c r="J22" i="34"/>
  <c r="J29" i="34"/>
  <c r="G25" i="34"/>
  <c r="G35" i="34"/>
  <c r="G34" i="34"/>
  <c r="J32" i="34"/>
  <c r="G29" i="34"/>
  <c r="G21" i="34"/>
  <c r="J19" i="34"/>
  <c r="J17" i="34"/>
  <c r="J12" i="34"/>
  <c r="J26" i="34"/>
  <c r="G22" i="34"/>
  <c r="J25" i="34"/>
  <c r="J27" i="34"/>
  <c r="G20" i="34"/>
  <c r="G19" i="34"/>
  <c r="J21" i="34"/>
  <c r="G12" i="34"/>
  <c r="G17" i="34"/>
  <c r="G37" i="34"/>
  <c r="G13" i="34"/>
  <c r="J16" i="34"/>
  <c r="G32" i="34"/>
  <c r="J35" i="34"/>
  <c r="G31" i="34"/>
  <c r="J37" i="34"/>
  <c r="J36" i="34"/>
  <c r="J34" i="34"/>
  <c r="G30" i="34"/>
  <c r="G36" i="34"/>
  <c r="J31" i="34"/>
  <c r="S14" i="34"/>
  <c r="G27" i="34"/>
  <c r="J30" i="34"/>
  <c r="G26" i="34"/>
  <c r="Z25" i="36"/>
  <c r="S34" i="34" s="1"/>
  <c r="Z20" i="36"/>
  <c r="S29" i="34" s="1"/>
  <c r="Z15" i="36"/>
  <c r="S24" i="34" s="1"/>
  <c r="Z10" i="36"/>
  <c r="S19" i="34" s="1"/>
  <c r="Z3" i="36"/>
  <c r="S12" i="34" s="1"/>
  <c r="S13" i="34"/>
  <c r="W25" i="36"/>
  <c r="P34" i="34" s="1"/>
  <c r="W20" i="36"/>
  <c r="P29" i="34" s="1"/>
  <c r="W15" i="36"/>
  <c r="P24" i="34" s="1"/>
  <c r="W10" i="36"/>
  <c r="P19" i="34" s="1"/>
  <c r="P14" i="34"/>
  <c r="P13" i="34"/>
  <c r="W3" i="36"/>
  <c r="P12" i="34" s="1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192" i="17"/>
  <c r="G192" i="18"/>
  <c r="G192" i="16"/>
  <c r="G2" i="17"/>
  <c r="G2" i="18"/>
  <c r="G2" i="16"/>
  <c r="G3" i="31"/>
  <c r="P3" i="31"/>
  <c r="Y3" i="31"/>
  <c r="G3" i="32"/>
  <c r="P3" i="32"/>
  <c r="Y3" i="32"/>
  <c r="G3" i="30"/>
  <c r="P3" i="30"/>
  <c r="Y3" i="30"/>
  <c r="G23" i="5"/>
  <c r="G3" i="33"/>
  <c r="F3" i="33" s="1"/>
  <c r="P3" i="33"/>
  <c r="O3" i="33" s="1"/>
  <c r="Y3" i="33"/>
  <c r="X3" i="33" s="1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157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2" i="19"/>
  <c r="Y3" i="29"/>
  <c r="P3" i="29"/>
  <c r="U3" i="23"/>
  <c r="L3" i="23"/>
  <c r="G3" i="29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2" i="15"/>
  <c r="C12" i="35"/>
  <c r="B12" i="35"/>
  <c r="A12" i="35"/>
  <c r="J13" i="35" s="1"/>
  <c r="U5" i="23"/>
  <c r="U10" i="23"/>
  <c r="U15" i="23"/>
  <c r="U20" i="23"/>
  <c r="U25" i="23"/>
  <c r="U4" i="23"/>
  <c r="L5" i="23"/>
  <c r="L6" i="23"/>
  <c r="L7" i="23"/>
  <c r="L8" i="23"/>
  <c r="L10" i="23"/>
  <c r="L11" i="23"/>
  <c r="L12" i="23"/>
  <c r="L13" i="23"/>
  <c r="L15" i="23"/>
  <c r="L16" i="23"/>
  <c r="L17" i="23"/>
  <c r="L18" i="23"/>
  <c r="L20" i="23"/>
  <c r="L21" i="23"/>
  <c r="L22" i="23"/>
  <c r="L23" i="23"/>
  <c r="L25" i="23"/>
  <c r="L26" i="23"/>
  <c r="L27" i="23"/>
  <c r="L28" i="23"/>
  <c r="L4" i="23"/>
  <c r="Q4" i="5"/>
  <c r="P4" i="5"/>
  <c r="G24" i="5" s="1"/>
  <c r="G5" i="33"/>
  <c r="G6" i="33"/>
  <c r="G7" i="33"/>
  <c r="G8" i="33"/>
  <c r="G10" i="33"/>
  <c r="G11" i="33"/>
  <c r="G12" i="33"/>
  <c r="G13" i="33"/>
  <c r="G15" i="33"/>
  <c r="G16" i="33"/>
  <c r="G17" i="33"/>
  <c r="G18" i="33"/>
  <c r="G20" i="33"/>
  <c r="G21" i="33"/>
  <c r="G22" i="33"/>
  <c r="G23" i="33"/>
  <c r="G25" i="33"/>
  <c r="G26" i="33"/>
  <c r="G27" i="33"/>
  <c r="G28" i="33"/>
  <c r="J15" i="26"/>
  <c r="K15" i="26"/>
  <c r="L15" i="26"/>
  <c r="M15" i="26"/>
  <c r="N15" i="26"/>
  <c r="O15" i="26"/>
  <c r="J16" i="26"/>
  <c r="K16" i="26"/>
  <c r="L16" i="26"/>
  <c r="M16" i="26"/>
  <c r="N16" i="26"/>
  <c r="O16" i="26"/>
  <c r="J17" i="26"/>
  <c r="K17" i="26"/>
  <c r="L17" i="26"/>
  <c r="M17" i="26"/>
  <c r="N17" i="26"/>
  <c r="O17" i="26"/>
  <c r="J18" i="26"/>
  <c r="K18" i="26"/>
  <c r="L18" i="26"/>
  <c r="M18" i="26"/>
  <c r="N18" i="26"/>
  <c r="O18" i="26"/>
  <c r="O14" i="26"/>
  <c r="K14" i="26"/>
  <c r="L14" i="26"/>
  <c r="M14" i="26"/>
  <c r="N14" i="26"/>
  <c r="J14" i="26"/>
  <c r="J7" i="26"/>
  <c r="K7" i="26"/>
  <c r="L7" i="26"/>
  <c r="M7" i="26"/>
  <c r="N7" i="26"/>
  <c r="O7" i="26"/>
  <c r="J8" i="26"/>
  <c r="K8" i="26"/>
  <c r="L8" i="26"/>
  <c r="M8" i="26"/>
  <c r="N8" i="26"/>
  <c r="O8" i="26"/>
  <c r="J9" i="26"/>
  <c r="K9" i="26"/>
  <c r="L9" i="26"/>
  <c r="M9" i="26"/>
  <c r="N9" i="26"/>
  <c r="O9" i="26"/>
  <c r="J10" i="26"/>
  <c r="K10" i="26"/>
  <c r="L10" i="26"/>
  <c r="M10" i="26"/>
  <c r="N10" i="26"/>
  <c r="O10" i="26"/>
  <c r="K6" i="26"/>
  <c r="L6" i="26"/>
  <c r="M6" i="26"/>
  <c r="N6" i="26"/>
  <c r="O6" i="26"/>
  <c r="J6" i="26"/>
  <c r="Y5" i="33"/>
  <c r="Y10" i="33"/>
  <c r="Y15" i="33"/>
  <c r="Y20" i="33"/>
  <c r="Y25" i="33"/>
  <c r="P5" i="33"/>
  <c r="P10" i="33"/>
  <c r="P15" i="33"/>
  <c r="P20" i="33"/>
  <c r="P25" i="33"/>
  <c r="Y4" i="33"/>
  <c r="P4" i="33"/>
  <c r="G4" i="33"/>
  <c r="Y5" i="32"/>
  <c r="Y6" i="32"/>
  <c r="Y7" i="32"/>
  <c r="Y8" i="32"/>
  <c r="Y9" i="32"/>
  <c r="Y10" i="32"/>
  <c r="Y11" i="32"/>
  <c r="Y12" i="32"/>
  <c r="Y13" i="32"/>
  <c r="Y14" i="32"/>
  <c r="Y15" i="32"/>
  <c r="Y16" i="32"/>
  <c r="Y17" i="32"/>
  <c r="Y18" i="32"/>
  <c r="Y19" i="32"/>
  <c r="Y20" i="32"/>
  <c r="Y21" i="32"/>
  <c r="Y22" i="32"/>
  <c r="Y23" i="32"/>
  <c r="Y24" i="32"/>
  <c r="Y25" i="32"/>
  <c r="Y26" i="32"/>
  <c r="Y27" i="32"/>
  <c r="Y28" i="32"/>
  <c r="Y29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Y4" i="32"/>
  <c r="P4" i="32"/>
  <c r="G4" i="32"/>
  <c r="Y5" i="31"/>
  <c r="Y6" i="31"/>
  <c r="Y7" i="31"/>
  <c r="Y8" i="31"/>
  <c r="Y9" i="31"/>
  <c r="Y10" i="31"/>
  <c r="Y11" i="31"/>
  <c r="Y12" i="31"/>
  <c r="Y13" i="31"/>
  <c r="Y14" i="31"/>
  <c r="Y15" i="31"/>
  <c r="Y16" i="31"/>
  <c r="Y17" i="31"/>
  <c r="Y18" i="31"/>
  <c r="Y19" i="31"/>
  <c r="Y20" i="31"/>
  <c r="Y21" i="31"/>
  <c r="Y22" i="31"/>
  <c r="Y23" i="31"/>
  <c r="Y24" i="31"/>
  <c r="Y25" i="31"/>
  <c r="Y26" i="31"/>
  <c r="Y27" i="31"/>
  <c r="Y28" i="31"/>
  <c r="Y29" i="31"/>
  <c r="P5" i="31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Y4" i="31"/>
  <c r="P4" i="31"/>
  <c r="G4" i="31"/>
  <c r="Y5" i="30"/>
  <c r="Y6" i="30"/>
  <c r="Y7" i="30"/>
  <c r="Y8" i="30"/>
  <c r="Y9" i="30"/>
  <c r="Y10" i="30"/>
  <c r="Y1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P5" i="30"/>
  <c r="P6" i="30"/>
  <c r="P7" i="30"/>
  <c r="P8" i="30"/>
  <c r="P9" i="30"/>
  <c r="P10" i="30"/>
  <c r="P11" i="30"/>
  <c r="P12" i="30"/>
  <c r="P13" i="30"/>
  <c r="P14" i="30"/>
  <c r="P15" i="30"/>
  <c r="P16" i="30"/>
  <c r="P17" i="30"/>
  <c r="P18" i="30"/>
  <c r="P19" i="30"/>
  <c r="P20" i="30"/>
  <c r="P21" i="30"/>
  <c r="P22" i="30"/>
  <c r="P23" i="30"/>
  <c r="P24" i="30"/>
  <c r="P25" i="30"/>
  <c r="P26" i="30"/>
  <c r="P27" i="30"/>
  <c r="P28" i="30"/>
  <c r="P29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Y4" i="30"/>
  <c r="P4" i="30"/>
  <c r="G4" i="30"/>
  <c r="X4" i="9"/>
  <c r="W4" i="9"/>
  <c r="X4" i="8"/>
  <c r="W4" i="8"/>
  <c r="X4" i="7"/>
  <c r="W4" i="7"/>
  <c r="O4" i="7" s="1"/>
  <c r="X3" i="7" s="1"/>
  <c r="N18" i="7" s="1"/>
  <c r="X4" i="2"/>
  <c r="W4" i="2"/>
  <c r="Y29" i="29"/>
  <c r="Y28" i="29"/>
  <c r="Y27" i="29"/>
  <c r="Y26" i="29"/>
  <c r="Y25" i="29"/>
  <c r="Y24" i="29"/>
  <c r="Y23" i="29"/>
  <c r="Y22" i="29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P5" i="29"/>
  <c r="P6" i="29"/>
  <c r="P7" i="29"/>
  <c r="P8" i="29"/>
  <c r="P9" i="29"/>
  <c r="P10" i="29"/>
  <c r="P11" i="29"/>
  <c r="P12" i="29"/>
  <c r="P13" i="29"/>
  <c r="P14" i="29"/>
  <c r="P15" i="29"/>
  <c r="P16" i="29"/>
  <c r="P17" i="29"/>
  <c r="P18" i="29"/>
  <c r="P19" i="29"/>
  <c r="P20" i="29"/>
  <c r="P21" i="29"/>
  <c r="P22" i="29"/>
  <c r="P23" i="29"/>
  <c r="P24" i="29"/>
  <c r="P25" i="29"/>
  <c r="P26" i="29"/>
  <c r="P27" i="29"/>
  <c r="P28" i="29"/>
  <c r="P29" i="29"/>
  <c r="P4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5" i="29"/>
  <c r="G4" i="29"/>
  <c r="V1" i="27"/>
  <c r="W1" i="27"/>
  <c r="T3" i="5" a="1"/>
  <c r="T3" i="5" s="1"/>
  <c r="T3" i="7" a="1"/>
  <c r="T3" i="7" s="1"/>
  <c r="T3" i="8" a="1"/>
  <c r="T3" i="8" s="1"/>
  <c r="T3" i="9" a="1"/>
  <c r="T3" i="9" s="1"/>
  <c r="T3" i="2" a="1"/>
  <c r="T3" i="2" s="1"/>
  <c r="C6" i="26"/>
  <c r="D6" i="26" s="1"/>
  <c r="G32" i="5" l="1"/>
  <c r="L15" i="5"/>
  <c r="G34" i="5"/>
  <c r="L16" i="5"/>
  <c r="G32" i="8"/>
  <c r="L15" i="8"/>
  <c r="L16" i="8"/>
  <c r="G34" i="8"/>
  <c r="G34" i="7"/>
  <c r="L16" i="7"/>
  <c r="G32" i="7"/>
  <c r="L15" i="7"/>
  <c r="L15" i="2"/>
  <c r="G32" i="2"/>
  <c r="G32" i="9"/>
  <c r="L15" i="9"/>
  <c r="G34" i="9"/>
  <c r="L16" i="9"/>
  <c r="O3" i="29"/>
  <c r="K3" i="29" s="1" a="1"/>
  <c r="K3" i="29" s="1"/>
  <c r="X3" i="29"/>
  <c r="U3" i="29" s="1" a="1"/>
  <c r="U3" i="29" s="1"/>
  <c r="F3" i="29"/>
  <c r="B3" i="29" s="1" a="1"/>
  <c r="B3" i="29" s="1"/>
  <c r="X3" i="32"/>
  <c r="T3" i="32" s="1" a="1"/>
  <c r="T3" i="32" s="1"/>
  <c r="O3" i="32"/>
  <c r="K3" i="32" s="1" a="1"/>
  <c r="K3" i="32" s="1"/>
  <c r="F3" i="32"/>
  <c r="B3" i="32" s="1" a="1"/>
  <c r="B3" i="32" s="1"/>
  <c r="X3" i="31"/>
  <c r="V3" i="31" s="1" a="1"/>
  <c r="V3" i="31" s="1"/>
  <c r="O3" i="31"/>
  <c r="K3" i="31" s="1" a="1"/>
  <c r="K3" i="31" s="1"/>
  <c r="F3" i="31"/>
  <c r="E3" i="31" s="1" a="1"/>
  <c r="E3" i="31" s="1"/>
  <c r="F3" i="30"/>
  <c r="B3" i="30" s="1" a="1"/>
  <c r="B3" i="30" s="1"/>
  <c r="X3" i="30"/>
  <c r="T3" i="30" s="1" a="1"/>
  <c r="T3" i="30" s="1"/>
  <c r="O3" i="30"/>
  <c r="L3" i="30" s="1" a="1"/>
  <c r="L3" i="30" s="1"/>
  <c r="B4" i="7" s="1"/>
  <c r="V3" i="33" a="1"/>
  <c r="V3" i="33" s="1"/>
  <c r="U3" i="33" a="1"/>
  <c r="U3" i="33" s="1"/>
  <c r="W3" i="33" a="1"/>
  <c r="W3" i="33" s="1"/>
  <c r="T3" i="33" a="1"/>
  <c r="T3" i="33" s="1"/>
  <c r="K3" i="33" a="1"/>
  <c r="K3" i="33" s="1"/>
  <c r="L3" i="33" a="1"/>
  <c r="L3" i="33" s="1"/>
  <c r="M3" i="33" a="1"/>
  <c r="M3" i="33" s="1"/>
  <c r="N3" i="33" a="1"/>
  <c r="N3" i="33" s="1"/>
  <c r="B3" i="33" a="1"/>
  <c r="B3" i="33" s="1"/>
  <c r="C3" i="33" a="1"/>
  <c r="C3" i="33" s="1"/>
  <c r="D3" i="33" a="1"/>
  <c r="D3" i="33" s="1"/>
  <c r="E3" i="33" a="1"/>
  <c r="E3" i="33" s="1"/>
  <c r="Q3" i="23"/>
  <c r="M3" i="23" s="1" a="1"/>
  <c r="M3" i="23" s="1"/>
  <c r="Z3" i="23"/>
  <c r="V3" i="23" s="1" a="1"/>
  <c r="V3" i="23" s="1"/>
  <c r="Z20" i="23"/>
  <c r="Y20" i="23" s="1" a="1"/>
  <c r="Y20" i="23" s="1"/>
  <c r="Q8" i="23"/>
  <c r="M8" i="23" s="1" a="1"/>
  <c r="M8" i="23" s="1"/>
  <c r="J20" i="35"/>
  <c r="J22" i="35"/>
  <c r="J14" i="35"/>
  <c r="J16" i="35"/>
  <c r="J17" i="35"/>
  <c r="J15" i="35"/>
  <c r="J21" i="35"/>
  <c r="J18" i="35"/>
  <c r="J19" i="35"/>
  <c r="G3" i="35"/>
  <c r="X22" i="30"/>
  <c r="T22" i="30" s="1" a="1"/>
  <c r="T22" i="30" s="1"/>
  <c r="F19" i="30"/>
  <c r="D19" i="30" s="1" a="1"/>
  <c r="D19" i="30" s="1"/>
  <c r="O20" i="30"/>
  <c r="K20" i="30" s="1" a="1"/>
  <c r="K20" i="30" s="1"/>
  <c r="X21" i="30"/>
  <c r="V21" i="30" s="1" a="1"/>
  <c r="V21" i="30" s="1"/>
  <c r="F6" i="33"/>
  <c r="E6" i="33" s="1" a="1"/>
  <c r="E6" i="33" s="1"/>
  <c r="Q10" i="23"/>
  <c r="P10" i="23" s="1" a="1"/>
  <c r="P10" i="23" s="1"/>
  <c r="F18" i="30"/>
  <c r="C18" i="30" s="1" a="1"/>
  <c r="C18" i="30" s="1"/>
  <c r="O19" i="30"/>
  <c r="M19" i="30" s="1" a="1"/>
  <c r="M19" i="30" s="1"/>
  <c r="X20" i="30"/>
  <c r="T20" i="30" s="1" a="1"/>
  <c r="T20" i="30" s="1"/>
  <c r="F5" i="33"/>
  <c r="C5" i="33" s="1" a="1"/>
  <c r="C5" i="33" s="1"/>
  <c r="F7" i="33"/>
  <c r="E7" i="33" s="1" a="1"/>
  <c r="E7" i="33" s="1"/>
  <c r="F17" i="30"/>
  <c r="C17" i="30" s="1" a="1"/>
  <c r="C17" i="30" s="1"/>
  <c r="O18" i="30"/>
  <c r="K18" i="30" s="1" a="1"/>
  <c r="K18" i="30" s="1"/>
  <c r="X19" i="30"/>
  <c r="U19" i="30" s="1" a="1"/>
  <c r="U19" i="30" s="1"/>
  <c r="Q7" i="23"/>
  <c r="P7" i="23" s="1" a="1"/>
  <c r="P7" i="23" s="1"/>
  <c r="F16" i="30"/>
  <c r="E16" i="30" s="1" a="1"/>
  <c r="E16" i="30" s="1"/>
  <c r="O17" i="30"/>
  <c r="M17" i="30" s="1" a="1"/>
  <c r="M17" i="30" s="1"/>
  <c r="X18" i="30"/>
  <c r="V18" i="30" s="1" a="1"/>
  <c r="V18" i="30" s="1"/>
  <c r="Q6" i="23"/>
  <c r="O6" i="23" s="1" a="1"/>
  <c r="O6" i="23" s="1"/>
  <c r="F15" i="30"/>
  <c r="C15" i="30" s="1" a="1"/>
  <c r="C15" i="30" s="1"/>
  <c r="O16" i="30"/>
  <c r="K16" i="30" s="1" a="1"/>
  <c r="K16" i="30" s="1"/>
  <c r="X17" i="30"/>
  <c r="T17" i="30" s="1" a="1"/>
  <c r="T17" i="30" s="1"/>
  <c r="Z5" i="23"/>
  <c r="Y5" i="23" s="1" a="1"/>
  <c r="Y5" i="23" s="1"/>
  <c r="Q5" i="23"/>
  <c r="P5" i="23" s="1" a="1"/>
  <c r="P5" i="23" s="1"/>
  <c r="Q11" i="23"/>
  <c r="P11" i="23" s="1" a="1"/>
  <c r="P11" i="23" s="1"/>
  <c r="F14" i="30"/>
  <c r="B14" i="30" s="1" a="1"/>
  <c r="B14" i="30" s="1"/>
  <c r="O15" i="30"/>
  <c r="M15" i="30" s="1" a="1"/>
  <c r="M15" i="30" s="1"/>
  <c r="X16" i="30"/>
  <c r="T16" i="30" s="1" a="1"/>
  <c r="T16" i="30" s="1"/>
  <c r="F4" i="33"/>
  <c r="E4" i="33" s="1" a="1"/>
  <c r="E4" i="33" s="1"/>
  <c r="Z4" i="23"/>
  <c r="W4" i="23" s="1" a="1"/>
  <c r="W4" i="23" s="1"/>
  <c r="F13" i="30"/>
  <c r="B13" i="30" s="1" a="1"/>
  <c r="B13" i="30" s="1"/>
  <c r="O14" i="30"/>
  <c r="M14" i="30" s="1" a="1"/>
  <c r="M14" i="30" s="1"/>
  <c r="X15" i="30"/>
  <c r="T15" i="30" s="1" a="1"/>
  <c r="T15" i="30" s="1"/>
  <c r="O4" i="33"/>
  <c r="N4" i="33" s="1" a="1"/>
  <c r="N4" i="33" s="1"/>
  <c r="F28" i="33"/>
  <c r="C28" i="33" s="1" a="1"/>
  <c r="C28" i="33" s="1"/>
  <c r="Z15" i="23"/>
  <c r="X15" i="23" s="1" a="1"/>
  <c r="X15" i="23" s="1"/>
  <c r="Z25" i="23"/>
  <c r="Y25" i="23" s="1" a="1"/>
  <c r="Y25" i="23" s="1"/>
  <c r="F12" i="30"/>
  <c r="C12" i="30" s="1" a="1"/>
  <c r="C12" i="30" s="1"/>
  <c r="O13" i="30"/>
  <c r="K13" i="30" s="1" a="1"/>
  <c r="K13" i="30" s="1"/>
  <c r="X14" i="30"/>
  <c r="T14" i="30" s="1" a="1"/>
  <c r="T14" i="30" s="1"/>
  <c r="X4" i="33"/>
  <c r="W4" i="33" s="1" a="1"/>
  <c r="W4" i="33" s="1"/>
  <c r="F27" i="33"/>
  <c r="D27" i="33" s="1" a="1"/>
  <c r="D27" i="33" s="1"/>
  <c r="F11" i="30"/>
  <c r="B11" i="30" s="1" a="1"/>
  <c r="B11" i="30" s="1"/>
  <c r="O12" i="30"/>
  <c r="M12" i="30" s="1" a="1"/>
  <c r="M12" i="30" s="1"/>
  <c r="X13" i="30"/>
  <c r="T13" i="30" s="1" a="1"/>
  <c r="T13" i="30" s="1"/>
  <c r="O25" i="33"/>
  <c r="M25" i="33" s="1" a="1"/>
  <c r="M25" i="33" s="1"/>
  <c r="F26" i="33"/>
  <c r="E26" i="33" s="1" a="1"/>
  <c r="E26" i="33" s="1"/>
  <c r="Q4" i="23"/>
  <c r="O4" i="23" s="1" a="1"/>
  <c r="O4" i="23" s="1"/>
  <c r="F10" i="30"/>
  <c r="B10" i="30" s="1" a="1"/>
  <c r="B10" i="30" s="1"/>
  <c r="O11" i="30"/>
  <c r="M11" i="30" s="1" a="1"/>
  <c r="M11" i="30" s="1"/>
  <c r="X12" i="30"/>
  <c r="T12" i="30" s="1" a="1"/>
  <c r="T12" i="30" s="1"/>
  <c r="O20" i="33"/>
  <c r="L20" i="33" s="1" a="1"/>
  <c r="L20" i="33" s="1"/>
  <c r="F25" i="33"/>
  <c r="E25" i="33" s="1" a="1"/>
  <c r="E25" i="33" s="1"/>
  <c r="Q28" i="23"/>
  <c r="N28" i="23" s="1" a="1"/>
  <c r="N28" i="23" s="1"/>
  <c r="Z10" i="23"/>
  <c r="V10" i="23" s="1" a="1"/>
  <c r="V10" i="23" s="1"/>
  <c r="F9" i="30"/>
  <c r="B9" i="30" s="1" a="1"/>
  <c r="B9" i="30" s="1"/>
  <c r="O10" i="30"/>
  <c r="K10" i="30" s="1" a="1"/>
  <c r="K10" i="30" s="1"/>
  <c r="X11" i="30"/>
  <c r="U11" i="30" s="1" a="1"/>
  <c r="U11" i="30" s="1"/>
  <c r="O15" i="33"/>
  <c r="N15" i="33" s="1" a="1"/>
  <c r="N15" i="33" s="1"/>
  <c r="F23" i="33"/>
  <c r="E23" i="33" s="1" a="1"/>
  <c r="E23" i="33" s="1"/>
  <c r="Q27" i="23"/>
  <c r="P27" i="23" s="1" a="1"/>
  <c r="P27" i="23" s="1"/>
  <c r="F4" i="30"/>
  <c r="E4" i="30" s="1" a="1"/>
  <c r="E4" i="30" s="1"/>
  <c r="F8" i="30"/>
  <c r="B8" i="30" s="1" a="1"/>
  <c r="B8" i="30" s="1"/>
  <c r="O9" i="30"/>
  <c r="M9" i="30" s="1" a="1"/>
  <c r="M9" i="30" s="1"/>
  <c r="X10" i="30"/>
  <c r="T10" i="30" s="1" a="1"/>
  <c r="T10" i="30" s="1"/>
  <c r="O10" i="33"/>
  <c r="M10" i="33" s="1" a="1"/>
  <c r="M10" i="33" s="1"/>
  <c r="F22" i="33"/>
  <c r="E22" i="33" s="1" a="1"/>
  <c r="E22" i="33" s="1"/>
  <c r="Q26" i="23"/>
  <c r="M26" i="23" s="1" a="1"/>
  <c r="M26" i="23" s="1"/>
  <c r="O4" i="30"/>
  <c r="N4" i="30" s="1" a="1"/>
  <c r="N4" i="30" s="1"/>
  <c r="F7" i="30"/>
  <c r="D7" i="30" s="1" a="1"/>
  <c r="D7" i="30" s="1"/>
  <c r="O8" i="30"/>
  <c r="K8" i="30" s="1" a="1"/>
  <c r="K8" i="30" s="1"/>
  <c r="X9" i="30"/>
  <c r="W9" i="30" s="1" a="1"/>
  <c r="W9" i="30" s="1"/>
  <c r="O5" i="33"/>
  <c r="K5" i="33" s="1" a="1"/>
  <c r="K5" i="33" s="1"/>
  <c r="F21" i="33"/>
  <c r="E21" i="33" s="1" a="1"/>
  <c r="E21" i="33" s="1"/>
  <c r="Q25" i="23"/>
  <c r="P25" i="23" s="1" a="1"/>
  <c r="P25" i="23" s="1"/>
  <c r="X4" i="30"/>
  <c r="W4" i="30" s="1" a="1"/>
  <c r="W4" i="30" s="1"/>
  <c r="C4" i="7" s="1"/>
  <c r="F6" i="30"/>
  <c r="D6" i="30" s="1" a="1"/>
  <c r="D6" i="30" s="1"/>
  <c r="O7" i="30"/>
  <c r="M7" i="30" s="1" a="1"/>
  <c r="M7" i="30" s="1"/>
  <c r="X8" i="30"/>
  <c r="T8" i="30" s="1" a="1"/>
  <c r="T8" i="30" s="1"/>
  <c r="X25" i="33"/>
  <c r="W25" i="33" s="1" a="1"/>
  <c r="W25" i="33" s="1"/>
  <c r="F20" i="33"/>
  <c r="E20" i="33" s="1" a="1"/>
  <c r="E20" i="33" s="1"/>
  <c r="Q23" i="23"/>
  <c r="P23" i="23" s="1" a="1"/>
  <c r="P23" i="23" s="1"/>
  <c r="F29" i="30"/>
  <c r="B29" i="30" s="1" a="1"/>
  <c r="B29" i="30" s="1"/>
  <c r="F5" i="30"/>
  <c r="B5" i="30" s="1" a="1"/>
  <c r="B5" i="30" s="1"/>
  <c r="O6" i="30"/>
  <c r="M6" i="30" s="1" a="1"/>
  <c r="M6" i="30" s="1"/>
  <c r="X7" i="30"/>
  <c r="V7" i="30" s="1" a="1"/>
  <c r="V7" i="30" s="1"/>
  <c r="X20" i="33"/>
  <c r="V20" i="33" s="1" a="1"/>
  <c r="V20" i="33" s="1"/>
  <c r="F18" i="33"/>
  <c r="E18" i="33" s="1" a="1"/>
  <c r="E18" i="33" s="1"/>
  <c r="Q22" i="23"/>
  <c r="O22" i="23" s="1" a="1"/>
  <c r="O22" i="23" s="1"/>
  <c r="F28" i="30"/>
  <c r="C28" i="30" s="1" a="1"/>
  <c r="C28" i="30" s="1"/>
  <c r="O29" i="30"/>
  <c r="K29" i="30" s="1" a="1"/>
  <c r="K29" i="30" s="1"/>
  <c r="O5" i="30"/>
  <c r="M5" i="30" s="1" a="1"/>
  <c r="M5" i="30" s="1"/>
  <c r="X6" i="30"/>
  <c r="T6" i="30" s="1" a="1"/>
  <c r="T6" i="30" s="1"/>
  <c r="X15" i="33"/>
  <c r="V15" i="33" s="1" a="1"/>
  <c r="V15" i="33" s="1"/>
  <c r="F17" i="33"/>
  <c r="E17" i="33" s="1" a="1"/>
  <c r="E17" i="33" s="1"/>
  <c r="Q21" i="23"/>
  <c r="N21" i="23" s="1" a="1"/>
  <c r="N21" i="23" s="1"/>
  <c r="F27" i="30"/>
  <c r="C27" i="30" s="1" a="1"/>
  <c r="C27" i="30" s="1"/>
  <c r="O28" i="30"/>
  <c r="M28" i="30" s="1" a="1"/>
  <c r="M28" i="30" s="1"/>
  <c r="X29" i="30"/>
  <c r="W29" i="30" s="1" a="1"/>
  <c r="W29" i="30" s="1"/>
  <c r="X5" i="30"/>
  <c r="T5" i="30" s="1" a="1"/>
  <c r="T5" i="30" s="1"/>
  <c r="X10" i="33"/>
  <c r="V10" i="33" s="1" a="1"/>
  <c r="V10" i="33" s="1"/>
  <c r="F16" i="33"/>
  <c r="E16" i="33" s="1" a="1"/>
  <c r="E16" i="33" s="1"/>
  <c r="Q20" i="23"/>
  <c r="N20" i="23" s="1" a="1"/>
  <c r="N20" i="23" s="1"/>
  <c r="F26" i="30"/>
  <c r="E26" i="30" s="1" a="1"/>
  <c r="E26" i="30" s="1"/>
  <c r="O27" i="30"/>
  <c r="K27" i="30" s="1" a="1"/>
  <c r="K27" i="30" s="1"/>
  <c r="X28" i="30"/>
  <c r="T28" i="30" s="1" a="1"/>
  <c r="T28" i="30" s="1"/>
  <c r="X5" i="33"/>
  <c r="T5" i="33" s="1" a="1"/>
  <c r="T5" i="33" s="1"/>
  <c r="F15" i="33"/>
  <c r="D15" i="33" s="1" a="1"/>
  <c r="D15" i="33" s="1"/>
  <c r="Q18" i="23"/>
  <c r="O18" i="23" s="1" a="1"/>
  <c r="O18" i="23" s="1"/>
  <c r="F25" i="30"/>
  <c r="C25" i="30" s="1" a="1"/>
  <c r="C25" i="30" s="1"/>
  <c r="O26" i="30"/>
  <c r="K26" i="30" s="1" a="1"/>
  <c r="K26" i="30" s="1"/>
  <c r="X27" i="30"/>
  <c r="T27" i="30" s="1" a="1"/>
  <c r="T27" i="30" s="1"/>
  <c r="F13" i="33"/>
  <c r="E13" i="33" s="1" a="1"/>
  <c r="E13" i="33" s="1"/>
  <c r="Q17" i="23"/>
  <c r="P17" i="23" s="1" a="1"/>
  <c r="P17" i="23" s="1"/>
  <c r="F24" i="30"/>
  <c r="C24" i="30" s="1" a="1"/>
  <c r="C24" i="30" s="1"/>
  <c r="O25" i="30"/>
  <c r="K25" i="30" s="1" a="1"/>
  <c r="K25" i="30" s="1"/>
  <c r="X26" i="30"/>
  <c r="W26" i="30" s="1" a="1"/>
  <c r="W26" i="30" s="1"/>
  <c r="F12" i="33"/>
  <c r="E12" i="33" s="1" a="1"/>
  <c r="E12" i="33" s="1"/>
  <c r="Q16" i="23"/>
  <c r="O16" i="23" s="1" a="1"/>
  <c r="O16" i="23" s="1"/>
  <c r="F23" i="30"/>
  <c r="B23" i="30" s="1" a="1"/>
  <c r="B23" i="30" s="1"/>
  <c r="O24" i="30"/>
  <c r="L24" i="30" s="1" a="1"/>
  <c r="L24" i="30" s="1"/>
  <c r="X25" i="30"/>
  <c r="U25" i="30" s="1" a="1"/>
  <c r="U25" i="30" s="1"/>
  <c r="F11" i="33"/>
  <c r="C11" i="33" s="1" a="1"/>
  <c r="C11" i="33" s="1"/>
  <c r="Q15" i="23"/>
  <c r="M15" i="23" s="1" a="1"/>
  <c r="M15" i="23" s="1"/>
  <c r="F20" i="30"/>
  <c r="D20" i="30" s="1" a="1"/>
  <c r="D20" i="30" s="1"/>
  <c r="F22" i="30"/>
  <c r="C22" i="30" s="1" a="1"/>
  <c r="C22" i="30" s="1"/>
  <c r="O23" i="30"/>
  <c r="K23" i="30" s="1" a="1"/>
  <c r="K23" i="30" s="1"/>
  <c r="X24" i="30"/>
  <c r="T24" i="30" s="1" a="1"/>
  <c r="T24" i="30" s="1"/>
  <c r="F10" i="33"/>
  <c r="E10" i="33" s="1" a="1"/>
  <c r="E10" i="33" s="1"/>
  <c r="Q13" i="23"/>
  <c r="P13" i="23" s="1" a="1"/>
  <c r="P13" i="23" s="1"/>
  <c r="O21" i="30"/>
  <c r="M21" i="30" s="1" a="1"/>
  <c r="M21" i="30" s="1"/>
  <c r="F21" i="30"/>
  <c r="B21" i="30" s="1" a="1"/>
  <c r="B21" i="30" s="1"/>
  <c r="O22" i="30"/>
  <c r="K22" i="30" s="1" a="1"/>
  <c r="K22" i="30" s="1"/>
  <c r="X23" i="30"/>
  <c r="T23" i="30" s="1" a="1"/>
  <c r="T23" i="30" s="1"/>
  <c r="F8" i="33"/>
  <c r="E8" i="33" s="1" a="1"/>
  <c r="E8" i="33" s="1"/>
  <c r="Q12" i="23"/>
  <c r="M12" i="23" s="1" a="1"/>
  <c r="M12" i="23" s="1"/>
  <c r="G2" i="35"/>
  <c r="F18" i="31"/>
  <c r="B18" i="31" s="1" a="1"/>
  <c r="B18" i="31" s="1"/>
  <c r="O19" i="31"/>
  <c r="M19" i="31" s="1" a="1"/>
  <c r="M19" i="31" s="1"/>
  <c r="X20" i="31"/>
  <c r="V20" i="31" s="1" a="1"/>
  <c r="V20" i="31" s="1"/>
  <c r="F17" i="31"/>
  <c r="C17" i="31" s="1" a="1"/>
  <c r="C17" i="31" s="1"/>
  <c r="O18" i="31"/>
  <c r="N18" i="31" s="1" a="1"/>
  <c r="N18" i="31" s="1"/>
  <c r="X19" i="31"/>
  <c r="U19" i="31" s="1" a="1"/>
  <c r="U19" i="31" s="1"/>
  <c r="F16" i="31"/>
  <c r="D16" i="31" s="1" a="1"/>
  <c r="D16" i="31" s="1"/>
  <c r="O17" i="31"/>
  <c r="N17" i="31" s="1" a="1"/>
  <c r="N17" i="31" s="1"/>
  <c r="X18" i="31"/>
  <c r="T18" i="31" s="1" a="1"/>
  <c r="T18" i="31" s="1"/>
  <c r="F15" i="31"/>
  <c r="C15" i="31" s="1" a="1"/>
  <c r="C15" i="31" s="1"/>
  <c r="O16" i="31"/>
  <c r="L16" i="31" s="1" a="1"/>
  <c r="L16" i="31" s="1"/>
  <c r="X17" i="31"/>
  <c r="W17" i="31" s="1" a="1"/>
  <c r="W17" i="31" s="1"/>
  <c r="F14" i="31"/>
  <c r="E14" i="31" s="1" a="1"/>
  <c r="E14" i="31" s="1"/>
  <c r="O15" i="31"/>
  <c r="M15" i="31" s="1" a="1"/>
  <c r="M15" i="31" s="1"/>
  <c r="X16" i="31"/>
  <c r="W16" i="31" s="1" a="1"/>
  <c r="W16" i="31" s="1"/>
  <c r="F13" i="31"/>
  <c r="E13" i="31" s="1" a="1"/>
  <c r="E13" i="31" s="1"/>
  <c r="O14" i="31"/>
  <c r="L14" i="31" s="1" a="1"/>
  <c r="L14" i="31" s="1"/>
  <c r="X15" i="31"/>
  <c r="U15" i="31" s="1" a="1"/>
  <c r="U15" i="31" s="1"/>
  <c r="F12" i="31"/>
  <c r="B12" i="31" s="1" a="1"/>
  <c r="B12" i="31" s="1"/>
  <c r="O13" i="31"/>
  <c r="K13" i="31" s="1" a="1"/>
  <c r="K13" i="31" s="1"/>
  <c r="X14" i="31"/>
  <c r="V14" i="31" s="1" a="1"/>
  <c r="V14" i="31" s="1"/>
  <c r="F11" i="31"/>
  <c r="B11" i="31" s="1" a="1"/>
  <c r="B11" i="31" s="1"/>
  <c r="O12" i="31"/>
  <c r="N12" i="31" s="1" a="1"/>
  <c r="N12" i="31" s="1"/>
  <c r="X13" i="31"/>
  <c r="V13" i="31" s="1" a="1"/>
  <c r="V13" i="31" s="1"/>
  <c r="F10" i="31"/>
  <c r="C10" i="31" s="1" a="1"/>
  <c r="C10" i="31" s="1"/>
  <c r="O11" i="31"/>
  <c r="K11" i="31" s="1" a="1"/>
  <c r="K11" i="31" s="1"/>
  <c r="X12" i="31"/>
  <c r="W12" i="31" s="1" a="1"/>
  <c r="W12" i="31" s="1"/>
  <c r="F9" i="31"/>
  <c r="D9" i="31" s="1" a="1"/>
  <c r="D9" i="31" s="1"/>
  <c r="O10" i="31"/>
  <c r="K10" i="31" s="1" a="1"/>
  <c r="K10" i="31" s="1"/>
  <c r="X11" i="31"/>
  <c r="V11" i="31" s="1" a="1"/>
  <c r="V11" i="31" s="1"/>
  <c r="F4" i="31"/>
  <c r="D4" i="31" s="1" a="1"/>
  <c r="D4" i="31" s="1"/>
  <c r="F8" i="31"/>
  <c r="B8" i="31" s="1" a="1"/>
  <c r="B8" i="31" s="1"/>
  <c r="O9" i="31"/>
  <c r="K9" i="31" s="1" a="1"/>
  <c r="K9" i="31" s="1"/>
  <c r="X10" i="31"/>
  <c r="T10" i="31" s="1" a="1"/>
  <c r="T10" i="31" s="1"/>
  <c r="O4" i="31"/>
  <c r="K4" i="31" s="1" a="1"/>
  <c r="K4" i="31" s="1"/>
  <c r="F7" i="31"/>
  <c r="B7" i="31" s="1" a="1"/>
  <c r="B7" i="31" s="1"/>
  <c r="O8" i="31"/>
  <c r="L8" i="31" s="1" a="1"/>
  <c r="L8" i="31" s="1"/>
  <c r="X9" i="31"/>
  <c r="V9" i="31" s="1" a="1"/>
  <c r="V9" i="31" s="1"/>
  <c r="X4" i="31"/>
  <c r="V4" i="31" s="1" a="1"/>
  <c r="V4" i="31" s="1"/>
  <c r="F6" i="31"/>
  <c r="C6" i="31" s="1" a="1"/>
  <c r="C6" i="31" s="1"/>
  <c r="O7" i="31"/>
  <c r="M7" i="31" s="1" a="1"/>
  <c r="M7" i="31" s="1"/>
  <c r="X8" i="31"/>
  <c r="U8" i="31" s="1" a="1"/>
  <c r="U8" i="31" s="1"/>
  <c r="F29" i="31"/>
  <c r="C29" i="31" s="1" a="1"/>
  <c r="C29" i="31" s="1"/>
  <c r="F5" i="31"/>
  <c r="C5" i="31" s="1" a="1"/>
  <c r="C5" i="31" s="1"/>
  <c r="O6" i="31"/>
  <c r="L6" i="31" s="1" a="1"/>
  <c r="L6" i="31" s="1"/>
  <c r="X7" i="31"/>
  <c r="U7" i="31" s="1" a="1"/>
  <c r="U7" i="31" s="1"/>
  <c r="F28" i="31"/>
  <c r="C28" i="31" s="1" a="1"/>
  <c r="C28" i="31" s="1"/>
  <c r="O29" i="31"/>
  <c r="K29" i="31" s="1" a="1"/>
  <c r="K29" i="31" s="1"/>
  <c r="O5" i="31"/>
  <c r="L5" i="31" s="1" a="1"/>
  <c r="L5" i="31" s="1"/>
  <c r="X6" i="31"/>
  <c r="V6" i="31" s="1" a="1"/>
  <c r="V6" i="31" s="1"/>
  <c r="F27" i="31"/>
  <c r="E27" i="31" s="1" a="1"/>
  <c r="E27" i="31" s="1"/>
  <c r="O28" i="31"/>
  <c r="K28" i="31" s="1" a="1"/>
  <c r="K28" i="31" s="1"/>
  <c r="X29" i="31"/>
  <c r="T29" i="31" s="1" a="1"/>
  <c r="T29" i="31" s="1"/>
  <c r="X5" i="31"/>
  <c r="W5" i="31" s="1" a="1"/>
  <c r="W5" i="31" s="1"/>
  <c r="F26" i="31"/>
  <c r="E26" i="31" s="1" a="1"/>
  <c r="E26" i="31" s="1"/>
  <c r="O27" i="31"/>
  <c r="M27" i="31" s="1" a="1"/>
  <c r="M27" i="31" s="1"/>
  <c r="X28" i="31"/>
  <c r="W28" i="31" s="1" a="1"/>
  <c r="W28" i="31" s="1"/>
  <c r="F25" i="31"/>
  <c r="C25" i="31" s="1" a="1"/>
  <c r="C25" i="31" s="1"/>
  <c r="O26" i="31"/>
  <c r="M26" i="31" s="1" a="1"/>
  <c r="M26" i="31" s="1"/>
  <c r="X27" i="31"/>
  <c r="U27" i="31" s="1" a="1"/>
  <c r="U27" i="31" s="1"/>
  <c r="F24" i="31"/>
  <c r="C24" i="31" s="1" a="1"/>
  <c r="C24" i="31" s="1"/>
  <c r="O25" i="31"/>
  <c r="M25" i="31" s="1" a="1"/>
  <c r="M25" i="31" s="1"/>
  <c r="X26" i="31"/>
  <c r="W26" i="31" s="1" a="1"/>
  <c r="W26" i="31" s="1"/>
  <c r="F23" i="31"/>
  <c r="B23" i="31" s="1" a="1"/>
  <c r="B23" i="31" s="1"/>
  <c r="O24" i="31"/>
  <c r="L24" i="31" s="1" a="1"/>
  <c r="L24" i="31" s="1"/>
  <c r="X25" i="31"/>
  <c r="T25" i="31" s="1" a="1"/>
  <c r="T25" i="31" s="1"/>
  <c r="F22" i="31"/>
  <c r="B22" i="31" s="1" a="1"/>
  <c r="B22" i="31" s="1"/>
  <c r="O23" i="31"/>
  <c r="K23" i="31" s="1" a="1"/>
  <c r="K23" i="31" s="1"/>
  <c r="X24" i="31"/>
  <c r="V24" i="31" s="1" a="1"/>
  <c r="V24" i="31" s="1"/>
  <c r="F21" i="31"/>
  <c r="B21" i="31" s="1" a="1"/>
  <c r="B21" i="31" s="1"/>
  <c r="O22" i="31"/>
  <c r="K22" i="31" s="1" a="1"/>
  <c r="K22" i="31" s="1"/>
  <c r="X23" i="31"/>
  <c r="U23" i="31" s="1" a="1"/>
  <c r="U23" i="31" s="1"/>
  <c r="F20" i="31"/>
  <c r="B20" i="31" s="1" a="1"/>
  <c r="B20" i="31" s="1"/>
  <c r="O21" i="31"/>
  <c r="L21" i="31" s="1" a="1"/>
  <c r="L21" i="31" s="1"/>
  <c r="X22" i="31"/>
  <c r="V22" i="31" s="1" a="1"/>
  <c r="V22" i="31" s="1"/>
  <c r="F19" i="31"/>
  <c r="C19" i="31" s="1" a="1"/>
  <c r="C19" i="31" s="1"/>
  <c r="O20" i="31"/>
  <c r="M20" i="31" s="1" a="1"/>
  <c r="M20" i="31" s="1"/>
  <c r="X21" i="31"/>
  <c r="V21" i="31" s="1" a="1"/>
  <c r="V21" i="31" s="1"/>
  <c r="X4" i="32"/>
  <c r="W4" i="32" s="1" a="1"/>
  <c r="W4" i="32" s="1"/>
  <c r="C4" i="9" s="1"/>
  <c r="F26" i="32"/>
  <c r="E26" i="32" s="1" a="1"/>
  <c r="E26" i="32" s="1"/>
  <c r="O27" i="32"/>
  <c r="N27" i="32" s="1" a="1"/>
  <c r="N27" i="32" s="1"/>
  <c r="X28" i="32"/>
  <c r="V28" i="32" s="1" a="1"/>
  <c r="V28" i="32" s="1"/>
  <c r="F25" i="32"/>
  <c r="B25" i="32" s="1" a="1"/>
  <c r="B25" i="32" s="1"/>
  <c r="O26" i="32"/>
  <c r="N26" i="32" s="1" a="1"/>
  <c r="N26" i="32" s="1"/>
  <c r="X27" i="32"/>
  <c r="T27" i="32" s="1" a="1"/>
  <c r="T27" i="32" s="1"/>
  <c r="F24" i="32"/>
  <c r="C24" i="32" s="1" a="1"/>
  <c r="C24" i="32" s="1"/>
  <c r="O25" i="32"/>
  <c r="K25" i="32" s="1" a="1"/>
  <c r="K25" i="32" s="1"/>
  <c r="X26" i="32"/>
  <c r="T26" i="32" s="1" a="1"/>
  <c r="T26" i="32" s="1"/>
  <c r="F23" i="32"/>
  <c r="C23" i="32" s="1" a="1"/>
  <c r="C23" i="32" s="1"/>
  <c r="O24" i="32"/>
  <c r="L24" i="32" s="1" a="1"/>
  <c r="L24" i="32" s="1"/>
  <c r="X25" i="32"/>
  <c r="U25" i="32" s="1" a="1"/>
  <c r="U25" i="32" s="1"/>
  <c r="F22" i="32"/>
  <c r="C22" i="32" s="1" a="1"/>
  <c r="C22" i="32" s="1"/>
  <c r="O23" i="32"/>
  <c r="L23" i="32" s="1" a="1"/>
  <c r="L23" i="32" s="1"/>
  <c r="X24" i="32"/>
  <c r="T24" i="32" s="1" a="1"/>
  <c r="T24" i="32" s="1"/>
  <c r="F21" i="32"/>
  <c r="B21" i="32" s="1" a="1"/>
  <c r="B21" i="32" s="1"/>
  <c r="O22" i="32"/>
  <c r="K22" i="32" s="1" a="1"/>
  <c r="K22" i="32" s="1"/>
  <c r="X23" i="32"/>
  <c r="W23" i="32" s="1" a="1"/>
  <c r="W23" i="32" s="1"/>
  <c r="F20" i="32"/>
  <c r="E20" i="32" s="1" a="1"/>
  <c r="E20" i="32" s="1"/>
  <c r="O21" i="32"/>
  <c r="N21" i="32" s="1" a="1"/>
  <c r="N21" i="32" s="1"/>
  <c r="X22" i="32"/>
  <c r="T22" i="32" s="1" a="1"/>
  <c r="T22" i="32" s="1"/>
  <c r="F19" i="32"/>
  <c r="E19" i="32" s="1" a="1"/>
  <c r="E19" i="32" s="1"/>
  <c r="O20" i="32"/>
  <c r="K20" i="32" s="1" a="1"/>
  <c r="K20" i="32" s="1"/>
  <c r="X21" i="32"/>
  <c r="W21" i="32" s="1" a="1"/>
  <c r="W21" i="32" s="1"/>
  <c r="F18" i="32"/>
  <c r="B18" i="32" s="1" a="1"/>
  <c r="B18" i="32" s="1"/>
  <c r="O19" i="32"/>
  <c r="M19" i="32" s="1" a="1"/>
  <c r="M19" i="32" s="1"/>
  <c r="X20" i="32"/>
  <c r="T20" i="32" s="1" a="1"/>
  <c r="T20" i="32" s="1"/>
  <c r="F17" i="32"/>
  <c r="B17" i="32" s="1" a="1"/>
  <c r="B17" i="32" s="1"/>
  <c r="O18" i="32"/>
  <c r="L18" i="32" s="1" a="1"/>
  <c r="L18" i="32" s="1"/>
  <c r="X19" i="32"/>
  <c r="V19" i="32" s="1" a="1"/>
  <c r="V19" i="32" s="1"/>
  <c r="F16" i="32"/>
  <c r="C16" i="32" s="1" a="1"/>
  <c r="C16" i="32" s="1"/>
  <c r="O17" i="32"/>
  <c r="M17" i="32" s="1" a="1"/>
  <c r="M17" i="32" s="1"/>
  <c r="X18" i="32"/>
  <c r="W18" i="32" s="1" a="1"/>
  <c r="W18" i="32" s="1"/>
  <c r="F15" i="32"/>
  <c r="E15" i="32" s="1" a="1"/>
  <c r="E15" i="32" s="1"/>
  <c r="O16" i="32"/>
  <c r="K16" i="32" s="1" a="1"/>
  <c r="K16" i="32" s="1"/>
  <c r="X17" i="32"/>
  <c r="V17" i="32" s="1" a="1"/>
  <c r="V17" i="32" s="1"/>
  <c r="F14" i="32"/>
  <c r="E14" i="32" s="1" a="1"/>
  <c r="E14" i="32" s="1"/>
  <c r="O15" i="32"/>
  <c r="L15" i="32" s="1" a="1"/>
  <c r="L15" i="32" s="1"/>
  <c r="X16" i="32"/>
  <c r="T16" i="32" s="1" a="1"/>
  <c r="T16" i="32" s="1"/>
  <c r="F13" i="32"/>
  <c r="B13" i="32" s="1" a="1"/>
  <c r="B13" i="32" s="1"/>
  <c r="O14" i="32"/>
  <c r="N14" i="32" s="1" a="1"/>
  <c r="N14" i="32" s="1"/>
  <c r="X15" i="32"/>
  <c r="U15" i="32" s="1" a="1"/>
  <c r="U15" i="32" s="1"/>
  <c r="F12" i="32"/>
  <c r="E12" i="32" s="1" a="1"/>
  <c r="E12" i="32" s="1"/>
  <c r="O13" i="32"/>
  <c r="L13" i="32" s="1" a="1"/>
  <c r="L13" i="32" s="1"/>
  <c r="X14" i="32"/>
  <c r="W14" i="32" s="1" a="1"/>
  <c r="W14" i="32" s="1"/>
  <c r="F11" i="32"/>
  <c r="B11" i="32" s="1" a="1"/>
  <c r="B11" i="32" s="1"/>
  <c r="O12" i="32"/>
  <c r="L12" i="32" s="1" a="1"/>
  <c r="L12" i="32" s="1"/>
  <c r="X13" i="32"/>
  <c r="U13" i="32" s="1" a="1"/>
  <c r="U13" i="32" s="1"/>
  <c r="F10" i="32"/>
  <c r="B10" i="32" s="1" a="1"/>
  <c r="B10" i="32" s="1"/>
  <c r="O11" i="32"/>
  <c r="M11" i="32" s="1" a="1"/>
  <c r="M11" i="32" s="1"/>
  <c r="X12" i="32"/>
  <c r="W12" i="32" s="1" a="1"/>
  <c r="W12" i="32" s="1"/>
  <c r="F9" i="32"/>
  <c r="C9" i="32" s="1" a="1"/>
  <c r="C9" i="32" s="1"/>
  <c r="O10" i="32"/>
  <c r="K10" i="32" s="1" a="1"/>
  <c r="K10" i="32" s="1"/>
  <c r="X11" i="32"/>
  <c r="W11" i="32" s="1" a="1"/>
  <c r="W11" i="32" s="1"/>
  <c r="F4" i="32"/>
  <c r="E4" i="32" s="1" a="1"/>
  <c r="E4" i="32" s="1"/>
  <c r="F8" i="32"/>
  <c r="B8" i="32" s="1" a="1"/>
  <c r="B8" i="32" s="1"/>
  <c r="O9" i="32"/>
  <c r="K9" i="32" s="1" a="1"/>
  <c r="K9" i="32" s="1"/>
  <c r="X10" i="32"/>
  <c r="T10" i="32" s="1" a="1"/>
  <c r="T10" i="32" s="1"/>
  <c r="O4" i="32"/>
  <c r="M4" i="32" s="1" a="1"/>
  <c r="M4" i="32" s="1"/>
  <c r="F7" i="32"/>
  <c r="E7" i="32" s="1" a="1"/>
  <c r="E7" i="32" s="1"/>
  <c r="O8" i="32"/>
  <c r="N8" i="32" s="1" a="1"/>
  <c r="N8" i="32" s="1"/>
  <c r="X9" i="32"/>
  <c r="V9" i="32" s="1" a="1"/>
  <c r="V9" i="32" s="1"/>
  <c r="F6" i="32"/>
  <c r="B6" i="32" s="1" a="1"/>
  <c r="B6" i="32" s="1"/>
  <c r="O7" i="32"/>
  <c r="N7" i="32" s="1" a="1"/>
  <c r="N7" i="32" s="1"/>
  <c r="X8" i="32"/>
  <c r="U8" i="32" s="1" a="1"/>
  <c r="U8" i="32" s="1"/>
  <c r="F29" i="32"/>
  <c r="B29" i="32" s="1" a="1"/>
  <c r="B29" i="32" s="1"/>
  <c r="F5" i="32"/>
  <c r="C5" i="32" s="1" a="1"/>
  <c r="C5" i="32" s="1"/>
  <c r="O6" i="32"/>
  <c r="L6" i="32" s="1" a="1"/>
  <c r="L6" i="32" s="1"/>
  <c r="X7" i="32"/>
  <c r="V7" i="32" s="1" a="1"/>
  <c r="V7" i="32" s="1"/>
  <c r="F28" i="32"/>
  <c r="B28" i="32" s="1" a="1"/>
  <c r="B28" i="32" s="1"/>
  <c r="O29" i="32"/>
  <c r="K29" i="32" s="1" a="1"/>
  <c r="K29" i="32" s="1"/>
  <c r="O5" i="32"/>
  <c r="L5" i="32" s="1" a="1"/>
  <c r="L5" i="32" s="1"/>
  <c r="X6" i="32"/>
  <c r="V6" i="32" s="1" a="1"/>
  <c r="V6" i="32" s="1"/>
  <c r="F27" i="32"/>
  <c r="B27" i="32" s="1" a="1"/>
  <c r="B27" i="32" s="1"/>
  <c r="O28" i="32"/>
  <c r="M28" i="32" s="1" a="1"/>
  <c r="M28" i="32" s="1"/>
  <c r="X29" i="32"/>
  <c r="T29" i="32" s="1" a="1"/>
  <c r="T29" i="32" s="1"/>
  <c r="X5" i="32"/>
  <c r="V5" i="32" s="1" a="1"/>
  <c r="V5" i="32" s="1"/>
  <c r="O4" i="8"/>
  <c r="X3" i="8" s="1"/>
  <c r="N18" i="8" s="1"/>
  <c r="X27" i="29"/>
  <c r="V27" i="29" s="1" a="1"/>
  <c r="V27" i="29" s="1"/>
  <c r="F20" i="29"/>
  <c r="C20" i="29" s="1" a="1"/>
  <c r="C20" i="29" s="1"/>
  <c r="O22" i="29"/>
  <c r="K22" i="29" s="1" a="1"/>
  <c r="K22" i="29" s="1"/>
  <c r="X8" i="29"/>
  <c r="U8" i="29" s="1" a="1"/>
  <c r="U8" i="29" s="1"/>
  <c r="F19" i="29"/>
  <c r="C19" i="29" s="1" a="1"/>
  <c r="C19" i="29" s="1"/>
  <c r="O21" i="29"/>
  <c r="K21" i="29" s="1" a="1"/>
  <c r="K21" i="29" s="1"/>
  <c r="X9" i="29"/>
  <c r="W9" i="29" s="1" a="1"/>
  <c r="W9" i="29" s="1"/>
  <c r="F18" i="29"/>
  <c r="E18" i="29" s="1" a="1"/>
  <c r="E18" i="29" s="1"/>
  <c r="O20" i="29"/>
  <c r="L20" i="29" s="1" a="1"/>
  <c r="L20" i="29" s="1"/>
  <c r="X10" i="29"/>
  <c r="W10" i="29" s="1" a="1"/>
  <c r="W10" i="29" s="1"/>
  <c r="F17" i="29"/>
  <c r="E17" i="29" s="1" a="1"/>
  <c r="E17" i="29" s="1"/>
  <c r="O19" i="29"/>
  <c r="K19" i="29" s="1" a="1"/>
  <c r="K19" i="29" s="1"/>
  <c r="X11" i="29"/>
  <c r="U11" i="29" s="1" a="1"/>
  <c r="U11" i="29" s="1"/>
  <c r="F16" i="29"/>
  <c r="D16" i="29" s="1" a="1"/>
  <c r="D16" i="29" s="1"/>
  <c r="O18" i="29"/>
  <c r="K18" i="29" s="1" a="1"/>
  <c r="K18" i="29" s="1"/>
  <c r="X12" i="29"/>
  <c r="W12" i="29" s="1" a="1"/>
  <c r="W12" i="29" s="1"/>
  <c r="F15" i="29"/>
  <c r="C15" i="29" s="1" a="1"/>
  <c r="C15" i="29" s="1"/>
  <c r="O17" i="29"/>
  <c r="K17" i="29" s="1" a="1"/>
  <c r="K17" i="29" s="1"/>
  <c r="X13" i="29"/>
  <c r="T13" i="29" s="1" a="1"/>
  <c r="T13" i="29" s="1"/>
  <c r="F14" i="29"/>
  <c r="B14" i="29" s="1" a="1"/>
  <c r="B14" i="29" s="1"/>
  <c r="O16" i="29"/>
  <c r="L16" i="29" s="1" a="1"/>
  <c r="L16" i="29" s="1"/>
  <c r="X14" i="29"/>
  <c r="W14" i="29" s="1" a="1"/>
  <c r="W14" i="29" s="1"/>
  <c r="F13" i="29"/>
  <c r="C13" i="29" s="1" a="1"/>
  <c r="C13" i="29" s="1"/>
  <c r="O15" i="29"/>
  <c r="K15" i="29" s="1" a="1"/>
  <c r="K15" i="29" s="1"/>
  <c r="X15" i="29"/>
  <c r="U15" i="29" s="1" a="1"/>
  <c r="U15" i="29" s="1"/>
  <c r="F12" i="29"/>
  <c r="E12" i="29" s="1" a="1"/>
  <c r="E12" i="29" s="1"/>
  <c r="O14" i="29"/>
  <c r="N14" i="29" s="1" a="1"/>
  <c r="N14" i="29" s="1"/>
  <c r="X16" i="29"/>
  <c r="W16" i="29" s="1" a="1"/>
  <c r="W16" i="29" s="1"/>
  <c r="F11" i="29"/>
  <c r="D11" i="29" s="1" a="1"/>
  <c r="D11" i="29" s="1"/>
  <c r="O13" i="29"/>
  <c r="L13" i="29" s="1" a="1"/>
  <c r="L13" i="29" s="1"/>
  <c r="X17" i="29"/>
  <c r="U17" i="29" s="1" a="1"/>
  <c r="U17" i="29" s="1"/>
  <c r="F10" i="29"/>
  <c r="E10" i="29" s="1" a="1"/>
  <c r="E10" i="29" s="1"/>
  <c r="O12" i="29"/>
  <c r="M12" i="29" s="1" a="1"/>
  <c r="M12" i="29" s="1"/>
  <c r="X18" i="29"/>
  <c r="W18" i="29" s="1" a="1"/>
  <c r="W18" i="29" s="1"/>
  <c r="F9" i="29"/>
  <c r="C9" i="29" s="1" a="1"/>
  <c r="C9" i="29" s="1"/>
  <c r="O11" i="29"/>
  <c r="L11" i="29" s="1" a="1"/>
  <c r="L11" i="29" s="1"/>
  <c r="X19" i="29"/>
  <c r="W19" i="29" s="1" a="1"/>
  <c r="W19" i="29" s="1"/>
  <c r="F8" i="29"/>
  <c r="B8" i="29" s="1" a="1"/>
  <c r="B8" i="29" s="1"/>
  <c r="O10" i="29"/>
  <c r="K10" i="29" s="1" a="1"/>
  <c r="K10" i="29" s="1"/>
  <c r="X20" i="29"/>
  <c r="U20" i="29" s="1" a="1"/>
  <c r="U20" i="29" s="1"/>
  <c r="F4" i="29"/>
  <c r="E4" i="29" s="1" a="1"/>
  <c r="E4" i="29" s="1"/>
  <c r="F7" i="29"/>
  <c r="B7" i="29" s="1" a="1"/>
  <c r="B7" i="29" s="1"/>
  <c r="O9" i="29"/>
  <c r="L9" i="29" s="1" a="1"/>
  <c r="L9" i="29" s="1"/>
  <c r="X21" i="29"/>
  <c r="W21" i="29" s="1" a="1"/>
  <c r="W21" i="29" s="1"/>
  <c r="F5" i="29"/>
  <c r="E5" i="29" s="1" a="1"/>
  <c r="E5" i="29" s="1"/>
  <c r="F6" i="29"/>
  <c r="C6" i="29" s="1" a="1"/>
  <c r="C6" i="29" s="1"/>
  <c r="O8" i="29"/>
  <c r="K8" i="29" s="1" a="1"/>
  <c r="K8" i="29" s="1"/>
  <c r="X22" i="29"/>
  <c r="W22" i="29" s="1" a="1"/>
  <c r="W22" i="29" s="1"/>
  <c r="F29" i="29"/>
  <c r="B29" i="29" s="1" a="1"/>
  <c r="B29" i="29" s="1"/>
  <c r="O7" i="29"/>
  <c r="L7" i="29" s="1" a="1"/>
  <c r="L7" i="29" s="1"/>
  <c r="X23" i="29"/>
  <c r="W23" i="29" s="1" a="1"/>
  <c r="W23" i="29" s="1"/>
  <c r="F28" i="29"/>
  <c r="E28" i="29" s="1" a="1"/>
  <c r="E28" i="29" s="1"/>
  <c r="O4" i="29"/>
  <c r="K4" i="29" s="1" a="1"/>
  <c r="K4" i="29" s="1"/>
  <c r="O6" i="29"/>
  <c r="K6" i="29" s="1" a="1"/>
  <c r="K6" i="29" s="1"/>
  <c r="X24" i="29"/>
  <c r="V24" i="29" s="1" a="1"/>
  <c r="V24" i="29" s="1"/>
  <c r="F27" i="29"/>
  <c r="C27" i="29" s="1" a="1"/>
  <c r="C27" i="29" s="1"/>
  <c r="O29" i="29"/>
  <c r="M29" i="29" s="1" a="1"/>
  <c r="M29" i="29" s="1"/>
  <c r="O5" i="29"/>
  <c r="L5" i="29" s="1" a="1"/>
  <c r="L5" i="29" s="1"/>
  <c r="X25" i="29"/>
  <c r="U25" i="29" s="1" a="1"/>
  <c r="U25" i="29" s="1"/>
  <c r="F26" i="29"/>
  <c r="B26" i="29" s="1" a="1"/>
  <c r="B26" i="29" s="1"/>
  <c r="O28" i="29"/>
  <c r="K28" i="29" s="1" a="1"/>
  <c r="K28" i="29" s="1"/>
  <c r="X29" i="29"/>
  <c r="T29" i="29" s="1" a="1"/>
  <c r="T29" i="29" s="1"/>
  <c r="X26" i="29"/>
  <c r="W26" i="29" s="1" a="1"/>
  <c r="W26" i="29" s="1"/>
  <c r="F25" i="29"/>
  <c r="B25" i="29" s="1" a="1"/>
  <c r="B25" i="29" s="1"/>
  <c r="O27" i="29"/>
  <c r="K27" i="29" s="1" a="1"/>
  <c r="K27" i="29" s="1"/>
  <c r="F24" i="29"/>
  <c r="D24" i="29" s="1" a="1"/>
  <c r="D24" i="29" s="1"/>
  <c r="O26" i="29"/>
  <c r="N26" i="29" s="1" a="1"/>
  <c r="N26" i="29" s="1"/>
  <c r="X4" i="29"/>
  <c r="W4" i="29" s="1" a="1"/>
  <c r="W4" i="29" s="1"/>
  <c r="X28" i="29"/>
  <c r="W28" i="29" s="1" a="1"/>
  <c r="W28" i="29" s="1"/>
  <c r="F23" i="29"/>
  <c r="E23" i="29" s="1" a="1"/>
  <c r="E23" i="29" s="1"/>
  <c r="O25" i="29"/>
  <c r="M25" i="29" s="1" a="1"/>
  <c r="M25" i="29" s="1"/>
  <c r="X5" i="29"/>
  <c r="V5" i="29" s="1" a="1"/>
  <c r="V5" i="29" s="1"/>
  <c r="F22" i="29"/>
  <c r="D22" i="29" s="1" a="1"/>
  <c r="D22" i="29" s="1"/>
  <c r="O24" i="29"/>
  <c r="K24" i="29" s="1" a="1"/>
  <c r="K24" i="29" s="1"/>
  <c r="X6" i="29"/>
  <c r="W6" i="29" s="1" a="1"/>
  <c r="W6" i="29" s="1"/>
  <c r="F21" i="29"/>
  <c r="D21" i="29" s="1" a="1"/>
  <c r="D21" i="29" s="1"/>
  <c r="O23" i="29"/>
  <c r="K23" i="29" s="1" a="1"/>
  <c r="K23" i="29" s="1"/>
  <c r="X7" i="29"/>
  <c r="V7" i="29" s="1" a="1"/>
  <c r="V7" i="29" s="1"/>
  <c r="X1" i="27"/>
  <c r="N17" i="8" a="1"/>
  <c r="N17" i="8" s="1"/>
  <c r="N17" i="5" a="1"/>
  <c r="N17" i="5" s="1"/>
  <c r="C7" i="26"/>
  <c r="D7" i="26"/>
  <c r="E6" i="26"/>
  <c r="C3" i="7" l="1"/>
  <c r="C2" i="7"/>
  <c r="B3" i="7"/>
  <c r="B2" i="7"/>
  <c r="C3" i="9"/>
  <c r="C2" i="9"/>
  <c r="W8" i="30" a="1"/>
  <c r="W8" i="30" s="1"/>
  <c r="V8" i="30" a="1"/>
  <c r="V8" i="30" s="1"/>
  <c r="O40" i="23"/>
  <c r="N40" i="23"/>
  <c r="U34" i="23"/>
  <c r="V34" i="23"/>
  <c r="O55" i="23"/>
  <c r="N55" i="23"/>
  <c r="O41" i="23"/>
  <c r="N41" i="23"/>
  <c r="M51" i="23"/>
  <c r="L51" i="23"/>
  <c r="O35" i="23"/>
  <c r="N35" i="23"/>
  <c r="W35" i="23"/>
  <c r="X35" i="23"/>
  <c r="O43" i="23"/>
  <c r="N43" i="23"/>
  <c r="O53" i="23"/>
  <c r="N53" i="23"/>
  <c r="O47" i="23"/>
  <c r="N47" i="23"/>
  <c r="L58" i="23"/>
  <c r="M58" i="23"/>
  <c r="O37" i="23"/>
  <c r="N37" i="23"/>
  <c r="M50" i="23"/>
  <c r="L50" i="23"/>
  <c r="O57" i="23"/>
  <c r="N57" i="23"/>
  <c r="X55" i="23"/>
  <c r="W55" i="23"/>
  <c r="W50" i="23"/>
  <c r="X50" i="23"/>
  <c r="N3" i="29" a="1"/>
  <c r="N3" i="29" s="1"/>
  <c r="M3" i="29" a="1"/>
  <c r="M3" i="29" s="1"/>
  <c r="L3" i="29" a="1"/>
  <c r="L3" i="29" s="1"/>
  <c r="B4" i="2" s="1"/>
  <c r="W3" i="29" a="1"/>
  <c r="W3" i="29" s="1"/>
  <c r="V3" i="29" a="1"/>
  <c r="V3" i="29" s="1"/>
  <c r="T3" i="29" a="1"/>
  <c r="T3" i="29" s="1"/>
  <c r="E3" i="29" a="1"/>
  <c r="E3" i="29" s="1"/>
  <c r="D3" i="29" a="1"/>
  <c r="D3" i="29" s="1"/>
  <c r="C3" i="29" a="1"/>
  <c r="C3" i="29" s="1"/>
  <c r="M3" i="32" a="1"/>
  <c r="M3" i="32" s="1"/>
  <c r="K19" i="31" a="1"/>
  <c r="K19" i="31" s="1"/>
  <c r="L3" i="32" a="1"/>
  <c r="L3" i="32" s="1"/>
  <c r="B4" i="9" s="1"/>
  <c r="W13" i="31" a="1"/>
  <c r="W13" i="31" s="1"/>
  <c r="T20" i="31" a="1"/>
  <c r="T20" i="31" s="1"/>
  <c r="D3" i="31" a="1"/>
  <c r="D3" i="31" s="1"/>
  <c r="U20" i="31" a="1"/>
  <c r="U20" i="31" s="1"/>
  <c r="C3" i="31" a="1"/>
  <c r="C3" i="31" s="1"/>
  <c r="B3" i="31" a="1"/>
  <c r="B3" i="31" s="1"/>
  <c r="N3" i="31" a="1"/>
  <c r="N3" i="31" s="1"/>
  <c r="U3" i="31" a="1"/>
  <c r="U3" i="31" s="1"/>
  <c r="T3" i="31" a="1"/>
  <c r="T3" i="31" s="1"/>
  <c r="W3" i="31" a="1"/>
  <c r="W3" i="31" s="1"/>
  <c r="E3" i="32" a="1"/>
  <c r="E3" i="32" s="1"/>
  <c r="D3" i="32" a="1"/>
  <c r="D3" i="32" s="1"/>
  <c r="C3" i="32" a="1"/>
  <c r="C3" i="32" s="1"/>
  <c r="N3" i="32" a="1"/>
  <c r="N3" i="32" s="1"/>
  <c r="U8" i="30" a="1"/>
  <c r="U8" i="30" s="1"/>
  <c r="U13" i="31" a="1"/>
  <c r="U13" i="31" s="1"/>
  <c r="T13" i="31" a="1"/>
  <c r="T13" i="31" s="1"/>
  <c r="W3" i="32" a="1"/>
  <c r="W3" i="32" s="1"/>
  <c r="V3" i="32" a="1"/>
  <c r="V3" i="32" s="1"/>
  <c r="U3" i="32" a="1"/>
  <c r="U3" i="32" s="1"/>
  <c r="M3" i="31" a="1"/>
  <c r="M3" i="31" s="1"/>
  <c r="L3" i="31" a="1"/>
  <c r="L3" i="31" s="1"/>
  <c r="B4" i="8" s="1"/>
  <c r="M8" i="30" a="1"/>
  <c r="M8" i="30" s="1"/>
  <c r="N21" i="30" a="1"/>
  <c r="N21" i="30" s="1"/>
  <c r="K21" i="30" a="1"/>
  <c r="K21" i="30" s="1"/>
  <c r="L21" i="30" a="1"/>
  <c r="L21" i="30" s="1"/>
  <c r="T11" i="30" a="1"/>
  <c r="T11" i="30" s="1"/>
  <c r="W11" i="30" a="1"/>
  <c r="W11" i="30" s="1"/>
  <c r="K5" i="30" a="1"/>
  <c r="K5" i="30" s="1"/>
  <c r="N14" i="30" a="1"/>
  <c r="N14" i="30" s="1"/>
  <c r="M23" i="30" a="1"/>
  <c r="M23" i="30" s="1"/>
  <c r="L12" i="30" a="1"/>
  <c r="L12" i="30" s="1"/>
  <c r="N18" i="30" a="1"/>
  <c r="N18" i="30" s="1"/>
  <c r="T19" i="30" a="1"/>
  <c r="T19" i="30" s="1"/>
  <c r="N23" i="30" a="1"/>
  <c r="N23" i="30" s="1"/>
  <c r="W19" i="30" a="1"/>
  <c r="W19" i="30" s="1"/>
  <c r="V19" i="30" a="1"/>
  <c r="V19" i="30" s="1"/>
  <c r="L5" i="30" a="1"/>
  <c r="L5" i="30" s="1"/>
  <c r="L13" i="30" a="1"/>
  <c r="L13" i="30" s="1"/>
  <c r="N5" i="30" a="1"/>
  <c r="N5" i="30" s="1"/>
  <c r="N13" i="30" a="1"/>
  <c r="N13" i="30" s="1"/>
  <c r="W14" i="30" a="1"/>
  <c r="W14" i="30" s="1"/>
  <c r="V11" i="30" a="1"/>
  <c r="V11" i="30" s="1"/>
  <c r="L6" i="30" a="1"/>
  <c r="L6" i="30" s="1"/>
  <c r="K6" i="30" a="1"/>
  <c r="K6" i="30" s="1"/>
  <c r="N7" i="30" a="1"/>
  <c r="N7" i="30" s="1"/>
  <c r="T18" i="30" a="1"/>
  <c r="T18" i="30" s="1"/>
  <c r="N11" i="30" a="1"/>
  <c r="N11" i="30" s="1"/>
  <c r="N12" i="30" a="1"/>
  <c r="N12" i="30" s="1"/>
  <c r="L7" i="30" a="1"/>
  <c r="L7" i="30" s="1"/>
  <c r="K12" i="30" a="1"/>
  <c r="K12" i="30" s="1"/>
  <c r="L25" i="30" a="1"/>
  <c r="L25" i="30" s="1"/>
  <c r="K7" i="30" a="1"/>
  <c r="K7" i="30" s="1"/>
  <c r="M18" i="30" a="1"/>
  <c r="M18" i="30" s="1"/>
  <c r="K17" i="30" a="1"/>
  <c r="K17" i="30" s="1"/>
  <c r="L9" i="30" a="1"/>
  <c r="L9" i="30" s="1"/>
  <c r="U28" i="30" a="1"/>
  <c r="U28" i="30" s="1"/>
  <c r="L11" i="30" a="1"/>
  <c r="L11" i="30" s="1"/>
  <c r="W28" i="30" a="1"/>
  <c r="W28" i="30" s="1"/>
  <c r="K11" i="30" a="1"/>
  <c r="K11" i="30" s="1"/>
  <c r="U18" i="30" a="1"/>
  <c r="U18" i="30" s="1"/>
  <c r="M20" i="30" a="1"/>
  <c r="M20" i="30" s="1"/>
  <c r="M25" i="30" a="1"/>
  <c r="M25" i="30" s="1"/>
  <c r="N15" i="30" a="1"/>
  <c r="N15" i="30" s="1"/>
  <c r="L15" i="30" a="1"/>
  <c r="L15" i="30" s="1"/>
  <c r="L28" i="30" a="1"/>
  <c r="L28" i="30" s="1"/>
  <c r="L26" i="30" a="1"/>
  <c r="L26" i="30" s="1"/>
  <c r="W6" i="30" a="1"/>
  <c r="W6" i="30" s="1"/>
  <c r="M26" i="30" a="1"/>
  <c r="M26" i="30" s="1"/>
  <c r="N26" i="30" a="1"/>
  <c r="N26" i="30" s="1"/>
  <c r="N6" i="30" a="1"/>
  <c r="N6" i="30" s="1"/>
  <c r="L18" i="30" a="1"/>
  <c r="L18" i="30" s="1"/>
  <c r="M4" i="30" a="1"/>
  <c r="M4" i="30" s="1"/>
  <c r="N25" i="30" a="1"/>
  <c r="N25" i="30" s="1"/>
  <c r="T4" i="30" a="1"/>
  <c r="T4" i="30" s="1"/>
  <c r="K15" i="30" a="1"/>
  <c r="K15" i="30" s="1"/>
  <c r="T25" i="30" a="1"/>
  <c r="T25" i="30" s="1"/>
  <c r="L8" i="30" a="1"/>
  <c r="L8" i="30" s="1"/>
  <c r="N17" i="30" a="1"/>
  <c r="N17" i="30" s="1"/>
  <c r="W12" i="30" a="1"/>
  <c r="W12" i="30" s="1"/>
  <c r="V29" i="30" a="1"/>
  <c r="V29" i="30" s="1"/>
  <c r="U12" i="30" a="1"/>
  <c r="U12" i="30" s="1"/>
  <c r="U4" i="30" a="1"/>
  <c r="U4" i="30" s="1"/>
  <c r="V12" i="30" a="1"/>
  <c r="V12" i="30" s="1"/>
  <c r="L20" i="30" a="1"/>
  <c r="L20" i="30" s="1"/>
  <c r="L17" i="30" a="1"/>
  <c r="L17" i="30" s="1"/>
  <c r="W10" i="30" a="1"/>
  <c r="W10" i="30" s="1"/>
  <c r="U29" i="30" a="1"/>
  <c r="U29" i="30" s="1"/>
  <c r="U14" i="30" a="1"/>
  <c r="U14" i="30" s="1"/>
  <c r="W5" i="30" a="1"/>
  <c r="W5" i="30" s="1"/>
  <c r="V16" i="30" a="1"/>
  <c r="V16" i="30" s="1"/>
  <c r="K3" i="30" a="1"/>
  <c r="K3" i="30" s="1"/>
  <c r="M34" i="7" s="1"/>
  <c r="N3" i="30" a="1"/>
  <c r="N3" i="30" s="1"/>
  <c r="V4" i="30" a="1"/>
  <c r="V4" i="30" s="1"/>
  <c r="M36" i="7" s="1"/>
  <c r="U5" i="30" a="1"/>
  <c r="U5" i="30" s="1"/>
  <c r="U16" i="30" a="1"/>
  <c r="U16" i="30" s="1"/>
  <c r="W21" i="30" a="1"/>
  <c r="W21" i="30" s="1"/>
  <c r="W16" i="30" a="1"/>
  <c r="W16" i="30" s="1"/>
  <c r="N8" i="30" a="1"/>
  <c r="N8" i="30" s="1"/>
  <c r="U21" i="30" a="1"/>
  <c r="U21" i="30" s="1"/>
  <c r="M3" i="30" a="1"/>
  <c r="M3" i="30" s="1"/>
  <c r="M13" i="30" a="1"/>
  <c r="M13" i="30" s="1"/>
  <c r="L23" i="30" a="1"/>
  <c r="L23" i="30" s="1"/>
  <c r="T21" i="30" a="1"/>
  <c r="T21" i="30" s="1"/>
  <c r="W18" i="30" a="1"/>
  <c r="W18" i="30" s="1"/>
  <c r="N20" i="30" a="1"/>
  <c r="N20" i="30" s="1"/>
  <c r="W3" i="30" a="1"/>
  <c r="W3" i="30" s="1"/>
  <c r="V6" i="30" a="1"/>
  <c r="V6" i="30" s="1"/>
  <c r="D22" i="30" a="1"/>
  <c r="D22" i="30" s="1"/>
  <c r="B12" i="30" a="1"/>
  <c r="B12" i="30" s="1"/>
  <c r="E19" i="30" a="1"/>
  <c r="E19" i="30" s="1"/>
  <c r="D16" i="30" a="1"/>
  <c r="D16" i="30" s="1"/>
  <c r="D17" i="30" a="1"/>
  <c r="D17" i="30" s="1"/>
  <c r="C19" i="30" a="1"/>
  <c r="C19" i="30" s="1"/>
  <c r="E14" i="30" a="1"/>
  <c r="E14" i="30" s="1"/>
  <c r="B17" i="30" a="1"/>
  <c r="B17" i="30" s="1"/>
  <c r="B22" i="30" a="1"/>
  <c r="B22" i="30" s="1"/>
  <c r="E3" i="30" a="1"/>
  <c r="E3" i="30" s="1"/>
  <c r="D3" i="30" a="1"/>
  <c r="D3" i="30" s="1"/>
  <c r="C3" i="30" a="1"/>
  <c r="C3" i="30" s="1"/>
  <c r="B16" i="30" a="1"/>
  <c r="B16" i="30" s="1"/>
  <c r="C16" i="30" a="1"/>
  <c r="C16" i="30" s="1"/>
  <c r="D4" i="30" a="1"/>
  <c r="D4" i="30" s="1"/>
  <c r="E17" i="30" a="1"/>
  <c r="E17" i="30" s="1"/>
  <c r="B18" i="30" a="1"/>
  <c r="B18" i="30" s="1"/>
  <c r="B19" i="30" a="1"/>
  <c r="B19" i="30" s="1"/>
  <c r="E5" i="30" a="1"/>
  <c r="E5" i="30" s="1"/>
  <c r="C5" i="30" a="1"/>
  <c r="C5" i="30" s="1"/>
  <c r="C8" i="30" a="1"/>
  <c r="C8" i="30" s="1"/>
  <c r="D8" i="30" a="1"/>
  <c r="D8" i="30" s="1"/>
  <c r="B28" i="30" a="1"/>
  <c r="B28" i="30" s="1"/>
  <c r="C6" i="30" a="1"/>
  <c r="C6" i="30" s="1"/>
  <c r="B6" i="30" a="1"/>
  <c r="B6" i="30" s="1"/>
  <c r="E8" i="30" a="1"/>
  <c r="E8" i="30" s="1"/>
  <c r="E29" i="30" a="1"/>
  <c r="E29" i="30" s="1"/>
  <c r="C29" i="30" a="1"/>
  <c r="C29" i="30" s="1"/>
  <c r="D29" i="30" a="1"/>
  <c r="D29" i="30" s="1"/>
  <c r="D14" i="30" a="1"/>
  <c r="D14" i="30" s="1"/>
  <c r="E22" i="30" a="1"/>
  <c r="E22" i="30" s="1"/>
  <c r="B7" i="30" a="1"/>
  <c r="B7" i="30" s="1"/>
  <c r="C7" i="30" a="1"/>
  <c r="C7" i="30" s="1"/>
  <c r="D13" i="30" a="1"/>
  <c r="D13" i="30" s="1"/>
  <c r="E21" i="30" a="1"/>
  <c r="E21" i="30" s="1"/>
  <c r="D11" i="30" a="1"/>
  <c r="D11" i="30" s="1"/>
  <c r="C20" i="30" a="1"/>
  <c r="C20" i="30" s="1"/>
  <c r="C13" i="30" a="1"/>
  <c r="C13" i="30" s="1"/>
  <c r="D21" i="30" a="1"/>
  <c r="D21" i="30" s="1"/>
  <c r="E20" i="30" a="1"/>
  <c r="E20" i="30" s="1"/>
  <c r="E13" i="30" a="1"/>
  <c r="E13" i="30" s="1"/>
  <c r="B20" i="30" a="1"/>
  <c r="B20" i="30" s="1"/>
  <c r="C21" i="30" a="1"/>
  <c r="C21" i="30" s="1"/>
  <c r="D5" i="30" a="1"/>
  <c r="D5" i="30" s="1"/>
  <c r="C14" i="30" a="1"/>
  <c r="C14" i="30" s="1"/>
  <c r="E15" i="30" a="1"/>
  <c r="E15" i="30" s="1"/>
  <c r="E6" i="30" a="1"/>
  <c r="E6" i="30" s="1"/>
  <c r="D15" i="30" a="1"/>
  <c r="D15" i="30" s="1"/>
  <c r="B15" i="30" a="1"/>
  <c r="B15" i="30" s="1"/>
  <c r="E28" i="30" a="1"/>
  <c r="E28" i="30" s="1"/>
  <c r="D28" i="30" a="1"/>
  <c r="D28" i="30" s="1"/>
  <c r="E18" i="30" a="1"/>
  <c r="E18" i="30" s="1"/>
  <c r="D18" i="30" a="1"/>
  <c r="D18" i="30" s="1"/>
  <c r="K9" i="30" a="1"/>
  <c r="K9" i="30" s="1"/>
  <c r="K28" i="30" a="1"/>
  <c r="K28" i="30" s="1"/>
  <c r="T7" i="30" a="1"/>
  <c r="T7" i="30" s="1"/>
  <c r="V28" i="30" a="1"/>
  <c r="V28" i="30" s="1"/>
  <c r="N29" i="30" a="1"/>
  <c r="N29" i="30" s="1"/>
  <c r="U7" i="30" a="1"/>
  <c r="U7" i="30" s="1"/>
  <c r="W7" i="30" a="1"/>
  <c r="W7" i="30" s="1"/>
  <c r="B24" i="30" a="1"/>
  <c r="B24" i="30" s="1"/>
  <c r="M29" i="30" a="1"/>
  <c r="M29" i="30" s="1"/>
  <c r="E11" i="30" a="1"/>
  <c r="E11" i="30" s="1"/>
  <c r="L29" i="30" a="1"/>
  <c r="L29" i="30" s="1"/>
  <c r="C11" i="30" a="1"/>
  <c r="C11" i="30" s="1"/>
  <c r="U10" i="30" a="1"/>
  <c r="U10" i="30" s="1"/>
  <c r="T29" i="30" a="1"/>
  <c r="T29" i="30" s="1"/>
  <c r="V14" i="30" a="1"/>
  <c r="V14" i="30" s="1"/>
  <c r="U27" i="30" a="1"/>
  <c r="U27" i="30" s="1"/>
  <c r="V10" i="30" a="1"/>
  <c r="V10" i="30" s="1"/>
  <c r="C4" i="30" a="1"/>
  <c r="C4" i="30" s="1"/>
  <c r="A4" i="7" s="1"/>
  <c r="V27" i="30" a="1"/>
  <c r="V27" i="30" s="1"/>
  <c r="D25" i="30" a="1"/>
  <c r="D25" i="30" s="1"/>
  <c r="E25" i="30" a="1"/>
  <c r="E25" i="30" s="1"/>
  <c r="B4" i="30" a="1"/>
  <c r="B4" i="30" s="1"/>
  <c r="W27" i="30" a="1"/>
  <c r="W27" i="30" s="1"/>
  <c r="W23" i="30" a="1"/>
  <c r="W23" i="30" s="1"/>
  <c r="D12" i="30" a="1"/>
  <c r="D12" i="30" s="1"/>
  <c r="B25" i="30" a="1"/>
  <c r="B25" i="30" s="1"/>
  <c r="V23" i="30" a="1"/>
  <c r="V23" i="30" s="1"/>
  <c r="U23" i="30" a="1"/>
  <c r="U23" i="30" s="1"/>
  <c r="M22" i="30" a="1"/>
  <c r="M22" i="30" s="1"/>
  <c r="V5" i="30" a="1"/>
  <c r="V5" i="30" s="1"/>
  <c r="D24" i="30" a="1"/>
  <c r="D24" i="30" s="1"/>
  <c r="E12" i="30" a="1"/>
  <c r="E12" i="30" s="1"/>
  <c r="V3" i="30" a="1"/>
  <c r="V3" i="30" s="1"/>
  <c r="U3" i="30" a="1"/>
  <c r="U3" i="30" s="1"/>
  <c r="W25" i="30" a="1"/>
  <c r="W25" i="30" s="1"/>
  <c r="N9" i="30" a="1"/>
  <c r="N9" i="30" s="1"/>
  <c r="N28" i="30" a="1"/>
  <c r="N28" i="30" s="1"/>
  <c r="V25" i="30" a="1"/>
  <c r="V25" i="30" s="1"/>
  <c r="E24" i="30" a="1"/>
  <c r="E24" i="30" s="1"/>
  <c r="E9" i="30" a="1"/>
  <c r="E9" i="30" s="1"/>
  <c r="N19" i="30" a="1"/>
  <c r="N19" i="30" s="1"/>
  <c r="D9" i="30" a="1"/>
  <c r="D9" i="30" s="1"/>
  <c r="C9" i="30" a="1"/>
  <c r="C9" i="30" s="1"/>
  <c r="K19" i="30" a="1"/>
  <c r="K19" i="30" s="1"/>
  <c r="W20" i="30" a="1"/>
  <c r="W20" i="30" s="1"/>
  <c r="V20" i="30" a="1"/>
  <c r="V20" i="30" s="1"/>
  <c r="L10" i="30" a="1"/>
  <c r="L10" i="30" s="1"/>
  <c r="U20" i="30" a="1"/>
  <c r="U20" i="30" s="1"/>
  <c r="N10" i="30" a="1"/>
  <c r="N10" i="30" s="1"/>
  <c r="W24" i="30" a="1"/>
  <c r="W24" i="30" s="1"/>
  <c r="L19" i="30" a="1"/>
  <c r="L19" i="30" s="1"/>
  <c r="M10" i="30" a="1"/>
  <c r="M10" i="30" s="1"/>
  <c r="V24" i="30" a="1"/>
  <c r="V24" i="30" s="1"/>
  <c r="U24" i="30" a="1"/>
  <c r="U24" i="30" s="1"/>
  <c r="N27" i="30" a="1"/>
  <c r="N27" i="30" s="1"/>
  <c r="W15" i="30" a="1"/>
  <c r="W15" i="30" s="1"/>
  <c r="M27" i="30" a="1"/>
  <c r="M27" i="30" s="1"/>
  <c r="V15" i="30" a="1"/>
  <c r="V15" i="30" s="1"/>
  <c r="L27" i="30" a="1"/>
  <c r="L27" i="30" s="1"/>
  <c r="U15" i="30" a="1"/>
  <c r="U15" i="30" s="1"/>
  <c r="K14" i="30" a="1"/>
  <c r="K14" i="30" s="1"/>
  <c r="C26" i="30" a="1"/>
  <c r="C26" i="30" s="1"/>
  <c r="B26" i="30" a="1"/>
  <c r="B26" i="30" s="1"/>
  <c r="D26" i="30" a="1"/>
  <c r="D26" i="30" s="1"/>
  <c r="L14" i="30" a="1"/>
  <c r="L14" i="30" s="1"/>
  <c r="L4" i="30" a="1"/>
  <c r="L4" i="30" s="1"/>
  <c r="U6" i="30" a="1"/>
  <c r="U6" i="30" s="1"/>
  <c r="K4" i="30" a="1"/>
  <c r="K4" i="30" s="1"/>
  <c r="W17" i="30" a="1"/>
  <c r="W17" i="30" s="1"/>
  <c r="W13" i="30" a="1"/>
  <c r="W13" i="30" s="1"/>
  <c r="V17" i="30" a="1"/>
  <c r="V17" i="30" s="1"/>
  <c r="N22" i="30" a="1"/>
  <c r="N22" i="30" s="1"/>
  <c r="V13" i="30" a="1"/>
  <c r="V13" i="30" s="1"/>
  <c r="U17" i="30" a="1"/>
  <c r="U17" i="30" s="1"/>
  <c r="U13" i="30" a="1"/>
  <c r="U13" i="30" s="1"/>
  <c r="U12" i="31" a="1"/>
  <c r="U12" i="31" s="1"/>
  <c r="T26" i="30" a="1"/>
  <c r="T26" i="30" s="1"/>
  <c r="N16" i="30" a="1"/>
  <c r="N16" i="30" s="1"/>
  <c r="M16" i="30" a="1"/>
  <c r="M16" i="30" s="1"/>
  <c r="L16" i="30" a="1"/>
  <c r="L16" i="30" s="1"/>
  <c r="L22" i="30" a="1"/>
  <c r="L22" i="30" s="1"/>
  <c r="V26" i="30" a="1"/>
  <c r="V26" i="30" s="1"/>
  <c r="N5" i="33" a="1"/>
  <c r="N5" i="33" s="1"/>
  <c r="L5" i="33" a="1"/>
  <c r="L5" i="33" s="1"/>
  <c r="V20" i="23" a="1"/>
  <c r="V20" i="23" s="1"/>
  <c r="V5" i="23" a="1"/>
  <c r="V5" i="23" s="1"/>
  <c r="W3" i="23" a="1"/>
  <c r="W3" i="23" s="1"/>
  <c r="L25" i="33" a="1"/>
  <c r="L25" i="33" s="1"/>
  <c r="X3" i="23" a="1"/>
  <c r="X3" i="23" s="1"/>
  <c r="Y3" i="23" a="1"/>
  <c r="Y3" i="23" s="1"/>
  <c r="N25" i="33" a="1"/>
  <c r="N25" i="33" s="1"/>
  <c r="K25" i="33" a="1"/>
  <c r="K25" i="33" s="1"/>
  <c r="M20" i="33" a="1"/>
  <c r="M20" i="33" s="1"/>
  <c r="M5" i="33" a="1"/>
  <c r="M5" i="33" s="1"/>
  <c r="M4" i="33" a="1"/>
  <c r="M4" i="33" s="1"/>
  <c r="L4" i="33" a="1"/>
  <c r="L4" i="33" s="1"/>
  <c r="M15" i="33" a="1"/>
  <c r="M15" i="33" s="1"/>
  <c r="W10" i="33" a="1"/>
  <c r="W10" i="33" s="1"/>
  <c r="K4" i="33" a="1"/>
  <c r="K4" i="33" s="1"/>
  <c r="L10" i="33" a="1"/>
  <c r="L10" i="33" s="1"/>
  <c r="V25" i="33" a="1"/>
  <c r="V25" i="33" s="1"/>
  <c r="K10" i="33" a="1"/>
  <c r="K10" i="33" s="1"/>
  <c r="N10" i="33" a="1"/>
  <c r="N10" i="33" s="1"/>
  <c r="U25" i="33" a="1"/>
  <c r="U25" i="33" s="1"/>
  <c r="T25" i="33" a="1"/>
  <c r="T25" i="33" s="1"/>
  <c r="V4" i="33" a="1"/>
  <c r="V4" i="33" s="1"/>
  <c r="U4" i="33" a="1"/>
  <c r="U4" i="33" s="1"/>
  <c r="T4" i="33" a="1"/>
  <c r="T4" i="33" s="1"/>
  <c r="L15" i="33" a="1"/>
  <c r="L15" i="33" s="1"/>
  <c r="B4" i="5" s="1"/>
  <c r="N20" i="33" a="1"/>
  <c r="N20" i="33" s="1"/>
  <c r="K20" i="33" a="1"/>
  <c r="K20" i="33" s="1"/>
  <c r="U10" i="33" a="1"/>
  <c r="U10" i="33" s="1"/>
  <c r="T10" i="33" a="1"/>
  <c r="T10" i="33" s="1"/>
  <c r="T15" i="33" a="1"/>
  <c r="T15" i="33" s="1"/>
  <c r="U15" i="33" a="1"/>
  <c r="U15" i="33" s="1"/>
  <c r="W15" i="33" a="1"/>
  <c r="W15" i="33" s="1"/>
  <c r="W5" i="23" a="1"/>
  <c r="W5" i="23" s="1"/>
  <c r="B4" i="33" a="1"/>
  <c r="B4" i="33" s="1"/>
  <c r="C4" i="33" a="1"/>
  <c r="C4" i="33" s="1"/>
  <c r="A4" i="5" s="1"/>
  <c r="B7" i="33" a="1"/>
  <c r="B7" i="33" s="1"/>
  <c r="C23" i="33" a="1"/>
  <c r="C23" i="33" s="1"/>
  <c r="E5" i="33" a="1"/>
  <c r="E5" i="33" s="1"/>
  <c r="B5" i="33" a="1"/>
  <c r="B5" i="33" s="1"/>
  <c r="D5" i="33" a="1"/>
  <c r="D5" i="33" s="1"/>
  <c r="C26" i="33" a="1"/>
  <c r="C26" i="33" s="1"/>
  <c r="D12" i="33" a="1"/>
  <c r="D12" i="33" s="1"/>
  <c r="B15" i="33" a="1"/>
  <c r="B15" i="33" s="1"/>
  <c r="C21" i="33" a="1"/>
  <c r="C21" i="33" s="1"/>
  <c r="B20" i="33" a="1"/>
  <c r="B20" i="33" s="1"/>
  <c r="D21" i="33" a="1"/>
  <c r="D21" i="33" s="1"/>
  <c r="B6" i="33" a="1"/>
  <c r="B6" i="33" s="1"/>
  <c r="E28" i="33" a="1"/>
  <c r="E28" i="33" s="1"/>
  <c r="C22" i="33" a="1"/>
  <c r="C22" i="33" s="1"/>
  <c r="B21" i="33" a="1"/>
  <c r="B21" i="33" s="1"/>
  <c r="E27" i="33" a="1"/>
  <c r="E27" i="33" s="1"/>
  <c r="C27" i="33" a="1"/>
  <c r="C27" i="33" s="1"/>
  <c r="D11" i="33" a="1"/>
  <c r="D11" i="33" s="1"/>
  <c r="B22" i="33" a="1"/>
  <c r="B22" i="33" s="1"/>
  <c r="D26" i="33" a="1"/>
  <c r="D26" i="33" s="1"/>
  <c r="B28" i="33" a="1"/>
  <c r="B28" i="33" s="1"/>
  <c r="B27" i="33" a="1"/>
  <c r="B27" i="33" s="1"/>
  <c r="D28" i="33" a="1"/>
  <c r="D28" i="33" s="1"/>
  <c r="C7" i="33" a="1"/>
  <c r="C7" i="33" s="1"/>
  <c r="P3" i="23" a="1"/>
  <c r="P3" i="23" s="1"/>
  <c r="O3" i="23" a="1"/>
  <c r="O3" i="23" s="1"/>
  <c r="N3" i="23" a="1"/>
  <c r="N3" i="23" s="1"/>
  <c r="C6" i="33" a="1"/>
  <c r="C6" i="33" s="1"/>
  <c r="B16" i="33" a="1"/>
  <c r="B16" i="33" s="1"/>
  <c r="D6" i="33" a="1"/>
  <c r="D6" i="33" s="1"/>
  <c r="C17" i="33" a="1"/>
  <c r="C17" i="33" s="1"/>
  <c r="B11" i="33" a="1"/>
  <c r="B11" i="33" s="1"/>
  <c r="B13" i="33" a="1"/>
  <c r="B13" i="33" s="1"/>
  <c r="C18" i="33" a="1"/>
  <c r="C18" i="33" s="1"/>
  <c r="B18" i="33" a="1"/>
  <c r="B18" i="33" s="1"/>
  <c r="B26" i="33" a="1"/>
  <c r="B26" i="33" s="1"/>
  <c r="D22" i="33" a="1"/>
  <c r="D22" i="33" s="1"/>
  <c r="E11" i="33" a="1"/>
  <c r="E11" i="33" s="1"/>
  <c r="D4" i="33" a="1"/>
  <c r="D4" i="33" s="1"/>
  <c r="D17" i="33" a="1"/>
  <c r="D17" i="33" s="1"/>
  <c r="W20" i="33" a="1"/>
  <c r="W20" i="33" s="1"/>
  <c r="U20" i="33" a="1"/>
  <c r="U20" i="33" s="1"/>
  <c r="C4" i="5" s="1"/>
  <c r="T20" i="33" a="1"/>
  <c r="T20" i="33" s="1"/>
  <c r="D7" i="33" a="1"/>
  <c r="D7" i="33" s="1"/>
  <c r="D23" i="33" a="1"/>
  <c r="D23" i="33" s="1"/>
  <c r="D13" i="33" a="1"/>
  <c r="D13" i="33" s="1"/>
  <c r="K15" i="33" a="1"/>
  <c r="K15" i="33" s="1"/>
  <c r="B25" i="33" a="1"/>
  <c r="B25" i="33" s="1"/>
  <c r="D10" i="33" a="1"/>
  <c r="D10" i="33" s="1"/>
  <c r="D25" i="33" a="1"/>
  <c r="D25" i="33" s="1"/>
  <c r="C8" i="33" a="1"/>
  <c r="C8" i="33" s="1"/>
  <c r="C13" i="33" a="1"/>
  <c r="C13" i="33" s="1"/>
  <c r="C25" i="33" a="1"/>
  <c r="C25" i="33" s="1"/>
  <c r="W20" i="23" a="1"/>
  <c r="W20" i="23" s="1"/>
  <c r="B12" i="33" a="1"/>
  <c r="B12" i="33" s="1"/>
  <c r="B23" i="33" a="1"/>
  <c r="B23" i="33" s="1"/>
  <c r="V15" i="23" a="1"/>
  <c r="V15" i="23" s="1"/>
  <c r="W5" i="33" a="1"/>
  <c r="W5" i="33" s="1"/>
  <c r="D16" i="33" a="1"/>
  <c r="D16" i="33" s="1"/>
  <c r="Y15" i="23" a="1"/>
  <c r="Y15" i="23" s="1"/>
  <c r="V5" i="33" a="1"/>
  <c r="V5" i="33" s="1"/>
  <c r="C15" i="33" a="1"/>
  <c r="C15" i="33" s="1"/>
  <c r="U5" i="33" a="1"/>
  <c r="U5" i="33" s="1"/>
  <c r="C16" i="33" a="1"/>
  <c r="C16" i="33" s="1"/>
  <c r="V22" i="30" a="1"/>
  <c r="V22" i="30" s="1"/>
  <c r="W22" i="30" a="1"/>
  <c r="W22" i="30" s="1"/>
  <c r="K24" i="30" a="1"/>
  <c r="K24" i="30" s="1"/>
  <c r="N24" i="30" a="1"/>
  <c r="N24" i="30" s="1"/>
  <c r="U26" i="30" a="1"/>
  <c r="U26" i="30" s="1"/>
  <c r="L29" i="31" a="1"/>
  <c r="L29" i="31" s="1"/>
  <c r="M24" i="30" a="1"/>
  <c r="M24" i="30" s="1"/>
  <c r="U22" i="30" a="1"/>
  <c r="U22" i="30" s="1"/>
  <c r="B27" i="30" a="1"/>
  <c r="B27" i="30" s="1"/>
  <c r="D27" i="30" a="1"/>
  <c r="D27" i="30" s="1"/>
  <c r="X5" i="23" a="1"/>
  <c r="X5" i="23" s="1"/>
  <c r="E27" i="30" a="1"/>
  <c r="E27" i="30" s="1"/>
  <c r="E7" i="30" a="1"/>
  <c r="E7" i="30" s="1"/>
  <c r="C10" i="30" a="1"/>
  <c r="C10" i="30" s="1"/>
  <c r="D10" i="30" a="1"/>
  <c r="D10" i="30" s="1"/>
  <c r="E10" i="30" a="1"/>
  <c r="E10" i="30" s="1"/>
  <c r="N23" i="23" a="1"/>
  <c r="N23" i="23" s="1"/>
  <c r="N8" i="23" a="1"/>
  <c r="N8" i="23" s="1"/>
  <c r="O11" i="23" a="1"/>
  <c r="O11" i="23" s="1"/>
  <c r="O7" i="23" a="1"/>
  <c r="O7" i="23" s="1"/>
  <c r="N7" i="23" a="1"/>
  <c r="N7" i="23" s="1"/>
  <c r="O26" i="23" a="1"/>
  <c r="O26" i="23" s="1"/>
  <c r="M6" i="23" a="1"/>
  <c r="M6" i="23" s="1"/>
  <c r="C29" i="23"/>
  <c r="H29" i="23" s="1"/>
  <c r="D29" i="23" s="1" a="1"/>
  <c r="D29" i="23" s="1"/>
  <c r="H34" i="27" s="1"/>
  <c r="C3" i="23"/>
  <c r="H3" i="23" s="1"/>
  <c r="P6" i="23" a="1"/>
  <c r="P6" i="23" s="1"/>
  <c r="O25" i="23" a="1"/>
  <c r="O25" i="23" s="1"/>
  <c r="X20" i="23" a="1"/>
  <c r="X20" i="23" s="1"/>
  <c r="O23" i="23" a="1"/>
  <c r="O23" i="23" s="1"/>
  <c r="P8" i="23" a="1"/>
  <c r="P8" i="23" s="1"/>
  <c r="M7" i="23" a="1"/>
  <c r="M7" i="23" s="1"/>
  <c r="M17" i="23" a="1"/>
  <c r="M17" i="23" s="1"/>
  <c r="N17" i="23" a="1"/>
  <c r="N17" i="23" s="1"/>
  <c r="O8" i="23" a="1"/>
  <c r="O8" i="23" s="1"/>
  <c r="P22" i="23" a="1"/>
  <c r="P22" i="23" s="1"/>
  <c r="P15" i="23" a="1"/>
  <c r="P15" i="23" s="1"/>
  <c r="N15" i="23" a="1"/>
  <c r="N15" i="23" s="1"/>
  <c r="P26" i="23" a="1"/>
  <c r="P26" i="23" s="1"/>
  <c r="N6" i="23" a="1"/>
  <c r="N6" i="23" s="1"/>
  <c r="N26" i="23" a="1"/>
  <c r="N26" i="23" s="1"/>
  <c r="O15" i="23" a="1"/>
  <c r="O15" i="23" s="1"/>
  <c r="W10" i="23" a="1"/>
  <c r="W10" i="23" s="1"/>
  <c r="X10" i="23" a="1"/>
  <c r="X10" i="23" s="1"/>
  <c r="X4" i="23" a="1"/>
  <c r="X4" i="23" s="1"/>
  <c r="Y10" i="23" a="1"/>
  <c r="Y10" i="23" s="1"/>
  <c r="Y4" i="23" a="1"/>
  <c r="Y4" i="23" s="1"/>
  <c r="N10" i="23" a="1"/>
  <c r="N10" i="23" s="1"/>
  <c r="N11" i="23" a="1"/>
  <c r="N11" i="23" s="1"/>
  <c r="M11" i="23" a="1"/>
  <c r="M11" i="23" s="1"/>
  <c r="N25" i="23" a="1"/>
  <c r="N25" i="23" s="1"/>
  <c r="P28" i="23" a="1"/>
  <c r="P28" i="23" s="1"/>
  <c r="M25" i="23" a="1"/>
  <c r="M25" i="23" s="1"/>
  <c r="O28" i="23" a="1"/>
  <c r="O28" i="23" s="1"/>
  <c r="M22" i="23" a="1"/>
  <c r="M22" i="23" s="1"/>
  <c r="W15" i="23" a="1"/>
  <c r="W15" i="23" s="1"/>
  <c r="M27" i="23" a="1"/>
  <c r="M27" i="23" s="1"/>
  <c r="N27" i="23" a="1"/>
  <c r="N27" i="23" s="1"/>
  <c r="O27" i="23" a="1"/>
  <c r="O27" i="23" s="1"/>
  <c r="N22" i="23" a="1"/>
  <c r="N22" i="23" s="1"/>
  <c r="O10" i="23" a="1"/>
  <c r="O10" i="23" s="1"/>
  <c r="X25" i="23" a="1"/>
  <c r="X25" i="23" s="1"/>
  <c r="M10" i="23" a="1"/>
  <c r="M10" i="23" s="1"/>
  <c r="M23" i="23" a="1"/>
  <c r="M23" i="23" s="1"/>
  <c r="O20" i="23" a="1"/>
  <c r="O20" i="23" s="1"/>
  <c r="O13" i="23" a="1"/>
  <c r="O13" i="23" s="1"/>
  <c r="P20" i="23" a="1"/>
  <c r="P20" i="23" s="1"/>
  <c r="M20" i="23" a="1"/>
  <c r="M20" i="23" s="1"/>
  <c r="W25" i="23" a="1"/>
  <c r="W25" i="23" s="1"/>
  <c r="V25" i="23" a="1"/>
  <c r="V25" i="23" s="1"/>
  <c r="M18" i="23" a="1"/>
  <c r="M18" i="23" s="1"/>
  <c r="M28" i="23" a="1"/>
  <c r="M28" i="23" s="1"/>
  <c r="V4" i="23" a="1"/>
  <c r="V4" i="23" s="1"/>
  <c r="N18" i="23" a="1"/>
  <c r="N18" i="23" s="1"/>
  <c r="P18" i="23" a="1"/>
  <c r="P18" i="23" s="1"/>
  <c r="C20" i="33" a="1"/>
  <c r="C20" i="33" s="1"/>
  <c r="C10" i="33" a="1"/>
  <c r="C10" i="33" s="1"/>
  <c r="B8" i="33" a="1"/>
  <c r="B8" i="33" s="1"/>
  <c r="E15" i="33" a="1"/>
  <c r="E15" i="33" s="1"/>
  <c r="B10" i="33" a="1"/>
  <c r="B10" i="33" s="1"/>
  <c r="C12" i="33" a="1"/>
  <c r="C12" i="33" s="1"/>
  <c r="D18" i="33" a="1"/>
  <c r="D18" i="33" s="1"/>
  <c r="D20" i="33" a="1"/>
  <c r="D20" i="33" s="1"/>
  <c r="P21" i="23" a="1"/>
  <c r="P21" i="23" s="1"/>
  <c r="U9" i="30" a="1"/>
  <c r="U9" i="30" s="1"/>
  <c r="M5" i="23" a="1"/>
  <c r="M5" i="23" s="1"/>
  <c r="T9" i="30" a="1"/>
  <c r="T9" i="30" s="1"/>
  <c r="N5" i="23" a="1"/>
  <c r="N5" i="23" s="1"/>
  <c r="V9" i="30" a="1"/>
  <c r="V9" i="30" s="1"/>
  <c r="O5" i="23" a="1"/>
  <c r="O5" i="23" s="1"/>
  <c r="O21" i="23" a="1"/>
  <c r="O21" i="23" s="1"/>
  <c r="P4" i="23" a="1"/>
  <c r="P4" i="23" s="1"/>
  <c r="N12" i="23" a="1"/>
  <c r="N12" i="23" s="1"/>
  <c r="M4" i="23" a="1"/>
  <c r="M4" i="23" s="1"/>
  <c r="O12" i="23" a="1"/>
  <c r="O12" i="23" s="1"/>
  <c r="N4" i="23" a="1"/>
  <c r="N4" i="23" s="1"/>
  <c r="O17" i="23" a="1"/>
  <c r="O17" i="23" s="1"/>
  <c r="P12" i="23" a="1"/>
  <c r="P12" i="23" s="1"/>
  <c r="P16" i="23" a="1"/>
  <c r="P16" i="23" s="1"/>
  <c r="E23" i="30" a="1"/>
  <c r="E23" i="30" s="1"/>
  <c r="N13" i="23" a="1"/>
  <c r="N13" i="23" s="1"/>
  <c r="M16" i="23" a="1"/>
  <c r="M16" i="23" s="1"/>
  <c r="D23" i="30" a="1"/>
  <c r="D23" i="30" s="1"/>
  <c r="D8" i="33" a="1"/>
  <c r="D8" i="33" s="1"/>
  <c r="B17" i="33" a="1"/>
  <c r="B17" i="33" s="1"/>
  <c r="N16" i="23" a="1"/>
  <c r="N16" i="23" s="1"/>
  <c r="C23" i="30" a="1"/>
  <c r="C23" i="30" s="1"/>
  <c r="M13" i="23" a="1"/>
  <c r="M13" i="23" s="1"/>
  <c r="M21" i="23" a="1"/>
  <c r="M21" i="23" s="1"/>
  <c r="B4" i="31" a="1"/>
  <c r="B4" i="31" s="1"/>
  <c r="E4" i="31" a="1"/>
  <c r="E4" i="31" s="1"/>
  <c r="U6" i="32" a="1"/>
  <c r="U6" i="32" s="1"/>
  <c r="K8" i="31" a="1"/>
  <c r="K8" i="31" s="1"/>
  <c r="L18" i="31" a="1"/>
  <c r="L18" i="31" s="1"/>
  <c r="V12" i="31" a="1"/>
  <c r="V12" i="31" s="1"/>
  <c r="U11" i="31" a="1"/>
  <c r="U11" i="31" s="1"/>
  <c r="T12" i="31" a="1"/>
  <c r="T12" i="31" s="1"/>
  <c r="W11" i="31" a="1"/>
  <c r="W11" i="31" s="1"/>
  <c r="U5" i="31" a="1"/>
  <c r="U5" i="31" s="1"/>
  <c r="N19" i="31" a="1"/>
  <c r="N19" i="31" s="1"/>
  <c r="L19" i="31" a="1"/>
  <c r="L19" i="31" s="1"/>
  <c r="K5" i="31" a="1"/>
  <c r="K5" i="31" s="1"/>
  <c r="M17" i="31" a="1"/>
  <c r="M17" i="31" s="1"/>
  <c r="M18" i="31" a="1"/>
  <c r="M18" i="31" s="1"/>
  <c r="K18" i="31" a="1"/>
  <c r="K18" i="31" s="1"/>
  <c r="M28" i="31" a="1"/>
  <c r="M28" i="31" s="1"/>
  <c r="N28" i="31" a="1"/>
  <c r="N28" i="31" s="1"/>
  <c r="M8" i="31" a="1"/>
  <c r="M8" i="31" s="1"/>
  <c r="T11" i="31" a="1"/>
  <c r="T11" i="31" s="1"/>
  <c r="L28" i="31" a="1"/>
  <c r="L28" i="31" s="1"/>
  <c r="L9" i="31" a="1"/>
  <c r="L9" i="31" s="1"/>
  <c r="N29" i="31" a="1"/>
  <c r="N29" i="31" s="1"/>
  <c r="T19" i="31" a="1"/>
  <c r="T19" i="31" s="1"/>
  <c r="W19" i="31" a="1"/>
  <c r="W19" i="31" s="1"/>
  <c r="V19" i="31" a="1"/>
  <c r="V19" i="31" s="1"/>
  <c r="L4" i="31" a="1"/>
  <c r="L4" i="31" s="1"/>
  <c r="M29" i="31" a="1"/>
  <c r="M29" i="31" s="1"/>
  <c r="W20" i="31" a="1"/>
  <c r="W20" i="31" s="1"/>
  <c r="M16" i="31" a="1"/>
  <c r="M16" i="31" s="1"/>
  <c r="L17" i="31" a="1"/>
  <c r="L17" i="31" s="1"/>
  <c r="K17" i="31" a="1"/>
  <c r="K17" i="31" s="1"/>
  <c r="T23" i="31" a="1"/>
  <c r="T23" i="31" s="1"/>
  <c r="M11" i="31" a="1"/>
  <c r="M11" i="31" s="1"/>
  <c r="K14" i="31" a="1"/>
  <c r="K14" i="31" s="1"/>
  <c r="M10" i="31" a="1"/>
  <c r="M10" i="31" s="1"/>
  <c r="M4" i="31" a="1"/>
  <c r="M4" i="31" s="1"/>
  <c r="T6" i="31" a="1"/>
  <c r="T6" i="31" s="1"/>
  <c r="N11" i="31" a="1"/>
  <c r="N11" i="31" s="1"/>
  <c r="L11" i="31" a="1"/>
  <c r="L11" i="31" s="1"/>
  <c r="N5" i="31" a="1"/>
  <c r="N5" i="31" s="1"/>
  <c r="N21" i="31" a="1"/>
  <c r="N21" i="31" s="1"/>
  <c r="U22" i="31" a="1"/>
  <c r="U22" i="31" s="1"/>
  <c r="N15" i="31" a="1"/>
  <c r="N15" i="31" s="1"/>
  <c r="L15" i="31" a="1"/>
  <c r="L15" i="31" s="1"/>
  <c r="K15" i="31" a="1"/>
  <c r="K15" i="31" s="1"/>
  <c r="T5" i="31" a="1"/>
  <c r="T5" i="31" s="1"/>
  <c r="L10" i="31" a="1"/>
  <c r="L10" i="31" s="1"/>
  <c r="U17" i="31" a="1"/>
  <c r="U17" i="31" s="1"/>
  <c r="N16" i="31" a="1"/>
  <c r="N16" i="31" s="1"/>
  <c r="V5" i="31" a="1"/>
  <c r="V5" i="31" s="1"/>
  <c r="W9" i="31" a="1"/>
  <c r="W9" i="31" s="1"/>
  <c r="W22" i="31" a="1"/>
  <c r="W22" i="31" s="1"/>
  <c r="U4" i="31" a="1"/>
  <c r="U4" i="31" s="1"/>
  <c r="N9" i="31" a="1"/>
  <c r="N9" i="31" s="1"/>
  <c r="V16" i="31" a="1"/>
  <c r="V16" i="31" s="1"/>
  <c r="W15" i="31" a="1"/>
  <c r="W15" i="31" s="1"/>
  <c r="N4" i="31" a="1"/>
  <c r="N4" i="31" s="1"/>
  <c r="T16" i="31" a="1"/>
  <c r="T16" i="31" s="1"/>
  <c r="M14" i="31" a="1"/>
  <c r="M14" i="31" s="1"/>
  <c r="N10" i="31" a="1"/>
  <c r="N10" i="31" s="1"/>
  <c r="K21" i="31" a="1"/>
  <c r="K21" i="31" s="1"/>
  <c r="V17" i="31" a="1"/>
  <c r="V17" i="31" s="1"/>
  <c r="W18" i="31" a="1"/>
  <c r="W18" i="31" s="1"/>
  <c r="U18" i="31" a="1"/>
  <c r="U18" i="31" s="1"/>
  <c r="T4" i="31" a="1"/>
  <c r="T4" i="31" s="1"/>
  <c r="N8" i="31" a="1"/>
  <c r="N8" i="31" s="1"/>
  <c r="U21" i="31" a="1"/>
  <c r="U21" i="31" s="1"/>
  <c r="W6" i="31" a="1"/>
  <c r="W6" i="31" s="1"/>
  <c r="T21" i="31" a="1"/>
  <c r="T21" i="31" s="1"/>
  <c r="T9" i="31" a="1"/>
  <c r="T9" i="31" s="1"/>
  <c r="N14" i="31" a="1"/>
  <c r="N14" i="31" s="1"/>
  <c r="V18" i="31" a="1"/>
  <c r="V18" i="31" s="1"/>
  <c r="T22" i="31" a="1"/>
  <c r="T22" i="31" s="1"/>
  <c r="N20" i="31" a="1"/>
  <c r="N20" i="31" s="1"/>
  <c r="T17" i="31" a="1"/>
  <c r="T17" i="31" s="1"/>
  <c r="M13" i="31" a="1"/>
  <c r="M13" i="31" s="1"/>
  <c r="W10" i="31" a="1"/>
  <c r="W10" i="31" s="1"/>
  <c r="M9" i="31" a="1"/>
  <c r="M9" i="31" s="1"/>
  <c r="V10" i="31" a="1"/>
  <c r="V10" i="31" s="1"/>
  <c r="U10" i="31" a="1"/>
  <c r="U10" i="31" s="1"/>
  <c r="N27" i="31" a="1"/>
  <c r="N27" i="31" s="1"/>
  <c r="L27" i="31" a="1"/>
  <c r="L27" i="31" s="1"/>
  <c r="N25" i="31" a="1"/>
  <c r="N25" i="31" s="1"/>
  <c r="T27" i="31" a="1"/>
  <c r="T27" i="31" s="1"/>
  <c r="N13" i="31" a="1"/>
  <c r="N13" i="31" s="1"/>
  <c r="K7" i="31" a="1"/>
  <c r="K7" i="31" s="1"/>
  <c r="N26" i="31" a="1"/>
  <c r="N26" i="31" s="1"/>
  <c r="L7" i="31" a="1"/>
  <c r="L7" i="31" s="1"/>
  <c r="W21" i="31" a="1"/>
  <c r="W21" i="31" s="1"/>
  <c r="W4" i="31" a="1"/>
  <c r="W4" i="31" s="1"/>
  <c r="U6" i="31" a="1"/>
  <c r="U6" i="31" s="1"/>
  <c r="N7" i="31" a="1"/>
  <c r="N7" i="31" s="1"/>
  <c r="W23" i="31" a="1"/>
  <c r="W23" i="31" s="1"/>
  <c r="T7" i="31" a="1"/>
  <c r="T7" i="31" s="1"/>
  <c r="V27" i="31" a="1"/>
  <c r="V27" i="31" s="1"/>
  <c r="L20" i="31" a="1"/>
  <c r="L20" i="31" s="1"/>
  <c r="L25" i="31" a="1"/>
  <c r="L25" i="31" s="1"/>
  <c r="K16" i="31" a="1"/>
  <c r="K16" i="31" s="1"/>
  <c r="U28" i="31" a="1"/>
  <c r="U28" i="31" s="1"/>
  <c r="V23" i="31" a="1"/>
  <c r="V23" i="31" s="1"/>
  <c r="V28" i="31" a="1"/>
  <c r="V28" i="31" s="1"/>
  <c r="K25" i="31" a="1"/>
  <c r="K25" i="31" s="1"/>
  <c r="T15" i="31" a="1"/>
  <c r="T15" i="31" s="1"/>
  <c r="M24" i="31" a="1"/>
  <c r="M24" i="31" s="1"/>
  <c r="N6" i="31" a="1"/>
  <c r="N6" i="31" s="1"/>
  <c r="V15" i="31" a="1"/>
  <c r="V15" i="31" s="1"/>
  <c r="K20" i="31" a="1"/>
  <c r="K20" i="31" s="1"/>
  <c r="U16" i="31" a="1"/>
  <c r="U16" i="31" s="1"/>
  <c r="K6" i="31" a="1"/>
  <c r="K6" i="31" s="1"/>
  <c r="L23" i="31" a="1"/>
  <c r="L23" i="31" s="1"/>
  <c r="W14" i="31" a="1"/>
  <c r="W14" i="31" s="1"/>
  <c r="V7" i="31" a="1"/>
  <c r="V7" i="31" s="1"/>
  <c r="W8" i="31" a="1"/>
  <c r="W8" i="31" s="1"/>
  <c r="L13" i="31" a="1"/>
  <c r="L13" i="31" s="1"/>
  <c r="U9" i="31" a="1"/>
  <c r="U9" i="31" s="1"/>
  <c r="W27" i="31" a="1"/>
  <c r="W27" i="31" s="1"/>
  <c r="U24" i="31" a="1"/>
  <c r="U24" i="31" s="1"/>
  <c r="U26" i="31" a="1"/>
  <c r="U26" i="31" s="1"/>
  <c r="K27" i="31" a="1"/>
  <c r="K27" i="31" s="1"/>
  <c r="W7" i="31" a="1"/>
  <c r="W7" i="31" s="1"/>
  <c r="K24" i="31" a="1"/>
  <c r="K24" i="31" s="1"/>
  <c r="V8" i="31" a="1"/>
  <c r="V8" i="31" s="1"/>
  <c r="N24" i="31" a="1"/>
  <c r="N24" i="31" s="1"/>
  <c r="T8" i="31" a="1"/>
  <c r="T8" i="31" s="1"/>
  <c r="U14" i="31" a="1"/>
  <c r="U14" i="31" s="1"/>
  <c r="M6" i="31" a="1"/>
  <c r="M6" i="31" s="1"/>
  <c r="T28" i="31" a="1"/>
  <c r="T28" i="31" s="1"/>
  <c r="L26" i="31" a="1"/>
  <c r="L26" i="31" s="1"/>
  <c r="T14" i="31" a="1"/>
  <c r="T14" i="31" s="1"/>
  <c r="W29" i="31" a="1"/>
  <c r="W29" i="31" s="1"/>
  <c r="K26" i="31" a="1"/>
  <c r="K26" i="31" s="1"/>
  <c r="T26" i="31" a="1"/>
  <c r="T26" i="31" s="1"/>
  <c r="V29" i="31" a="1"/>
  <c r="V29" i="31" s="1"/>
  <c r="U29" i="31" a="1"/>
  <c r="U29" i="31" s="1"/>
  <c r="T24" i="31" a="1"/>
  <c r="T24" i="31" s="1"/>
  <c r="V26" i="31" a="1"/>
  <c r="V26" i="31" s="1"/>
  <c r="L22" i="31" a="1"/>
  <c r="L22" i="31" s="1"/>
  <c r="K12" i="31" a="1"/>
  <c r="K12" i="31" s="1"/>
  <c r="M12" i="31" a="1"/>
  <c r="M12" i="31" s="1"/>
  <c r="L12" i="31" a="1"/>
  <c r="L12" i="31" s="1"/>
  <c r="W25" i="31" a="1"/>
  <c r="W25" i="31" s="1"/>
  <c r="V25" i="31" a="1"/>
  <c r="V25" i="31" s="1"/>
  <c r="D20" i="31" a="1"/>
  <c r="D20" i="31" s="1"/>
  <c r="E18" i="31" a="1"/>
  <c r="E18" i="31" s="1"/>
  <c r="C20" i="31" a="1"/>
  <c r="C20" i="31" s="1"/>
  <c r="D18" i="31" a="1"/>
  <c r="D18" i="31" s="1"/>
  <c r="C18" i="31" a="1"/>
  <c r="C18" i="31" s="1"/>
  <c r="E20" i="31" a="1"/>
  <c r="E20" i="31" s="1"/>
  <c r="D17" i="31" a="1"/>
  <c r="D17" i="31" s="1"/>
  <c r="B19" i="31" a="1"/>
  <c r="B19" i="31" s="1"/>
  <c r="C4" i="31" a="1"/>
  <c r="C4" i="31" s="1"/>
  <c r="C9" i="31" a="1"/>
  <c r="C9" i="31" s="1"/>
  <c r="B9" i="31" a="1"/>
  <c r="B9" i="31" s="1"/>
  <c r="E19" i="31" a="1"/>
  <c r="E19" i="31" s="1"/>
  <c r="E9" i="31" a="1"/>
  <c r="E9" i="31" s="1"/>
  <c r="D19" i="31" a="1"/>
  <c r="D19" i="31" s="1"/>
  <c r="C7" i="31" a="1"/>
  <c r="C7" i="31" s="1"/>
  <c r="D10" i="31" a="1"/>
  <c r="D10" i="31" s="1"/>
  <c r="C16" i="31" a="1"/>
  <c r="C16" i="31" s="1"/>
  <c r="E12" i="31" a="1"/>
  <c r="E12" i="31" s="1"/>
  <c r="B10" i="31" a="1"/>
  <c r="B10" i="31" s="1"/>
  <c r="C27" i="31" a="1"/>
  <c r="C27" i="31" s="1"/>
  <c r="B15" i="31" a="1"/>
  <c r="B15" i="31" s="1"/>
  <c r="B16" i="31" a="1"/>
  <c r="B16" i="31" s="1"/>
  <c r="D7" i="31" a="1"/>
  <c r="D7" i="31" s="1"/>
  <c r="D27" i="31" a="1"/>
  <c r="D27" i="31" s="1"/>
  <c r="B14" i="31" a="1"/>
  <c r="B14" i="31" s="1"/>
  <c r="E16" i="31" a="1"/>
  <c r="E16" i="31" s="1"/>
  <c r="C12" i="31" a="1"/>
  <c r="C12" i="31" s="1"/>
  <c r="E17" i="31" a="1"/>
  <c r="E17" i="31" s="1"/>
  <c r="B17" i="31" a="1"/>
  <c r="B17" i="31" s="1"/>
  <c r="D12" i="31" a="1"/>
  <c r="D12" i="31" s="1"/>
  <c r="D26" i="31" a="1"/>
  <c r="D26" i="31" s="1"/>
  <c r="C26" i="31" a="1"/>
  <c r="C26" i="31" s="1"/>
  <c r="E29" i="31" a="1"/>
  <c r="E29" i="31" s="1"/>
  <c r="D29" i="31" a="1"/>
  <c r="D29" i="31" s="1"/>
  <c r="D24" i="31" a="1"/>
  <c r="D24" i="31" s="1"/>
  <c r="E15" i="31" a="1"/>
  <c r="E15" i="31" s="1"/>
  <c r="E5" i="31" a="1"/>
  <c r="E5" i="31" s="1"/>
  <c r="B5" i="31" a="1"/>
  <c r="B5" i="31" s="1"/>
  <c r="B6" i="31" a="1"/>
  <c r="B6" i="31" s="1"/>
  <c r="E7" i="31" a="1"/>
  <c r="E7" i="31" s="1"/>
  <c r="D5" i="31" a="1"/>
  <c r="D5" i="31" s="1"/>
  <c r="B27" i="31" a="1"/>
  <c r="B27" i="31" s="1"/>
  <c r="B29" i="31" a="1"/>
  <c r="B29" i="31" s="1"/>
  <c r="D14" i="31" a="1"/>
  <c r="D14" i="31" s="1"/>
  <c r="C14" i="31" a="1"/>
  <c r="C14" i="31" s="1"/>
  <c r="D25" i="31" a="1"/>
  <c r="D25" i="31" s="1"/>
  <c r="B25" i="31" a="1"/>
  <c r="B25" i="31" s="1"/>
  <c r="D15" i="31" a="1"/>
  <c r="D15" i="31" s="1"/>
  <c r="C21" i="31" a="1"/>
  <c r="C21" i="31" s="1"/>
  <c r="E24" i="31" a="1"/>
  <c r="E24" i="31" s="1"/>
  <c r="E21" i="31" a="1"/>
  <c r="E21" i="31" s="1"/>
  <c r="C8" i="31" a="1"/>
  <c r="C8" i="31" s="1"/>
  <c r="E10" i="31" a="1"/>
  <c r="E10" i="31" s="1"/>
  <c r="D8" i="31" a="1"/>
  <c r="D8" i="31" s="1"/>
  <c r="E8" i="31" a="1"/>
  <c r="E8" i="31" s="1"/>
  <c r="B13" i="31" a="1"/>
  <c r="B13" i="31" s="1"/>
  <c r="D13" i="31" a="1"/>
  <c r="D13" i="31" s="1"/>
  <c r="C13" i="31" a="1"/>
  <c r="C13" i="31" s="1"/>
  <c r="E6" i="31" a="1"/>
  <c r="E6" i="31" s="1"/>
  <c r="D6" i="31" a="1"/>
  <c r="D6" i="31" s="1"/>
  <c r="B24" i="31" a="1"/>
  <c r="B24" i="31" s="1"/>
  <c r="E23" i="31" a="1"/>
  <c r="E23" i="31" s="1"/>
  <c r="D23" i="31" a="1"/>
  <c r="D23" i="31" s="1"/>
  <c r="E25" i="31" a="1"/>
  <c r="E25" i="31" s="1"/>
  <c r="C23" i="31" a="1"/>
  <c r="C23" i="31" s="1"/>
  <c r="E11" i="31" a="1"/>
  <c r="E11" i="31" s="1"/>
  <c r="D11" i="31" a="1"/>
  <c r="D11" i="31" s="1"/>
  <c r="C11" i="31" a="1"/>
  <c r="C11" i="31" s="1"/>
  <c r="D28" i="31" a="1"/>
  <c r="D28" i="31" s="1"/>
  <c r="B28" i="31" a="1"/>
  <c r="B28" i="31" s="1"/>
  <c r="E28" i="31" a="1"/>
  <c r="E28" i="31" s="1"/>
  <c r="B26" i="31" a="1"/>
  <c r="B26" i="31" s="1"/>
  <c r="U25" i="31" a="1"/>
  <c r="U25" i="31" s="1"/>
  <c r="M22" i="31" a="1"/>
  <c r="M22" i="31" s="1"/>
  <c r="N22" i="31" a="1"/>
  <c r="N22" i="31" s="1"/>
  <c r="N23" i="31" a="1"/>
  <c r="N23" i="31" s="1"/>
  <c r="D21" i="31" a="1"/>
  <c r="D21" i="31" s="1"/>
  <c r="M23" i="31" a="1"/>
  <c r="M23" i="31" s="1"/>
  <c r="E22" i="31" a="1"/>
  <c r="E22" i="31" s="1"/>
  <c r="D22" i="31" a="1"/>
  <c r="D22" i="31" s="1"/>
  <c r="C22" i="31" a="1"/>
  <c r="C22" i="31" s="1"/>
  <c r="M5" i="31" a="1"/>
  <c r="M5" i="31" s="1"/>
  <c r="M21" i="31" a="1"/>
  <c r="M21" i="31" s="1"/>
  <c r="W24" i="31" a="1"/>
  <c r="W24" i="31" s="1"/>
  <c r="E25" i="32" a="1"/>
  <c r="E25" i="32" s="1"/>
  <c r="V24" i="32" a="1"/>
  <c r="V24" i="32" s="1"/>
  <c r="U26" i="32" a="1"/>
  <c r="U26" i="32" s="1"/>
  <c r="U28" i="32" a="1"/>
  <c r="U28" i="32" s="1"/>
  <c r="U29" i="32" a="1"/>
  <c r="U29" i="32" s="1"/>
  <c r="U4" i="32" a="1"/>
  <c r="U4" i="32" s="1"/>
  <c r="V4" i="32" a="1"/>
  <c r="V4" i="32" s="1"/>
  <c r="O4" i="9" s="1"/>
  <c r="X3" i="9" s="1"/>
  <c r="N18" i="9" s="1"/>
  <c r="N22" i="32" a="1"/>
  <c r="N22" i="32" s="1"/>
  <c r="M7" i="32" a="1"/>
  <c r="M7" i="32" s="1"/>
  <c r="K26" i="32" a="1"/>
  <c r="K26" i="32" s="1"/>
  <c r="K7" i="32" a="1"/>
  <c r="K7" i="32" s="1"/>
  <c r="M18" i="32" a="1"/>
  <c r="M18" i="32" s="1"/>
  <c r="K23" i="32" a="1"/>
  <c r="K23" i="32" s="1"/>
  <c r="L26" i="32" a="1"/>
  <c r="L26" i="32" s="1"/>
  <c r="K18" i="32" a="1"/>
  <c r="K18" i="32" s="1"/>
  <c r="M26" i="32" a="1"/>
  <c r="M26" i="32" s="1"/>
  <c r="W27" i="32" a="1"/>
  <c r="W27" i="32" s="1"/>
  <c r="M10" i="32" a="1"/>
  <c r="M10" i="32" s="1"/>
  <c r="K27" i="32" a="1"/>
  <c r="K27" i="32" s="1"/>
  <c r="N24" i="32" a="1"/>
  <c r="N24" i="32" s="1"/>
  <c r="N17" i="32" a="1"/>
  <c r="N17" i="32" s="1"/>
  <c r="N18" i="32" a="1"/>
  <c r="N18" i="32" s="1"/>
  <c r="U22" i="32" a="1"/>
  <c r="U22" i="32" s="1"/>
  <c r="T5" i="32" a="1"/>
  <c r="T5" i="32" s="1"/>
  <c r="N23" i="32" a="1"/>
  <c r="N23" i="32" s="1"/>
  <c r="M27" i="32" a="1"/>
  <c r="M27" i="32" s="1"/>
  <c r="W10" i="32" a="1"/>
  <c r="W10" i="32" s="1"/>
  <c r="W5" i="32" a="1"/>
  <c r="W5" i="32" s="1"/>
  <c r="L10" i="32" a="1"/>
  <c r="L10" i="32" s="1"/>
  <c r="W6" i="32" a="1"/>
  <c r="W6" i="32" s="1"/>
  <c r="L27" i="32" a="1"/>
  <c r="L27" i="32" s="1"/>
  <c r="K14" i="32" a="1"/>
  <c r="K14" i="32" s="1"/>
  <c r="N15" i="32" a="1"/>
  <c r="N15" i="32" s="1"/>
  <c r="K17" i="32" a="1"/>
  <c r="K17" i="32" s="1"/>
  <c r="M23" i="32" a="1"/>
  <c r="M23" i="32" s="1"/>
  <c r="U27" i="32" a="1"/>
  <c r="U27" i="32" s="1"/>
  <c r="M25" i="32" a="1"/>
  <c r="M25" i="32" s="1"/>
  <c r="L25" i="32" a="1"/>
  <c r="L25" i="32" s="1"/>
  <c r="W28" i="32" a="1"/>
  <c r="W28" i="32" s="1"/>
  <c r="V8" i="32" a="1"/>
  <c r="V8" i="32" s="1"/>
  <c r="M6" i="32" a="1"/>
  <c r="M6" i="32" s="1"/>
  <c r="L21" i="32" a="1"/>
  <c r="L21" i="32" s="1"/>
  <c r="T6" i="32" a="1"/>
  <c r="T6" i="32" s="1"/>
  <c r="T28" i="32" a="1"/>
  <c r="T28" i="32" s="1"/>
  <c r="T19" i="32" a="1"/>
  <c r="T19" i="32" s="1"/>
  <c r="K6" i="32" a="1"/>
  <c r="K6" i="32" s="1"/>
  <c r="M8" i="32" a="1"/>
  <c r="M8" i="32" s="1"/>
  <c r="W22" i="32" a="1"/>
  <c r="W22" i="32" s="1"/>
  <c r="N4" i="32" a="1"/>
  <c r="N4" i="32" s="1"/>
  <c r="M13" i="32" a="1"/>
  <c r="M13" i="32" s="1"/>
  <c r="W7" i="32" a="1"/>
  <c r="W7" i="32" s="1"/>
  <c r="L22" i="32" a="1"/>
  <c r="L22" i="32" s="1"/>
  <c r="L14" i="32" a="1"/>
  <c r="L14" i="32" s="1"/>
  <c r="N10" i="32" a="1"/>
  <c r="N10" i="32" s="1"/>
  <c r="U20" i="32" a="1"/>
  <c r="U20" i="32" s="1"/>
  <c r="M22" i="32" a="1"/>
  <c r="M22" i="32" s="1"/>
  <c r="K13" i="32" a="1"/>
  <c r="K13" i="32" s="1"/>
  <c r="N6" i="32" a="1"/>
  <c r="N6" i="32" s="1"/>
  <c r="M14" i="32" a="1"/>
  <c r="M14" i="32" s="1"/>
  <c r="L17" i="32" a="1"/>
  <c r="L17" i="32" s="1"/>
  <c r="L4" i="32" a="1"/>
  <c r="L4" i="32" s="1"/>
  <c r="T8" i="32" a="1"/>
  <c r="T8" i="32" s="1"/>
  <c r="T12" i="32" a="1"/>
  <c r="T12" i="32" s="1"/>
  <c r="K8" i="32" a="1"/>
  <c r="K8" i="32" s="1"/>
  <c r="L19" i="32" a="1"/>
  <c r="L19" i="32" s="1"/>
  <c r="V12" i="32" a="1"/>
  <c r="V12" i="32" s="1"/>
  <c r="U10" i="32" a="1"/>
  <c r="U10" i="32" s="1"/>
  <c r="U19" i="32" a="1"/>
  <c r="U19" i="32" s="1"/>
  <c r="V20" i="32" a="1"/>
  <c r="V20" i="32" s="1"/>
  <c r="V25" i="32" a="1"/>
  <c r="V25" i="32" s="1"/>
  <c r="M24" i="32" a="1"/>
  <c r="M24" i="32" s="1"/>
  <c r="U5" i="32" a="1"/>
  <c r="U5" i="32" s="1"/>
  <c r="T25" i="32" a="1"/>
  <c r="T25" i="32" s="1"/>
  <c r="L8" i="32" a="1"/>
  <c r="L8" i="32" s="1"/>
  <c r="U12" i="32" a="1"/>
  <c r="U12" i="32" s="1"/>
  <c r="W15" i="32" a="1"/>
  <c r="W15" i="32" s="1"/>
  <c r="N9" i="32" a="1"/>
  <c r="N9" i="32" s="1"/>
  <c r="M15" i="32" a="1"/>
  <c r="M15" i="32" s="1"/>
  <c r="W16" i="32" a="1"/>
  <c r="W16" i="32" s="1"/>
  <c r="T4" i="32" a="1"/>
  <c r="T4" i="32" s="1"/>
  <c r="N25" i="32" a="1"/>
  <c r="N25" i="32" s="1"/>
  <c r="K15" i="32" a="1"/>
  <c r="K15" i="32" s="1"/>
  <c r="V27" i="32" a="1"/>
  <c r="V27" i="32" s="1"/>
  <c r="U17" i="32" a="1"/>
  <c r="U17" i="32" s="1"/>
  <c r="V18" i="32" a="1"/>
  <c r="V18" i="32" s="1"/>
  <c r="N16" i="32" a="1"/>
  <c r="N16" i="32" s="1"/>
  <c r="T17" i="32" a="1"/>
  <c r="T17" i="32" s="1"/>
  <c r="U18" i="32" a="1"/>
  <c r="U18" i="32" s="1"/>
  <c r="W20" i="32" a="1"/>
  <c r="W20" i="32" s="1"/>
  <c r="N20" i="32" a="1"/>
  <c r="N20" i="32" s="1"/>
  <c r="V26" i="32" a="1"/>
  <c r="V26" i="32" s="1"/>
  <c r="N11" i="32" a="1"/>
  <c r="N11" i="32" s="1"/>
  <c r="M21" i="32" a="1"/>
  <c r="M21" i="32" s="1"/>
  <c r="T7" i="32" a="1"/>
  <c r="T7" i="32" s="1"/>
  <c r="W26" i="32" a="1"/>
  <c r="W26" i="32" s="1"/>
  <c r="L11" i="32" a="1"/>
  <c r="L11" i="32" s="1"/>
  <c r="V23" i="32" a="1"/>
  <c r="V23" i="32" s="1"/>
  <c r="K11" i="32" a="1"/>
  <c r="K11" i="32" s="1"/>
  <c r="K21" i="32" a="1"/>
  <c r="K21" i="32" s="1"/>
  <c r="U23" i="32" a="1"/>
  <c r="U23" i="32" s="1"/>
  <c r="K4" i="32" a="1"/>
  <c r="K4" i="32" s="1"/>
  <c r="L7" i="32" a="1"/>
  <c r="L7" i="32" s="1"/>
  <c r="N13" i="32" a="1"/>
  <c r="N13" i="32" s="1"/>
  <c r="W8" i="32" a="1"/>
  <c r="W8" i="32" s="1"/>
  <c r="T23" i="32" a="1"/>
  <c r="T23" i="32" s="1"/>
  <c r="T11" i="32" a="1"/>
  <c r="T11" i="32" s="1"/>
  <c r="W24" i="32" a="1"/>
  <c r="W24" i="32" s="1"/>
  <c r="K24" i="32" a="1"/>
  <c r="K24" i="32" s="1"/>
  <c r="V22" i="32" a="1"/>
  <c r="V22" i="32" s="1"/>
  <c r="T18" i="32" a="1"/>
  <c r="T18" i="32" s="1"/>
  <c r="U9" i="32" a="1"/>
  <c r="U9" i="32" s="1"/>
  <c r="M16" i="32" a="1"/>
  <c r="M16" i="32" s="1"/>
  <c r="W9" i="32" a="1"/>
  <c r="W9" i="32" s="1"/>
  <c r="W19" i="32" a="1"/>
  <c r="W19" i="32" s="1"/>
  <c r="T9" i="32" a="1"/>
  <c r="T9" i="32" s="1"/>
  <c r="V11" i="32" a="1"/>
  <c r="V11" i="32" s="1"/>
  <c r="U11" i="32" a="1"/>
  <c r="U11" i="32" s="1"/>
  <c r="N28" i="32" a="1"/>
  <c r="N28" i="32" s="1"/>
  <c r="K19" i="32" a="1"/>
  <c r="K19" i="32" s="1"/>
  <c r="V14" i="32" a="1"/>
  <c r="V14" i="32" s="1"/>
  <c r="L28" i="32" a="1"/>
  <c r="L28" i="32" s="1"/>
  <c r="K28" i="32" a="1"/>
  <c r="K28" i="32" s="1"/>
  <c r="N19" i="32" a="1"/>
  <c r="N19" i="32" s="1"/>
  <c r="T15" i="32" a="1"/>
  <c r="T15" i="32" s="1"/>
  <c r="U16" i="32" a="1"/>
  <c r="U16" i="32" s="1"/>
  <c r="W25" i="32" a="1"/>
  <c r="W25" i="32" s="1"/>
  <c r="M20" i="32" a="1"/>
  <c r="M20" i="32" s="1"/>
  <c r="W17" i="32" a="1"/>
  <c r="W17" i="32" s="1"/>
  <c r="L9" i="32" a="1"/>
  <c r="L9" i="32" s="1"/>
  <c r="U24" i="32" a="1"/>
  <c r="U24" i="32" s="1"/>
  <c r="C7" i="32" a="1"/>
  <c r="C7" i="32" s="1"/>
  <c r="D7" i="32" a="1"/>
  <c r="D7" i="32" s="1"/>
  <c r="D22" i="32" a="1"/>
  <c r="D22" i="32" s="1"/>
  <c r="B22" i="32" a="1"/>
  <c r="B22" i="32" s="1"/>
  <c r="C14" i="32" a="1"/>
  <c r="C14" i="32" s="1"/>
  <c r="E23" i="32" a="1"/>
  <c r="E23" i="32" s="1"/>
  <c r="D23" i="32" a="1"/>
  <c r="D23" i="32" s="1"/>
  <c r="D8" i="32" a="1"/>
  <c r="D8" i="32" s="1"/>
  <c r="B23" i="32" a="1"/>
  <c r="B23" i="32" s="1"/>
  <c r="D4" i="32" a="1"/>
  <c r="D4" i="32" s="1"/>
  <c r="D15" i="32" a="1"/>
  <c r="D15" i="32" s="1"/>
  <c r="B4" i="32" a="1"/>
  <c r="B4" i="32" s="1"/>
  <c r="C8" i="32" a="1"/>
  <c r="C8" i="32" s="1"/>
  <c r="B16" i="32" a="1"/>
  <c r="B16" i="32" s="1"/>
  <c r="E16" i="32" a="1"/>
  <c r="E16" i="32" s="1"/>
  <c r="B12" i="32" a="1"/>
  <c r="B12" i="32" s="1"/>
  <c r="C12" i="32" a="1"/>
  <c r="C12" i="32" s="1"/>
  <c r="C15" i="32" a="1"/>
  <c r="C15" i="32" s="1"/>
  <c r="B15" i="32" a="1"/>
  <c r="B15" i="32" s="1"/>
  <c r="C4" i="32" a="1"/>
  <c r="C4" i="32" s="1"/>
  <c r="A4" i="9" s="1"/>
  <c r="D16" i="32" a="1"/>
  <c r="D16" i="32" s="1"/>
  <c r="D17" i="32" a="1"/>
  <c r="D17" i="32" s="1"/>
  <c r="D24" i="32" a="1"/>
  <c r="D24" i="32" s="1"/>
  <c r="E24" i="32" a="1"/>
  <c r="E24" i="32" s="1"/>
  <c r="D25" i="32" a="1"/>
  <c r="D25" i="32" s="1"/>
  <c r="B24" i="32" a="1"/>
  <c r="B24" i="32" s="1"/>
  <c r="D13" i="32" a="1"/>
  <c r="D13" i="32" s="1"/>
  <c r="B14" i="32" a="1"/>
  <c r="B14" i="32" s="1"/>
  <c r="D29" i="32" a="1"/>
  <c r="D29" i="32" s="1"/>
  <c r="C25" i="32" a="1"/>
  <c r="C25" i="32" s="1"/>
  <c r="C29" i="32" a="1"/>
  <c r="C29" i="32" s="1"/>
  <c r="D14" i="32" a="1"/>
  <c r="D14" i="32" s="1"/>
  <c r="E13" i="32" a="1"/>
  <c r="E13" i="32" s="1"/>
  <c r="B7" i="32" a="1"/>
  <c r="B7" i="32" s="1"/>
  <c r="E18" i="32" a="1"/>
  <c r="E18" i="32" s="1"/>
  <c r="E8" i="32" a="1"/>
  <c r="E8" i="32" s="1"/>
  <c r="E22" i="32" a="1"/>
  <c r="E22" i="32" s="1"/>
  <c r="E9" i="32" a="1"/>
  <c r="E9" i="32" s="1"/>
  <c r="B26" i="32" a="1"/>
  <c r="B26" i="32" s="1"/>
  <c r="D9" i="32" a="1"/>
  <c r="D9" i="32" s="1"/>
  <c r="E17" i="32" a="1"/>
  <c r="E17" i="32" s="1"/>
  <c r="C17" i="32" a="1"/>
  <c r="C17" i="32" s="1"/>
  <c r="C26" i="32" a="1"/>
  <c r="C26" i="32" s="1"/>
  <c r="D18" i="32" a="1"/>
  <c r="D18" i="32" s="1"/>
  <c r="B5" i="32" a="1"/>
  <c r="B5" i="32" s="1"/>
  <c r="D6" i="32" a="1"/>
  <c r="D6" i="32" s="1"/>
  <c r="E10" i="32" a="1"/>
  <c r="E10" i="32" s="1"/>
  <c r="C18" i="32" a="1"/>
  <c r="C18" i="32" s="1"/>
  <c r="C6" i="32" a="1"/>
  <c r="C6" i="32" s="1"/>
  <c r="D10" i="32" a="1"/>
  <c r="D10" i="32" s="1"/>
  <c r="D20" i="32" a="1"/>
  <c r="D20" i="32" s="1"/>
  <c r="C10" i="32" a="1"/>
  <c r="C10" i="32" s="1"/>
  <c r="C20" i="32" a="1"/>
  <c r="C20" i="32" s="1"/>
  <c r="B9" i="32" a="1"/>
  <c r="B9" i="32" s="1"/>
  <c r="B20" i="32" a="1"/>
  <c r="B20" i="32" s="1"/>
  <c r="E27" i="32" a="1"/>
  <c r="E27" i="32" s="1"/>
  <c r="E21" i="32" a="1"/>
  <c r="E21" i="32" s="1"/>
  <c r="D27" i="32" a="1"/>
  <c r="D27" i="32" s="1"/>
  <c r="D21" i="32" a="1"/>
  <c r="D21" i="32" s="1"/>
  <c r="C27" i="32" a="1"/>
  <c r="C27" i="32" s="1"/>
  <c r="E5" i="32" a="1"/>
  <c r="E5" i="32" s="1"/>
  <c r="D12" i="32" a="1"/>
  <c r="D12" i="32" s="1"/>
  <c r="C21" i="32" a="1"/>
  <c r="C21" i="32" s="1"/>
  <c r="D26" i="32" a="1"/>
  <c r="D26" i="32" s="1"/>
  <c r="C13" i="32" a="1"/>
  <c r="C13" i="32" s="1"/>
  <c r="K5" i="32" a="1"/>
  <c r="K5" i="32" s="1"/>
  <c r="E11" i="32" a="1"/>
  <c r="E11" i="32" s="1"/>
  <c r="L20" i="32" a="1"/>
  <c r="L20" i="32" s="1"/>
  <c r="D11" i="32" a="1"/>
  <c r="D11" i="32" s="1"/>
  <c r="C19" i="32" a="1"/>
  <c r="C19" i="32" s="1"/>
  <c r="D19" i="32" a="1"/>
  <c r="D19" i="32" s="1"/>
  <c r="C11" i="32" a="1"/>
  <c r="C11" i="32" s="1"/>
  <c r="U7" i="32" a="1"/>
  <c r="U7" i="32" s="1"/>
  <c r="W13" i="32" a="1"/>
  <c r="W13" i="32" s="1"/>
  <c r="V13" i="32" a="1"/>
  <c r="V13" i="32" s="1"/>
  <c r="T13" i="32" a="1"/>
  <c r="T13" i="32" s="1"/>
  <c r="E28" i="32" a="1"/>
  <c r="E28" i="32" s="1"/>
  <c r="M12" i="32" a="1"/>
  <c r="M12" i="32" s="1"/>
  <c r="L16" i="32" a="1"/>
  <c r="L16" i="32" s="1"/>
  <c r="V10" i="32" a="1"/>
  <c r="V10" i="32" s="1"/>
  <c r="W29" i="32" a="1"/>
  <c r="W29" i="32" s="1"/>
  <c r="T14" i="32" a="1"/>
  <c r="T14" i="32" s="1"/>
  <c r="D28" i="32" a="1"/>
  <c r="D28" i="32" s="1"/>
  <c r="V29" i="32" a="1"/>
  <c r="V29" i="32" s="1"/>
  <c r="U14" i="32" a="1"/>
  <c r="U14" i="32" s="1"/>
  <c r="C28" i="32" a="1"/>
  <c r="C28" i="32" s="1"/>
  <c r="B19" i="32" a="1"/>
  <c r="B19" i="32" s="1"/>
  <c r="N12" i="32" a="1"/>
  <c r="N12" i="32" s="1"/>
  <c r="U21" i="32" a="1"/>
  <c r="U21" i="32" s="1"/>
  <c r="K12" i="32" a="1"/>
  <c r="K12" i="32" s="1"/>
  <c r="D5" i="32" a="1"/>
  <c r="D5" i="32" s="1"/>
  <c r="V15" i="32" a="1"/>
  <c r="V15" i="32" s="1"/>
  <c r="T21" i="32" a="1"/>
  <c r="T21" i="32" s="1"/>
  <c r="M9" i="32" a="1"/>
  <c r="M9" i="32" s="1"/>
  <c r="M29" i="32" a="1"/>
  <c r="M29" i="32" s="1"/>
  <c r="V21" i="32" a="1"/>
  <c r="V21" i="32" s="1"/>
  <c r="N29" i="32" a="1"/>
  <c r="N29" i="32" s="1"/>
  <c r="E6" i="32" a="1"/>
  <c r="E6" i="32" s="1"/>
  <c r="E29" i="32" a="1"/>
  <c r="E29" i="32" s="1"/>
  <c r="L29" i="32" a="1"/>
  <c r="L29" i="32" s="1"/>
  <c r="V16" i="32" a="1"/>
  <c r="V16" i="32" s="1"/>
  <c r="N5" i="32" a="1"/>
  <c r="N5" i="32" s="1"/>
  <c r="M5" i="32" a="1"/>
  <c r="M5" i="32" s="1"/>
  <c r="N17" i="9" a="1"/>
  <c r="N17" i="9" s="1"/>
  <c r="N17" i="7" a="1"/>
  <c r="N17" i="7" s="1"/>
  <c r="U9" i="29" a="1"/>
  <c r="U9" i="29" s="1"/>
  <c r="L22" i="29" a="1"/>
  <c r="L22" i="29" s="1"/>
  <c r="M22" i="29" a="1"/>
  <c r="M22" i="29" s="1"/>
  <c r="N22" i="29" a="1"/>
  <c r="N22" i="29" s="1"/>
  <c r="M21" i="29" a="1"/>
  <c r="M21" i="29" s="1"/>
  <c r="K7" i="29" a="1"/>
  <c r="K7" i="29" s="1"/>
  <c r="M7" i="29" a="1"/>
  <c r="M7" i="29" s="1"/>
  <c r="L17" i="29" a="1"/>
  <c r="L17" i="29" s="1"/>
  <c r="M20" i="29" a="1"/>
  <c r="M20" i="29" s="1"/>
  <c r="N12" i="29" a="1"/>
  <c r="N12" i="29" s="1"/>
  <c r="K20" i="29" a="1"/>
  <c r="K20" i="29" s="1"/>
  <c r="L4" i="29" a="1"/>
  <c r="L4" i="29" s="1"/>
  <c r="M4" i="29" a="1"/>
  <c r="M4" i="29" s="1"/>
  <c r="N16" i="29" a="1"/>
  <c r="N16" i="29" s="1"/>
  <c r="N4" i="29" a="1"/>
  <c r="N4" i="29" s="1"/>
  <c r="U27" i="29" a="1"/>
  <c r="U27" i="29" s="1"/>
  <c r="L12" i="29" a="1"/>
  <c r="L12" i="29" s="1"/>
  <c r="V12" i="29" a="1"/>
  <c r="V12" i="29" s="1"/>
  <c r="W27" i="29" a="1"/>
  <c r="W27" i="29" s="1"/>
  <c r="N24" i="29" a="1"/>
  <c r="N24" i="29" s="1"/>
  <c r="K12" i="29" a="1"/>
  <c r="K12" i="29" s="1"/>
  <c r="V8" i="29" a="1"/>
  <c r="V8" i="29" s="1"/>
  <c r="K16" i="29" a="1"/>
  <c r="K16" i="29" s="1"/>
  <c r="T18" i="29" a="1"/>
  <c r="T18" i="29" s="1"/>
  <c r="L21" i="29" a="1"/>
  <c r="L21" i="29" s="1"/>
  <c r="U29" i="29" a="1"/>
  <c r="U29" i="29" s="1"/>
  <c r="N7" i="29" a="1"/>
  <c r="N7" i="29" s="1"/>
  <c r="L29" i="29" a="1"/>
  <c r="L29" i="29" s="1"/>
  <c r="K29" i="29" a="1"/>
  <c r="K29" i="29" s="1"/>
  <c r="V29" i="29" a="1"/>
  <c r="V29" i="29" s="1"/>
  <c r="W29" i="29" a="1"/>
  <c r="W29" i="29" s="1"/>
  <c r="N8" i="29" a="1"/>
  <c r="N8" i="29" s="1"/>
  <c r="W25" i="29" a="1"/>
  <c r="W25" i="29" s="1"/>
  <c r="V13" i="29" a="1"/>
  <c r="V13" i="29" s="1"/>
  <c r="T25" i="29" a="1"/>
  <c r="T25" i="29" s="1"/>
  <c r="L25" i="29" a="1"/>
  <c r="L25" i="29" s="1"/>
  <c r="W13" i="29" a="1"/>
  <c r="W13" i="29" s="1"/>
  <c r="T11" i="29" a="1"/>
  <c r="T11" i="29" s="1"/>
  <c r="N17" i="29" a="1"/>
  <c r="N17" i="29" s="1"/>
  <c r="L18" i="29" a="1"/>
  <c r="L18" i="29" s="1"/>
  <c r="V11" i="29" a="1"/>
  <c r="V11" i="29" s="1"/>
  <c r="M16" i="29" a="1"/>
  <c r="M16" i="29" s="1"/>
  <c r="W11" i="29" a="1"/>
  <c r="W11" i="29" s="1"/>
  <c r="L23" i="29" a="1"/>
  <c r="L23" i="29" s="1"/>
  <c r="U12" i="29" a="1"/>
  <c r="U12" i="29" s="1"/>
  <c r="M17" i="29" a="1"/>
  <c r="M17" i="29" s="1"/>
  <c r="V10" i="29" a="1"/>
  <c r="V10" i="29" s="1"/>
  <c r="L14" i="29" a="1"/>
  <c r="L14" i="29" s="1"/>
  <c r="L19" i="29" a="1"/>
  <c r="L19" i="29" s="1"/>
  <c r="T10" i="29" a="1"/>
  <c r="T10" i="29" s="1"/>
  <c r="N5" i="29" a="1"/>
  <c r="N5" i="29" s="1"/>
  <c r="N20" i="29" a="1"/>
  <c r="N20" i="29" s="1"/>
  <c r="U10" i="29" a="1"/>
  <c r="U10" i="29" s="1"/>
  <c r="L15" i="29" a="1"/>
  <c r="L15" i="29" s="1"/>
  <c r="N15" i="29" a="1"/>
  <c r="N15" i="29" s="1"/>
  <c r="N23" i="29" a="1"/>
  <c r="N23" i="29" s="1"/>
  <c r="M15" i="29" a="1"/>
  <c r="M15" i="29" s="1"/>
  <c r="M23" i="29" a="1"/>
  <c r="M23" i="29" s="1"/>
  <c r="T9" i="29" a="1"/>
  <c r="T9" i="29" s="1"/>
  <c r="M8" i="29" a="1"/>
  <c r="M8" i="29" s="1"/>
  <c r="K25" i="29" a="1"/>
  <c r="K25" i="29" s="1"/>
  <c r="W24" i="29" a="1"/>
  <c r="W24" i="29" s="1"/>
  <c r="K5" i="29" a="1"/>
  <c r="K5" i="29" s="1"/>
  <c r="U13" i="29" a="1"/>
  <c r="U13" i="29" s="1"/>
  <c r="N29" i="29" a="1"/>
  <c r="N29" i="29" s="1"/>
  <c r="V9" i="29" a="1"/>
  <c r="V9" i="29" s="1"/>
  <c r="L10" i="29" a="1"/>
  <c r="L10" i="29" s="1"/>
  <c r="N21" i="29" a="1"/>
  <c r="N21" i="29" s="1"/>
  <c r="M19" i="29" a="1"/>
  <c r="M19" i="29" s="1"/>
  <c r="V25" i="29" a="1"/>
  <c r="V25" i="29" s="1"/>
  <c r="M9" i="29" a="1"/>
  <c r="M9" i="29" s="1"/>
  <c r="M5" i="29" a="1"/>
  <c r="M5" i="29" s="1"/>
  <c r="M13" i="29" a="1"/>
  <c r="M13" i="29" s="1"/>
  <c r="U14" i="29" a="1"/>
  <c r="U14" i="29" s="1"/>
  <c r="U22" i="29" a="1"/>
  <c r="U22" i="29" s="1"/>
  <c r="K13" i="29" a="1"/>
  <c r="K13" i="29" s="1"/>
  <c r="T14" i="29" a="1"/>
  <c r="T14" i="29" s="1"/>
  <c r="U21" i="29" a="1"/>
  <c r="U21" i="29" s="1"/>
  <c r="N13" i="29" a="1"/>
  <c r="N13" i="29" s="1"/>
  <c r="U16" i="29" a="1"/>
  <c r="U16" i="29" s="1"/>
  <c r="L8" i="29" a="1"/>
  <c r="L8" i="29" s="1"/>
  <c r="N18" i="29" a="1"/>
  <c r="N18" i="29" s="1"/>
  <c r="V20" i="29" a="1"/>
  <c r="V20" i="29" s="1"/>
  <c r="M10" i="29" a="1"/>
  <c r="M10" i="29" s="1"/>
  <c r="V22" i="29" a="1"/>
  <c r="V22" i="29" s="1"/>
  <c r="M24" i="29" a="1"/>
  <c r="M24" i="29" s="1"/>
  <c r="T8" i="29" a="1"/>
  <c r="T8" i="29" s="1"/>
  <c r="W5" i="29" a="1"/>
  <c r="W5" i="29" s="1"/>
  <c r="L27" i="29" a="1"/>
  <c r="L27" i="29" s="1"/>
  <c r="L24" i="29" a="1"/>
  <c r="L24" i="29" s="1"/>
  <c r="M18" i="29" a="1"/>
  <c r="M18" i="29" s="1"/>
  <c r="T5" i="29" a="1"/>
  <c r="T5" i="29" s="1"/>
  <c r="N11" i="29" a="1"/>
  <c r="N11" i="29" s="1"/>
  <c r="K11" i="29" a="1"/>
  <c r="K11" i="29" s="1"/>
  <c r="V18" i="29" a="1"/>
  <c r="V18" i="29" s="1"/>
  <c r="N19" i="29" a="1"/>
  <c r="N19" i="29" s="1"/>
  <c r="U18" i="29" a="1"/>
  <c r="U18" i="29" s="1"/>
  <c r="V21" i="29" a="1"/>
  <c r="V21" i="29" s="1"/>
  <c r="K14" i="29" a="1"/>
  <c r="K14" i="29" s="1"/>
  <c r="N9" i="29" a="1"/>
  <c r="N9" i="29" s="1"/>
  <c r="W17" i="29" a="1"/>
  <c r="W17" i="29" s="1"/>
  <c r="V17" i="29" a="1"/>
  <c r="V17" i="29" s="1"/>
  <c r="N10" i="29" a="1"/>
  <c r="N10" i="29" s="1"/>
  <c r="T20" i="29" a="1"/>
  <c r="T20" i="29" s="1"/>
  <c r="T17" i="29" a="1"/>
  <c r="T17" i="29" s="1"/>
  <c r="N25" i="29" a="1"/>
  <c r="N25" i="29" s="1"/>
  <c r="M27" i="29" a="1"/>
  <c r="M27" i="29" s="1"/>
  <c r="T27" i="29" a="1"/>
  <c r="T27" i="29" s="1"/>
  <c r="W8" i="29" a="1"/>
  <c r="W8" i="29" s="1"/>
  <c r="N28" i="29" a="1"/>
  <c r="N28" i="29" s="1"/>
  <c r="V26" i="29" a="1"/>
  <c r="V26" i="29" s="1"/>
  <c r="M28" i="29" a="1"/>
  <c r="M28" i="29" s="1"/>
  <c r="T24" i="29" a="1"/>
  <c r="T24" i="29" s="1"/>
  <c r="M11" i="29" a="1"/>
  <c r="M11" i="29" s="1"/>
  <c r="T26" i="29" a="1"/>
  <c r="T26" i="29" s="1"/>
  <c r="U4" i="29" a="1"/>
  <c r="U4" i="29" s="1"/>
  <c r="T19" i="29" a="1"/>
  <c r="T19" i="29" s="1"/>
  <c r="M6" i="29" a="1"/>
  <c r="M6" i="29" s="1"/>
  <c r="K26" i="29" a="1"/>
  <c r="K26" i="29" s="1"/>
  <c r="M14" i="29" a="1"/>
  <c r="M14" i="29" s="1"/>
  <c r="V6" i="29" a="1"/>
  <c r="V6" i="29" s="1"/>
  <c r="U19" i="29" a="1"/>
  <c r="U19" i="29" s="1"/>
  <c r="W7" i="29" a="1"/>
  <c r="W7" i="29" s="1"/>
  <c r="N6" i="29" a="1"/>
  <c r="N6" i="29" s="1"/>
  <c r="L26" i="29" a="1"/>
  <c r="L26" i="29" s="1"/>
  <c r="L6" i="29" a="1"/>
  <c r="L6" i="29" s="1"/>
  <c r="M26" i="29" a="1"/>
  <c r="M26" i="29" s="1"/>
  <c r="V19" i="29" a="1"/>
  <c r="V19" i="29" s="1"/>
  <c r="L28" i="29" a="1"/>
  <c r="L28" i="29" s="1"/>
  <c r="K9" i="29" a="1"/>
  <c r="K9" i="29" s="1"/>
  <c r="V15" i="29" a="1"/>
  <c r="V15" i="29" s="1"/>
  <c r="W15" i="29" a="1"/>
  <c r="W15" i="29" s="1"/>
  <c r="T4" i="29" a="1"/>
  <c r="T4" i="29" s="1"/>
  <c r="T23" i="29" a="1"/>
  <c r="T23" i="29" s="1"/>
  <c r="V16" i="29" a="1"/>
  <c r="V16" i="29" s="1"/>
  <c r="U6" i="29" a="1"/>
  <c r="U6" i="29" s="1"/>
  <c r="T16" i="29" a="1"/>
  <c r="T16" i="29" s="1"/>
  <c r="T6" i="29" a="1"/>
  <c r="T6" i="29" s="1"/>
  <c r="T15" i="29" a="1"/>
  <c r="T15" i="29" s="1"/>
  <c r="U24" i="29" a="1"/>
  <c r="U24" i="29" s="1"/>
  <c r="U23" i="29" a="1"/>
  <c r="U23" i="29" s="1"/>
  <c r="N27" i="29" a="1"/>
  <c r="N27" i="29" s="1"/>
  <c r="T12" i="29" a="1"/>
  <c r="T12" i="29" s="1"/>
  <c r="T28" i="29" a="1"/>
  <c r="T28" i="29" s="1"/>
  <c r="V23" i="29" a="1"/>
  <c r="V23" i="29" s="1"/>
  <c r="W20" i="29" a="1"/>
  <c r="W20" i="29" s="1"/>
  <c r="V14" i="29" a="1"/>
  <c r="V14" i="29" s="1"/>
  <c r="U28" i="29" a="1"/>
  <c r="U28" i="29" s="1"/>
  <c r="U26" i="29" a="1"/>
  <c r="U26" i="29" s="1"/>
  <c r="T21" i="29" a="1"/>
  <c r="T21" i="29" s="1"/>
  <c r="D28" i="29" a="1"/>
  <c r="D28" i="29" s="1"/>
  <c r="C28" i="29" a="1"/>
  <c r="C28" i="29" s="1"/>
  <c r="B28" i="29" a="1"/>
  <c r="B28" i="29" s="1"/>
  <c r="B18" i="29" a="1"/>
  <c r="B18" i="29" s="1"/>
  <c r="C21" i="29" a="1"/>
  <c r="C21" i="29" s="1"/>
  <c r="C25" i="29" a="1"/>
  <c r="C25" i="29" s="1"/>
  <c r="C4" i="29" a="1"/>
  <c r="C4" i="29" s="1"/>
  <c r="E26" i="29" a="1"/>
  <c r="E26" i="29" s="1"/>
  <c r="B4" i="29" a="1"/>
  <c r="B4" i="29" s="1"/>
  <c r="C12" i="29" a="1"/>
  <c r="C12" i="29" s="1"/>
  <c r="B13" i="29" a="1"/>
  <c r="B13" i="29" s="1"/>
  <c r="E14" i="29" a="1"/>
  <c r="E14" i="29" s="1"/>
  <c r="E16" i="29" a="1"/>
  <c r="E16" i="29" s="1"/>
  <c r="C17" i="29" a="1"/>
  <c r="C17" i="29" s="1"/>
  <c r="B10" i="29" a="1"/>
  <c r="B10" i="29" s="1"/>
  <c r="B15" i="29" a="1"/>
  <c r="B15" i="29" s="1"/>
  <c r="D18" i="29" a="1"/>
  <c r="D18" i="29" s="1"/>
  <c r="B20" i="29" a="1"/>
  <c r="B20" i="29" s="1"/>
  <c r="B11" i="29" a="1"/>
  <c r="B11" i="29" s="1"/>
  <c r="D12" i="29" a="1"/>
  <c r="D12" i="29" s="1"/>
  <c r="B27" i="29" a="1"/>
  <c r="B27" i="29" s="1"/>
  <c r="D14" i="29" a="1"/>
  <c r="D14" i="29" s="1"/>
  <c r="E15" i="29" a="1"/>
  <c r="E15" i="29" s="1"/>
  <c r="C16" i="29" a="1"/>
  <c r="C16" i="29" s="1"/>
  <c r="B16" i="29" a="1"/>
  <c r="B16" i="29" s="1"/>
  <c r="D17" i="29" a="1"/>
  <c r="D17" i="29" s="1"/>
  <c r="E6" i="29" a="1"/>
  <c r="E6" i="29" s="1"/>
  <c r="C18" i="29" a="1"/>
  <c r="C18" i="29" s="1"/>
  <c r="D6" i="29" a="1"/>
  <c r="D6" i="29" s="1"/>
  <c r="D19" i="29" a="1"/>
  <c r="D19" i="29" s="1"/>
  <c r="B5" i="29" a="1"/>
  <c r="B5" i="29" s="1"/>
  <c r="D5" i="29" a="1"/>
  <c r="D5" i="29" s="1"/>
  <c r="E20" i="29" a="1"/>
  <c r="E20" i="29" s="1"/>
  <c r="C5" i="29" a="1"/>
  <c r="C5" i="29" s="1"/>
  <c r="B21" i="29" a="1"/>
  <c r="B21" i="29" s="1"/>
  <c r="C7" i="29" a="1"/>
  <c r="C7" i="29" s="1"/>
  <c r="E9" i="29" a="1"/>
  <c r="E9" i="29" s="1"/>
  <c r="E24" i="29" a="1"/>
  <c r="E24" i="29" s="1"/>
  <c r="B9" i="29" a="1"/>
  <c r="B9" i="29" s="1"/>
  <c r="E25" i="29" a="1"/>
  <c r="E25" i="29" s="1"/>
  <c r="B6" i="29" a="1"/>
  <c r="B6" i="29" s="1"/>
  <c r="C11" i="29" a="1"/>
  <c r="C11" i="29" s="1"/>
  <c r="B17" i="29" a="1"/>
  <c r="B17" i="29" s="1"/>
  <c r="D23" i="29" a="1"/>
  <c r="D23" i="29" s="1"/>
  <c r="C23" i="29" a="1"/>
  <c r="C23" i="29" s="1"/>
  <c r="E11" i="29" a="1"/>
  <c r="E11" i="29" s="1"/>
  <c r="B23" i="29" a="1"/>
  <c r="B23" i="29" s="1"/>
  <c r="B12" i="29" a="1"/>
  <c r="B12" i="29" s="1"/>
  <c r="B24" i="29" a="1"/>
  <c r="B24" i="29" s="1"/>
  <c r="C24" i="29" a="1"/>
  <c r="C24" i="29" s="1"/>
  <c r="E7" i="29" a="1"/>
  <c r="E7" i="29" s="1"/>
  <c r="E13" i="29" a="1"/>
  <c r="E13" i="29" s="1"/>
  <c r="B19" i="29" a="1"/>
  <c r="B19" i="29" s="1"/>
  <c r="D7" i="29" a="1"/>
  <c r="D7" i="29" s="1"/>
  <c r="D13" i="29" a="1"/>
  <c r="D13" i="29" s="1"/>
  <c r="E19" i="29" a="1"/>
  <c r="E19" i="29" s="1"/>
  <c r="D25" i="29" a="1"/>
  <c r="D25" i="29" s="1"/>
  <c r="C22" i="29" a="1"/>
  <c r="C22" i="29" s="1"/>
  <c r="E8" i="29" a="1"/>
  <c r="E8" i="29" s="1"/>
  <c r="D8" i="29" a="1"/>
  <c r="D8" i="29" s="1"/>
  <c r="D26" i="29" a="1"/>
  <c r="D26" i="29" s="1"/>
  <c r="C8" i="29" a="1"/>
  <c r="C8" i="29" s="1"/>
  <c r="C14" i="29" a="1"/>
  <c r="C14" i="29" s="1"/>
  <c r="D20" i="29" a="1"/>
  <c r="D20" i="29" s="1"/>
  <c r="C26" i="29" a="1"/>
  <c r="C26" i="29" s="1"/>
  <c r="E29" i="29" a="1"/>
  <c r="E29" i="29" s="1"/>
  <c r="D9" i="29" a="1"/>
  <c r="D9" i="29" s="1"/>
  <c r="D15" i="29" a="1"/>
  <c r="D15" i="29" s="1"/>
  <c r="E21" i="29" a="1"/>
  <c r="E21" i="29" s="1"/>
  <c r="D29" i="29" a="1"/>
  <c r="D29" i="29" s="1"/>
  <c r="C29" i="29" a="1"/>
  <c r="C29" i="29" s="1"/>
  <c r="B22" i="29" a="1"/>
  <c r="B22" i="29" s="1"/>
  <c r="D10" i="29" a="1"/>
  <c r="D10" i="29" s="1"/>
  <c r="E27" i="29" a="1"/>
  <c r="E27" i="29" s="1"/>
  <c r="D4" i="29" a="1"/>
  <c r="D4" i="29" s="1"/>
  <c r="C10" i="29" a="1"/>
  <c r="C10" i="29" s="1"/>
  <c r="E22" i="29" a="1"/>
  <c r="E22" i="29" s="1"/>
  <c r="D27" i="29" a="1"/>
  <c r="D27" i="29" s="1"/>
  <c r="U5" i="29" a="1"/>
  <c r="U5" i="29" s="1"/>
  <c r="V28" i="29" a="1"/>
  <c r="V28" i="29" s="1"/>
  <c r="T22" i="29" a="1"/>
  <c r="T22" i="29" s="1"/>
  <c r="V4" i="29" a="1"/>
  <c r="V4" i="29" s="1"/>
  <c r="T7" i="29" a="1"/>
  <c r="T7" i="29" s="1"/>
  <c r="U7" i="29" a="1"/>
  <c r="U7" i="29" s="1"/>
  <c r="C12" i="23"/>
  <c r="H12" i="23" s="1"/>
  <c r="C11" i="23"/>
  <c r="H11" i="23" s="1"/>
  <c r="C7" i="23"/>
  <c r="H7" i="23" s="1"/>
  <c r="C6" i="23"/>
  <c r="H6" i="23" s="1"/>
  <c r="C8" i="23"/>
  <c r="H8" i="23" s="1"/>
  <c r="C22" i="23"/>
  <c r="H22" i="23" s="1"/>
  <c r="C21" i="23"/>
  <c r="H21" i="23" s="1"/>
  <c r="C20" i="23"/>
  <c r="H20" i="23" s="1"/>
  <c r="C5" i="23"/>
  <c r="H5" i="23" s="1"/>
  <c r="C18" i="23"/>
  <c r="H18" i="23" s="1"/>
  <c r="C17" i="23"/>
  <c r="H17" i="23" s="1"/>
  <c r="C13" i="23"/>
  <c r="H13" i="23" s="1"/>
  <c r="C14" i="23"/>
  <c r="H14" i="23" s="1"/>
  <c r="C9" i="23"/>
  <c r="H9" i="23" s="1"/>
  <c r="C28" i="23"/>
  <c r="H28" i="23" s="1"/>
  <c r="C27" i="23"/>
  <c r="H27" i="23" s="1"/>
  <c r="C26" i="23"/>
  <c r="H26" i="23" s="1"/>
  <c r="C10" i="23"/>
  <c r="H10" i="23" s="1"/>
  <c r="C25" i="23"/>
  <c r="H25" i="23" s="1"/>
  <c r="C24" i="23"/>
  <c r="H24" i="23" s="1"/>
  <c r="C23" i="23"/>
  <c r="H23" i="23" s="1"/>
  <c r="C19" i="23"/>
  <c r="H19" i="23" s="1"/>
  <c r="C4" i="23"/>
  <c r="H4" i="23" s="1"/>
  <c r="C16" i="23"/>
  <c r="H16" i="23" s="1"/>
  <c r="C15" i="23"/>
  <c r="H15" i="23" s="1"/>
  <c r="C8" i="26"/>
  <c r="F6" i="26"/>
  <c r="E7" i="26"/>
  <c r="D8" i="26"/>
  <c r="P26" i="4"/>
  <c r="P25" i="4"/>
  <c r="P22" i="4"/>
  <c r="P23" i="4"/>
  <c r="P24" i="4"/>
  <c r="P21" i="4"/>
  <c r="X1" i="9" s="1" a="1"/>
  <c r="X1" i="9" s="1"/>
  <c r="T2" i="9" s="1" a="1"/>
  <c r="T2" i="9" s="1"/>
  <c r="I15" i="9" s="1"/>
  <c r="T22" i="4"/>
  <c r="T23" i="4"/>
  <c r="T24" i="4"/>
  <c r="T25" i="4"/>
  <c r="T26" i="4"/>
  <c r="T21" i="4"/>
  <c r="X1" i="5" s="1" a="1"/>
  <c r="X1" i="5" s="1"/>
  <c r="T2" i="5" s="1" a="1"/>
  <c r="T2" i="5" s="1"/>
  <c r="I15" i="5" s="1"/>
  <c r="L22" i="4"/>
  <c r="L23" i="4"/>
  <c r="L24" i="4"/>
  <c r="L25" i="4"/>
  <c r="L26" i="4"/>
  <c r="L21" i="4"/>
  <c r="X1" i="8" s="1" a="1"/>
  <c r="X1" i="8" s="1"/>
  <c r="T2" i="8" s="1" a="1"/>
  <c r="T2" i="8" s="1"/>
  <c r="D26" i="4"/>
  <c r="H26" i="4"/>
  <c r="H22" i="4"/>
  <c r="H23" i="4"/>
  <c r="H24" i="4"/>
  <c r="H25" i="4"/>
  <c r="H21" i="4"/>
  <c r="X1" i="7" s="1" a="1"/>
  <c r="X1" i="7" s="1"/>
  <c r="T2" i="7" s="1" a="1"/>
  <c r="T2" i="7" s="1"/>
  <c r="I15" i="7" s="1"/>
  <c r="D22" i="4"/>
  <c r="D23" i="4"/>
  <c r="D24" i="4"/>
  <c r="D25" i="4"/>
  <c r="D21" i="4"/>
  <c r="V3" i="9"/>
  <c r="X2" i="9"/>
  <c r="V1" i="9"/>
  <c r="V3" i="8"/>
  <c r="X2" i="8"/>
  <c r="V1" i="8"/>
  <c r="V3" i="7"/>
  <c r="X2" i="7"/>
  <c r="V1" i="7"/>
  <c r="V3" i="2"/>
  <c r="V3" i="5"/>
  <c r="X2" i="5"/>
  <c r="X2" i="2"/>
  <c r="V1" i="2"/>
  <c r="M34" i="5" l="1"/>
  <c r="M4" i="5" s="1"/>
  <c r="B3" i="5"/>
  <c r="B2" i="5"/>
  <c r="C3" i="5"/>
  <c r="C2" i="5"/>
  <c r="O36" i="5" s="1"/>
  <c r="M36" i="5"/>
  <c r="Q36" i="9"/>
  <c r="B3" i="8"/>
  <c r="B2" i="8"/>
  <c r="I23" i="5"/>
  <c r="I24" i="5"/>
  <c r="A2" i="5"/>
  <c r="A3" i="5"/>
  <c r="C4" i="2"/>
  <c r="C3" i="2" s="1"/>
  <c r="A4" i="2"/>
  <c r="A2" i="2" s="1"/>
  <c r="A2" i="7"/>
  <c r="A3" i="7"/>
  <c r="Q34" i="7"/>
  <c r="O34" i="7"/>
  <c r="Q36" i="7"/>
  <c r="O36" i="7"/>
  <c r="I24" i="7"/>
  <c r="I23" i="7"/>
  <c r="N15" i="7" s="1"/>
  <c r="I24" i="8"/>
  <c r="N16" i="8" s="1"/>
  <c r="N19" i="8" s="1"/>
  <c r="S16" i="8" s="1"/>
  <c r="I23" i="8"/>
  <c r="N15" i="8" s="1"/>
  <c r="I24" i="9"/>
  <c r="N16" i="9" s="1"/>
  <c r="I23" i="9"/>
  <c r="N15" i="9" s="1"/>
  <c r="I24" i="2"/>
  <c r="I23" i="2"/>
  <c r="O36" i="9"/>
  <c r="M34" i="9"/>
  <c r="B3" i="9"/>
  <c r="B2" i="9"/>
  <c r="A3" i="9"/>
  <c r="A2" i="9"/>
  <c r="M34" i="2"/>
  <c r="U4" i="2" s="1"/>
  <c r="B3" i="2"/>
  <c r="B2" i="2"/>
  <c r="M32" i="5"/>
  <c r="J4" i="5" s="1"/>
  <c r="N15" i="5" s="1"/>
  <c r="N16" i="7"/>
  <c r="M36" i="9"/>
  <c r="M56" i="23"/>
  <c r="L56" i="23"/>
  <c r="M35" i="23"/>
  <c r="L35" i="23"/>
  <c r="M36" i="23"/>
  <c r="L36" i="23"/>
  <c r="O56" i="23"/>
  <c r="N56" i="23"/>
  <c r="U50" i="23"/>
  <c r="V50" i="23"/>
  <c r="M45" i="23"/>
  <c r="L45" i="23"/>
  <c r="O45" i="23"/>
  <c r="N45" i="23"/>
  <c r="O51" i="23"/>
  <c r="N51" i="23"/>
  <c r="M52" i="23"/>
  <c r="L52" i="23"/>
  <c r="O52" i="23"/>
  <c r="N52" i="23"/>
  <c r="M33" i="23"/>
  <c r="L33" i="23"/>
  <c r="L46" i="23"/>
  <c r="M46" i="23"/>
  <c r="M57" i="23"/>
  <c r="L57" i="23"/>
  <c r="M47" i="23"/>
  <c r="L47" i="23"/>
  <c r="O33" i="23"/>
  <c r="N33" i="23"/>
  <c r="U45" i="23"/>
  <c r="V45" i="23"/>
  <c r="O38" i="23"/>
  <c r="N38" i="23"/>
  <c r="U35" i="23"/>
  <c r="V35" i="23"/>
  <c r="L43" i="23"/>
  <c r="M43" i="23"/>
  <c r="O58" i="23"/>
  <c r="N58" i="23"/>
  <c r="X33" i="23"/>
  <c r="W33" i="23"/>
  <c r="O46" i="23"/>
  <c r="N46" i="23"/>
  <c r="O48" i="23"/>
  <c r="N48" i="23"/>
  <c r="M55" i="23"/>
  <c r="L55" i="23"/>
  <c r="O36" i="23"/>
  <c r="N36" i="23"/>
  <c r="O42" i="23"/>
  <c r="N42" i="23"/>
  <c r="M48" i="23"/>
  <c r="L48" i="23"/>
  <c r="M41" i="23"/>
  <c r="L41" i="23"/>
  <c r="V33" i="23"/>
  <c r="U33" i="23"/>
  <c r="M34" i="23"/>
  <c r="L34" i="23"/>
  <c r="L40" i="23"/>
  <c r="M40" i="23"/>
  <c r="W34" i="23"/>
  <c r="X34" i="23"/>
  <c r="W40" i="23"/>
  <c r="X40" i="23"/>
  <c r="M37" i="23"/>
  <c r="L37" i="23"/>
  <c r="M42" i="23"/>
  <c r="L42" i="23"/>
  <c r="U55" i="23"/>
  <c r="V55" i="23"/>
  <c r="W45" i="23"/>
  <c r="X45" i="23"/>
  <c r="O34" i="23"/>
  <c r="N34" i="23"/>
  <c r="O50" i="23"/>
  <c r="N50" i="23"/>
  <c r="U40" i="23"/>
  <c r="V40" i="23"/>
  <c r="L38" i="23"/>
  <c r="M38" i="23"/>
  <c r="L53" i="23"/>
  <c r="M53" i="23"/>
  <c r="M32" i="7"/>
  <c r="C4" i="8"/>
  <c r="M34" i="8"/>
  <c r="A4" i="8"/>
  <c r="M32" i="9"/>
  <c r="G29" i="23" a="1"/>
  <c r="G29" i="23" s="1"/>
  <c r="F29" i="23" a="1"/>
  <c r="F29" i="23" s="1"/>
  <c r="N34" i="27" s="1"/>
  <c r="E29" i="23" a="1"/>
  <c r="E29" i="23" s="1"/>
  <c r="D3" i="23" a="1"/>
  <c r="D3" i="23" s="1"/>
  <c r="H8" i="27" s="1"/>
  <c r="G3" i="23" a="1"/>
  <c r="G3" i="23" s="1"/>
  <c r="F3" i="23" a="1"/>
  <c r="F3" i="23" s="1"/>
  <c r="N8" i="27" s="1"/>
  <c r="E3" i="23" a="1"/>
  <c r="E3" i="23" s="1"/>
  <c r="G4" i="5"/>
  <c r="X3" i="5" s="1"/>
  <c r="D25" i="23" a="1"/>
  <c r="D25" i="23" s="1"/>
  <c r="H30" i="27" s="1"/>
  <c r="F25" i="23" a="1"/>
  <c r="F25" i="23" s="1"/>
  <c r="N30" i="27" s="1"/>
  <c r="G25" i="23" a="1"/>
  <c r="G25" i="23" s="1"/>
  <c r="E25" i="23" a="1"/>
  <c r="E25" i="23" s="1"/>
  <c r="D13" i="23" a="1"/>
  <c r="D13" i="23" s="1"/>
  <c r="H18" i="27" s="1"/>
  <c r="F13" i="23" a="1"/>
  <c r="F13" i="23" s="1"/>
  <c r="N18" i="27" s="1"/>
  <c r="E13" i="23" a="1"/>
  <c r="E13" i="23" s="1"/>
  <c r="G13" i="23" a="1"/>
  <c r="G13" i="23" s="1"/>
  <c r="D17" i="23" a="1"/>
  <c r="D17" i="23" s="1"/>
  <c r="H22" i="27" s="1"/>
  <c r="E17" i="23" a="1"/>
  <c r="E17" i="23" s="1"/>
  <c r="F17" i="23" a="1"/>
  <c r="F17" i="23" s="1"/>
  <c r="N22" i="27" s="1"/>
  <c r="G17" i="23" a="1"/>
  <c r="G17" i="23" s="1"/>
  <c r="D18" i="23" a="1"/>
  <c r="D18" i="23" s="1"/>
  <c r="H23" i="27" s="1"/>
  <c r="F18" i="23" a="1"/>
  <c r="F18" i="23" s="1"/>
  <c r="N23" i="27" s="1"/>
  <c r="G18" i="23" a="1"/>
  <c r="G18" i="23" s="1"/>
  <c r="E18" i="23" a="1"/>
  <c r="E18" i="23" s="1"/>
  <c r="D5" i="23" a="1"/>
  <c r="D5" i="23" s="1"/>
  <c r="H10" i="27" s="1"/>
  <c r="E5" i="23" a="1"/>
  <c r="E5" i="23" s="1"/>
  <c r="F5" i="23" a="1"/>
  <c r="F5" i="23" s="1"/>
  <c r="N10" i="27" s="1"/>
  <c r="G5" i="23" a="1"/>
  <c r="G5" i="23" s="1"/>
  <c r="D20" i="23" a="1"/>
  <c r="D20" i="23" s="1"/>
  <c r="H25" i="27" s="1"/>
  <c r="F20" i="23" a="1"/>
  <c r="F20" i="23" s="1"/>
  <c r="N25" i="27" s="1"/>
  <c r="E20" i="23" a="1"/>
  <c r="E20" i="23" s="1"/>
  <c r="G20" i="23" a="1"/>
  <c r="G20" i="23" s="1"/>
  <c r="D21" i="23" a="1"/>
  <c r="D21" i="23" s="1"/>
  <c r="H26" i="27" s="1"/>
  <c r="E21" i="23" a="1"/>
  <c r="E21" i="23" s="1"/>
  <c r="F21" i="23" a="1"/>
  <c r="F21" i="23" s="1"/>
  <c r="N26" i="27" s="1"/>
  <c r="G21" i="23" a="1"/>
  <c r="G21" i="23" s="1"/>
  <c r="D22" i="23" a="1"/>
  <c r="D22" i="23" s="1"/>
  <c r="H27" i="27" s="1"/>
  <c r="E22" i="23" a="1"/>
  <c r="E22" i="23" s="1"/>
  <c r="F22" i="23" a="1"/>
  <c r="F22" i="23" s="1"/>
  <c r="N27" i="27" s="1"/>
  <c r="G22" i="23" a="1"/>
  <c r="G22" i="23" s="1"/>
  <c r="D14" i="23" a="1"/>
  <c r="D14" i="23" s="1"/>
  <c r="H19" i="27" s="1"/>
  <c r="E14" i="23" a="1"/>
  <c r="E14" i="23" s="1"/>
  <c r="F14" i="23" a="1"/>
  <c r="F14" i="23" s="1"/>
  <c r="N19" i="27" s="1"/>
  <c r="G14" i="23" a="1"/>
  <c r="G14" i="23" s="1"/>
  <c r="D8" i="23" a="1"/>
  <c r="D8" i="23" s="1"/>
  <c r="H13" i="27" s="1"/>
  <c r="E8" i="23" a="1"/>
  <c r="E8" i="23" s="1"/>
  <c r="F8" i="23" a="1"/>
  <c r="F8" i="23" s="1"/>
  <c r="N13" i="27" s="1"/>
  <c r="G8" i="23" a="1"/>
  <c r="G8" i="23" s="1"/>
  <c r="D10" i="23" a="1"/>
  <c r="D10" i="23" s="1"/>
  <c r="H15" i="27" s="1"/>
  <c r="E10" i="23" a="1"/>
  <c r="E10" i="23" s="1"/>
  <c r="F10" i="23" a="1"/>
  <c r="F10" i="23" s="1"/>
  <c r="N15" i="27" s="1"/>
  <c r="G10" i="23" a="1"/>
  <c r="G10" i="23" s="1"/>
  <c r="D6" i="23" a="1"/>
  <c r="D6" i="23" s="1"/>
  <c r="H11" i="27" s="1"/>
  <c r="F6" i="23" a="1"/>
  <c r="F6" i="23" s="1"/>
  <c r="N11" i="27" s="1"/>
  <c r="E6" i="23" a="1"/>
  <c r="E6" i="23" s="1"/>
  <c r="G6" i="23" a="1"/>
  <c r="G6" i="23" s="1"/>
  <c r="D7" i="23" a="1"/>
  <c r="D7" i="23" s="1"/>
  <c r="H12" i="27" s="1"/>
  <c r="E7" i="23" a="1"/>
  <c r="E7" i="23" s="1"/>
  <c r="F7" i="23" a="1"/>
  <c r="F7" i="23" s="1"/>
  <c r="N12" i="27" s="1"/>
  <c r="G7" i="23" a="1"/>
  <c r="G7" i="23" s="1"/>
  <c r="D11" i="23" a="1"/>
  <c r="D11" i="23" s="1"/>
  <c r="H16" i="27" s="1"/>
  <c r="G11" i="23" a="1"/>
  <c r="G11" i="23" s="1"/>
  <c r="E11" i="23" a="1"/>
  <c r="E11" i="23" s="1"/>
  <c r="F11" i="23" a="1"/>
  <c r="F11" i="23" s="1"/>
  <c r="N16" i="27" s="1"/>
  <c r="D26" i="23" a="1"/>
  <c r="D26" i="23" s="1"/>
  <c r="H31" i="27" s="1"/>
  <c r="E26" i="23" a="1"/>
  <c r="E26" i="23" s="1"/>
  <c r="F26" i="23" a="1"/>
  <c r="F26" i="23" s="1"/>
  <c r="N31" i="27" s="1"/>
  <c r="G26" i="23" a="1"/>
  <c r="G26" i="23" s="1"/>
  <c r="D15" i="23" a="1"/>
  <c r="D15" i="23" s="1"/>
  <c r="H20" i="27" s="1"/>
  <c r="E15" i="23" a="1"/>
  <c r="E15" i="23" s="1"/>
  <c r="F15" i="23" a="1"/>
  <c r="F15" i="23" s="1"/>
  <c r="N20" i="27" s="1"/>
  <c r="G15" i="23" a="1"/>
  <c r="G15" i="23" s="1"/>
  <c r="D12" i="23" a="1"/>
  <c r="D12" i="23" s="1"/>
  <c r="H17" i="27" s="1"/>
  <c r="E12" i="23" a="1"/>
  <c r="E12" i="23" s="1"/>
  <c r="F12" i="23" a="1"/>
  <c r="F12" i="23" s="1"/>
  <c r="N17" i="27" s="1"/>
  <c r="G12" i="23" a="1"/>
  <c r="G12" i="23" s="1"/>
  <c r="D27" i="23" a="1"/>
  <c r="D27" i="23" s="1"/>
  <c r="H32" i="27" s="1"/>
  <c r="E27" i="23" a="1"/>
  <c r="E27" i="23" s="1"/>
  <c r="F27" i="23" a="1"/>
  <c r="F27" i="23" s="1"/>
  <c r="N32" i="27" s="1"/>
  <c r="G27" i="23" a="1"/>
  <c r="G27" i="23" s="1"/>
  <c r="D16" i="23" a="1"/>
  <c r="D16" i="23" s="1"/>
  <c r="H21" i="27" s="1"/>
  <c r="E16" i="23" a="1"/>
  <c r="E16" i="23" s="1"/>
  <c r="F16" i="23" a="1"/>
  <c r="F16" i="23" s="1"/>
  <c r="N21" i="27" s="1"/>
  <c r="G16" i="23" a="1"/>
  <c r="G16" i="23" s="1"/>
  <c r="D9" i="23" a="1"/>
  <c r="D9" i="23" s="1"/>
  <c r="H14" i="27" s="1"/>
  <c r="E9" i="23" a="1"/>
  <c r="E9" i="23" s="1"/>
  <c r="F9" i="23" a="1"/>
  <c r="F9" i="23" s="1"/>
  <c r="N14" i="27" s="1"/>
  <c r="G9" i="23" a="1"/>
  <c r="G9" i="23" s="1"/>
  <c r="D4" i="23" a="1"/>
  <c r="D4" i="23" s="1"/>
  <c r="H9" i="27" s="1"/>
  <c r="G4" i="23" a="1"/>
  <c r="G4" i="23" s="1"/>
  <c r="F4" i="23" a="1"/>
  <c r="F4" i="23" s="1"/>
  <c r="N9" i="27" s="1"/>
  <c r="E4" i="23" a="1"/>
  <c r="E4" i="23" s="1"/>
  <c r="D28" i="23" a="1"/>
  <c r="D28" i="23" s="1"/>
  <c r="H33" i="27" s="1"/>
  <c r="E28" i="23" a="1"/>
  <c r="E28" i="23" s="1"/>
  <c r="F28" i="23" a="1"/>
  <c r="F28" i="23" s="1"/>
  <c r="N33" i="27" s="1"/>
  <c r="G28" i="23" a="1"/>
  <c r="G28" i="23" s="1"/>
  <c r="D19" i="23" a="1"/>
  <c r="D19" i="23" s="1"/>
  <c r="H24" i="27" s="1"/>
  <c r="E19" i="23" a="1"/>
  <c r="E19" i="23" s="1"/>
  <c r="F19" i="23" a="1"/>
  <c r="F19" i="23" s="1"/>
  <c r="N24" i="27" s="1"/>
  <c r="G19" i="23" a="1"/>
  <c r="G19" i="23" s="1"/>
  <c r="D24" i="23" a="1"/>
  <c r="D24" i="23" s="1"/>
  <c r="H29" i="27" s="1"/>
  <c r="E24" i="23" a="1"/>
  <c r="E24" i="23" s="1"/>
  <c r="F24" i="23" a="1"/>
  <c r="F24" i="23" s="1"/>
  <c r="N29" i="27" s="1"/>
  <c r="G24" i="23" a="1"/>
  <c r="G24" i="23" s="1"/>
  <c r="D23" i="23" a="1"/>
  <c r="D23" i="23" s="1"/>
  <c r="H28" i="27" s="1"/>
  <c r="E23" i="23" a="1"/>
  <c r="E23" i="23" s="1"/>
  <c r="F23" i="23" a="1"/>
  <c r="F23" i="23" s="1"/>
  <c r="N28" i="27" s="1"/>
  <c r="G23" i="23" a="1"/>
  <c r="G23" i="23" s="1"/>
  <c r="X1" i="2" a="1"/>
  <c r="X1" i="2" s="1"/>
  <c r="T2" i="2" s="1" a="1"/>
  <c r="T2" i="2" s="1"/>
  <c r="I15" i="2" s="1"/>
  <c r="C9" i="26"/>
  <c r="D9" i="26"/>
  <c r="E8" i="26"/>
  <c r="G6" i="26"/>
  <c r="F7" i="26"/>
  <c r="I15" i="8"/>
  <c r="I17" i="8"/>
  <c r="I17" i="5"/>
  <c r="I17" i="7"/>
  <c r="N19" i="7" l="1"/>
  <c r="S16" i="7" s="1"/>
  <c r="N16" i="5"/>
  <c r="Q36" i="5"/>
  <c r="N18" i="5"/>
  <c r="Q34" i="5"/>
  <c r="O34" i="5"/>
  <c r="Q34" i="9"/>
  <c r="N19" i="9"/>
  <c r="S16" i="9" s="1"/>
  <c r="C2" i="2"/>
  <c r="Q36" i="2" s="1"/>
  <c r="Q32" i="9"/>
  <c r="O32" i="5"/>
  <c r="Q32" i="5"/>
  <c r="M36" i="8"/>
  <c r="C2" i="8"/>
  <c r="C3" i="8"/>
  <c r="O34" i="8"/>
  <c r="Q34" i="8"/>
  <c r="A3" i="2"/>
  <c r="Q32" i="2" s="1"/>
  <c r="Q32" i="7"/>
  <c r="O32" i="7"/>
  <c r="N16" i="2"/>
  <c r="Q34" i="2"/>
  <c r="M32" i="8"/>
  <c r="A3" i="8"/>
  <c r="A2" i="8"/>
  <c r="Q32" i="8" s="1"/>
  <c r="O34" i="9"/>
  <c r="O32" i="9"/>
  <c r="O34" i="2"/>
  <c r="E49" i="23"/>
  <c r="C17" i="37" s="1"/>
  <c r="F49" i="23"/>
  <c r="D17" i="37" s="1"/>
  <c r="C49" i="23"/>
  <c r="A17" i="37" s="1"/>
  <c r="D49" i="23"/>
  <c r="B17" i="37" s="1"/>
  <c r="C42" i="23"/>
  <c r="A10" i="37" s="1"/>
  <c r="D42" i="23"/>
  <c r="B10" i="37" s="1"/>
  <c r="C40" i="23"/>
  <c r="A8" i="37" s="1"/>
  <c r="D40" i="23"/>
  <c r="B8" i="37" s="1"/>
  <c r="C35" i="23"/>
  <c r="A3" i="37" s="1"/>
  <c r="D35" i="23"/>
  <c r="B3" i="37" s="1"/>
  <c r="F45" i="23"/>
  <c r="D13" i="37" s="1"/>
  <c r="E45" i="23"/>
  <c r="C13" i="37" s="1"/>
  <c r="E38" i="23"/>
  <c r="C6" i="37" s="1"/>
  <c r="F38" i="23"/>
  <c r="D6" i="37" s="1"/>
  <c r="C48" i="23"/>
  <c r="A16" i="37" s="1"/>
  <c r="D48" i="23"/>
  <c r="B16" i="37" s="1"/>
  <c r="F48" i="23"/>
  <c r="D16" i="37" s="1"/>
  <c r="E48" i="23"/>
  <c r="C16" i="37" s="1"/>
  <c r="C38" i="23"/>
  <c r="A6" i="37" s="1"/>
  <c r="D38" i="23"/>
  <c r="B6" i="37" s="1"/>
  <c r="C34" i="23"/>
  <c r="A2" i="37" s="1"/>
  <c r="D34" i="23"/>
  <c r="B2" i="37" s="1"/>
  <c r="E56" i="23"/>
  <c r="C24" i="37" s="1"/>
  <c r="F56" i="23"/>
  <c r="D24" i="37" s="1"/>
  <c r="E44" i="23"/>
  <c r="C12" i="37" s="1"/>
  <c r="F44" i="23"/>
  <c r="D12" i="37" s="1"/>
  <c r="E47" i="23"/>
  <c r="C15" i="37" s="1"/>
  <c r="F47" i="23"/>
  <c r="D15" i="37" s="1"/>
  <c r="C33" i="23"/>
  <c r="A1" i="37" s="1"/>
  <c r="D33" i="23"/>
  <c r="B1" i="37" s="1"/>
  <c r="F34" i="23"/>
  <c r="D2" i="37" s="1"/>
  <c r="E34" i="23"/>
  <c r="C2" i="37" s="1"/>
  <c r="C56" i="23"/>
  <c r="A24" i="37" s="1"/>
  <c r="D56" i="23"/>
  <c r="B24" i="37" s="1"/>
  <c r="C44" i="23"/>
  <c r="A12" i="37" s="1"/>
  <c r="D44" i="23"/>
  <c r="B12" i="37" s="1"/>
  <c r="C47" i="23"/>
  <c r="A15" i="37" s="1"/>
  <c r="D47" i="23"/>
  <c r="B15" i="37" s="1"/>
  <c r="F33" i="23"/>
  <c r="D1" i="37" s="1"/>
  <c r="E33" i="23"/>
  <c r="C1" i="37" s="1"/>
  <c r="E43" i="23"/>
  <c r="C11" i="37" s="1"/>
  <c r="F43" i="23"/>
  <c r="D11" i="37" s="1"/>
  <c r="C59" i="23"/>
  <c r="A27" i="37" s="1"/>
  <c r="D59" i="23"/>
  <c r="B27" i="37" s="1"/>
  <c r="C41" i="23"/>
  <c r="A9" i="37" s="1"/>
  <c r="D41" i="23"/>
  <c r="B9" i="37" s="1"/>
  <c r="C43" i="23"/>
  <c r="A11" i="37" s="1"/>
  <c r="D43" i="23"/>
  <c r="B11" i="37" s="1"/>
  <c r="C58" i="23"/>
  <c r="A26" i="37" s="1"/>
  <c r="D58" i="23"/>
  <c r="B26" i="37" s="1"/>
  <c r="E39" i="23"/>
  <c r="C7" i="37" s="1"/>
  <c r="F39" i="23"/>
  <c r="D7" i="37" s="1"/>
  <c r="F52" i="23"/>
  <c r="D20" i="37" s="1"/>
  <c r="E52" i="23"/>
  <c r="C20" i="37" s="1"/>
  <c r="C39" i="23"/>
  <c r="A7" i="37" s="1"/>
  <c r="D39" i="23"/>
  <c r="B7" i="37" s="1"/>
  <c r="E41" i="23"/>
  <c r="C9" i="37" s="1"/>
  <c r="F41" i="23"/>
  <c r="D9" i="37" s="1"/>
  <c r="C52" i="23"/>
  <c r="A20" i="37" s="1"/>
  <c r="D52" i="23"/>
  <c r="B20" i="37" s="1"/>
  <c r="E59" i="23"/>
  <c r="C27" i="37" s="1"/>
  <c r="F59" i="23"/>
  <c r="D27" i="37" s="1"/>
  <c r="F58" i="23"/>
  <c r="D26" i="37" s="1"/>
  <c r="E58" i="23"/>
  <c r="C26" i="37" s="1"/>
  <c r="E53" i="23"/>
  <c r="C21" i="37" s="1"/>
  <c r="F53" i="23"/>
  <c r="D21" i="37" s="1"/>
  <c r="E37" i="23"/>
  <c r="C5" i="37" s="1"/>
  <c r="F37" i="23"/>
  <c r="D5" i="37" s="1"/>
  <c r="E51" i="23"/>
  <c r="C19" i="37" s="1"/>
  <c r="F51" i="23"/>
  <c r="D19" i="37" s="1"/>
  <c r="C55" i="23"/>
  <c r="A23" i="37" s="1"/>
  <c r="D55" i="23"/>
  <c r="B23" i="37" s="1"/>
  <c r="F46" i="23"/>
  <c r="D14" i="37" s="1"/>
  <c r="E46" i="23"/>
  <c r="C14" i="37" s="1"/>
  <c r="E55" i="23"/>
  <c r="C23" i="37" s="1"/>
  <c r="F55" i="23"/>
  <c r="D23" i="37" s="1"/>
  <c r="C46" i="23"/>
  <c r="A14" i="37" s="1"/>
  <c r="D46" i="23"/>
  <c r="B14" i="37" s="1"/>
  <c r="C37" i="23"/>
  <c r="A5" i="37" s="1"/>
  <c r="D37" i="23"/>
  <c r="B5" i="37" s="1"/>
  <c r="C51" i="23"/>
  <c r="A19" i="37" s="1"/>
  <c r="D51" i="23"/>
  <c r="B19" i="37" s="1"/>
  <c r="C45" i="23"/>
  <c r="A13" i="37" s="1"/>
  <c r="D45" i="23"/>
  <c r="B13" i="37" s="1"/>
  <c r="C53" i="23"/>
  <c r="A21" i="37" s="1"/>
  <c r="D53" i="23"/>
  <c r="B21" i="37" s="1"/>
  <c r="E54" i="23"/>
  <c r="C22" i="37" s="1"/>
  <c r="F54" i="23"/>
  <c r="D22" i="37" s="1"/>
  <c r="E57" i="23"/>
  <c r="C25" i="37" s="1"/>
  <c r="F57" i="23"/>
  <c r="D25" i="37" s="1"/>
  <c r="F36" i="23"/>
  <c r="D4" i="37" s="1"/>
  <c r="E36" i="23"/>
  <c r="C4" i="37" s="1"/>
  <c r="E50" i="23"/>
  <c r="C18" i="37" s="1"/>
  <c r="F50" i="23"/>
  <c r="D18" i="37" s="1"/>
  <c r="C36" i="23"/>
  <c r="A4" i="37" s="1"/>
  <c r="D36" i="23"/>
  <c r="B4" i="37" s="1"/>
  <c r="C50" i="23"/>
  <c r="A18" i="37" s="1"/>
  <c r="D50" i="23"/>
  <c r="B18" i="37" s="1"/>
  <c r="C54" i="23"/>
  <c r="A22" i="37" s="1"/>
  <c r="D54" i="23"/>
  <c r="B22" i="37" s="1"/>
  <c r="C57" i="23"/>
  <c r="A25" i="37" s="1"/>
  <c r="D57" i="23"/>
  <c r="B25" i="37" s="1"/>
  <c r="F40" i="23"/>
  <c r="D8" i="37" s="1"/>
  <c r="E40" i="23"/>
  <c r="C8" i="37" s="1"/>
  <c r="E35" i="23"/>
  <c r="C3" i="37" s="1"/>
  <c r="F35" i="23"/>
  <c r="D3" i="37" s="1"/>
  <c r="E42" i="23"/>
  <c r="C10" i="37" s="1"/>
  <c r="F42" i="23"/>
  <c r="D10" i="37" s="1"/>
  <c r="M32" i="2"/>
  <c r="R4" i="2" s="1"/>
  <c r="N15" i="2" s="1"/>
  <c r="M36" i="2"/>
  <c r="O4" i="2" s="1"/>
  <c r="X3" i="2" s="1"/>
  <c r="N18" i="2" s="1"/>
  <c r="C10" i="26"/>
  <c r="F8" i="26"/>
  <c r="G7" i="26"/>
  <c r="E9" i="26"/>
  <c r="D10" i="26"/>
  <c r="I17" i="9"/>
  <c r="N19" i="5" l="1"/>
  <c r="S16" i="5" s="1"/>
  <c r="O32" i="2"/>
  <c r="O36" i="2"/>
  <c r="N19" i="2"/>
  <c r="S16" i="2" s="1"/>
  <c r="Q36" i="8"/>
  <c r="O36" i="8"/>
  <c r="L17" i="27"/>
  <c r="L24" i="27"/>
  <c r="L28" i="27"/>
  <c r="R34" i="27"/>
  <c r="L22" i="27"/>
  <c r="R13" i="27"/>
  <c r="R22" i="27"/>
  <c r="L8" i="27"/>
  <c r="L21" i="27"/>
  <c r="R14" i="27"/>
  <c r="R15" i="27"/>
  <c r="R21" i="27"/>
  <c r="L18" i="27"/>
  <c r="R23" i="27"/>
  <c r="R29" i="27"/>
  <c r="L23" i="27"/>
  <c r="R11" i="27"/>
  <c r="R10" i="27"/>
  <c r="R30" i="27"/>
  <c r="L25" i="27"/>
  <c r="L33" i="27"/>
  <c r="R19" i="27"/>
  <c r="R24" i="27"/>
  <c r="L29" i="27"/>
  <c r="L20" i="27"/>
  <c r="L32" i="27"/>
  <c r="L11" i="27"/>
  <c r="L30" i="27"/>
  <c r="R20" i="27"/>
  <c r="L26" i="27"/>
  <c r="R16" i="27"/>
  <c r="L31" i="27"/>
  <c r="L10" i="27"/>
  <c r="R9" i="27"/>
  <c r="L16" i="27"/>
  <c r="R12" i="27"/>
  <c r="L27" i="27"/>
  <c r="L19" i="27"/>
  <c r="R17" i="27"/>
  <c r="L14" i="27"/>
  <c r="L15" i="27"/>
  <c r="L12" i="27"/>
  <c r="R27" i="27"/>
  <c r="R31" i="27"/>
  <c r="L9" i="27"/>
  <c r="R25" i="27"/>
  <c r="R26" i="27"/>
  <c r="L34" i="27"/>
  <c r="L13" i="27"/>
  <c r="R32" i="27"/>
  <c r="R28" i="27"/>
  <c r="R18" i="27"/>
  <c r="R33" i="27"/>
  <c r="R8" i="27"/>
  <c r="O32" i="8"/>
  <c r="J18" i="27"/>
  <c r="P33" i="27"/>
  <c r="P31" i="27"/>
  <c r="P25" i="27"/>
  <c r="P26" i="27"/>
  <c r="J9" i="27"/>
  <c r="J16" i="27"/>
  <c r="P11" i="27"/>
  <c r="J34" i="27"/>
  <c r="P12" i="27"/>
  <c r="J13" i="27"/>
  <c r="P28" i="27"/>
  <c r="P23" i="27"/>
  <c r="P18" i="27"/>
  <c r="P8" i="27"/>
  <c r="P32" i="27"/>
  <c r="J23" i="27"/>
  <c r="P29" i="27"/>
  <c r="J22" i="27"/>
  <c r="P13" i="27"/>
  <c r="J12" i="27"/>
  <c r="P20" i="27"/>
  <c r="J11" i="27"/>
  <c r="J20" i="27"/>
  <c r="J27" i="27"/>
  <c r="J19" i="27"/>
  <c r="J28" i="27"/>
  <c r="P17" i="27"/>
  <c r="J25" i="27"/>
  <c r="P10" i="27"/>
  <c r="J26" i="27"/>
  <c r="P16" i="27"/>
  <c r="J31" i="27"/>
  <c r="J10" i="27"/>
  <c r="J14" i="27"/>
  <c r="P34" i="27"/>
  <c r="P15" i="27"/>
  <c r="P9" i="27"/>
  <c r="J15" i="27"/>
  <c r="P27" i="27"/>
  <c r="J8" i="27"/>
  <c r="J17" i="27"/>
  <c r="J32" i="27"/>
  <c r="J21" i="27"/>
  <c r="P22" i="27"/>
  <c r="J24" i="27"/>
  <c r="J29" i="27"/>
  <c r="P30" i="27"/>
  <c r="P14" i="27"/>
  <c r="P21" i="27"/>
  <c r="J33" i="27"/>
  <c r="P19" i="27"/>
  <c r="P24" i="27"/>
  <c r="J30" i="27"/>
  <c r="E10" i="26"/>
  <c r="G8" i="26"/>
  <c r="F9" i="26"/>
  <c r="N8" i="3"/>
  <c r="S17" i="5" s="1"/>
  <c r="N7" i="3"/>
  <c r="F10" i="26" l="1"/>
  <c r="G9" i="26"/>
  <c r="S17" i="7"/>
  <c r="S17" i="8"/>
  <c r="S17" i="9"/>
  <c r="G10" i="26" l="1"/>
  <c r="S17" i="2"/>
  <c r="I1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<sst xmlns="http://schemas.openxmlformats.org/spreadsheetml/2006/main" count="8765" uniqueCount="1016">
  <si>
    <t>DADOS IMPORTANTES</t>
  </si>
  <si>
    <t>Quantidade</t>
  </si>
  <si>
    <t>Taxa da Barraca</t>
  </si>
  <si>
    <t>Tier</t>
  </si>
  <si>
    <t>Encantamento</t>
  </si>
  <si>
    <t>OPÇÕES</t>
  </si>
  <si>
    <t>QUANTIDADE NECESSÁRIA</t>
  </si>
  <si>
    <t>CUSTOS</t>
  </si>
  <si>
    <t>VENDA</t>
  </si>
  <si>
    <t>FOCO</t>
  </si>
  <si>
    <t>Vai fazer pedido de venda?</t>
  </si>
  <si>
    <t>Custo total</t>
  </si>
  <si>
    <t>Foco Disponível</t>
  </si>
  <si>
    <t>Sugestão de QTD</t>
  </si>
  <si>
    <t>Valor da Venda</t>
  </si>
  <si>
    <t>Lucro</t>
  </si>
  <si>
    <t>Rendimento</t>
  </si>
  <si>
    <t>Épico</t>
  </si>
  <si>
    <t>Raro</t>
  </si>
  <si>
    <t>Incomum</t>
  </si>
  <si>
    <t>Normal</t>
  </si>
  <si>
    <t>taxas de Mercado</t>
  </si>
  <si>
    <t>taxa de mercado sem premium (%)</t>
  </si>
  <si>
    <t>Taxa de Venda por Pedido</t>
  </si>
  <si>
    <t>taxa de mercado com premium (%)</t>
  </si>
  <si>
    <t>Taxa de venda Direta</t>
  </si>
  <si>
    <t>taxa de postagem (%)</t>
  </si>
  <si>
    <t>Taxa de Postagem de pedido</t>
  </si>
  <si>
    <t>Fator de Nutrição</t>
  </si>
  <si>
    <t>Premium ativa?</t>
  </si>
  <si>
    <t>TIER</t>
  </si>
  <si>
    <t>Nível</t>
  </si>
  <si>
    <t xml:space="preserve">Comum </t>
  </si>
  <si>
    <t>Ledário</t>
  </si>
  <si>
    <t>barraca</t>
  </si>
  <si>
    <t>Valores dos Itens</t>
  </si>
  <si>
    <t>Nutrição</t>
  </si>
  <si>
    <t>consumo</t>
  </si>
  <si>
    <t>bruto 1</t>
  </si>
  <si>
    <t>bruto 2</t>
  </si>
  <si>
    <t>tier+enc.</t>
  </si>
  <si>
    <t>X</t>
  </si>
  <si>
    <t>Custo básico de foco em refinamento (com especificação 0)</t>
  </si>
  <si>
    <t>Custo básico de foco em refinamento (PEDRA)</t>
  </si>
  <si>
    <t>Maestria em Pelego</t>
  </si>
  <si>
    <t>Maestria</t>
  </si>
  <si>
    <t>Bônus</t>
  </si>
  <si>
    <t>VB</t>
  </si>
  <si>
    <t>Maestria em Fibra</t>
  </si>
  <si>
    <t>Maestria em Madeira</t>
  </si>
  <si>
    <t>Maestria em Minério</t>
  </si>
  <si>
    <t>Maestria em Roha</t>
  </si>
  <si>
    <t>Nutrição (Rocha)</t>
  </si>
  <si>
    <t>Valores dos Itens (Rocha)</t>
  </si>
  <si>
    <t>ROCHA</t>
  </si>
  <si>
    <t>Preço da Rocha</t>
  </si>
  <si>
    <t>Preço do Bloco</t>
  </si>
  <si>
    <t>Fez pedido da Rocha?</t>
  </si>
  <si>
    <t>Fez pedido do Bloco?</t>
  </si>
  <si>
    <t>Rocha</t>
  </si>
  <si>
    <t>Bloco</t>
  </si>
  <si>
    <t>Preço do Pelego</t>
  </si>
  <si>
    <t>Preço do Couro</t>
  </si>
  <si>
    <t>Fez pedido do Pelego?</t>
  </si>
  <si>
    <t>Fez pedido do Couro?</t>
  </si>
  <si>
    <t>Pelego</t>
  </si>
  <si>
    <t>Couro</t>
  </si>
  <si>
    <t>PELEGO</t>
  </si>
  <si>
    <t>FIBRA</t>
  </si>
  <si>
    <t>MINÉRIO</t>
  </si>
  <si>
    <t>MADEIRA</t>
  </si>
  <si>
    <t>Preço da Fibra</t>
  </si>
  <si>
    <t>Preço do Tecido</t>
  </si>
  <si>
    <t>Fibra</t>
  </si>
  <si>
    <t>Tecido</t>
  </si>
  <si>
    <t>Fez pedido da Fibra?</t>
  </si>
  <si>
    <t>Fez pedido do Tecido?</t>
  </si>
  <si>
    <t>Minério</t>
  </si>
  <si>
    <t>Barra</t>
  </si>
  <si>
    <t>Preço do Minério</t>
  </si>
  <si>
    <t>Preço da Barra</t>
  </si>
  <si>
    <t>Fez pedido do Minério?</t>
  </si>
  <si>
    <t>Fez pedido da Barra?</t>
  </si>
  <si>
    <t>Madeira</t>
  </si>
  <si>
    <t>Tábua</t>
  </si>
  <si>
    <t>Preço da Madeira</t>
  </si>
  <si>
    <t>Preço da Tábua</t>
  </si>
  <si>
    <t>Fez pedido da Madeira?</t>
  </si>
  <si>
    <t>Fez pedido da Tábua?</t>
  </si>
  <si>
    <t>valor do item</t>
  </si>
  <si>
    <t>bonus foco</t>
  </si>
  <si>
    <t>Servidor</t>
  </si>
  <si>
    <t>América</t>
  </si>
  <si>
    <t>Ásia</t>
  </si>
  <si>
    <t>Europa</t>
  </si>
  <si>
    <t>T3</t>
  </si>
  <si>
    <t>T4</t>
  </si>
  <si>
    <t>T4.1</t>
  </si>
  <si>
    <t>T4.2</t>
  </si>
  <si>
    <t>T4.3</t>
  </si>
  <si>
    <t>T4.4</t>
  </si>
  <si>
    <t>T5</t>
  </si>
  <si>
    <t>T5.1</t>
  </si>
  <si>
    <t>T5.2</t>
  </si>
  <si>
    <t>T5.3</t>
  </si>
  <si>
    <t>T5.4</t>
  </si>
  <si>
    <t>T6</t>
  </si>
  <si>
    <t>T6.1</t>
  </si>
  <si>
    <t>T6.2</t>
  </si>
  <si>
    <t>T6.3</t>
  </si>
  <si>
    <t>T6.4</t>
  </si>
  <si>
    <t>T7</t>
  </si>
  <si>
    <t>T7.1</t>
  </si>
  <si>
    <t>T7.2</t>
  </si>
  <si>
    <t>T7.3</t>
  </si>
  <si>
    <t>T7.4</t>
  </si>
  <si>
    <t>T8</t>
  </si>
  <si>
    <t>T8.1</t>
  </si>
  <si>
    <t>T8.2</t>
  </si>
  <si>
    <t>T8.3</t>
  </si>
  <si>
    <t>T8.4</t>
  </si>
  <si>
    <t>Recursos</t>
  </si>
  <si>
    <t>Pelego e Couro</t>
  </si>
  <si>
    <t>Fibra e Tecido</t>
  </si>
  <si>
    <t>Minério e Barra</t>
  </si>
  <si>
    <t>Madeira e Tábua</t>
  </si>
  <si>
    <t>Rocha e Bloco</t>
  </si>
  <si>
    <t>Brecilien</t>
  </si>
  <si>
    <t>Bridgewatch</t>
  </si>
  <si>
    <t>Caerleon</t>
  </si>
  <si>
    <t>Fort Sterling</t>
  </si>
  <si>
    <t>Lymhurst</t>
  </si>
  <si>
    <t>Martlock</t>
  </si>
  <si>
    <t>Thetford</t>
  </si>
  <si>
    <t>T8_HIDE</t>
  </si>
  <si>
    <t>T8_HIDE_LEVEL1@1</t>
  </si>
  <si>
    <t>T8_HIDE_LEVEL2@2</t>
  </si>
  <si>
    <t>T8_HIDE_LEVEL3@3</t>
  </si>
  <si>
    <t>T8_HIDE_LEVEL4@4</t>
  </si>
  <si>
    <t>T7_LEATHER</t>
  </si>
  <si>
    <t>T7_LEATHER_LEVEL1@1</t>
  </si>
  <si>
    <t>T7_LEATHER_LEVEL2@2</t>
  </si>
  <si>
    <t>T7_LEATHER_LEVEL3@3</t>
  </si>
  <si>
    <t>T7_LEATHER_LEVEL4@4</t>
  </si>
  <si>
    <t>T3_HIDE</t>
  </si>
  <si>
    <t>T4_HIDE</t>
  </si>
  <si>
    <t>T4_HIDE_LEVEL1@1</t>
  </si>
  <si>
    <t>T4_HIDE_LEVEL2@2</t>
  </si>
  <si>
    <t>T4_HIDE_LEVEL3@3</t>
  </si>
  <si>
    <t>T4_HIDE_LEVEL4@4</t>
  </si>
  <si>
    <t>T5_HIDE</t>
  </si>
  <si>
    <t>T5_HIDE_LEVEL1@1</t>
  </si>
  <si>
    <t>T5_HIDE_LEVEL2@2</t>
  </si>
  <si>
    <t>T5_HIDE_LEVEL3@3</t>
  </si>
  <si>
    <t>T5_HIDE_LEVEL4@4</t>
  </si>
  <si>
    <t>T6_HIDE</t>
  </si>
  <si>
    <t>T6_HIDE_LEVEL1@1</t>
  </si>
  <si>
    <t>T6_HIDE_LEVEL2@2</t>
  </si>
  <si>
    <t>T6_HIDE_LEVEL3@3</t>
  </si>
  <si>
    <t>T6_HIDE_LEVEL4@4</t>
  </si>
  <si>
    <t>T7_HIDE</t>
  </si>
  <si>
    <t>T7_HIDE_LEVEL1@1</t>
  </si>
  <si>
    <t>T7_HIDE_LEVEL2@2</t>
  </si>
  <si>
    <t>T7_HIDE_LEVEL3@3</t>
  </si>
  <si>
    <t>T7_HIDE_LEVEL4@4</t>
  </si>
  <si>
    <t>T3_LEATHER</t>
  </si>
  <si>
    <t>T4_LEATHER</t>
  </si>
  <si>
    <t>T4_LEATHER_LEVEL1@1</t>
  </si>
  <si>
    <t>T4_LEATHER_LEVEL2@2</t>
  </si>
  <si>
    <t>T4_LEATHER_LEVEL3@3</t>
  </si>
  <si>
    <t>T4_LEATHER_LEVEL4@4</t>
  </si>
  <si>
    <t>T5_LEATHER</t>
  </si>
  <si>
    <t>T5_LEATHER_LEVEL1@1</t>
  </si>
  <si>
    <t>T5_LEATHER_LEVEL2@2</t>
  </si>
  <si>
    <t>T5_LEATHER_LEVEL3@3</t>
  </si>
  <si>
    <t>T5_LEATHER_LEVEL4@4</t>
  </si>
  <si>
    <t>T6_LEATHER</t>
  </si>
  <si>
    <t>T6_LEATHER_LEVEL1@1</t>
  </si>
  <si>
    <t>T6_LEATHER_LEVEL2@2</t>
  </si>
  <si>
    <t>T6_LEATHER_LEVEL3@3</t>
  </si>
  <si>
    <t>T6_LEATHER_LEVEL4@4</t>
  </si>
  <si>
    <t>T8_LEATHER</t>
  </si>
  <si>
    <t>T8_LEATHER_LEVEL1@1</t>
  </si>
  <si>
    <t>T8_LEATHER_LEVEL2@2</t>
  </si>
  <si>
    <t>T8_LEATHER_LEVEL3@3</t>
  </si>
  <si>
    <t>T8_LEATHER_LEVEL4@4</t>
  </si>
  <si>
    <t>T3_FIBER</t>
  </si>
  <si>
    <t>T4_FIBER</t>
  </si>
  <si>
    <t>T4_FIBER_LEVEL1@1</t>
  </si>
  <si>
    <t>T4_FIBER_LEVEL2@2</t>
  </si>
  <si>
    <t>T4_FIBER_LEVEL3@3</t>
  </si>
  <si>
    <t>T4_FIBER_LEVEL4@4</t>
  </si>
  <si>
    <t>T5_FIBER</t>
  </si>
  <si>
    <t>T5_FIBER_LEVEL1@1</t>
  </si>
  <si>
    <t>T5_FIBER_LEVEL2@2</t>
  </si>
  <si>
    <t>T5_FIBER_LEVEL3@3</t>
  </si>
  <si>
    <t>T5_FIBER_LEVEL4@4</t>
  </si>
  <si>
    <t>T6_FIBER</t>
  </si>
  <si>
    <t>T6_FIBER_LEVEL1@1</t>
  </si>
  <si>
    <t>T6_FIBER_LEVEL2@2</t>
  </si>
  <si>
    <t>T6_FIBER_LEVEL3@3</t>
  </si>
  <si>
    <t>T6_FIBER_LEVEL4@4</t>
  </si>
  <si>
    <t>T7_FIBER</t>
  </si>
  <si>
    <t>T7_FIBER_LEVEL1@1</t>
  </si>
  <si>
    <t>T7_FIBER_LEVEL2@2</t>
  </si>
  <si>
    <t>T7_FIBER_LEVEL3@3</t>
  </si>
  <si>
    <t>T7_FIBER_LEVEL4@4</t>
  </si>
  <si>
    <t>T8_FIBER</t>
  </si>
  <si>
    <t>T8_FIBER_LEVEL1@1</t>
  </si>
  <si>
    <t>T8_FIBER_LEVEL2@2</t>
  </si>
  <si>
    <t>T8_FIBER_LEVEL3@3</t>
  </si>
  <si>
    <t>T8_FIBER_LEVEL4@4</t>
  </si>
  <si>
    <t>T3_CLOTH</t>
  </si>
  <si>
    <t>T4_CLOTH</t>
  </si>
  <si>
    <t>T4_CLOTH_LEVEL1@1</t>
  </si>
  <si>
    <t>T4_CLOTH_LEVEL2@2</t>
  </si>
  <si>
    <t>T4_CLOTH_LEVEL3@3</t>
  </si>
  <si>
    <t>T4_CLOTH_LEVEL4@4</t>
  </si>
  <si>
    <t>T5_CLOTH</t>
  </si>
  <si>
    <t>T5_CLOTH_LEVEL1@1</t>
  </si>
  <si>
    <t>T5_CLOTH_LEVEL2@2</t>
  </si>
  <si>
    <t>T5_CLOTH_LEVEL3@3</t>
  </si>
  <si>
    <t>T5_CLOTH_LEVEL4@4</t>
  </si>
  <si>
    <t>T6_CLOTH</t>
  </si>
  <si>
    <t>T6_CLOTH_LEVEL1@1</t>
  </si>
  <si>
    <t>T6_CLOTH_LEVEL2@2</t>
  </si>
  <si>
    <t>T6_CLOTH_LEVEL3@3</t>
  </si>
  <si>
    <t>T6_CLOTH_LEVEL4@4</t>
  </si>
  <si>
    <t>T7_CLOTH</t>
  </si>
  <si>
    <t>T7_CLOTH_LEVEL1@1</t>
  </si>
  <si>
    <t>T7_CLOTH_LEVEL2@2</t>
  </si>
  <si>
    <t>T7_CLOTH_LEVEL3@3</t>
  </si>
  <si>
    <t>T7_CLOTH_LEVEL4@4</t>
  </si>
  <si>
    <t>T8_CLOTH</t>
  </si>
  <si>
    <t>T8_CLOTH_LEVEL1@1</t>
  </si>
  <si>
    <t>T8_CLOTH_LEVEL2@2</t>
  </si>
  <si>
    <t>T8_CLOTH_LEVEL3@3</t>
  </si>
  <si>
    <t>T8_CLOTH_LEVEL4@4</t>
  </si>
  <si>
    <t>T3_ORE</t>
  </si>
  <si>
    <t>T4_ORE</t>
  </si>
  <si>
    <t>T4_ORE_LEVEL1@1</t>
  </si>
  <si>
    <t>T4_ORE_LEVEL2@2</t>
  </si>
  <si>
    <t>T4_ORE_LEVEL3@3</t>
  </si>
  <si>
    <t>T4_ORE_LEVEL4@4</t>
  </si>
  <si>
    <t>T5_ORE</t>
  </si>
  <si>
    <t>T5_ORE_LEVEL1@1</t>
  </si>
  <si>
    <t>T5_ORE_LEVEL2@2</t>
  </si>
  <si>
    <t>T5_ORE_LEVEL3@3</t>
  </si>
  <si>
    <t>T5_ORE_LEVEL4@4</t>
  </si>
  <si>
    <t>T6_ORE</t>
  </si>
  <si>
    <t>T6_ORE_LEVEL1@1</t>
  </si>
  <si>
    <t>T6_ORE_LEVEL2@2</t>
  </si>
  <si>
    <t>T6_ORE_LEVEL3@3</t>
  </si>
  <si>
    <t>T6_ORE_LEVEL4@4</t>
  </si>
  <si>
    <t>T7_ORE</t>
  </si>
  <si>
    <t>T7_ORE_LEVEL1@1</t>
  </si>
  <si>
    <t>T7_ORE_LEVEL2@2</t>
  </si>
  <si>
    <t>T7_ORE_LEVEL3@3</t>
  </si>
  <si>
    <t>T7_ORE_LEVEL4@4</t>
  </si>
  <si>
    <t>T8_ORE</t>
  </si>
  <si>
    <t>T8_ORE_LEVEL1@1</t>
  </si>
  <si>
    <t>T8_ORE_LEVEL2@2</t>
  </si>
  <si>
    <t>T8_ORE_LEVEL3@3</t>
  </si>
  <si>
    <t>T8_ORE_LEVEL4@4</t>
  </si>
  <si>
    <t>T3_METALBAR</t>
  </si>
  <si>
    <t>T4_METALBAR</t>
  </si>
  <si>
    <t>T4_METALBAR_LEVEL1@1</t>
  </si>
  <si>
    <t>T4_METALBAR_LEVEL2@2</t>
  </si>
  <si>
    <t>T4_METALBAR_LEVEL3@3</t>
  </si>
  <si>
    <t>T4_METALBAR_LEVEL4@4</t>
  </si>
  <si>
    <t>T5_METALBAR</t>
  </si>
  <si>
    <t>T5_METALBAR_LEVEL1@1</t>
  </si>
  <si>
    <t>T5_METALBAR_LEVEL2@2</t>
  </si>
  <si>
    <t>T5_METALBAR_LEVEL3@3</t>
  </si>
  <si>
    <t>T5_METALBAR_LEVEL4@4</t>
  </si>
  <si>
    <t>T6_METALBAR</t>
  </si>
  <si>
    <t>T6_METALBAR_LEVEL1@1</t>
  </si>
  <si>
    <t>T6_METALBAR_LEVEL2@2</t>
  </si>
  <si>
    <t>T6_METALBAR_LEVEL3@3</t>
  </si>
  <si>
    <t>T6_METALBAR_LEVEL4@4</t>
  </si>
  <si>
    <t>T7_METALBAR</t>
  </si>
  <si>
    <t>T7_METALBAR_LEVEL1@1</t>
  </si>
  <si>
    <t>T7_METALBAR_LEVEL2@2</t>
  </si>
  <si>
    <t>T7_METALBAR_LEVEL3@3</t>
  </si>
  <si>
    <t>T7_METALBAR_LEVEL4@4</t>
  </si>
  <si>
    <t>T8_METALBAR</t>
  </si>
  <si>
    <t>T8_METALBAR_LEVEL1@1</t>
  </si>
  <si>
    <t>T8_METALBAR_LEVEL2@2</t>
  </si>
  <si>
    <t>T8_METALBAR_LEVEL3@3</t>
  </si>
  <si>
    <t>T8_METALBAR_LEVEL4@4</t>
  </si>
  <si>
    <t>T3_WOOD</t>
  </si>
  <si>
    <t>T4_WOOD</t>
  </si>
  <si>
    <t>T4_WOOD_LEVEL1@1</t>
  </si>
  <si>
    <t>T4_WOOD_LEVEL2@2</t>
  </si>
  <si>
    <t>T4_WOOD_LEVEL3@3</t>
  </si>
  <si>
    <t>T4_WOOD_LEVEL4@4</t>
  </si>
  <si>
    <t>T5_WOOD</t>
  </si>
  <si>
    <t>T5_WOOD_LEVEL1@1</t>
  </si>
  <si>
    <t>T5_WOOD_LEVEL2@2</t>
  </si>
  <si>
    <t>T5_WOOD_LEVEL3@3</t>
  </si>
  <si>
    <t>T5_WOOD_LEVEL4@4</t>
  </si>
  <si>
    <t>T6_WOOD</t>
  </si>
  <si>
    <t>T6_WOOD_LEVEL1@1</t>
  </si>
  <si>
    <t>T6_WOOD_LEVEL2@2</t>
  </si>
  <si>
    <t>T6_WOOD_LEVEL3@3</t>
  </si>
  <si>
    <t>T6_WOOD_LEVEL4@4</t>
  </si>
  <si>
    <t>T7_WOOD</t>
  </si>
  <si>
    <t>T7_WOOD_LEVEL1@1</t>
  </si>
  <si>
    <t>T7_WOOD_LEVEL2@2</t>
  </si>
  <si>
    <t>T7_WOOD_LEVEL3@3</t>
  </si>
  <si>
    <t>T7_WOOD_LEVEL4@4</t>
  </si>
  <si>
    <t>T8_WOOD</t>
  </si>
  <si>
    <t>T8_WOOD_LEVEL1@1</t>
  </si>
  <si>
    <t>T8_WOOD_LEVEL2@2</t>
  </si>
  <si>
    <t>T8_WOOD_LEVEL3@3</t>
  </si>
  <si>
    <t>T8_WOOD_LEVEL4@4</t>
  </si>
  <si>
    <t>T3_PLANKS</t>
  </si>
  <si>
    <t>T4_PLANKS</t>
  </si>
  <si>
    <t>T4_PLANKS_LEVEL1@1</t>
  </si>
  <si>
    <t>T4_PLANKS_LEVEL2@2</t>
  </si>
  <si>
    <t>T4_PLANKS_LEVEL3@3</t>
  </si>
  <si>
    <t>T4_PLANKS_LEVEL4@4</t>
  </si>
  <si>
    <t>T5_PLANKS</t>
  </si>
  <si>
    <t>T5_PLANKS_LEVEL1@1</t>
  </si>
  <si>
    <t>T5_PLANKS_LEVEL2@2</t>
  </si>
  <si>
    <t>T5_PLANKS_LEVEL3@3</t>
  </si>
  <si>
    <t>T5_PLANKS_LEVEL4@4</t>
  </si>
  <si>
    <t>T6_PLANKS</t>
  </si>
  <si>
    <t>T6_PLANKS_LEVEL1@1</t>
  </si>
  <si>
    <t>T6_PLANKS_LEVEL2@2</t>
  </si>
  <si>
    <t>T6_PLANKS_LEVEL3@3</t>
  </si>
  <si>
    <t>T6_PLANKS_LEVEL4@4</t>
  </si>
  <si>
    <t>T7_PLANKS</t>
  </si>
  <si>
    <t>T7_PLANKS_LEVEL1@1</t>
  </si>
  <si>
    <t>T7_PLANKS_LEVEL2@2</t>
  </si>
  <si>
    <t>T7_PLANKS_LEVEL3@3</t>
  </si>
  <si>
    <t>T7_PLANKS_LEVEL4@4</t>
  </si>
  <si>
    <t>T8_PLANKS</t>
  </si>
  <si>
    <t>T8_PLANKS_LEVEL1@1</t>
  </si>
  <si>
    <t>T8_PLANKS_LEVEL2@2</t>
  </si>
  <si>
    <t>T8_PLANKS_LEVEL3@3</t>
  </si>
  <si>
    <t>T8_PLANKS_LEVEL4@4</t>
  </si>
  <si>
    <t>T3_ROCK</t>
  </si>
  <si>
    <t>T4_ROCK</t>
  </si>
  <si>
    <t>T4_ROCK_LEVEL1@1</t>
  </si>
  <si>
    <t>T4_ROCK_LEVEL2@2</t>
  </si>
  <si>
    <t>T4_ROCK_LEVEL3@3</t>
  </si>
  <si>
    <t>T5_ROCK</t>
  </si>
  <si>
    <t>T5_ROCK_LEVEL1@1</t>
  </si>
  <si>
    <t>T5_ROCK_LEVEL2@2</t>
  </si>
  <si>
    <t>T5_ROCK_LEVEL3@3</t>
  </si>
  <si>
    <t>T6_ROCK</t>
  </si>
  <si>
    <t>T6_ROCK_LEVEL1@1</t>
  </si>
  <si>
    <t>T6_ROCK_LEVEL2@2</t>
  </si>
  <si>
    <t>T6_ROCK_LEVEL3@3</t>
  </si>
  <si>
    <t>T7_ROCK</t>
  </si>
  <si>
    <t>T7_ROCK_LEVEL1@1</t>
  </si>
  <si>
    <t>T7_ROCK_LEVEL2@2</t>
  </si>
  <si>
    <t>T7_ROCK_LEVEL3@3</t>
  </si>
  <si>
    <t>T8_ROCK</t>
  </si>
  <si>
    <t>T8_ROCK_LEVEL1@1</t>
  </si>
  <si>
    <t>T8_ROCK_LEVEL2@2</t>
  </si>
  <si>
    <t>T8_ROCK_LEVEL3@3</t>
  </si>
  <si>
    <t>PDV</t>
  </si>
  <si>
    <t>PDC</t>
  </si>
  <si>
    <t>AUX</t>
  </si>
  <si>
    <t>T3_STONEBLOCK</t>
  </si>
  <si>
    <t>T4_STONEBLOCK</t>
  </si>
  <si>
    <t>T5_STONEBLOCK</t>
  </si>
  <si>
    <t>T6_STONEBLOCK</t>
  </si>
  <si>
    <t>T7_STONEBLOCK</t>
  </si>
  <si>
    <t>T8_STONEBLOCK</t>
  </si>
  <si>
    <t>Atualizar Banco de Dados</t>
  </si>
  <si>
    <t>Minério e Barras de Aço</t>
  </si>
  <si>
    <t>Rocha e Blocos de Pedra</t>
  </si>
  <si>
    <t>Cidade</t>
  </si>
  <si>
    <t>Data</t>
  </si>
  <si>
    <t>B</t>
  </si>
  <si>
    <t>codigo do item</t>
  </si>
  <si>
    <t>Valor do PDV</t>
  </si>
  <si>
    <t>R</t>
  </si>
  <si>
    <t>Codigo</t>
  </si>
  <si>
    <t>Tipo</t>
  </si>
  <si>
    <t>Valor do PDC</t>
  </si>
  <si>
    <t>Linha</t>
  </si>
  <si>
    <t>TABELA DE PREÇOS RECENTES</t>
  </si>
  <si>
    <t>API</t>
  </si>
  <si>
    <t>Cidade de Venda</t>
  </si>
  <si>
    <t>Ordem dos Pelegos</t>
  </si>
  <si>
    <t>Ordem dos Couros</t>
  </si>
  <si>
    <t>Comprar direta</t>
  </si>
  <si>
    <t>Ordem de Compra</t>
  </si>
  <si>
    <t>Preço Mercado</t>
  </si>
  <si>
    <t>pelego$</t>
  </si>
  <si>
    <t>couro$</t>
  </si>
  <si>
    <t>venda</t>
  </si>
  <si>
    <t>Vender diretão</t>
  </si>
  <si>
    <t>Datas</t>
  </si>
  <si>
    <t>Preços</t>
  </si>
  <si>
    <t>Ordem das Fibras</t>
  </si>
  <si>
    <t>Ordem dos Tecidos</t>
  </si>
  <si>
    <t>Ordem das barras</t>
  </si>
  <si>
    <t>Ordem dos minérios</t>
  </si>
  <si>
    <t>Ordem das rochas</t>
  </si>
  <si>
    <t>Ordem dos blocos</t>
  </si>
  <si>
    <t>Ordem das madeiras</t>
  </si>
  <si>
    <t>Ordem das tábuas</t>
  </si>
  <si>
    <t>Hora</t>
  </si>
  <si>
    <t>Ordem de Venda</t>
  </si>
  <si>
    <t>Data PDV</t>
  </si>
  <si>
    <t>Data PDC</t>
  </si>
  <si>
    <t>Hora PDV</t>
  </si>
  <si>
    <t>Ordem Geral</t>
  </si>
  <si>
    <t>?locations=</t>
  </si>
  <si>
    <t>&amp;qualities=1</t>
  </si>
  <si>
    <t>Vínculos</t>
  </si>
  <si>
    <t>URL API BÁSICA</t>
  </si>
  <si>
    <t>Ligadores</t>
  </si>
  <si>
    <t>Recurso Bruto</t>
  </si>
  <si>
    <t>Recurso Refinado</t>
  </si>
  <si>
    <t>Local</t>
  </si>
  <si>
    <t>COURO</t>
  </si>
  <si>
    <t>TECIDO</t>
  </si>
  <si>
    <t>BARRA</t>
  </si>
  <si>
    <t>TÁBUA</t>
  </si>
  <si>
    <t>BLOCO</t>
  </si>
  <si>
    <t>T2_HIDE,T3_HIDE,T4_HIDE,T4_HIDE_LEVEL1@1,T4_HIDE_LEVEL2@2,T4_HIDE_LEVEL3@3,T4_HIDE_LEVEL4@4,T5_HIDE,T5_HIDE_LEVEL1@1,T5_HIDE_LEVEL2@2,T5_HIDE_LEVEL3@3,T5_HIDE_LEVEL4@4,T6_HIDE,T6_HIDE_LEVEL1@1,T6_HIDE_LEVEL2@2,T6_HIDE_LEVEL3@3,T6_HIDE_LEVEL4@4,T7_HIDE,T7_HIDE_LEVEL1@1,T7_HIDE_LEVEL2@2,T7_HIDE_LEVEL3@3,T7_HIDE_LEVEL4@4,T8_HIDE,T8_HIDE_LEVEL1@1,T8_HIDE_LEVEL2@2,T8_HIDE_LEVEL3@3,T8_HIDE_LEVEL4@4</t>
  </si>
  <si>
    <t>T2_LEATHER,T3_LEATHER,T4_LEATHER,T4_LEATHER_LEVEL1@1,T4_LEATHER_LEVEL2@2,T4_LEATHER_LEVEL3@3,T4_LEATHER_LEVEL4@4,T5_LEATHER,T5_LEATHER_LEVEL1@1,T5_LEATHER_LEVEL2@2,T5_LEATHER_LEVEL3@3,T5_LEATHER_LEVEL4@4,T6_LEATHER,T6_LEATHER_LEVEL1@1,T6_LEATHER_LEVEL2@2,T6_LEATHER_LEVEL3@3,T6_LEATHER_LEVEL4@4,T7_LEATHER,T7_LEATHER_LEVEL1@1,T7_LEATHER_LEVEL2@2,T7_LEATHER_LEVEL3@3,T7_LEATHER_LEVEL4@4,T8_LEATHER,T8_LEATHER_LEVEL1@1,T8_LEATHER_LEVEL2@2,T8_LEATHER_LEVEL3@3,T8_LEATHER_LEVEL4@4</t>
  </si>
  <si>
    <t>T2_FIBER,T3_FIBER,T4_FIBER,T4_FIBER_LEVEL1@1,T4_FIBER_LEVEL2@2,T4_FIBER_LEVEL3@3,T4_FIBER_LEVEL4@4,T5_FIBER,T5_FIBER_LEVEL1@1,T5_FIBER_LEVEL2@2,T5_FIBER_LEVEL3@3,T5_FIBER_LEVEL4@4,T6_FIBER,T6_FIBER_LEVEL1@1,T6_FIBER_LEVEL2@2,T6_FIBER_LEVEL3@3,T6_FIBER_LEVEL4@4,T7_FIBER,T7_FIBER_LEVEL1@1,T7_FIBER_LEVEL2@2,T7_FIBER_LEVEL3@3,T7_FIBER_LEVEL4@4,T8_FIBER,T8_FIBER_LEVEL1@1,T8_FIBER_LEVEL2@2,T8_FIBER_LEVEL3@3,T8_FIBER_LEVEL4@4</t>
  </si>
  <si>
    <t>T2_CLOTH,T3_CLOTH,T4_CLOTH,T4_CLOTH_LEVEL1@1,T4_CLOTH_LEVEL2@2,T4_CLOTH_LEVEL3@3,T4_CLOTH_LEVEL4@4,T5_CLOTH,T5_CLOTH_LEVEL1@1,T5_CLOTH_LEVEL2@2,T5_CLOTH_LEVEL3@3,T5_CLOTH_LEVEL4@4,T6_CLOTH,T6_CLOTH_LEVEL1@1,T6_CLOTH_LEVEL2@2,T6_CLOTH_LEVEL3@3,T6_CLOTH_LEVEL4@4,T7_CLOTH,T7_CLOTH_LEVEL1@1,T7_CLOTH_LEVEL2@2,T7_CLOTH_LEVEL3@3,T7_CLOTH_LEVEL4@4,T8_CLOTH,T8_CLOTH_LEVEL1@1,T8_CLOTH_LEVEL2@2,T8_CLOTH_LEVEL3@3,T8_CLOTH_LEVEL4@4</t>
  </si>
  <si>
    <t>T2_ORE,T3_ORE,T4_ORE,T4_ORE_LEVEL1@1,T4_ORE_LEVEL2@2,T4_ORE_LEVEL3@3,T4_ORE_LEVEL4@4,T5_ORE,T5_ORE_LEVEL1@1,T5_ORE_LEVEL2@2,T5_ORE_LEVEL3@3,T5_ORE_LEVEL4@4,T6_ORE,T6_ORE_LEVEL1@1,T6_ORE_LEVEL2@2,T6_ORE_LEVEL3@3,T6_ORE_LEVEL4@4,T7_ORE,T7_ORE_LEVEL1@1,T7_ORE_LEVEL2@2,T7_ORE_LEVEL3@3,T7_ORE_LEVEL4@4,T8_ORE,T8_ORE_LEVEL1@1,T8_ORE_LEVEL2@2,T8_ORE_LEVEL3@3,T8_ORE_LEVEL4@4</t>
  </si>
  <si>
    <t>T2_METALBAR,T3_METALBAR,T4_METALBAR,T4_METALBAR_LEVEL1@1,T4_METALBAR_LEVEL2@2,T4_METALBAR_LEVEL3@3,T4_METALBAR_LEVEL4@4,T5_METALBAR,T5_METALBAR_LEVEL1@1,T5_METALBAR_LEVEL2@2,T5_METALBAR_LEVEL3@3,T5_METALBAR_LEVEL4@4,T6_METALBAR,T6_METALBAR_LEVEL1@1,T6_METALBAR_LEVEL2@2,T6_METALBAR_LEVEL3@3,T6_METALBAR_LEVEL4@4,T7_METALBAR,T7_METALBAR_LEVEL1@1,T7_METALBAR_LEVEL2@2,T7_METALBAR_LEVEL3@3,T7_METALBAR_LEVEL4@4,T8_METALBAR,T8_METALBAR_LEVEL1@1,T8_METALBAR_LEVEL2@2,T8_METALBAR_LEVEL3@3,T8_METALBAR_LEVEL4@4</t>
  </si>
  <si>
    <t>T2_WOOD,T3_WOOD,T4_WOOD,T4_WOOD_LEVEL1@1,T4_WOOD_LEVEL2@2,T4_WOOD_LEVEL3@3,T4_WOOD_LEVEL4@4,T5_WOOD,T5_WOOD_LEVEL1@1,T5_WOOD_LEVEL2@2,T5_WOOD_LEVEL3@3,T5_WOOD_LEVEL4@4,T6_WOOD,T6_WOOD_LEVEL1@1,T6_WOOD_LEVEL2@2,T6_WOOD_LEVEL3@3,T6_WOOD_LEVEL4@4,T7_WOOD,T7_WOOD_LEVEL1@1,T7_WOOD_LEVEL2@2,T7_WOOD_LEVEL3@3,T7_WOOD_LEVEL4@4,T8_WOOD,T8_WOOD_LEVEL1@1,T8_WOOD_LEVEL2@2,T8_WOOD_LEVEL3@3,T8_WOOD_LEVEL4@4</t>
  </si>
  <si>
    <t>T2_PLANKS,T3_PLANKS,T4_PLANKS,T4_PLANKS_LEVEL1@1,T4_PLANKS_LEVEL2@2,T4_PLANKS_LEVEL3@3,T4_PLANKS_LEVEL4@4,T5_PLANKS,T5_PLANKS_LEVEL1@1,T5_PLANKS_LEVEL2@2,T5_PLANKS_LEVEL3@3,T5_PLANKS_LEVEL4@4,T6_PLANKS,T6_PLANKS_LEVEL1@1,T6_PLANKS_LEVEL2@2,T6_PLANKS_LEVEL3@3,T6_PLANKS_LEVEL4@4,T7_PLANKS,T7_PLANKS_LEVEL1@1,T7_PLANKS_LEVEL2@2,T7_PLANKS_LEVEL3@3,T7_PLANKS_LEVEL4@4,T8_PLANKS,T8_PLANKS_LEVEL1@1,T8_PLANKS_LEVEL2@2,T8_PLANKS_LEVEL3@3,T8_PLANKS_LEVEL4@4</t>
  </si>
  <si>
    <t>T2_ROCK,T3_ROCK,T4_ROCK,T4_ROCK_LEVEL1@1,T4_ROCK_LEVEL2@2,T4_ROCK_LEVEL3@3,T5_ROCK,T5_ROCK_LEVEL1@1,T5_ROCK_LEVEL2@2,T5_ROCK_LEVEL3@3,T6_ROCK,T6_ROCK_LEVEL1@1,T6_ROCK_LEVEL2@2,T6_ROCK_LEVEL3@3,T7_ROCK,T7_ROCK_LEVEL1@1,T7_ROCK_LEVEL2@2,T7_ROCK_LEVEL3@3,T8_ROCK,T8_ROCK_LEVEL1@1,T8_ROCK_LEVEL2@2,T8_ROCK_LEVEL3@3</t>
  </si>
  <si>
    <t>T2_STONEBLOCK,T3_STONEBLOCK,T4_STONEBLOCK,T5_STONEBLOCK,T6_STONEBLOCK,T7_STONEBLOCK,T8_STONEBLOCK</t>
  </si>
  <si>
    <t>T2_HIDE</t>
  </si>
  <si>
    <t>2024-09-08T13:30:00</t>
  </si>
  <si>
    <t>2024-09-08T13:35:00</t>
  </si>
  <si>
    <t>2024-09-08T11:45:00</t>
  </si>
  <si>
    <t>2024-09-08T01:25:00</t>
  </si>
  <si>
    <t>2024-09-08T00:50:00</t>
  </si>
  <si>
    <t>2024-09-08T13:25:00</t>
  </si>
  <si>
    <t>T2_LEATHER</t>
  </si>
  <si>
    <t>2024-09-08T05:15:00</t>
  </si>
  <si>
    <t>2024-09-08T15:20:00</t>
  </si>
  <si>
    <t>2024-09-08T05:55:00</t>
  </si>
  <si>
    <t>2024-09-08T00:00:00</t>
  </si>
  <si>
    <t>2024-09-08T15:30:00</t>
  </si>
  <si>
    <t>2024-09-08T01:00:00</t>
  </si>
  <si>
    <t>2024-09-08T16:00:00</t>
  </si>
  <si>
    <t>2024-09-08T14:35:00</t>
  </si>
  <si>
    <t>2024-09-08T16:05:00</t>
  </si>
  <si>
    <t>2024-09-08T03:00:00</t>
  </si>
  <si>
    <t>2024-09-08T14:50:00</t>
  </si>
  <si>
    <t>2024-09-08T14:40:00</t>
  </si>
  <si>
    <t>2024-09-08T14:45:00</t>
  </si>
  <si>
    <t>2024-09-08T02:15:00</t>
  </si>
  <si>
    <t>2024-09-08T13:45:00</t>
  </si>
  <si>
    <t>2024-09-08T15:40:00</t>
  </si>
  <si>
    <t>2024-09-08T14:15:00</t>
  </si>
  <si>
    <t>2024-09-07T23:20:00</t>
  </si>
  <si>
    <t>2024-09-08T03:40:00</t>
  </si>
  <si>
    <t>2024-09-08T14:20:00</t>
  </si>
  <si>
    <t>2024-09-08T00:05:00</t>
  </si>
  <si>
    <t>2024-09-08T14:10:00</t>
  </si>
  <si>
    <t>2024-09-08T03:05:00</t>
  </si>
  <si>
    <t>2024-09-08T16:15:00</t>
  </si>
  <si>
    <t>2024-09-08T13:05:00</t>
  </si>
  <si>
    <t>2024-09-07T19:30:00</t>
  </si>
  <si>
    <t>2024-09-08T14:30:00</t>
  </si>
  <si>
    <t>2024-09-08T14:25:00</t>
  </si>
  <si>
    <t>2024-09-08T15:50:00</t>
  </si>
  <si>
    <t>2024-09-07T23:05:00</t>
  </si>
  <si>
    <t>2024-09-08T16:20:00</t>
  </si>
  <si>
    <t>2024-09-08T05:00:00</t>
  </si>
  <si>
    <t>API AVANÇADA</t>
  </si>
  <si>
    <t>T2_HIDE,T3_HIDE,T4_HIDE,T4_HIDE_LEVEL1@1,T4_HIDE_LEVEL2@2,T4_HIDE_LEVEL3@3,T4_HIDE_LEVEL4@4,T5_HIDE,T5_HIDE_LEVEL1@1,T5_HIDE_LEVEL2@2,T5_HIDE_LEVEL3@3,T5_HIDE_LEVEL4@4,T6_HIDE,T6_HIDE_LEVEL1@1,T6_HIDE_LEVEL2@2,T6_HIDE_LEVEL3@3,T6_HIDE_LEVEL4@4,T7_HIDE,T7_HIDE_LEVEL1@1,T7_HIDE_LEVEL2@2,T7_HIDE_LEVEL3@3,T7_HIDE_LEVEL4@4,T8_HIDE,T8_HIDE_LEVEL1@1,T8_HIDE_LEVEL2@2,T8_HIDE_LEVEL3@3,T8_HIDE_LEVEL4@4?locations=Caerleon,Bridgewatch,Lymhurst,Thetford,Martlock,Fortsterling,Brecilien&amp;qualities=1</t>
  </si>
  <si>
    <t>LinkS</t>
  </si>
  <si>
    <t>T2</t>
  </si>
  <si>
    <t>2024-09-08T16:10:00</t>
  </si>
  <si>
    <t>2024-09-07T23:00:00</t>
  </si>
  <si>
    <t>2024-09-08T16:35:00</t>
  </si>
  <si>
    <t>2024-09-07T19:45:00</t>
  </si>
  <si>
    <t>2024-09-08T17:05:00</t>
  </si>
  <si>
    <t>2024-09-08T11:10:00</t>
  </si>
  <si>
    <t>2024-09-07T19:40:00</t>
  </si>
  <si>
    <t>2024-09-08T17:10:00</t>
  </si>
  <si>
    <t>2024-09-08T15:00:00</t>
  </si>
  <si>
    <t>2024-09-08T06:50:00</t>
  </si>
  <si>
    <t>2024-09-08T14:55:00</t>
  </si>
  <si>
    <t>2024-09-08T01:55:00</t>
  </si>
  <si>
    <t>2024-09-08T16:30:00</t>
  </si>
  <si>
    <t>2024-09-08T17:20:00</t>
  </si>
  <si>
    <t>Data e Hora</t>
  </si>
  <si>
    <t>Controle de Atualização</t>
  </si>
  <si>
    <t>Refinado</t>
  </si>
  <si>
    <t>Bruto</t>
  </si>
  <si>
    <t>2024-09-08T17:30:00</t>
  </si>
  <si>
    <t>2024-09-08T17:00:00</t>
  </si>
  <si>
    <t>2024-09-08T16:55:00</t>
  </si>
  <si>
    <t>T2_LEATHER,T3_LEATHER,T4_LEATHER,T4_LEATHER_LEVEL1@1,T4_LEATHER_LEVEL2@2,T4_LEATHER_LEVEL3@3,T4_LEATHER_LEVEL4@4,T5_LEATHER,T5_LEATHER_LEVEL1@1,T5_LEATHER_LEVEL2@2,T5_LEATHER_LEVEL3@3,T5_LEATHER_LEVEL4@4,T6_LEATHER,T6_LEATHER_LEVEL1@1,T6_LEATHER_LEVEL2@2,T6_LEATHER_LEVEL3@3,T6_LEATHER_LEVEL4@4,T7_LEATHER,T7_LEATHER_LEVEL1@1,T7_LEATHER_LEVEL2@2,T7_LEATHER_LEVEL3@3,T7_LEATHER_LEVEL4@4,T8_LEATHER,T8_LEATHER_LEVEL1@1,T8_LEATHER_LEVEL2@2,T8_LEATHER_LEVEL3@3,T8_LEATHER_LEVEL4@4?locations=Caerleon,Bridgewatch,Lymhurst,Thetford,Martlock,Fortsterling,Brecilien&amp;qualities=1</t>
  </si>
  <si>
    <t>2024-09-08T17:55:00</t>
  </si>
  <si>
    <t>2024-09-08T17:45:00</t>
  </si>
  <si>
    <t>2024-09-08T18:10:00</t>
  </si>
  <si>
    <t>2024-09-08T18:00:00</t>
  </si>
  <si>
    <t>2024-09-08T18:05:00</t>
  </si>
  <si>
    <t>2024-09-08T17:35:00</t>
  </si>
  <si>
    <t>2024-09-08T17:50:00</t>
  </si>
  <si>
    <t>T2_FIBER,T3_FIBER,T4_FIBER,T4_FIBER_LEVEL1@1,T4_FIBER_LEVEL2@2,T4_FIBER_LEVEL3@3,T4_FIBER_LEVEL4@4,T5_FIBER,T5_FIBER_LEVEL1@1,T5_FIBER_LEVEL2@2,T5_FIBER_LEVEL3@3,T5_FIBER_LEVEL4@4,T6_FIBER,T6_FIBER_LEVEL1@1,T6_FIBER_LEVEL2@2,T6_FIBER_LEVEL3@3,T6_FIBER_LEVEL4@4,T7_FIBER,T7_FIBER_LEVEL1@1,T7_FIBER_LEVEL2@2,T7_FIBER_LEVEL3@3,T7_FIBER_LEVEL4@4,T8_FIBER,T8_FIBER_LEVEL1@1,T8_FIBER_LEVEL2@2,T8_FIBER_LEVEL3@3,T8_FIBER_LEVEL4@4?locations=Caerleon,Bridgewatch,Lymhurst,Thetford,Martlock,Fortsterling,Brecilien&amp;qualities=1</t>
  </si>
  <si>
    <t>T2_CLOTH,T3_CLOTH,T4_CLOTH,T4_CLOTH_LEVEL1@1,T4_CLOTH_LEVEL2@2,T4_CLOTH_LEVEL3@3,T4_CLOTH_LEVEL4@4,T5_CLOTH,T5_CLOTH_LEVEL1@1,T5_CLOTH_LEVEL2@2,T5_CLOTH_LEVEL3@3,T5_CLOTH_LEVEL4@4,T6_CLOTH,T6_CLOTH_LEVEL1@1,T6_CLOTH_LEVEL2@2,T6_CLOTH_LEVEL3@3,T6_CLOTH_LEVEL4@4,T7_CLOTH,T7_CLOTH_LEVEL1@1,T7_CLOTH_LEVEL2@2,T7_CLOTH_LEVEL3@3,T7_CLOTH_LEVEL4@4,T8_CLOTH,T8_CLOTH_LEVEL1@1,T8_CLOTH_LEVEL2@2,T8_CLOTH_LEVEL3@3,T8_CLOTH_LEVEL4@4?locations=Caerleon,Bridgewatch,Lymhurst,Thetford,Martlock,Fortsterling,Brecilien&amp;qualities=1</t>
  </si>
  <si>
    <t>T2_ORE,T3_ORE,T4_ORE,T4_ORE_LEVEL1@1,T4_ORE_LEVEL2@2,T4_ORE_LEVEL3@3,T4_ORE_LEVEL4@4,T5_ORE,T5_ORE_LEVEL1@1,T5_ORE_LEVEL2@2,T5_ORE_LEVEL3@3,T5_ORE_LEVEL4@4,T6_ORE,T6_ORE_LEVEL1@1,T6_ORE_LEVEL2@2,T6_ORE_LEVEL3@3,T6_ORE_LEVEL4@4,T7_ORE,T7_ORE_LEVEL1@1,T7_ORE_LEVEL2@2,T7_ORE_LEVEL3@3,T7_ORE_LEVEL4@4,T8_ORE,T8_ORE_LEVEL1@1,T8_ORE_LEVEL2@2,T8_ORE_LEVEL3@3,T8_ORE_LEVEL4@4?locations=Caerleon,Bridgewatch,Lymhurst,Thetford,Martlock,Fortsterling,Brecilien&amp;qualities=1</t>
  </si>
  <si>
    <t>T2_METALBAR,T3_METALBAR,T4_METALBAR,T4_METALBAR_LEVEL1@1,T4_METALBAR_LEVEL2@2,T4_METALBAR_LEVEL3@3,T4_METALBAR_LEVEL4@4,T5_METALBAR,T5_METALBAR_LEVEL1@1,T5_METALBAR_LEVEL2@2,T5_METALBAR_LEVEL3@3,T5_METALBAR_LEVEL4@4,T6_METALBAR,T6_METALBAR_LEVEL1@1,T6_METALBAR_LEVEL2@2,T6_METALBAR_LEVEL3@3,T6_METALBAR_LEVEL4@4,T7_METALBAR,T7_METALBAR_LEVEL1@1,T7_METALBAR_LEVEL2@2,T7_METALBAR_LEVEL3@3,T7_METALBAR_LEVEL4@4,T8_METALBAR,T8_METALBAR_LEVEL1@1,T8_METALBAR_LEVEL2@2,T8_METALBAR_LEVEL3@3,T8_METALBAR_LEVEL4@4?locations=Caerleon,Bridgewatch,Lymhurst,Thetford,Martlock,Fortsterling,Brecilien&amp;qualities=1</t>
  </si>
  <si>
    <t>T2_WOOD,T3_WOOD,T4_WOOD,T4_WOOD_LEVEL1@1,T4_WOOD_LEVEL2@2,T4_WOOD_LEVEL3@3,T4_WOOD_LEVEL4@4,T5_WOOD,T5_WOOD_LEVEL1@1,T5_WOOD_LEVEL2@2,T5_WOOD_LEVEL3@3,T5_WOOD_LEVEL4@4,T6_WOOD,T6_WOOD_LEVEL1@1,T6_WOOD_LEVEL2@2,T6_WOOD_LEVEL3@3,T6_WOOD_LEVEL4@4,T7_WOOD,T7_WOOD_LEVEL1@1,T7_WOOD_LEVEL2@2,T7_WOOD_LEVEL3@3,T7_WOOD_LEVEL4@4,T8_WOOD,T8_WOOD_LEVEL1@1,T8_WOOD_LEVEL2@2,T8_WOOD_LEVEL3@3,T8_WOOD_LEVEL4@4?locations=Caerleon,Bridgewatch,Lymhurst,Thetford,Martlock,Fortsterling,Brecilien&amp;qualities=1</t>
  </si>
  <si>
    <t>T2_PLANKS,T3_PLANKS,T4_PLANKS,T4_PLANKS_LEVEL1@1,T4_PLANKS_LEVEL2@2,T4_PLANKS_LEVEL3@3,T4_PLANKS_LEVEL4@4,T5_PLANKS,T5_PLANKS_LEVEL1@1,T5_PLANKS_LEVEL2@2,T5_PLANKS_LEVEL3@3,T5_PLANKS_LEVEL4@4,T6_PLANKS,T6_PLANKS_LEVEL1@1,T6_PLANKS_LEVEL2@2,T6_PLANKS_LEVEL3@3,T6_PLANKS_LEVEL4@4,T7_PLANKS,T7_PLANKS_LEVEL1@1,T7_PLANKS_LEVEL2@2,T7_PLANKS_LEVEL3@3,T7_PLANKS_LEVEL4@4,T8_PLANKS,T8_PLANKS_LEVEL1@1,T8_PLANKS_LEVEL2@2,T8_PLANKS_LEVEL3@3,T8_PLANKS_LEVEL4@4?locations=Caerleon,Bridgewatch,Lymhurst,Thetford,Martlock,Fortsterling,Brecilien&amp;qualities=1</t>
  </si>
  <si>
    <t>T2_ROCK</t>
  </si>
  <si>
    <t>2024-09-08T12:55:00</t>
  </si>
  <si>
    <t>2024-09-08T00:25:00</t>
  </si>
  <si>
    <t>2024-09-08T13:00:00</t>
  </si>
  <si>
    <t>2024-09-08T18:20:00</t>
  </si>
  <si>
    <t>2024-09-08T18:50:00</t>
  </si>
  <si>
    <t>2024-09-08T18:55:00</t>
  </si>
  <si>
    <t>2024-09-08T18:15:00</t>
  </si>
  <si>
    <t>2024-09-08T18:30:00</t>
  </si>
  <si>
    <t>2024-09-08T18:40:00</t>
  </si>
  <si>
    <t>2024-09-08T18:25:00</t>
  </si>
  <si>
    <t>2024-09-08T18:45:00</t>
  </si>
  <si>
    <t>2024-09-08T08:25:00</t>
  </si>
  <si>
    <t>2024-09-07T23:55:00</t>
  </si>
  <si>
    <t>2024-09-07T21:30:00</t>
  </si>
  <si>
    <t>2024-09-08T02:55:00</t>
  </si>
  <si>
    <t>2024-09-08T18:35:00</t>
  </si>
  <si>
    <t>2024-09-08T03:35:00</t>
  </si>
  <si>
    <t>2024-09-08T16:50:00</t>
  </si>
  <si>
    <t>2024-09-07T21:05:00</t>
  </si>
  <si>
    <t>2024-09-07T22:05:00</t>
  </si>
  <si>
    <t>2024-09-08T11:40:00</t>
  </si>
  <si>
    <t>2024-09-08T09:35:00</t>
  </si>
  <si>
    <t>2024-09-08T02:50:00</t>
  </si>
  <si>
    <t>2024-09-08T03:10:00</t>
  </si>
  <si>
    <t>2024-09-08T08:15:00</t>
  </si>
  <si>
    <t>2024-09-08T01:30:00</t>
  </si>
  <si>
    <t>2024-09-07T23:30:00</t>
  </si>
  <si>
    <t>2024-09-08T02:05:00</t>
  </si>
  <si>
    <t>T2_STONEBLOCK</t>
  </si>
  <si>
    <t>2024-09-08T12:50:00</t>
  </si>
  <si>
    <t>2024-09-07T20:40:00</t>
  </si>
  <si>
    <t>2024-09-08T12:35:00</t>
  </si>
  <si>
    <t>2024-09-07T23:10:00</t>
  </si>
  <si>
    <t>2024-09-08T12:10:00</t>
  </si>
  <si>
    <t>T2_ROCK,T3_ROCK,T4_ROCK,T4_ROCK_LEVEL1@1,T4_ROCK_LEVEL2@2,T4_ROCK_LEVEL3@3,T5_ROCK,T5_ROCK_LEVEL1@1,T5_ROCK_LEVEL2@2,T5_ROCK_LEVEL3@3,T6_ROCK,T6_ROCK_LEVEL1@1,T6_ROCK_LEVEL2@2,T6_ROCK_LEVEL3@3,T7_ROCK,T7_ROCK_LEVEL1@1,T7_ROCK_LEVEL2@2,T7_ROCK_LEVEL3@3,T8_ROCK,T8_ROCK_LEVEL1@1,T8_ROCK_LEVEL2@2,T8_ROCK_LEVEL3@3?locations=Caerleon,Bridgewatch,Lymhurst,Thetford,Martlock,Fortsterling,Brecilien&amp;qualities=1</t>
  </si>
  <si>
    <t>T2_STONEBLOCK,T3_STONEBLOCK,T4_STONEBLOCK,T5_STONEBLOCK,T6_STONEBLOCK,T7_STONEBLOCK,T8_STONEBLOCK?locations=Caerleon,Bridgewatch,Lymhurst,Thetford,Martlock,Fortsterling,Brecilien&amp;qualities=1</t>
  </si>
  <si>
    <t>2024-09-08T19:00:00</t>
  </si>
  <si>
    <t>2024-09-07T19:05:00</t>
  </si>
  <si>
    <t>2024-09-08T01:50:00</t>
  </si>
  <si>
    <t>T2_FIBER</t>
  </si>
  <si>
    <t>2024-09-08T19:40:00</t>
  </si>
  <si>
    <t>2024-09-08T19:45:00</t>
  </si>
  <si>
    <t>2024-09-08T19:10:00</t>
  </si>
  <si>
    <t>2024-09-08T19:05:00</t>
  </si>
  <si>
    <t>2024-09-08T19:20:00</t>
  </si>
  <si>
    <t>T2_CLOTH</t>
  </si>
  <si>
    <t>2024-09-08T19:30:00</t>
  </si>
  <si>
    <t>T2_ORE</t>
  </si>
  <si>
    <t>2024-09-08T19:15:00</t>
  </si>
  <si>
    <t>T2_METALBAR</t>
  </si>
  <si>
    <t>T2_WOOD</t>
  </si>
  <si>
    <t>T2_PLANKS</t>
  </si>
  <si>
    <t>data</t>
  </si>
  <si>
    <t>hora</t>
  </si>
  <si>
    <t>BRUTO NORMAL</t>
  </si>
  <si>
    <t>REFINADO NORMAL</t>
  </si>
  <si>
    <t>BLOCOS</t>
  </si>
  <si>
    <t>Consultar API</t>
  </si>
  <si>
    <t>Consultar Histórico</t>
  </si>
  <si>
    <t>2024-09-08T20:40:00</t>
  </si>
  <si>
    <t>2024-09-08T23:15:00</t>
  </si>
  <si>
    <t>2024-09-09T04:50:00</t>
  </si>
  <si>
    <t>2024-09-09T01:50:00</t>
  </si>
  <si>
    <t>2024-09-09T02:30:00</t>
  </si>
  <si>
    <t>2024-09-08T23:25:00</t>
  </si>
  <si>
    <t>2024-09-09T02:55:00</t>
  </si>
  <si>
    <t>2024-09-09T03:45:00</t>
  </si>
  <si>
    <t>2024-09-09T00:45:00</t>
  </si>
  <si>
    <t>2024-09-08T22:45:00</t>
  </si>
  <si>
    <t>2024-09-09T02:45:00</t>
  </si>
  <si>
    <t>2024-09-09T00:55:00</t>
  </si>
  <si>
    <t>2024-09-09T07:20:00</t>
  </si>
  <si>
    <t>2024-09-09T00:20:00</t>
  </si>
  <si>
    <t>2024-09-09T08:15:00</t>
  </si>
  <si>
    <t>2024-09-09T07:10:00</t>
  </si>
  <si>
    <t>2024-09-09T03:05:00</t>
  </si>
  <si>
    <t>2024-09-09T06:35:00</t>
  </si>
  <si>
    <t>2024-09-09T06:30:00</t>
  </si>
  <si>
    <t>2024-09-08T21:55:00</t>
  </si>
  <si>
    <t>2024-09-09T00:00:00</t>
  </si>
  <si>
    <t>2024-09-09T07:30:00</t>
  </si>
  <si>
    <t>2024-09-09T04:30:00</t>
  </si>
  <si>
    <t>2024-09-09T07:25:00</t>
  </si>
  <si>
    <t>2024-09-09T02:15:00</t>
  </si>
  <si>
    <t>2024-09-09T04:45:00</t>
  </si>
  <si>
    <t>2024-09-09T06:40:00</t>
  </si>
  <si>
    <t>2024-09-08T23:10:00</t>
  </si>
  <si>
    <t>2024-09-09T03:00:00</t>
  </si>
  <si>
    <t>2024-09-09T03:40:00</t>
  </si>
  <si>
    <t>2024-09-09T05:20:00</t>
  </si>
  <si>
    <t>2024-09-08T20:30:00</t>
  </si>
  <si>
    <t>2024-09-08T20:35:00</t>
  </si>
  <si>
    <t>2024-09-09T01:55:00</t>
  </si>
  <si>
    <t>2024-09-09T09:55:00</t>
  </si>
  <si>
    <t>2024-09-09T02:10:00</t>
  </si>
  <si>
    <t>2024-09-09T02:35:00</t>
  </si>
  <si>
    <t>2024-09-09T01:40:00</t>
  </si>
  <si>
    <t>2024-09-08T20:25:00</t>
  </si>
  <si>
    <t>2024-09-09T00:15:00</t>
  </si>
  <si>
    <t>2024-09-09T04:40:00</t>
  </si>
  <si>
    <t>2024-09-09T00:50:00</t>
  </si>
  <si>
    <t>2024-09-08T20:10:00</t>
  </si>
  <si>
    <t>2024-09-09T04:20:00</t>
  </si>
  <si>
    <t>2024-09-09T00:40:00</t>
  </si>
  <si>
    <t>2024-09-09T00:35:00</t>
  </si>
  <si>
    <t>2024-09-09T01:35:00</t>
  </si>
  <si>
    <t>2024-09-08T21:10:00</t>
  </si>
  <si>
    <t>2024-09-09T08:40:00</t>
  </si>
  <si>
    <t>2024-09-09T01:05:00</t>
  </si>
  <si>
    <t>2024-09-09T01:00:00</t>
  </si>
  <si>
    <t>2024-09-09T02:50:00</t>
  </si>
  <si>
    <t>2024-09-09T11:45:00</t>
  </si>
  <si>
    <t>2024-09-09T13:35:00</t>
  </si>
  <si>
    <t>2024-09-09T13:20:00</t>
  </si>
  <si>
    <t>2024-09-09T13:30:00</t>
  </si>
  <si>
    <t>2024-09-09T11:50:00</t>
  </si>
  <si>
    <t>2024-09-09T12:20:00</t>
  </si>
  <si>
    <t>2024-09-09T03:10:00</t>
  </si>
  <si>
    <t>2024-09-09T03:55:00</t>
  </si>
  <si>
    <t>2024-09-09T00:30:00</t>
  </si>
  <si>
    <t>2024-09-09T13:40:00</t>
  </si>
  <si>
    <t>2024-09-09T13:45:00</t>
  </si>
  <si>
    <t>2024-09-09T11:20:00</t>
  </si>
  <si>
    <t>2024-09-09T02:40:00</t>
  </si>
  <si>
    <t>2024-09-09T12:25:00</t>
  </si>
  <si>
    <t>2024-09-09T11:15:00</t>
  </si>
  <si>
    <t>2024-09-09T05:45:00</t>
  </si>
  <si>
    <t>2024-09-09T05:40:00</t>
  </si>
  <si>
    <t>2024-09-09T12:00:00</t>
  </si>
  <si>
    <t>2024-09-09T11:10:00</t>
  </si>
  <si>
    <t>2024-09-08T23:55:00</t>
  </si>
  <si>
    <t>2024-09-08T23:50:00</t>
  </si>
  <si>
    <t>2024-09-09T13:50:00</t>
  </si>
  <si>
    <t>2024-09-09T06:00:00</t>
  </si>
  <si>
    <t>2024-09-09T10:50:00</t>
  </si>
  <si>
    <t>2024-09-09T11:00:00</t>
  </si>
  <si>
    <t>2024-09-09T12:45:00</t>
  </si>
  <si>
    <t>2024-09-09T14:00:00</t>
  </si>
  <si>
    <t>2024-09-09T01:25:00</t>
  </si>
  <si>
    <t>2024-09-09T13:00:00</t>
  </si>
  <si>
    <t>2024-09-09T13:05:00</t>
  </si>
  <si>
    <t>2024-09-09T13:55:00</t>
  </si>
  <si>
    <t>2024-09-09T10:55:00</t>
  </si>
  <si>
    <t>2024-09-09T14:40:00</t>
  </si>
  <si>
    <t>2024-09-09T12:50:00</t>
  </si>
  <si>
    <t>2024-09-09T15:05:00</t>
  </si>
  <si>
    <t>2024-09-08T22:00:00</t>
  </si>
  <si>
    <t>2024-09-08T22:55:00</t>
  </si>
  <si>
    <t>2024-09-09T14:50:00</t>
  </si>
  <si>
    <t>2024-09-09T13:25:00</t>
  </si>
  <si>
    <t>2024-09-09T14:25:00</t>
  </si>
  <si>
    <t>2024-09-09T14:20:00</t>
  </si>
  <si>
    <t>2024-09-09T14:45:00</t>
  </si>
  <si>
    <t>2024-09-09T11:05:00</t>
  </si>
  <si>
    <t>2024-09-09T14:35:00</t>
  </si>
  <si>
    <t>2024-09-09T15:00:00</t>
  </si>
  <si>
    <t>2024-09-09T03:50:00</t>
  </si>
  <si>
    <t>2024-09-09T14:55:00</t>
  </si>
  <si>
    <t>2024-09-09T02:05:00</t>
  </si>
  <si>
    <t>2024-09-09T05:35:00</t>
  </si>
  <si>
    <t>2024-09-09T04:10:00</t>
  </si>
  <si>
    <t>2024-09-09T14:30:00</t>
  </si>
  <si>
    <t>2024-09-09T12:10:00</t>
  </si>
  <si>
    <t>2024-09-09T05:55:00</t>
  </si>
  <si>
    <t>Cidade de Origem</t>
  </si>
  <si>
    <t>Horas</t>
  </si>
  <si>
    <t xml:space="preserve">Couro </t>
  </si>
  <si>
    <t xml:space="preserve">Pelego </t>
  </si>
  <si>
    <t xml:space="preserve">Tecido </t>
  </si>
  <si>
    <t xml:space="preserve">Barra </t>
  </si>
  <si>
    <t xml:space="preserve">Minério </t>
  </si>
  <si>
    <t xml:space="preserve">Madeira </t>
  </si>
  <si>
    <t xml:space="preserve">Tábua </t>
  </si>
  <si>
    <t>Encanto</t>
  </si>
  <si>
    <t xml:space="preserve">Rocha </t>
  </si>
  <si>
    <t xml:space="preserve">Bloco </t>
  </si>
  <si>
    <t>PRODUÇÃO</t>
  </si>
  <si>
    <t>Total</t>
  </si>
  <si>
    <t>Horário</t>
  </si>
  <si>
    <t>Albion (Padrão)</t>
  </si>
  <si>
    <t>Fernando de Noronha</t>
  </si>
  <si>
    <t>Brasília</t>
  </si>
  <si>
    <t>Amazônia</t>
  </si>
  <si>
    <t>Acre</t>
  </si>
  <si>
    <t xml:space="preserve">Pedidos de </t>
  </si>
  <si>
    <t>2024-12-25T09:50:00</t>
  </si>
  <si>
    <t>2024-12-25T08:50:00</t>
  </si>
  <si>
    <t>2024-12-25T09:35:00</t>
  </si>
  <si>
    <t>2024-12-25T13:05:00</t>
  </si>
  <si>
    <t>2024-12-25T08:45:00</t>
  </si>
  <si>
    <t>2024-12-25T09:40:00</t>
  </si>
  <si>
    <t>2024-12-24T22:25:00</t>
  </si>
  <si>
    <t>2024-12-24T21:35:00</t>
  </si>
  <si>
    <t>2024-12-24T21:40:00</t>
  </si>
  <si>
    <t>2024-12-25T13:15:00</t>
  </si>
  <si>
    <t>2024-12-24T21:45:00</t>
  </si>
  <si>
    <t>2024-12-25T15:00:00</t>
  </si>
  <si>
    <t>2024-12-25T00:45:00</t>
  </si>
  <si>
    <t>2024-12-25T14:05:00</t>
  </si>
  <si>
    <t>2024-12-25T14:55:00</t>
  </si>
  <si>
    <t>2024-12-25T12:55:00</t>
  </si>
  <si>
    <t>2024-12-25T12:35:00</t>
  </si>
  <si>
    <t>2024-12-25T04:50:00</t>
  </si>
  <si>
    <t>2024-12-25T13:35:00</t>
  </si>
  <si>
    <t>2024-12-25T13:10:00</t>
  </si>
  <si>
    <t>2024-12-25T13:25:00</t>
  </si>
  <si>
    <t>2024-12-25T12:25:00</t>
  </si>
  <si>
    <t>2024-12-25T13:40:00</t>
  </si>
  <si>
    <t>2024-12-25T12:50:00</t>
  </si>
  <si>
    <t>2024-12-25T12:45:00</t>
  </si>
  <si>
    <t>2024-12-25T15:40:00</t>
  </si>
  <si>
    <t>2024-12-24T22:50:00</t>
  </si>
  <si>
    <t>2024-12-25T15:45:00</t>
  </si>
  <si>
    <t>2024-12-24T18:20:00</t>
  </si>
  <si>
    <t>2024-12-25T10:40:00</t>
  </si>
  <si>
    <t>2024-12-25T10:30:00</t>
  </si>
  <si>
    <t>2024-12-25T11:55:00</t>
  </si>
  <si>
    <t>2024-12-25T16:05:00</t>
  </si>
  <si>
    <t>2024-12-25T11:05:00</t>
  </si>
  <si>
    <t>2024-12-25T12:40:00</t>
  </si>
  <si>
    <t>2024-12-25T16:50:00</t>
  </si>
  <si>
    <t>2024-12-25T02:05:00</t>
  </si>
  <si>
    <t>2024-12-25T02:00:00</t>
  </si>
  <si>
    <t>2024-12-24T20:10:00</t>
  </si>
  <si>
    <t>2024-12-24T20:15:00</t>
  </si>
  <si>
    <t>2024-12-24T22:30:00</t>
  </si>
  <si>
    <t>2024-12-24T22:40:00</t>
  </si>
  <si>
    <t>2024-12-25T07:10:00</t>
  </si>
  <si>
    <t>2024-12-24T20:55:00</t>
  </si>
  <si>
    <t>2024-12-24T22:35:00</t>
  </si>
  <si>
    <t>2024-12-25T02:30:00</t>
  </si>
  <si>
    <t>2024-12-25T15:55:00</t>
  </si>
  <si>
    <t>2024-12-24T23:50:00</t>
  </si>
  <si>
    <t>2024-12-25T13:50:00</t>
  </si>
  <si>
    <t>2024-12-25T14:25:00</t>
  </si>
  <si>
    <t>2024-12-25T07:25:00</t>
  </si>
  <si>
    <t>2024-12-24T21:30:00</t>
  </si>
  <si>
    <t>2024-12-25T16:00:00</t>
  </si>
  <si>
    <t>2024-12-25T00:25:00</t>
  </si>
  <si>
    <t>2024-12-25T13:00:00</t>
  </si>
  <si>
    <t>2024-12-24T18:50:00</t>
  </si>
  <si>
    <t>2024-12-25T01:55:00</t>
  </si>
  <si>
    <t>2024-12-25T16:35:00</t>
  </si>
  <si>
    <t>2024-12-25T07:00:00</t>
  </si>
  <si>
    <t>2024-12-25T09:30:00</t>
  </si>
  <si>
    <t>2024-12-25T14:30:00</t>
  </si>
  <si>
    <t>2024-12-25T15:50:00</t>
  </si>
  <si>
    <t>2024-12-24T22:15:00</t>
  </si>
  <si>
    <t>2024-12-25T11:10:00</t>
  </si>
  <si>
    <t>2024-12-24T23:45:00</t>
  </si>
  <si>
    <t>2024-12-24T21:25:00</t>
  </si>
  <si>
    <t>2024-12-25T14:40:00</t>
  </si>
  <si>
    <t>2024-12-24T21:20:00</t>
  </si>
  <si>
    <t>2024-12-24T20:35:00</t>
  </si>
  <si>
    <t>2024-12-24T21:50:00</t>
  </si>
  <si>
    <t>2024-12-24T17:15:00</t>
  </si>
  <si>
    <t>2024-12-25T16:25:00</t>
  </si>
  <si>
    <t>2024-12-24T20:20:00</t>
  </si>
  <si>
    <t>2024-12-24T17:40:00</t>
  </si>
  <si>
    <t>2024-12-25T16:20:00</t>
  </si>
  <si>
    <t>2024-12-24T19:55:00</t>
  </si>
  <si>
    <t>2024-12-25T00:00:00</t>
  </si>
  <si>
    <t>2024-12-24T20:05:00</t>
  </si>
  <si>
    <t>2024-12-24T18:30:00</t>
  </si>
  <si>
    <t>2024-12-24T17:45:00</t>
  </si>
  <si>
    <t>2024-12-24T23:55:00</t>
  </si>
  <si>
    <t>2024-12-25T02:35:00</t>
  </si>
  <si>
    <t>2024-12-25T06:55:00</t>
  </si>
  <si>
    <t>2024-12-24T20:00:00</t>
  </si>
  <si>
    <t>2024-12-24T17:30:00</t>
  </si>
  <si>
    <t>2024-12-24T17:55:00</t>
  </si>
  <si>
    <t>2024-12-24T17:50:00</t>
  </si>
  <si>
    <t>2024-12-25T17:10:00</t>
  </si>
  <si>
    <t>2024-12-25T17:05:00</t>
  </si>
  <si>
    <t>2024-12-25T17:00:00</t>
  </si>
  <si>
    <t>2024-12-28T16:35:00</t>
  </si>
  <si>
    <t>2024-12-28T17:50:00</t>
  </si>
  <si>
    <t>2024-12-28T18:05:00</t>
  </si>
  <si>
    <t>2024-12-28T16:20:00</t>
  </si>
  <si>
    <t>2024-12-28T15:10:00</t>
  </si>
  <si>
    <t>2024-12-28T16:15:00</t>
  </si>
  <si>
    <t>2024-12-28T18:00:00</t>
  </si>
  <si>
    <t>2024-12-28T16:05:00</t>
  </si>
  <si>
    <t>2024-12-28T16:10:00</t>
  </si>
  <si>
    <t>2024-12-28T18:25:00</t>
  </si>
  <si>
    <t>2024-12-28T16:30:00</t>
  </si>
  <si>
    <t>2024-12-28T00:25:00</t>
  </si>
  <si>
    <t>2024-12-28T09:35:00</t>
  </si>
  <si>
    <t>2024-12-27T21:50:00</t>
  </si>
  <si>
    <t>2024-12-28T18:10:00</t>
  </si>
  <si>
    <t>2024-12-28T18:20:00</t>
  </si>
  <si>
    <t>2024-12-27T22:00:00</t>
  </si>
  <si>
    <t>2024-12-28T15:50:00</t>
  </si>
  <si>
    <t>2024-12-28T13:55:00</t>
  </si>
  <si>
    <t>2024-12-28T15:05:00</t>
  </si>
  <si>
    <t>2024-12-28T12:55:00</t>
  </si>
  <si>
    <t>2024-12-28T06:10:00</t>
  </si>
  <si>
    <t>2024-12-28T14:30:00</t>
  </si>
  <si>
    <t>2024-12-28T04:15:00</t>
  </si>
  <si>
    <t>2024-12-28T13:00:00</t>
  </si>
  <si>
    <t>2024-12-27T20:10:00</t>
  </si>
  <si>
    <t>2024-12-28T17:55:00</t>
  </si>
  <si>
    <t>2024-12-28T17:35:00</t>
  </si>
  <si>
    <t>2024-12-28T02:20:00</t>
  </si>
  <si>
    <t>2024-12-28T16:25:00</t>
  </si>
  <si>
    <t>2024-12-28T17:05:00</t>
  </si>
  <si>
    <t>2024-12-27T22:45:00</t>
  </si>
  <si>
    <t>2024-12-28T13:10:00</t>
  </si>
  <si>
    <t>2024-12-28T15:30:00</t>
  </si>
  <si>
    <t>2024-12-28T13:50:00</t>
  </si>
  <si>
    <t>2024-12-28T10:15:00</t>
  </si>
  <si>
    <t>2024-12-27T20:20:00</t>
  </si>
  <si>
    <t>2024-12-28T17:20:00</t>
  </si>
  <si>
    <t>2024-12-28T15:55:00</t>
  </si>
  <si>
    <t>2024-12-27T20:05:00</t>
  </si>
  <si>
    <t>2024-12-27T20:00:00</t>
  </si>
  <si>
    <t>2024-12-28T16:00:00</t>
  </si>
  <si>
    <t>2024-12-28T18:30:00</t>
  </si>
  <si>
    <t>2024-12-27T21:35:00</t>
  </si>
  <si>
    <t>2024-12-28T17:25:00</t>
  </si>
  <si>
    <t>2024-12-28T13:05:00</t>
  </si>
  <si>
    <t>2024-12-27T20:15:00</t>
  </si>
  <si>
    <t>2024-12-28T01:25:00</t>
  </si>
  <si>
    <t>2024-12-28T17:40:00</t>
  </si>
  <si>
    <t>2024-12-28T15:35:00</t>
  </si>
  <si>
    <t>2024-12-28T15:45:00</t>
  </si>
  <si>
    <t>2024-12-28T13:15:00</t>
  </si>
  <si>
    <t>2024-12-28T09:55:00</t>
  </si>
  <si>
    <t>2024-12-27T19:00:00</t>
  </si>
  <si>
    <t>2024-12-27T20:55:00</t>
  </si>
  <si>
    <t>2024-12-28T15:20:00</t>
  </si>
  <si>
    <t>2024-12-28T12:05:00</t>
  </si>
  <si>
    <t>2024-12-28T08:20:00</t>
  </si>
  <si>
    <t>2024-12-28T18:15:00</t>
  </si>
  <si>
    <t>2024-12-28T11:00:00</t>
  </si>
  <si>
    <t>2024-12-28T08:50:00</t>
  </si>
  <si>
    <t>2024-12-28T15:40:00</t>
  </si>
  <si>
    <t>2024-12-27T22:25:00</t>
  </si>
  <si>
    <t>2024-12-28T10:55:00</t>
  </si>
  <si>
    <t>2024-12-28T17:10:00</t>
  </si>
  <si>
    <t>2024-12-28T17:00:00</t>
  </si>
  <si>
    <t>2024-12-27T22:30:00</t>
  </si>
  <si>
    <t>2024-12-28T15:15:00</t>
  </si>
  <si>
    <t>2024-12-27T19:55:00</t>
  </si>
  <si>
    <t>2024-12-27T21:25:00</t>
  </si>
  <si>
    <t>2024-12-28T01:05:00</t>
  </si>
  <si>
    <t>2024-12-28T14:25:00</t>
  </si>
  <si>
    <t>2024-12-28T05:30:00</t>
  </si>
  <si>
    <t>2024-12-28T13:40:00</t>
  </si>
  <si>
    <t>2024-12-28T13:20:00</t>
  </si>
  <si>
    <t>2024-12-28T14:05:00</t>
  </si>
  <si>
    <t>2024-12-28T02:00:00</t>
  </si>
  <si>
    <t>2024-12-28T18:40:00</t>
  </si>
  <si>
    <t>2024-12-28T12:15:00</t>
  </si>
  <si>
    <t>2024-12-27T22:05:00</t>
  </si>
  <si>
    <t>2024-12-27T21:20:00</t>
  </si>
  <si>
    <t>2024-12-28T03:00:00</t>
  </si>
  <si>
    <t>2024-12-28T05:20:00</t>
  </si>
  <si>
    <t>2024-12-27T21:30:00</t>
  </si>
  <si>
    <t>2024-12-28T00:35:00</t>
  </si>
  <si>
    <t>2024-12-28T02:25:00</t>
  </si>
  <si>
    <t>2024-12-28T18:35:00</t>
  </si>
  <si>
    <t>2024-12-28T15:00:00</t>
  </si>
  <si>
    <t>2024-12-28T16:55:00</t>
  </si>
  <si>
    <t>2024-12-27T21:15:00</t>
  </si>
  <si>
    <t>2024-12-28T06:25:00</t>
  </si>
  <si>
    <t>2024-12-28T12:20:00</t>
  </si>
  <si>
    <t>2024-12-28T16:40:00</t>
  </si>
  <si>
    <t>2024-12-28T01:45:00</t>
  </si>
  <si>
    <t>2024-12-28T02:10:00</t>
  </si>
  <si>
    <t>2024-12-28T00:30:00</t>
  </si>
  <si>
    <t>2024-12-28T11:25:00</t>
  </si>
  <si>
    <t>2024-12-28T09:45:00</t>
  </si>
  <si>
    <t>2024-12-28T17:15:00</t>
  </si>
  <si>
    <t>2024-12-27T22:35:00</t>
  </si>
  <si>
    <t>2024-12-27T19:05:00</t>
  </si>
  <si>
    <t>2024-12-28T04:40:00</t>
  </si>
  <si>
    <t>2024-12-28T18:55:00</t>
  </si>
  <si>
    <t>2024-12-28T18:50:00</t>
  </si>
  <si>
    <t>2024-12-28T19:00:00</t>
  </si>
  <si>
    <t>2024-12-28T19:05:00</t>
  </si>
  <si>
    <t>Taxas De Mercado</t>
  </si>
  <si>
    <t>Taxas</t>
  </si>
  <si>
    <t>2025-01-08T16:50:00</t>
  </si>
  <si>
    <t>2025-01-08T02:25:00</t>
  </si>
  <si>
    <t>2025-01-08T02:15:00</t>
  </si>
  <si>
    <t>2025-01-08T19:15:00</t>
  </si>
  <si>
    <t>2025-01-08T13:30:00</t>
  </si>
  <si>
    <t>2025-01-08T21:00:00</t>
  </si>
  <si>
    <t>2025-01-08T01:25:00</t>
  </si>
  <si>
    <t>2025-01-08T09:45:00</t>
  </si>
  <si>
    <t>2025-01-08T09:30:00</t>
  </si>
  <si>
    <t>2025-01-08T20:35:00</t>
  </si>
  <si>
    <t>2025-01-08T14:05:00</t>
  </si>
  <si>
    <t>2025-01-08T09:35:00</t>
  </si>
  <si>
    <t>2025-01-08T02:10:00</t>
  </si>
  <si>
    <t>2025-01-08T21:25:00</t>
  </si>
  <si>
    <t>2025-01-08T01:30:00</t>
  </si>
  <si>
    <t>2025-01-08T01:35:00</t>
  </si>
  <si>
    <t>2025-01-08T01:10:00</t>
  </si>
  <si>
    <t>2025-01-08T02:30:00</t>
  </si>
  <si>
    <t>2025-01-08T18:35:00</t>
  </si>
  <si>
    <t>2025-01-08T09:40:00</t>
  </si>
  <si>
    <t>2025-01-08T20:40:00</t>
  </si>
  <si>
    <t>2025-01-08T08:00:00</t>
  </si>
  <si>
    <t>2025-01-08T07:35:00</t>
  </si>
  <si>
    <t>2025-01-08T04:50:00</t>
  </si>
  <si>
    <t>2025-01-08T04:35:00</t>
  </si>
  <si>
    <t>2025-01-08T18:15:00</t>
  </si>
  <si>
    <t>2025-01-08T09:20:00</t>
  </si>
  <si>
    <t>2025-01-08T14:25:00</t>
  </si>
  <si>
    <t>2025-01-08T12:45:00</t>
  </si>
  <si>
    <t>2025-01-08T06:05:00</t>
  </si>
  <si>
    <t>2025-01-08T03:30:00</t>
  </si>
  <si>
    <t>2025-01-08T10:45:00</t>
  </si>
  <si>
    <t>2025-01-08T20:50:00</t>
  </si>
  <si>
    <t>2025-01-07T22:05:00</t>
  </si>
  <si>
    <t>2025-01-08T09:25:00</t>
  </si>
  <si>
    <t>2025-01-08T06:00:00</t>
  </si>
  <si>
    <t>2025-01-08T13:15:00</t>
  </si>
  <si>
    <t>2025-01-08T18:00:00</t>
  </si>
  <si>
    <t>2025-01-07T23:55:00</t>
  </si>
  <si>
    <t>2025-01-08T08:05:00</t>
  </si>
  <si>
    <t>2025-01-08T08:20:00</t>
  </si>
  <si>
    <t>2025-01-08T07:50:00</t>
  </si>
  <si>
    <t>2025-01-08T07:55:00</t>
  </si>
  <si>
    <t>2025-01-08T07:45:00</t>
  </si>
  <si>
    <t>2025-01-08T10:00:00</t>
  </si>
  <si>
    <t>2025-01-08T21:15:00</t>
  </si>
  <si>
    <t>2025-01-08T18:30:00</t>
  </si>
  <si>
    <t>2025-01-08T17:15:00</t>
  </si>
  <si>
    <t>2025-01-08T21:05:00</t>
  </si>
  <si>
    <t>2025-01-08T21:20:00</t>
  </si>
  <si>
    <t>2025-01-08T21:10:00</t>
  </si>
  <si>
    <t>2025-01-08T16:55:00</t>
  </si>
  <si>
    <t>2025-01-08T20:25:00</t>
  </si>
  <si>
    <t>2025-01-08T11:15:00</t>
  </si>
  <si>
    <t>2025-01-08T16:05:00</t>
  </si>
  <si>
    <t>2025-01-08T20:45:00</t>
  </si>
  <si>
    <t>2025-01-08T08:10:00</t>
  </si>
  <si>
    <t>2025-01-08T08:15:00</t>
  </si>
  <si>
    <t>2025-01-08T16:15:00</t>
  </si>
  <si>
    <t>2025-01-08T01:05:00</t>
  </si>
  <si>
    <t>2025-01-08T14:30:00</t>
  </si>
  <si>
    <t>2025-01-08T17:10:00</t>
  </si>
  <si>
    <t>2025-01-08T19:35:00</t>
  </si>
  <si>
    <t>2025-01-07T23:20:00</t>
  </si>
  <si>
    <t>2025-01-08T18:25:00</t>
  </si>
  <si>
    <t>2025-01-08T09:15:00</t>
  </si>
  <si>
    <t>2025-01-08T00:45:00</t>
  </si>
  <si>
    <t>2025-01-08T17:55:00</t>
  </si>
  <si>
    <t>2025-01-08T19:00:00</t>
  </si>
  <si>
    <t>2025-01-08T20:55:00</t>
  </si>
  <si>
    <t>2025-01-08T07:40:00</t>
  </si>
  <si>
    <t>2025-01-08T13:25:00</t>
  </si>
  <si>
    <t>2025-01-08T14:10:00</t>
  </si>
  <si>
    <t>2025-01-08T16:45:00</t>
  </si>
  <si>
    <t>2025-01-08T06:55:00</t>
  </si>
  <si>
    <t>2025-01-08T17:35:00</t>
  </si>
  <si>
    <t>2025-01-08T13:00:00</t>
  </si>
  <si>
    <t>2025-01-08T03:10:00</t>
  </si>
  <si>
    <t>2025-01-08T13:10:00</t>
  </si>
  <si>
    <t>2025-01-08T19:30:00</t>
  </si>
  <si>
    <t>2025-01-08T12:15:00</t>
  </si>
  <si>
    <t>2025-01-08T14:40:00</t>
  </si>
  <si>
    <t>2025-01-08T17:25:00</t>
  </si>
  <si>
    <t>2025-01-08T19:10:00</t>
  </si>
  <si>
    <t>2025-01-08T14:50:00</t>
  </si>
  <si>
    <t>2025-01-08T14:55:00</t>
  </si>
  <si>
    <t>2025-01-08T20:30:00</t>
  </si>
  <si>
    <t>2025-01-08T11:30:00</t>
  </si>
  <si>
    <t>2025-01-08T19:55:00</t>
  </si>
  <si>
    <t>2025-01-08T14:20:00</t>
  </si>
  <si>
    <t>2025-01-08T13:40:00</t>
  </si>
  <si>
    <t>2025-01-08T01:00:00</t>
  </si>
  <si>
    <t>2025-01-08T03:45:00</t>
  </si>
  <si>
    <t>2025-01-08T14:00:00</t>
  </si>
  <si>
    <t>2025-01-08T01:15:00</t>
  </si>
  <si>
    <t>2025-01-08T11:10:00</t>
  </si>
  <si>
    <t>2025-01-08T20:20:00</t>
  </si>
  <si>
    <t>2025-01-08T20:10:00</t>
  </si>
  <si>
    <t>2025-01-08T13:05:00</t>
  </si>
  <si>
    <t>2025-01-08T19:50:00</t>
  </si>
  <si>
    <t>2025-01-08T20:15:00</t>
  </si>
  <si>
    <t>2025-01-08T14:15:00</t>
  </si>
  <si>
    <t>2025-01-08T20:00:00</t>
  </si>
  <si>
    <t>2025-01-08T12:35:00</t>
  </si>
  <si>
    <t>2025-01-08T04:45:00</t>
  </si>
  <si>
    <t>2025-01-08T04:10:00</t>
  </si>
  <si>
    <t>2025-01-08T04:15:00</t>
  </si>
  <si>
    <t>2025-01-08T00:50:00</t>
  </si>
  <si>
    <t>2025-01-08T06:30:00</t>
  </si>
  <si>
    <t>2025-01-08T21:30:00</t>
  </si>
  <si>
    <t>2025-01-08T00:25:00</t>
  </si>
  <si>
    <t>2025-01-07T22:10:00</t>
  </si>
  <si>
    <t>2025-01-08T10:30:00</t>
  </si>
  <si>
    <t>2025-01-08T20:05:00</t>
  </si>
  <si>
    <t>2025-01-08T18:55:00</t>
  </si>
  <si>
    <t>Retorno/Foco</t>
  </si>
  <si>
    <t xml:space="preserve">Fibra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</si>
</sst>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0.0000"/>
    <numFmt numFmtId="167" formatCode="_-* #,##0.0000_-;\-* #,##0.0000_-;_-* &quot;-&quot;??_-;_-@_-"/>
    <numFmt numFmtId="168" formatCode="[$-F400]h:mm:ss\ AM/PM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rgb="FF92D050"/>
      <name val="Arial"/>
      <family val="2"/>
    </font>
    <font>
      <b/>
      <sz val="11"/>
      <color theme="0" tint="-0.249977111117893"/>
      <name val="Arial"/>
      <family val="2"/>
    </font>
    <font>
      <b/>
      <sz val="12"/>
      <color theme="0"/>
      <name val="Bahnschrift"/>
      <family val="2"/>
    </font>
    <font>
      <b/>
      <sz val="11"/>
      <color theme="0"/>
      <name val="Bahnschrift"/>
      <family val="2"/>
    </font>
    <font>
      <b/>
      <sz val="14"/>
      <name val="Bahnschrift"/>
      <family val="2"/>
    </font>
    <font>
      <b/>
      <sz val="11"/>
      <color rgb="FF92D050"/>
      <name val="Bahnschrift"/>
      <family val="2"/>
    </font>
    <font>
      <sz val="9"/>
      <color theme="1"/>
      <name val="Bahnschrift"/>
      <family val="2"/>
    </font>
    <font>
      <b/>
      <sz val="9"/>
      <color rgb="FF202122"/>
      <name val="Bahnschrift"/>
      <family val="2"/>
    </font>
    <font>
      <b/>
      <sz val="12"/>
      <color rgb="FF92D050"/>
      <name val="Arial"/>
      <family val="2"/>
    </font>
    <font>
      <sz val="11"/>
      <color theme="0" tint="-0.249977111117893"/>
      <name val="Arial"/>
      <family val="2"/>
    </font>
    <font>
      <sz val="8"/>
      <name val="Calibri"/>
      <family val="2"/>
      <scheme val="minor"/>
    </font>
    <font>
      <b/>
      <sz val="14"/>
      <name val="Arial"/>
      <family val="2"/>
    </font>
    <font>
      <sz val="8"/>
      <color rgb="FF000000"/>
      <name val="Segoe UI"/>
      <family val="2"/>
    </font>
    <font>
      <sz val="11"/>
      <color rgb="FF92D050"/>
      <name val="Arial"/>
      <family val="2"/>
    </font>
    <font>
      <b/>
      <sz val="14"/>
      <color theme="0"/>
      <name val="Bahnschrift"/>
      <family val="2"/>
    </font>
    <font>
      <b/>
      <sz val="12"/>
      <name val="Arial"/>
      <family val="2"/>
    </font>
    <font>
      <b/>
      <sz val="9"/>
      <color theme="0"/>
      <name val="Arial"/>
      <family val="2"/>
    </font>
    <font>
      <b/>
      <sz val="9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89999084444715716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theme="0"/>
      <name val="Arial"/>
      <family val="2"/>
    </font>
    <font>
      <b/>
      <sz val="11"/>
      <color theme="2" tint="-0.499984740745262"/>
      <name val="Arial"/>
      <family val="2"/>
    </font>
    <font>
      <b/>
      <sz val="12"/>
      <color theme="2" tint="-0.499984740745262"/>
      <name val="Arial"/>
      <family val="2"/>
    </font>
    <font>
      <sz val="11"/>
      <color theme="2" tint="-0.499984740745262"/>
      <name val="Calibri"/>
      <family val="2"/>
      <scheme val="minor"/>
    </font>
    <font>
      <b/>
      <sz val="11"/>
      <color theme="2" tint="-0.89999084444715716"/>
      <name val="Arial"/>
      <family val="2"/>
    </font>
    <font>
      <sz val="11"/>
      <color theme="2" tint="-0.499984740745262"/>
      <name val="Arial"/>
      <family val="2"/>
    </font>
    <font>
      <sz val="10"/>
      <color theme="2" tint="-0.89999084444715716"/>
      <name val="Arial"/>
      <family val="2"/>
    </font>
    <font>
      <b/>
      <sz val="12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97CC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8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89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6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643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233">
    <xf numFmtId="0" fontId="0" fillId="0" borderId="0" xfId="0"/>
    <xf numFmtId="0" fontId="0" fillId="3" borderId="0" xfId="0" applyFill="1"/>
    <xf numFmtId="0" fontId="0" fillId="4" borderId="0" xfId="0" applyFill="1"/>
    <xf numFmtId="166" fontId="13" fillId="5" borderId="2" xfId="4" applyNumberFormat="1" applyFont="1" applyFill="1" applyBorder="1" applyProtection="1"/>
    <xf numFmtId="0" fontId="17" fillId="9" borderId="2" xfId="0" applyFont="1" applyFill="1" applyBorder="1" applyAlignment="1">
      <alignment horizontal="right"/>
    </xf>
    <xf numFmtId="0" fontId="17" fillId="14" borderId="2" xfId="0" applyFont="1" applyFill="1" applyBorder="1" applyAlignment="1">
      <alignment horizontal="right"/>
    </xf>
    <xf numFmtId="0" fontId="16" fillId="5" borderId="2" xfId="0" applyFont="1" applyFill="1" applyBorder="1" applyAlignment="1">
      <alignment horizontal="center" vertical="center" wrapText="1"/>
    </xf>
    <xf numFmtId="0" fontId="19" fillId="15" borderId="2" xfId="0" applyFont="1" applyFill="1" applyBorder="1" applyAlignment="1">
      <alignment vertical="top"/>
    </xf>
    <xf numFmtId="0" fontId="19" fillId="9" borderId="2" xfId="0" applyFont="1" applyFill="1" applyBorder="1" applyAlignment="1">
      <alignment vertical="top"/>
    </xf>
    <xf numFmtId="0" fontId="19" fillId="16" borderId="2" xfId="0" applyFont="1" applyFill="1" applyBorder="1" applyAlignment="1">
      <alignment vertical="top"/>
    </xf>
    <xf numFmtId="0" fontId="20" fillId="17" borderId="2" xfId="0" applyFont="1" applyFill="1" applyBorder="1" applyAlignment="1">
      <alignment vertical="top" wrapText="1"/>
    </xf>
    <xf numFmtId="0" fontId="19" fillId="18" borderId="2" xfId="0" applyFont="1" applyFill="1" applyBorder="1" applyAlignment="1">
      <alignment vertical="top"/>
    </xf>
    <xf numFmtId="1" fontId="18" fillId="5" borderId="2" xfId="0" applyNumberFormat="1" applyFont="1" applyFill="1" applyBorder="1"/>
    <xf numFmtId="0" fontId="17" fillId="11" borderId="2" xfId="0" applyFont="1" applyFill="1" applyBorder="1" applyAlignment="1">
      <alignment horizontal="right"/>
    </xf>
    <xf numFmtId="0" fontId="17" fillId="12" borderId="2" xfId="0" applyFont="1" applyFill="1" applyBorder="1" applyAlignment="1">
      <alignment horizontal="right"/>
    </xf>
    <xf numFmtId="0" fontId="17" fillId="13" borderId="2" xfId="0" applyFont="1" applyFill="1" applyBorder="1" applyAlignment="1">
      <alignment horizontal="right"/>
    </xf>
    <xf numFmtId="2" fontId="18" fillId="5" borderId="2" xfId="0" applyNumberFormat="1" applyFont="1" applyFill="1" applyBorder="1"/>
    <xf numFmtId="0" fontId="7" fillId="5" borderId="2" xfId="0" applyFont="1" applyFill="1" applyBorder="1" applyAlignment="1">
      <alignment horizontal="center" vertical="center"/>
    </xf>
    <xf numFmtId="0" fontId="24" fillId="9" borderId="2" xfId="0" applyFont="1" applyFill="1" applyBorder="1" applyAlignment="1">
      <alignment horizontal="right"/>
    </xf>
    <xf numFmtId="0" fontId="24" fillId="14" borderId="2" xfId="0" applyFont="1" applyFill="1" applyBorder="1" applyAlignment="1">
      <alignment horizontal="right"/>
    </xf>
    <xf numFmtId="0" fontId="24" fillId="11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right"/>
    </xf>
    <xf numFmtId="0" fontId="24" fillId="13" borderId="2" xfId="0" applyFont="1" applyFill="1" applyBorder="1" applyAlignment="1">
      <alignment horizontal="right"/>
    </xf>
    <xf numFmtId="0" fontId="0" fillId="0" borderId="0" xfId="0" applyFill="1"/>
    <xf numFmtId="0" fontId="4" fillId="0" borderId="0" xfId="0" applyFont="1" applyFill="1" applyBorder="1"/>
    <xf numFmtId="0" fontId="6" fillId="0" borderId="0" xfId="0" applyFont="1" applyProtection="1"/>
    <xf numFmtId="0" fontId="0" fillId="0" borderId="0" xfId="0" applyProtection="1"/>
    <xf numFmtId="0" fontId="11" fillId="0" borderId="0" xfId="0" applyFont="1" applyFill="1" applyBorder="1" applyProtection="1"/>
    <xf numFmtId="0" fontId="8" fillId="0" borderId="0" xfId="0" applyFont="1" applyAlignment="1" applyProtection="1">
      <alignment vertical="center"/>
    </xf>
    <xf numFmtId="0" fontId="4" fillId="0" borderId="0" xfId="0" applyFont="1" applyFill="1"/>
    <xf numFmtId="0" fontId="26" fillId="5" borderId="2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right"/>
    </xf>
    <xf numFmtId="0" fontId="9" fillId="10" borderId="2" xfId="0" applyFont="1" applyFill="1" applyBorder="1" applyAlignment="1">
      <alignment horizontal="right"/>
    </xf>
    <xf numFmtId="0" fontId="29" fillId="9" borderId="2" xfId="0" applyFont="1" applyFill="1" applyBorder="1" applyAlignment="1">
      <alignment vertical="top"/>
    </xf>
    <xf numFmtId="0" fontId="29" fillId="16" borderId="2" xfId="0" applyFont="1" applyFill="1" applyBorder="1" applyAlignment="1">
      <alignment vertical="top"/>
    </xf>
    <xf numFmtId="0" fontId="29" fillId="17" borderId="2" xfId="0" applyFont="1" applyFill="1" applyBorder="1" applyAlignment="1">
      <alignment vertical="top" wrapText="1"/>
    </xf>
    <xf numFmtId="0" fontId="30" fillId="18" borderId="2" xfId="0" applyFont="1" applyFill="1" applyBorder="1" applyAlignment="1">
      <alignment vertical="top"/>
    </xf>
    <xf numFmtId="0" fontId="30" fillId="19" borderId="2" xfId="0" applyFont="1" applyFill="1" applyBorder="1" applyAlignment="1">
      <alignment vertical="top"/>
    </xf>
    <xf numFmtId="0" fontId="5" fillId="5" borderId="2" xfId="0" applyFont="1" applyFill="1" applyBorder="1" applyAlignment="1"/>
    <xf numFmtId="0" fontId="21" fillId="5" borderId="2" xfId="0" applyFont="1" applyFill="1" applyBorder="1" applyAlignment="1"/>
    <xf numFmtId="0" fontId="28" fillId="6" borderId="2" xfId="0" applyFont="1" applyFill="1" applyBorder="1" applyAlignment="1" applyProtection="1">
      <protection locked="0"/>
    </xf>
    <xf numFmtId="0" fontId="4" fillId="3" borderId="0" xfId="0" applyFont="1" applyFill="1"/>
    <xf numFmtId="0" fontId="3" fillId="20" borderId="2" xfId="0" applyFont="1" applyFill="1" applyBorder="1"/>
    <xf numFmtId="0" fontId="0" fillId="25" borderId="0" xfId="0" applyFill="1"/>
    <xf numFmtId="0" fontId="40" fillId="0" borderId="0" xfId="0" applyFont="1" applyProtection="1"/>
    <xf numFmtId="0" fontId="33" fillId="0" borderId="0" xfId="0" applyFont="1" applyProtection="1"/>
    <xf numFmtId="0" fontId="41" fillId="3" borderId="0" xfId="0" applyFont="1" applyFill="1" applyBorder="1" applyProtection="1"/>
    <xf numFmtId="1" fontId="42" fillId="3" borderId="0" xfId="0" applyNumberFormat="1" applyFont="1" applyFill="1" applyBorder="1" applyAlignment="1" applyProtection="1">
      <alignment vertical="center"/>
    </xf>
    <xf numFmtId="165" fontId="41" fillId="3" borderId="0" xfId="0" applyNumberFormat="1" applyFont="1" applyFill="1" applyBorder="1" applyProtection="1"/>
    <xf numFmtId="0" fontId="33" fillId="3" borderId="0" xfId="0" applyFont="1" applyFill="1"/>
    <xf numFmtId="0" fontId="0" fillId="26" borderId="0" xfId="0" applyFill="1"/>
    <xf numFmtId="0" fontId="39" fillId="3" borderId="2" xfId="0" applyFont="1" applyFill="1" applyBorder="1" applyAlignment="1">
      <alignment vertical="center"/>
    </xf>
    <xf numFmtId="0" fontId="0" fillId="25" borderId="0" xfId="0" applyFill="1" applyBorder="1"/>
    <xf numFmtId="0" fontId="3" fillId="14" borderId="2" xfId="0" applyFont="1" applyFill="1" applyBorder="1"/>
    <xf numFmtId="0" fontId="3" fillId="27" borderId="2" xfId="0" applyFont="1" applyFill="1" applyBorder="1"/>
    <xf numFmtId="0" fontId="3" fillId="28" borderId="2" xfId="0" applyFont="1" applyFill="1" applyBorder="1"/>
    <xf numFmtId="0" fontId="32" fillId="24" borderId="2" xfId="0" applyFont="1" applyFill="1" applyBorder="1"/>
    <xf numFmtId="0" fontId="43" fillId="3" borderId="0" xfId="0" applyFont="1" applyFill="1"/>
    <xf numFmtId="0" fontId="3" fillId="9" borderId="2" xfId="0" applyFont="1" applyFill="1" applyBorder="1"/>
    <xf numFmtId="0" fontId="44" fillId="4" borderId="0" xfId="0" applyFont="1" applyFill="1" applyBorder="1" applyProtection="1"/>
    <xf numFmtId="0" fontId="45" fillId="3" borderId="0" xfId="0" applyFont="1" applyFill="1" applyProtection="1"/>
    <xf numFmtId="0" fontId="34" fillId="4" borderId="0" xfId="0" applyFont="1" applyFill="1" applyBorder="1" applyProtection="1"/>
    <xf numFmtId="0" fontId="34" fillId="4" borderId="0" xfId="0" applyFont="1" applyFill="1" applyProtection="1"/>
    <xf numFmtId="0" fontId="46" fillId="4" borderId="0" xfId="0" applyFont="1" applyFill="1" applyBorder="1" applyAlignment="1" applyProtection="1">
      <alignment vertical="center" wrapText="1"/>
    </xf>
    <xf numFmtId="0" fontId="0" fillId="25" borderId="0" xfId="0" applyFill="1" applyProtection="1"/>
    <xf numFmtId="0" fontId="33" fillId="21" borderId="2" xfId="0" applyFont="1" applyFill="1" applyBorder="1" applyProtection="1"/>
    <xf numFmtId="0" fontId="3" fillId="20" borderId="2" xfId="0" applyFont="1" applyFill="1" applyBorder="1" applyProtection="1"/>
    <xf numFmtId="0" fontId="0" fillId="0" borderId="2" xfId="0" applyBorder="1" applyProtection="1"/>
    <xf numFmtId="0" fontId="38" fillId="23" borderId="2" xfId="0" applyFont="1" applyFill="1" applyBorder="1" applyProtection="1"/>
    <xf numFmtId="0" fontId="0" fillId="8" borderId="2" xfId="0" applyFill="1" applyBorder="1" applyProtection="1"/>
    <xf numFmtId="0" fontId="39" fillId="25" borderId="0" xfId="0" applyFont="1" applyFill="1" applyProtection="1"/>
    <xf numFmtId="0" fontId="0" fillId="4" borderId="2" xfId="0" applyFill="1" applyBorder="1" applyProtection="1"/>
    <xf numFmtId="0" fontId="38" fillId="4" borderId="2" xfId="0" applyFont="1" applyFill="1" applyBorder="1" applyProtection="1"/>
    <xf numFmtId="0" fontId="0" fillId="4" borderId="2" xfId="0" applyFill="1" applyBorder="1"/>
    <xf numFmtId="0" fontId="0" fillId="24" borderId="0" xfId="0" applyFont="1" applyFill="1"/>
    <xf numFmtId="0" fontId="0" fillId="24" borderId="2" xfId="0" applyFont="1" applyFill="1" applyBorder="1" applyProtection="1"/>
    <xf numFmtId="0" fontId="0" fillId="29" borderId="2" xfId="0" applyFont="1" applyFill="1" applyBorder="1" applyProtection="1"/>
    <xf numFmtId="0" fontId="0" fillId="9" borderId="2" xfId="0" applyFont="1" applyFill="1" applyBorder="1" applyProtection="1"/>
    <xf numFmtId="0" fontId="0" fillId="9" borderId="2" xfId="0" applyFont="1" applyFill="1" applyBorder="1" applyAlignment="1" applyProtection="1">
      <alignment horizontal="left"/>
    </xf>
    <xf numFmtId="0" fontId="39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22" borderId="2" xfId="0" applyFill="1" applyBorder="1"/>
    <xf numFmtId="0" fontId="0" fillId="0" borderId="0" xfId="0" applyFill="1" applyBorder="1"/>
    <xf numFmtId="0" fontId="3" fillId="5" borderId="2" xfId="0" applyFont="1" applyFill="1" applyBorder="1"/>
    <xf numFmtId="0" fontId="0" fillId="15" borderId="2" xfId="0" applyFill="1" applyBorder="1" applyAlignment="1"/>
    <xf numFmtId="0" fontId="0" fillId="15" borderId="4" xfId="0" applyFill="1" applyBorder="1" applyAlignment="1"/>
    <xf numFmtId="0" fontId="0" fillId="6" borderId="2" xfId="0" applyFill="1" applyBorder="1"/>
    <xf numFmtId="0" fontId="0" fillId="6" borderId="2" xfId="0" applyFont="1" applyFill="1" applyBorder="1"/>
    <xf numFmtId="22" fontId="38" fillId="23" borderId="2" xfId="0" applyNumberFormat="1" applyFont="1" applyFill="1" applyBorder="1" applyAlignment="1">
      <alignment horizontal="center"/>
    </xf>
    <xf numFmtId="22" fontId="38" fillId="23" borderId="2" xfId="0" applyNumberFormat="1" applyFont="1" applyFill="1" applyBorder="1" applyAlignment="1"/>
    <xf numFmtId="0" fontId="38" fillId="23" borderId="4" xfId="0" applyFont="1" applyFill="1" applyBorder="1" applyAlignment="1">
      <alignment wrapText="1"/>
    </xf>
    <xf numFmtId="0" fontId="38" fillId="23" borderId="2" xfId="0" applyFont="1" applyFill="1" applyBorder="1" applyAlignment="1">
      <alignment wrapText="1"/>
    </xf>
    <xf numFmtId="0" fontId="0" fillId="0" borderId="2" xfId="0" applyFont="1" applyFill="1" applyBorder="1" applyProtection="1"/>
    <xf numFmtId="0" fontId="0" fillId="0" borderId="2" xfId="0" applyFill="1" applyBorder="1" applyProtection="1"/>
    <xf numFmtId="0" fontId="3" fillId="30" borderId="2" xfId="0" applyFont="1" applyFill="1" applyBorder="1"/>
    <xf numFmtId="0" fontId="0" fillId="20" borderId="2" xfId="0" applyFill="1" applyBorder="1" applyProtection="1"/>
    <xf numFmtId="0" fontId="0" fillId="20" borderId="0" xfId="0" applyFill="1"/>
    <xf numFmtId="0" fontId="39" fillId="25" borderId="2" xfId="0" applyFont="1" applyFill="1" applyBorder="1" applyProtection="1"/>
    <xf numFmtId="0" fontId="0" fillId="9" borderId="2" xfId="0" applyFill="1" applyBorder="1" applyProtection="1"/>
    <xf numFmtId="0" fontId="49" fillId="9" borderId="2" xfId="0" applyFont="1" applyFill="1" applyBorder="1"/>
    <xf numFmtId="0" fontId="0" fillId="16" borderId="2" xfId="0" applyFill="1" applyBorder="1" applyProtection="1"/>
    <xf numFmtId="0" fontId="0" fillId="16" borderId="2" xfId="0" applyFill="1" applyBorder="1"/>
    <xf numFmtId="0" fontId="0" fillId="25" borderId="2" xfId="0" applyFill="1" applyBorder="1" applyProtection="1"/>
    <xf numFmtId="0" fontId="0" fillId="25" borderId="2" xfId="0" applyFill="1" applyBorder="1"/>
    <xf numFmtId="0" fontId="33" fillId="21" borderId="2" xfId="0" applyFont="1" applyFill="1" applyBorder="1"/>
    <xf numFmtId="0" fontId="38" fillId="4" borderId="2" xfId="0" applyFont="1" applyFill="1" applyBorder="1"/>
    <xf numFmtId="0" fontId="38" fillId="0" borderId="0" xfId="0" applyFont="1"/>
    <xf numFmtId="0" fontId="3" fillId="21" borderId="2" xfId="0" applyFont="1" applyFill="1" applyBorder="1"/>
    <xf numFmtId="0" fontId="50" fillId="4" borderId="0" xfId="0" applyFont="1" applyFill="1"/>
    <xf numFmtId="0" fontId="0" fillId="31" borderId="0" xfId="0" applyFill="1" applyBorder="1"/>
    <xf numFmtId="0" fontId="38" fillId="4" borderId="4" xfId="0" applyFont="1" applyFill="1" applyBorder="1"/>
    <xf numFmtId="0" fontId="33" fillId="21" borderId="4" xfId="0" applyFont="1" applyFill="1" applyBorder="1"/>
    <xf numFmtId="0" fontId="33" fillId="21" borderId="6" xfId="0" applyFont="1" applyFill="1" applyBorder="1"/>
    <xf numFmtId="0" fontId="33" fillId="21" borderId="15" xfId="0" applyFont="1" applyFill="1" applyBorder="1"/>
    <xf numFmtId="0" fontId="38" fillId="4" borderId="6" xfId="0" applyFont="1" applyFill="1" applyBorder="1"/>
    <xf numFmtId="0" fontId="33" fillId="20" borderId="2" xfId="0" applyFont="1" applyFill="1" applyBorder="1" applyProtection="1"/>
    <xf numFmtId="0" fontId="0" fillId="31" borderId="0" xfId="0" applyFill="1"/>
    <xf numFmtId="0" fontId="51" fillId="23" borderId="2" xfId="0" applyFont="1" applyFill="1" applyBorder="1" applyProtection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3" fontId="32" fillId="19" borderId="2" xfId="0" applyNumberFormat="1" applyFont="1" applyFill="1" applyBorder="1" applyAlignment="1">
      <alignment horizontal="center" vertical="center"/>
    </xf>
    <xf numFmtId="0" fontId="3" fillId="30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3" fillId="28" borderId="2" xfId="0" applyFont="1" applyFill="1" applyBorder="1" applyAlignment="1">
      <alignment horizontal="center" vertical="center"/>
    </xf>
    <xf numFmtId="0" fontId="32" fillId="18" borderId="2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3" borderId="2" xfId="0" applyFill="1" applyBorder="1"/>
    <xf numFmtId="0" fontId="0" fillId="33" borderId="6" xfId="0" applyFill="1" applyBorder="1"/>
    <xf numFmtId="0" fontId="0" fillId="34" borderId="2" xfId="0" applyFill="1" applyBorder="1"/>
    <xf numFmtId="0" fontId="0" fillId="34" borderId="6" xfId="0" applyFill="1" applyBorder="1"/>
    <xf numFmtId="0" fontId="0" fillId="35" borderId="2" xfId="0" applyFill="1" applyBorder="1" applyProtection="1"/>
    <xf numFmtId="0" fontId="52" fillId="4" borderId="0" xfId="0" applyFont="1" applyFill="1"/>
    <xf numFmtId="1" fontId="0" fillId="0" borderId="0" xfId="0" applyNumberFormat="1" applyProtection="1"/>
    <xf numFmtId="0" fontId="34" fillId="0" borderId="0" xfId="0" applyFont="1" applyProtection="1"/>
    <xf numFmtId="0" fontId="45" fillId="0" borderId="0" xfId="0" applyFont="1" applyProtection="1"/>
    <xf numFmtId="14" fontId="38" fillId="4" borderId="2" xfId="0" applyNumberFormat="1" applyFont="1" applyFill="1" applyBorder="1" applyAlignment="1">
      <alignment horizontal="center" vertical="center"/>
    </xf>
    <xf numFmtId="168" fontId="38" fillId="4" borderId="2" xfId="0" applyNumberFormat="1" applyFont="1" applyFill="1" applyBorder="1" applyAlignment="1">
      <alignment horizontal="center" vertical="center"/>
    </xf>
    <xf numFmtId="0" fontId="33" fillId="4" borderId="0" xfId="0" applyFont="1" applyFill="1"/>
    <xf numFmtId="0" fontId="33" fillId="4" borderId="0" xfId="0" applyFont="1" applyFill="1" applyAlignment="1">
      <alignment horizontal="center" vertical="center"/>
    </xf>
    <xf numFmtId="0" fontId="0" fillId="36" borderId="0" xfId="0" applyFill="1"/>
    <xf numFmtId="0" fontId="0" fillId="37" borderId="0" xfId="0" applyFill="1"/>
    <xf numFmtId="0" fontId="0" fillId="38" borderId="0" xfId="0" applyFill="1"/>
    <xf numFmtId="0" fontId="49" fillId="4" borderId="0" xfId="0" applyFont="1" applyFill="1"/>
    <xf numFmtId="0" fontId="49" fillId="4" borderId="0" xfId="0" applyFont="1" applyFill="1" applyAlignment="1">
      <alignment horizontal="center" vertical="center"/>
    </xf>
    <xf numFmtId="0" fontId="0" fillId="3" borderId="0" xfId="0" applyFont="1" applyFill="1"/>
    <xf numFmtId="0" fontId="41" fillId="3" borderId="0" xfId="0" applyFont="1" applyFill="1" applyProtection="1"/>
    <xf numFmtId="0" fontId="49" fillId="0" borderId="0" xfId="0" applyFont="1" applyProtection="1"/>
    <xf numFmtId="0" fontId="43" fillId="3" borderId="0" xfId="0" applyFont="1" applyFill="1" applyBorder="1"/>
    <xf numFmtId="165" fontId="41" fillId="3" borderId="0" xfId="2" applyNumberFormat="1" applyFont="1" applyFill="1" applyBorder="1" applyProtection="1"/>
    <xf numFmtId="0" fontId="5" fillId="5" borderId="2" xfId="0" applyFont="1" applyFill="1" applyBorder="1" applyAlignment="1" applyProtection="1">
      <alignment horizontal="center" vertical="center"/>
    </xf>
    <xf numFmtId="3" fontId="31" fillId="8" borderId="2" xfId="0" applyNumberFormat="1" applyFont="1" applyFill="1" applyBorder="1" applyProtection="1"/>
    <xf numFmtId="0" fontId="5" fillId="5" borderId="7" xfId="0" applyFont="1" applyFill="1" applyBorder="1" applyAlignment="1" applyProtection="1">
      <alignment horizontal="center" vertical="center" wrapText="1"/>
    </xf>
    <xf numFmtId="0" fontId="5" fillId="5" borderId="2" xfId="0" applyFont="1" applyFill="1" applyBorder="1" applyAlignment="1" applyProtection="1">
      <alignment horizontal="center" vertical="center" wrapText="1"/>
    </xf>
    <xf numFmtId="0" fontId="22" fillId="8" borderId="7" xfId="0" applyFont="1" applyFill="1" applyBorder="1" applyAlignment="1" applyProtection="1">
      <alignment horizontal="center"/>
      <protection locked="0"/>
    </xf>
    <xf numFmtId="0" fontId="22" fillId="8" borderId="2" xfId="0" applyFont="1" applyFill="1" applyBorder="1" applyAlignment="1" applyProtection="1">
      <alignment horizontal="center"/>
      <protection locked="0"/>
    </xf>
    <xf numFmtId="0" fontId="9" fillId="7" borderId="2" xfId="0" applyFont="1" applyFill="1" applyBorder="1" applyAlignment="1" applyProtection="1">
      <alignment horizontal="center" vertical="center"/>
    </xf>
    <xf numFmtId="0" fontId="10" fillId="7" borderId="2" xfId="0" applyFont="1" applyFill="1" applyBorder="1" applyAlignment="1" applyProtection="1">
      <alignment horizontal="center" vertical="center"/>
    </xf>
    <xf numFmtId="3" fontId="31" fillId="8" borderId="11" xfId="0" applyNumberFormat="1" applyFont="1" applyFill="1" applyBorder="1" applyAlignment="1" applyProtection="1">
      <alignment horizontal="center" vertical="center"/>
    </xf>
    <xf numFmtId="3" fontId="31" fillId="8" borderId="12" xfId="0" applyNumberFormat="1" applyFont="1" applyFill="1" applyBorder="1" applyAlignment="1" applyProtection="1">
      <alignment horizontal="center" vertical="center"/>
    </xf>
    <xf numFmtId="3" fontId="31" fillId="8" borderId="8" xfId="0" applyNumberFormat="1" applyFont="1" applyFill="1" applyBorder="1" applyAlignment="1" applyProtection="1">
      <alignment horizontal="center" vertical="center"/>
    </xf>
    <xf numFmtId="3" fontId="31" fillId="8" borderId="14" xfId="0" applyNumberFormat="1" applyFont="1" applyFill="1" applyBorder="1" applyAlignment="1" applyProtection="1">
      <alignment horizontal="center" vertical="center"/>
    </xf>
    <xf numFmtId="9" fontId="12" fillId="8" borderId="2" xfId="2" applyFont="1" applyFill="1" applyBorder="1" applyProtection="1"/>
    <xf numFmtId="0" fontId="10" fillId="7" borderId="15" xfId="0" applyFont="1" applyFill="1" applyBorder="1" applyAlignment="1" applyProtection="1">
      <alignment horizontal="center" vertical="center"/>
    </xf>
    <xf numFmtId="3" fontId="12" fillId="6" borderId="2" xfId="0" applyNumberFormat="1" applyFont="1" applyFill="1" applyBorder="1" applyAlignment="1" applyProtection="1">
      <alignment horizontal="right"/>
      <protection locked="0"/>
    </xf>
    <xf numFmtId="165" fontId="12" fillId="6" borderId="2" xfId="2" applyNumberFormat="1" applyFont="1" applyFill="1" applyBorder="1" applyAlignment="1" applyProtection="1">
      <alignment horizontal="right"/>
      <protection locked="0"/>
    </xf>
    <xf numFmtId="3" fontId="12" fillId="8" borderId="2" xfId="0" applyNumberFormat="1" applyFont="1" applyFill="1" applyBorder="1" applyProtection="1"/>
    <xf numFmtId="1" fontId="12" fillId="8" borderId="2" xfId="0" applyNumberFormat="1" applyFont="1" applyFill="1" applyBorder="1" applyProtection="1"/>
    <xf numFmtId="14" fontId="12" fillId="6" borderId="2" xfId="0" applyNumberFormat="1" applyFont="1" applyFill="1" applyBorder="1" applyProtection="1">
      <protection locked="0"/>
    </xf>
    <xf numFmtId="3" fontId="12" fillId="6" borderId="2" xfId="0" applyNumberFormat="1" applyFont="1" applyFill="1" applyBorder="1" applyProtection="1">
      <protection locked="0"/>
    </xf>
    <xf numFmtId="0" fontId="0" fillId="4" borderId="11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0" fontId="0" fillId="4" borderId="12" xfId="0" applyFill="1" applyBorder="1" applyAlignment="1" applyProtection="1">
      <alignment horizontal="center"/>
    </xf>
    <xf numFmtId="0" fontId="0" fillId="4" borderId="10" xfId="0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1" fontId="12" fillId="8" borderId="2" xfId="0" applyNumberFormat="1" applyFont="1" applyFill="1" applyBorder="1" applyAlignment="1" applyProtection="1">
      <alignment horizontal="right"/>
    </xf>
    <xf numFmtId="0" fontId="12" fillId="6" borderId="2" xfId="0" applyFont="1" applyFill="1" applyBorder="1" applyAlignment="1" applyProtection="1">
      <alignment horizontal="right"/>
      <protection locked="0"/>
    </xf>
    <xf numFmtId="0" fontId="9" fillId="7" borderId="11" xfId="0" applyFont="1" applyFill="1" applyBorder="1" applyAlignment="1" applyProtection="1">
      <alignment horizontal="center" vertical="center"/>
    </xf>
    <xf numFmtId="0" fontId="9" fillId="7" borderId="3" xfId="0" applyFont="1" applyFill="1" applyBorder="1" applyAlignment="1" applyProtection="1">
      <alignment horizontal="center" vertical="center"/>
    </xf>
    <xf numFmtId="0" fontId="9" fillId="7" borderId="12" xfId="0" applyFont="1" applyFill="1" applyBorder="1" applyAlignment="1" applyProtection="1">
      <alignment horizontal="center" vertical="center"/>
    </xf>
    <xf numFmtId="0" fontId="9" fillId="7" borderId="8" xfId="0" applyFont="1" applyFill="1" applyBorder="1" applyAlignment="1" applyProtection="1">
      <alignment horizontal="center" vertical="center"/>
    </xf>
    <xf numFmtId="0" fontId="9" fillId="7" borderId="9" xfId="0" applyFont="1" applyFill="1" applyBorder="1" applyAlignment="1" applyProtection="1">
      <alignment horizontal="center" vertical="center"/>
    </xf>
    <xf numFmtId="0" fontId="9" fillId="7" borderId="14" xfId="0" applyFont="1" applyFill="1" applyBorder="1" applyAlignment="1" applyProtection="1">
      <alignment horizontal="center" vertical="center"/>
    </xf>
    <xf numFmtId="168" fontId="13" fillId="4" borderId="2" xfId="0" applyNumberFormat="1" applyFont="1" applyFill="1" applyBorder="1" applyAlignment="1" applyProtection="1">
      <alignment horizontal="center" vertical="center"/>
    </xf>
    <xf numFmtId="14" fontId="13" fillId="4" borderId="2" xfId="0" applyNumberFormat="1" applyFont="1" applyFill="1" applyBorder="1" applyAlignment="1" applyProtection="1">
      <alignment horizontal="center" vertical="center"/>
    </xf>
    <xf numFmtId="0" fontId="0" fillId="20" borderId="9" xfId="0" applyFill="1" applyBorder="1" applyAlignment="1" applyProtection="1">
      <alignment horizontal="center" vertical="center"/>
    </xf>
    <xf numFmtId="0" fontId="12" fillId="8" borderId="2" xfId="0" applyFont="1" applyFill="1" applyBorder="1" applyProtection="1"/>
    <xf numFmtId="0" fontId="12" fillId="6" borderId="2" xfId="0" applyFont="1" applyFill="1" applyBorder="1" applyProtection="1">
      <protection locked="0"/>
    </xf>
    <xf numFmtId="0" fontId="5" fillId="5" borderId="2" xfId="0" applyFont="1" applyFill="1" applyBorder="1" applyAlignment="1" applyProtection="1">
      <alignment horizontal="center"/>
    </xf>
    <xf numFmtId="0" fontId="22" fillId="8" borderId="2" xfId="0" quotePrefix="1" applyFont="1" applyFill="1" applyBorder="1" applyAlignment="1" applyProtection="1">
      <alignment horizontal="center"/>
      <protection locked="0"/>
    </xf>
    <xf numFmtId="0" fontId="53" fillId="8" borderId="2" xfId="0" applyFont="1" applyFill="1" applyBorder="1" applyAlignment="1">
      <alignment horizontal="center"/>
    </xf>
    <xf numFmtId="0" fontId="5" fillId="5" borderId="2" xfId="0" applyFont="1" applyFill="1" applyBorder="1" applyAlignment="1" applyProtection="1">
      <alignment horizontal="center" wrapText="1"/>
    </xf>
    <xf numFmtId="0" fontId="5" fillId="5" borderId="7" xfId="0" applyFont="1" applyFill="1" applyBorder="1" applyAlignment="1" applyProtection="1">
      <alignment horizontal="center" wrapText="1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7" fillId="20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5" fillId="23" borderId="2" xfId="0" applyFont="1" applyFill="1" applyBorder="1" applyAlignment="1">
      <alignment horizontal="center"/>
    </xf>
    <xf numFmtId="0" fontId="5" fillId="3" borderId="2" xfId="3" applyFont="1" applyFill="1" applyBorder="1" applyAlignment="1" applyProtection="1"/>
    <xf numFmtId="9" fontId="28" fillId="6" borderId="2" xfId="4" applyNumberFormat="1" applyFont="1" applyFill="1" applyBorder="1" applyProtection="1">
      <protection locked="0"/>
    </xf>
    <xf numFmtId="0" fontId="5" fillId="3" borderId="2" xfId="0" applyFont="1" applyFill="1" applyBorder="1" applyAlignment="1">
      <alignment horizontal="left" vertical="center" wrapText="1"/>
    </xf>
    <xf numFmtId="0" fontId="14" fillId="8" borderId="2" xfId="0" applyFont="1" applyFill="1" applyBorder="1" applyProtection="1">
      <protection locked="0"/>
    </xf>
    <xf numFmtId="0" fontId="5" fillId="3" borderId="2" xfId="3" applyFont="1" applyFill="1" applyBorder="1" applyAlignment="1" applyProtection="1">
      <alignment horizontal="left"/>
    </xf>
    <xf numFmtId="10" fontId="28" fillId="6" borderId="2" xfId="4" applyNumberFormat="1" applyFont="1" applyFill="1" applyBorder="1" applyProtection="1">
      <protection locked="0"/>
    </xf>
    <xf numFmtId="167" fontId="28" fillId="6" borderId="2" xfId="1" applyNumberFormat="1" applyFont="1" applyFill="1" applyBorder="1" applyProtection="1">
      <protection locked="0"/>
    </xf>
    <xf numFmtId="0" fontId="15" fillId="5" borderId="2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 wrapText="1"/>
    </xf>
    <xf numFmtId="0" fontId="3" fillId="21" borderId="2" xfId="0" applyFont="1" applyFill="1" applyBorder="1" applyAlignment="1">
      <alignment horizontal="center"/>
    </xf>
    <xf numFmtId="0" fontId="3" fillId="21" borderId="4" xfId="0" applyFont="1" applyFill="1" applyBorder="1" applyAlignment="1">
      <alignment horizontal="center"/>
    </xf>
    <xf numFmtId="0" fontId="3" fillId="21" borderId="5" xfId="0" applyFont="1" applyFill="1" applyBorder="1" applyAlignment="1">
      <alignment horizontal="center"/>
    </xf>
    <xf numFmtId="0" fontId="3" fillId="21" borderId="6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2" fillId="19" borderId="2" xfId="0" applyFont="1" applyFill="1" applyBorder="1" applyAlignment="1">
      <alignment horizontal="center" vertical="center"/>
    </xf>
    <xf numFmtId="14" fontId="38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8" fontId="38" fillId="4" borderId="2" xfId="0" applyNumberFormat="1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/>
    </xf>
    <xf numFmtId="0" fontId="35" fillId="32" borderId="2" xfId="0" applyFont="1" applyFill="1" applyBorder="1" applyAlignment="1">
      <alignment horizontal="center" vertical="center"/>
    </xf>
    <xf numFmtId="0" fontId="36" fillId="5" borderId="2" xfId="0" applyFont="1" applyFill="1" applyBorder="1" applyAlignment="1">
      <alignment horizontal="center" vertical="center"/>
    </xf>
    <xf numFmtId="0" fontId="37" fillId="22" borderId="2" xfId="0" applyFont="1" applyFill="1" applyBorder="1" applyAlignment="1" applyProtection="1">
      <alignment horizontal="center"/>
      <protection locked="0"/>
    </xf>
    <xf numFmtId="0" fontId="39" fillId="3" borderId="2" xfId="0" applyFont="1" applyFill="1" applyBorder="1" applyAlignment="1">
      <alignment horizontal="center" vertical="center"/>
    </xf>
    <xf numFmtId="0" fontId="36" fillId="23" borderId="2" xfId="0" applyFont="1" applyFill="1" applyBorder="1" applyAlignment="1">
      <alignment horizontal="center"/>
    </xf>
    <xf numFmtId="0" fontId="48" fillId="22" borderId="2" xfId="0" applyFont="1" applyFill="1" applyBorder="1" applyAlignment="1" applyProtection="1">
      <alignment horizontal="center"/>
      <protection locked="0"/>
    </xf>
    <xf numFmtId="0" fontId="47" fillId="5" borderId="9" xfId="0" applyFont="1" applyFill="1" applyBorder="1" applyAlignment="1" applyProtection="1">
      <alignment horizontal="center" vertical="center"/>
    </xf>
  </cellXfs>
  <cellStyles count="5">
    <cellStyle name="Célula de Verificação" xfId="4" builtinId="23"/>
    <cellStyle name="Normal" xfId="0" builtinId="0"/>
    <cellStyle name="Porcentagem" xfId="2" builtinId="5"/>
    <cellStyle name="Título 4" xfId="3" builtinId="19"/>
    <cellStyle name="Vírgula" xfId="1" builtinId="3"/>
  </cellStyles>
  <dxfs count="118">
    <dxf>
      <fill>
        <patternFill>
          <bgColor theme="6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60000"/>
        </patternFill>
      </fill>
    </dxf>
    <dxf>
      <numFmt numFmtId="0" formatCode="General"/>
      <fill>
        <patternFill>
          <bgColor theme="7" tint="-0.24994659260841701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4D1B46"/>
      <color rgb="FF760000"/>
      <color rgb="FF864300"/>
      <color rgb="FF0097CC"/>
      <color rgb="FF5418FC"/>
      <color rgb="FF280E24"/>
      <color rgb="FFF002BD"/>
      <color rgb="FF00CCB9"/>
      <color rgb="FFFF8C0D"/>
      <color rgb="FF19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22" fmlaLink="$C$15" fmlaRange="valoresAlbion!$A$23:$A$28" noThreeD="1" sel="1" val="0"/>
</file>

<file path=xl/ctrlProps/ctrlProp2.xml><?xml version="1.0" encoding="utf-8"?>
<formControlPr xmlns="http://schemas.microsoft.com/office/spreadsheetml/2009/9/main" objectType="Drop" dropStyle="combo" dx="22" fmlaLink="$C$17" fmlaRange="valoresAlbion!$A$14:$A$18" noThreeD="1" sel="1" val="0"/>
</file>

<file path=xl/ctrlProps/ctrlProp3.xml><?xml version="1.0" encoding="utf-8"?>
<formControlPr xmlns="http://schemas.microsoft.com/office/spreadsheetml/2009/9/main" objectType="CheckBox" fmlaLink="$C$34" lockText="1" noThreeD="1"/>
</file>

<file path=xl/ctrlProps/ctrlProp4.xml><?xml version="1.0" encoding="utf-8"?>
<formControlPr xmlns="http://schemas.microsoft.com/office/spreadsheetml/2009/9/main" objectType="CheckBox" fmlaLink="$C$36" lockText="1" noThreeD="1"/>
</file>

<file path=xl/ctrlProps/ctrlProp5.xml><?xml version="1.0" encoding="utf-8"?>
<formControlPr xmlns="http://schemas.microsoft.com/office/spreadsheetml/2009/9/main" objectType="CheckBox" fmlaLink="$C$32" lockText="1" noThreeD="1"/>
</file>

<file path=xl/ctrlProps/ctrlProp6.xml><?xml version="1.0" encoding="utf-8"?>
<formControlPr xmlns="http://schemas.microsoft.com/office/spreadsheetml/2009/9/main" objectType="CheckBox" fmlaLink="$K$32" lockText="1" noThreeD="1"/>
</file>

<file path=xl/ctrlProps/ctrlProp7.xml><?xml version="1.0" encoding="utf-8"?>
<formControlPr xmlns="http://schemas.microsoft.com/office/spreadsheetml/2009/9/main" objectType="Drop" dropStyle="combo" dx="22" fmlaLink="$I$32" fmlaRange="URL!$A$2:$A$8" noThreeD="1" sel="1" val="0"/>
</file>

<file path=xl/ctrlProps/ctrlProp8.xml><?xml version="1.0" encoding="utf-8"?>
<formControlPr xmlns="http://schemas.microsoft.com/office/spreadsheetml/2009/9/main" objectType="Drop" dropStyle="combo" dx="22" fmlaLink="$I$34" fmlaRange="URL!$A$2:$A$8" noThreeD="1" sel="1" val="0"/>
</file>

<file path=xl/ctrlProps/ctrlProp9.xml><?xml version="1.0" encoding="utf-8"?>
<formControlPr xmlns="http://schemas.microsoft.com/office/spreadsheetml/2009/9/main" objectType="Drop" dropStyle="combo" dx="22" fmlaLink="$I$36" fmlaRange="URL!$A$2:$A$8" noThreeD="1" sel="1" val="0"/>
</file>

<file path=xl/ctrlProps/ctrlProp10.xml><?xml version="1.0" encoding="utf-8"?>
<formControlPr xmlns="http://schemas.microsoft.com/office/spreadsheetml/2009/9/main" objectType="CheckBox" fmlaLink="$K$36" lockText="1" noThreeD="1"/>
</file>

<file path=xl/ctrlProps/ctrlProp11.xml><?xml version="1.0" encoding="utf-8"?>
<formControlPr xmlns="http://schemas.microsoft.com/office/spreadsheetml/2009/9/main" objectType="CheckBox" fmlaLink="$K$34" lockText="1" noThreeD="1"/>
</file>

<file path=xl/ctrlProps/ctrlProp12.xml><?xml version="1.0" encoding="utf-8"?>
<formControlPr xmlns="http://schemas.microsoft.com/office/spreadsheetml/2009/9/main" objectType="Drop" dropStyle="combo" dx="22" fmlaLink="$C$15" fmlaRange="valoresAlbion!$A$23:$A$28" noThreeD="1" sel="1" val="0"/>
</file>

<file path=xl/ctrlProps/ctrlProp13.xml><?xml version="1.0" encoding="utf-8"?>
<formControlPr xmlns="http://schemas.microsoft.com/office/spreadsheetml/2009/9/main" objectType="Drop" dropStyle="combo" dx="22" fmlaLink="$C$17" fmlaRange="valoresAlbion!$A$6:$A$10" noThreeD="1" sel="1" val="0"/>
</file>

<file path=xl/ctrlProps/ctrlProp14.xml><?xml version="1.0" encoding="utf-8"?>
<formControlPr xmlns="http://schemas.microsoft.com/office/spreadsheetml/2009/9/main" objectType="CheckBox" fmlaLink="$C$32" lockText="1" noThreeD="1"/>
</file>

<file path=xl/ctrlProps/ctrlProp15.xml><?xml version="1.0" encoding="utf-8"?>
<formControlPr xmlns="http://schemas.microsoft.com/office/spreadsheetml/2009/9/main" objectType="CheckBox" fmlaLink="$C$34" lockText="1" noThreeD="1"/>
</file>

<file path=xl/ctrlProps/ctrlProp16.xml><?xml version="1.0" encoding="utf-8"?>
<formControlPr xmlns="http://schemas.microsoft.com/office/spreadsheetml/2009/9/main" objectType="CheckBox" fmlaLink="$C$36" lockText="1" noThreeD="1"/>
</file>

<file path=xl/ctrlProps/ctrlProp17.xml><?xml version="1.0" encoding="utf-8"?>
<formControlPr xmlns="http://schemas.microsoft.com/office/spreadsheetml/2009/9/main" objectType="CheckBox" fmlaLink="$K$32" lockText="1" noThreeD="1"/>
</file>

<file path=xl/ctrlProps/ctrlProp18.xml><?xml version="1.0" encoding="utf-8"?>
<formControlPr xmlns="http://schemas.microsoft.com/office/spreadsheetml/2009/9/main" objectType="Drop" dropStyle="combo" dx="22" fmlaLink="$I$32" fmlaRange="URL!$A$2:$A$8" noThreeD="1" sel="1" val="0"/>
</file>

<file path=xl/ctrlProps/ctrlProp19.xml><?xml version="1.0" encoding="utf-8"?>
<formControlPr xmlns="http://schemas.microsoft.com/office/spreadsheetml/2009/9/main" objectType="Drop" dropStyle="combo" dx="22" fmlaLink="$I$34" fmlaRange="URL!$A$2:$A$8" noThreeD="1" sel="1" val="0"/>
</file>

<file path=xl/ctrlProps/ctrlProp20.xml><?xml version="1.0" encoding="utf-8"?>
<formControlPr xmlns="http://schemas.microsoft.com/office/spreadsheetml/2009/9/main" objectType="Drop" dropStyle="combo" dx="22" fmlaLink="$I$36" fmlaRange="URL!$A$2:$A$8" noThreeD="1" sel="1" val="0"/>
</file>

<file path=xl/ctrlProps/ctrlProp21.xml><?xml version="1.0" encoding="utf-8"?>
<formControlPr xmlns="http://schemas.microsoft.com/office/spreadsheetml/2009/9/main" objectType="CheckBox" fmlaLink="$K$36" lockText="1" noThreeD="1"/>
</file>

<file path=xl/ctrlProps/ctrlProp22.xml><?xml version="1.0" encoding="utf-8"?>
<formControlPr xmlns="http://schemas.microsoft.com/office/spreadsheetml/2009/9/main" objectType="CheckBox" fmlaLink="$K$34" lockText="1" noThreeD="1"/>
</file>

<file path=xl/ctrlProps/ctrlProp23.xml><?xml version="1.0" encoding="utf-8"?>
<formControlPr xmlns="http://schemas.microsoft.com/office/spreadsheetml/2009/9/main" objectType="Drop" dropStyle="combo" dx="22" fmlaLink="$C$15" fmlaRange="valoresAlbion!$A$23:$A$28" noThreeD="1" sel="1" val="0"/>
</file>

<file path=xl/ctrlProps/ctrlProp24.xml><?xml version="1.0" encoding="utf-8"?>
<formControlPr xmlns="http://schemas.microsoft.com/office/spreadsheetml/2009/9/main" objectType="Drop" dropStyle="combo" dx="22" fmlaLink="$C$17" fmlaRange="valoresAlbion!$A$6:$A$10" noThreeD="1" sel="1" val="0"/>
</file>

<file path=xl/ctrlProps/ctrlProp25.xml><?xml version="1.0" encoding="utf-8"?>
<formControlPr xmlns="http://schemas.microsoft.com/office/spreadsheetml/2009/9/main" objectType="CheckBox" fmlaLink="$C$32" lockText="1" noThreeD="1"/>
</file>

<file path=xl/ctrlProps/ctrlProp26.xml><?xml version="1.0" encoding="utf-8"?>
<formControlPr xmlns="http://schemas.microsoft.com/office/spreadsheetml/2009/9/main" objectType="CheckBox" fmlaLink="$C$34" lockText="1" noThreeD="1"/>
</file>

<file path=xl/ctrlProps/ctrlProp27.xml><?xml version="1.0" encoding="utf-8"?>
<formControlPr xmlns="http://schemas.microsoft.com/office/spreadsheetml/2009/9/main" objectType="CheckBox" fmlaLink="$C$36" lockText="1" noThreeD="1"/>
</file>

<file path=xl/ctrlProps/ctrlProp28.xml><?xml version="1.0" encoding="utf-8"?>
<formControlPr xmlns="http://schemas.microsoft.com/office/spreadsheetml/2009/9/main" objectType="CheckBox" fmlaLink="$K$32" lockText="1" noThreeD="1"/>
</file>

<file path=xl/ctrlProps/ctrlProp29.xml><?xml version="1.0" encoding="utf-8"?>
<formControlPr xmlns="http://schemas.microsoft.com/office/spreadsheetml/2009/9/main" objectType="CheckBox" fmlaLink="$K$36" lockText="1" noThreeD="1"/>
</file>

<file path=xl/ctrlProps/ctrlProp30.xml><?xml version="1.0" encoding="utf-8"?>
<formControlPr xmlns="http://schemas.microsoft.com/office/spreadsheetml/2009/9/main" objectType="CheckBox" fmlaLink="$K$34" lockText="1" noThreeD="1"/>
</file>

<file path=xl/ctrlProps/ctrlProp31.xml><?xml version="1.0" encoding="utf-8"?>
<formControlPr xmlns="http://schemas.microsoft.com/office/spreadsheetml/2009/9/main" objectType="Drop" dropStyle="combo" dx="22" fmlaLink="$I$32" fmlaRange="URL!$A$2:$A$8" noThreeD="1" sel="1" val="0"/>
</file>

<file path=xl/ctrlProps/ctrlProp32.xml><?xml version="1.0" encoding="utf-8"?>
<formControlPr xmlns="http://schemas.microsoft.com/office/spreadsheetml/2009/9/main" objectType="Drop" dropStyle="combo" dx="22" fmlaLink="$I$34" fmlaRange="URL!$A$2:$A$8" noThreeD="1" sel="1" val="0"/>
</file>

<file path=xl/ctrlProps/ctrlProp33.xml><?xml version="1.0" encoding="utf-8"?>
<formControlPr xmlns="http://schemas.microsoft.com/office/spreadsheetml/2009/9/main" objectType="Drop" dropStyle="combo" dx="22" fmlaLink="$I$36" fmlaRange="URL!$A$2:$A$8" noThreeD="1" sel="1" val="0"/>
</file>

<file path=xl/ctrlProps/ctrlProp34.xml><?xml version="1.0" encoding="utf-8"?>
<formControlPr xmlns="http://schemas.microsoft.com/office/spreadsheetml/2009/9/main" objectType="Drop" dropStyle="combo" dx="22" fmlaLink="$C$15" fmlaRange="valoresAlbion!$A$23:$A$28" noThreeD="1" sel="1" val="0"/>
</file>

<file path=xl/ctrlProps/ctrlProp35.xml><?xml version="1.0" encoding="utf-8"?>
<formControlPr xmlns="http://schemas.microsoft.com/office/spreadsheetml/2009/9/main" objectType="Drop" dropStyle="combo" dx="22" fmlaLink="$C$17" fmlaRange="valoresAlbion!$A$6:$A$10" noThreeD="1" sel="1" val="0"/>
</file>

<file path=xl/ctrlProps/ctrlProp36.xml><?xml version="1.0" encoding="utf-8"?>
<formControlPr xmlns="http://schemas.microsoft.com/office/spreadsheetml/2009/9/main" objectType="CheckBox" fmlaLink="$C$32" lockText="1" noThreeD="1"/>
</file>

<file path=xl/ctrlProps/ctrlProp37.xml><?xml version="1.0" encoding="utf-8"?>
<formControlPr xmlns="http://schemas.microsoft.com/office/spreadsheetml/2009/9/main" objectType="CheckBox" fmlaLink="$C$34" lockText="1" noThreeD="1"/>
</file>

<file path=xl/ctrlProps/ctrlProp38.xml><?xml version="1.0" encoding="utf-8"?>
<formControlPr xmlns="http://schemas.microsoft.com/office/spreadsheetml/2009/9/main" objectType="CheckBox" fmlaLink="$C$36" lockText="1" noThreeD="1"/>
</file>

<file path=xl/ctrlProps/ctrlProp39.xml><?xml version="1.0" encoding="utf-8"?>
<formControlPr xmlns="http://schemas.microsoft.com/office/spreadsheetml/2009/9/main" objectType="CheckBox" fmlaLink="$K$32" lockText="1" noThreeD="1"/>
</file>

<file path=xl/ctrlProps/ctrlProp40.xml><?xml version="1.0" encoding="utf-8"?>
<formControlPr xmlns="http://schemas.microsoft.com/office/spreadsheetml/2009/9/main" objectType="CheckBox" fmlaLink="$K$36" lockText="1" noThreeD="1"/>
</file>

<file path=xl/ctrlProps/ctrlProp41.xml><?xml version="1.0" encoding="utf-8"?>
<formControlPr xmlns="http://schemas.microsoft.com/office/spreadsheetml/2009/9/main" objectType="CheckBox" fmlaLink="$K$34" lockText="1" noThreeD="1"/>
</file>

<file path=xl/ctrlProps/ctrlProp42.xml><?xml version="1.0" encoding="utf-8"?>
<formControlPr xmlns="http://schemas.microsoft.com/office/spreadsheetml/2009/9/main" objectType="Drop" dropStyle="combo" dx="22" fmlaLink="$I$32" fmlaRange="URL!$A$2:$A$8" noThreeD="1" sel="1" val="0"/>
</file>

<file path=xl/ctrlProps/ctrlProp43.xml><?xml version="1.0" encoding="utf-8"?>
<formControlPr xmlns="http://schemas.microsoft.com/office/spreadsheetml/2009/9/main" objectType="Drop" dropStyle="combo" dx="22" fmlaLink="$I$34" fmlaRange="URL!$A$2:$A$8" noThreeD="1" sel="1" val="0"/>
</file>

<file path=xl/ctrlProps/ctrlProp44.xml><?xml version="1.0" encoding="utf-8"?>
<formControlPr xmlns="http://schemas.microsoft.com/office/spreadsheetml/2009/9/main" objectType="Drop" dropStyle="combo" dx="22" fmlaLink="$I$36" fmlaRange="URL!$A$2:$A$8" noThreeD="1" sel="1" val="0"/>
</file>

<file path=xl/ctrlProps/ctrlProp45.xml><?xml version="1.0" encoding="utf-8"?>
<formControlPr xmlns="http://schemas.microsoft.com/office/spreadsheetml/2009/9/main" objectType="Drop" dropStyle="combo" dx="22" fmlaLink="$C$15" fmlaRange="valoresAlbion!$A$23:$A$28" noThreeD="1" sel="1" val="0"/>
</file>

<file path=xl/ctrlProps/ctrlProp46.xml><?xml version="1.0" encoding="utf-8"?>
<formControlPr xmlns="http://schemas.microsoft.com/office/spreadsheetml/2009/9/main" objectType="Drop" dropStyle="combo" dx="22" fmlaLink="$C$17" fmlaRange="valoresAlbion!$A$14:$A$17" noThreeD="1" sel="1" val="0"/>
</file>

<file path=xl/ctrlProps/ctrlProp47.xml><?xml version="1.0" encoding="utf-8"?>
<formControlPr xmlns="http://schemas.microsoft.com/office/spreadsheetml/2009/9/main" objectType="CheckBox" fmlaLink="$C$32" lockText="1" noThreeD="1"/>
</file>

<file path=xl/ctrlProps/ctrlProp48.xml><?xml version="1.0" encoding="utf-8"?>
<formControlPr xmlns="http://schemas.microsoft.com/office/spreadsheetml/2009/9/main" objectType="CheckBox" fmlaLink="$C$34" lockText="1" noThreeD="1"/>
</file>

<file path=xl/ctrlProps/ctrlProp49.xml><?xml version="1.0" encoding="utf-8"?>
<formControlPr xmlns="http://schemas.microsoft.com/office/spreadsheetml/2009/9/main" objectType="CheckBox" fmlaLink="$C$36" lockText="1" noThreeD="1"/>
</file>

<file path=xl/ctrlProps/ctrlProp50.xml><?xml version="1.0" encoding="utf-8"?>
<formControlPr xmlns="http://schemas.microsoft.com/office/spreadsheetml/2009/9/main" objectType="CheckBox" fmlaLink="$K$32" lockText="1" noThreeD="1"/>
</file>

<file path=xl/ctrlProps/ctrlProp51.xml><?xml version="1.0" encoding="utf-8"?>
<formControlPr xmlns="http://schemas.microsoft.com/office/spreadsheetml/2009/9/main" objectType="Drop" dropStyle="combo" dx="22" fmlaLink="$I$32" fmlaRange="URL!$A$2:$A$8" noThreeD="1" sel="1" val="0"/>
</file>

<file path=xl/ctrlProps/ctrlProp52.xml><?xml version="1.0" encoding="utf-8"?>
<formControlPr xmlns="http://schemas.microsoft.com/office/spreadsheetml/2009/9/main" objectType="Drop" dropStyle="combo" dx="22" fmlaLink="$I$34" fmlaRange="URL!$A$2:$A$8" noThreeD="1" sel="1" val="0"/>
</file>

<file path=xl/ctrlProps/ctrlProp53.xml><?xml version="1.0" encoding="utf-8"?>
<formControlPr xmlns="http://schemas.microsoft.com/office/spreadsheetml/2009/9/main" objectType="Drop" dropStyle="combo" dx="22" fmlaLink="$I$36" fmlaRange="URL!$A$2:$A$8" noThreeD="1" sel="1" val="0"/>
</file>

<file path=xl/ctrlProps/ctrlProp54.xml><?xml version="1.0" encoding="utf-8"?>
<formControlPr xmlns="http://schemas.microsoft.com/office/spreadsheetml/2009/9/main" objectType="CheckBox" fmlaLink="$K$36" lockText="1" noThreeD="1"/>
</file>

<file path=xl/ctrlProps/ctrlProp55.xml><?xml version="1.0" encoding="utf-8"?>
<formControlPr xmlns="http://schemas.microsoft.com/office/spreadsheetml/2009/9/main" objectType="CheckBox" fmlaLink="$K$34" lockText="1" noThreeD="1"/>
</file>

<file path=xl/ctrlProps/ctrlProp56.xml><?xml version="1.0" encoding="utf-8"?>
<formControlPr xmlns="http://schemas.microsoft.com/office/spreadsheetml/2009/9/main" objectType="CheckBox" fmlaLink="$F$11" lockText="1" noThreeD="1"/>
</file>

<file path=xl/ctrlProps/ctrlProp57.xml><?xml version="1.0" encoding="utf-8"?>
<formControlPr xmlns="http://schemas.microsoft.com/office/spreadsheetml/2009/9/main" objectType="Drop" dropStyle="combo" dx="22" fmlaLink="$F$12" fmlaRange="URL!$D$2:$D$4" noThreeD="1" sel="1" val="0"/>
</file>

<file path=xl/ctrlProps/ctrlProp58.xml><?xml version="1.0" encoding="utf-8"?>
<formControlPr xmlns="http://schemas.microsoft.com/office/spreadsheetml/2009/9/main" objectType="Drop" dropStyle="combo" dx="22" fmlaLink="$F$13" fmlaRange="valoresAlbion!$H$21:$H$25" noThreeD="1" sel="3" val="0"/>
</file>

<file path=xl/ctrlProps/ctrlProp59.xml><?xml version="1.0" encoding="utf-8"?>
<formControlPr xmlns="http://schemas.microsoft.com/office/spreadsheetml/2009/9/main" objectType="Drop" dropLines="10" dropStyle="combo" dx="22" fmlaLink="$C$8" fmlaRange="valoresAlbion!$H$1:$H$10" noThreeD="1" sel="4" val="0"/>
</file>

<file path=xl/ctrlProps/ctrlProp60.xml><?xml version="1.0" encoding="utf-8"?>
<formControlPr xmlns="http://schemas.microsoft.com/office/spreadsheetml/2009/9/main" objectType="Drop" dropStyle="combo" dx="22" fmlaLink="$C$10" fmlaRange="URL!$A$2:$A$8" noThreeD="1" sel="1" val="0"/>
</file>

<file path=xl/ctrlProps/ctrlProp61.xml><?xml version="1.0" encoding="utf-8"?>
<formControlPr xmlns="http://schemas.microsoft.com/office/spreadsheetml/2009/9/main" objectType="Drop" dropStyle="combo" dx="22" fmlaLink="$C$8" fmlaRange="URL!$C$2:$C$6" noThreeD="1" sel="1" val="0"/>
</file>

<file path=xl/ctrlProps/ctrlProp62.xml><?xml version="1.0" encoding="utf-8"?>
<formControlPr xmlns="http://schemas.microsoft.com/office/spreadsheetml/2009/9/main" objectType="Drop" dropStyle="combo" dx="22" fmlaLink="$C$10" fmlaRange="URL!$A$2:$A$8" noThreeD="1" sel="5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13" Type="http://schemas.openxmlformats.org/officeDocument/2006/relationships/image" Target="../media/image12.png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12" Type="http://schemas.openxmlformats.org/officeDocument/2006/relationships/image" Target="../media/image11.png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11" Type="http://schemas.openxmlformats.org/officeDocument/2006/relationships/image" Target="../media/image10.png"/><Relationship Id="rId5" Type="http://schemas.openxmlformats.org/officeDocument/2006/relationships/hyperlink" Target="#Madeira!C15"/><Relationship Id="rId10" Type="http://schemas.openxmlformats.org/officeDocument/2006/relationships/image" Target="../media/image9.png"/><Relationship Id="rId4" Type="http://schemas.openxmlformats.org/officeDocument/2006/relationships/hyperlink" Target="#Min&#233;rio!C15"/><Relationship Id="rId9" Type="http://schemas.openxmlformats.org/officeDocument/2006/relationships/image" Target="../media/image8.png"/><Relationship Id="rId14" Type="http://schemas.openxmlformats.org/officeDocument/2006/relationships/hyperlink" Target="#API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API!A1"/><Relationship Id="rId4" Type="http://schemas.openxmlformats.org/officeDocument/2006/relationships/hyperlink" Target="#Min&#233;rio!C15"/><Relationship Id="rId9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'API2'!A1"/><Relationship Id="rId4" Type="http://schemas.openxmlformats.org/officeDocument/2006/relationships/hyperlink" Target="#Min&#233;rio!C15"/><Relationship Id="rId9" Type="http://schemas.openxmlformats.org/officeDocument/2006/relationships/hyperlink" Target="#API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onfigura&#231;&#245;es!F9"/><Relationship Id="rId3" Type="http://schemas.openxmlformats.org/officeDocument/2006/relationships/hyperlink" Target="#Fibras!C15"/><Relationship Id="rId7" Type="http://schemas.openxmlformats.org/officeDocument/2006/relationships/hyperlink" Target="#espec!D13"/><Relationship Id="rId2" Type="http://schemas.openxmlformats.org/officeDocument/2006/relationships/hyperlink" Target="#Pelego!C15"/><Relationship Id="rId1" Type="http://schemas.openxmlformats.org/officeDocument/2006/relationships/hyperlink" Target="#IN&#205;CIO!A1"/><Relationship Id="rId6" Type="http://schemas.openxmlformats.org/officeDocument/2006/relationships/hyperlink" Target="#Rochas!C15"/><Relationship Id="rId5" Type="http://schemas.openxmlformats.org/officeDocument/2006/relationships/hyperlink" Target="#Madeira!C15"/><Relationship Id="rId10" Type="http://schemas.openxmlformats.org/officeDocument/2006/relationships/hyperlink" Target="#'API2'!A1"/><Relationship Id="rId4" Type="http://schemas.openxmlformats.org/officeDocument/2006/relationships/hyperlink" Target="#Min&#233;rio!C15"/><Relationship Id="rId9" Type="http://schemas.openxmlformats.org/officeDocument/2006/relationships/hyperlink" Target="#API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22" name="Retângulo: Cantos Diagonais Recort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rgbClr val="0070C0"/>
        </a:solidFill>
        <a:ln>
          <a:noFill/>
        </a:ln>
        <a:effectLst>
          <a:glow rad="520700">
            <a:srgbClr val="0070C0">
              <a:alpha val="38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23" name="Retângulo: Cantos Diagonais Recort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24" name="Retângulo: Cantos Diagonais Recort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25" name="Retângulo: Cantos Diagonais Recort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26" name="Retângulo: Cantos Diagonais Recortado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27" name="Retângulo: Cantos Diagonais Recortado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28" name="Retângulo: Cantos Diagonais Recortado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29" name="Retângulo: Cantos Diagonais Recortado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>
    <xdr:from>
      <xdr:col>3</xdr:col>
      <xdr:colOff>691056</xdr:colOff>
      <xdr:row>7</xdr:row>
      <xdr:rowOff>178034</xdr:rowOff>
    </xdr:from>
    <xdr:to>
      <xdr:col>17</xdr:col>
      <xdr:colOff>80117</xdr:colOff>
      <xdr:row>47</xdr:row>
      <xdr:rowOff>89019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827505" y="1531118"/>
          <a:ext cx="9359154" cy="7388555"/>
        </a:xfrm>
        <a:prstGeom prst="roundRect">
          <a:avLst>
            <a:gd name="adj" fmla="val 48"/>
          </a:avLst>
        </a:prstGeom>
        <a:solidFill>
          <a:schemeClr val="dk1">
            <a:alpha val="50000"/>
          </a:schemeClr>
        </a:solidFill>
        <a:ln>
          <a:noFill/>
        </a:ln>
        <a:effectLst>
          <a:glow rad="101600">
            <a:schemeClr val="tx1">
              <a:lumMod val="50000"/>
              <a:lumOff val="50000"/>
              <a:alpha val="6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 b="1">
            <a:latin typeface="Century Gothic" panose="020B0502020202020204" pitchFamily="34" charset="0"/>
            <a:ea typeface="Yu Gothic" panose="020B0400000000000000" pitchFamily="34" charset="-128"/>
            <a:cs typeface="Calibri" panose="020F0502020204030204" pitchFamily="34" charset="0"/>
          </a:endParaRPr>
        </a:p>
        <a:p>
          <a:pPr algn="ctr"/>
          <a:r>
            <a:rPr lang="pt-BR" sz="1800" b="1">
              <a:latin typeface="Century Gothic" panose="020B0502020202020204" pitchFamily="34" charset="0"/>
              <a:ea typeface="Yu Gothic" panose="020B0400000000000000" pitchFamily="34" charset="-128"/>
              <a:cs typeface="Calibri" panose="020F0502020204030204" pitchFamily="34" charset="0"/>
            </a:rPr>
            <a:t>OLÁ AVENTUREIROS!</a:t>
          </a:r>
        </a:p>
        <a:p>
          <a:pPr algn="ctr"/>
          <a:endParaRPr lang="pt-BR" sz="1800" b="1">
            <a:latin typeface="Century Gothic" panose="020B0502020202020204" pitchFamily="34" charset="0"/>
            <a:ea typeface="Yu Gothic" panose="020B0400000000000000" pitchFamily="34" charset="-128"/>
            <a:cs typeface="Calibri" panose="020F050202020403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Apresento</a:t>
          </a:r>
          <a:r>
            <a:rPr lang="pt-BR" sz="1400" b="1" baseline="0">
              <a:latin typeface="Century Gothic" panose="020B0502020202020204" pitchFamily="34" charset="0"/>
            </a:rPr>
            <a:t> a você a planilha de Refino Lendário! Com ela você será capaz de calcular  seus investimentos com Refino simulando processos para saber os Gastos, Quantidades de materiais que você precisa comprar e os Lucros e Rendimentos </a:t>
          </a:r>
          <a:r>
            <a:rPr lang="pt-BR" sz="1600" b="1" baseline="0">
              <a:latin typeface="Century Gothic" panose="020B0502020202020204" pitchFamily="34" charset="0"/>
            </a:rPr>
            <a:t>😁</a:t>
          </a:r>
        </a:p>
        <a:p>
          <a:pPr algn="ctr"/>
          <a:endParaRPr lang="pt-BR" sz="1400" b="1" baseline="0"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latin typeface="Century Gothic" panose="020B0502020202020204" pitchFamily="34" charset="0"/>
            </a:rPr>
            <a:t>E como sempre gosto de fazer, a planilha possui uma interface fácil  e intuitiva  para  torná-la acessível a todos, desde jogadores iniciantes até os veteranos.</a:t>
          </a:r>
        </a:p>
        <a:p>
          <a:pPr algn="ctr"/>
          <a:endParaRPr lang="pt-BR" sz="1400" b="1" baseline="0"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 claro, eu desenvolvi e projetei essa planilha  sozinho com uma ajudinha do ChatGPT🤖, mas ninguém é perfeito, então pode haver alguns erros. </a:t>
          </a:r>
        </a:p>
        <a:p>
          <a:pPr algn="ctr"/>
          <a:endParaRPr lang="pt-BR" sz="1400" b="1">
            <a:effectLst/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Por isso, se você encontrar algum erro, tiver dúvidas ou sugestões de melhoria, entre em contato comigo pelo Discord</a:t>
          </a:r>
        </a:p>
        <a:p>
          <a:pPr algn="ctr"/>
          <a:endParaRPr lang="pt-BR" sz="1400" b="1">
            <a:effectLst/>
            <a:latin typeface="Century Gothic" panose="020B050202020202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E bom, produzir essas planilhas demanda  bastante tempo. </a:t>
          </a:r>
          <a:r>
            <a:rPr lang="pt-BR" sz="1400" b="1" baseline="0">
              <a:latin typeface="Century Gothic" panose="020B0502020202020204" pitchFamily="34" charset="0"/>
            </a:rPr>
            <a:t> S</a:t>
          </a:r>
          <a:r>
            <a:rPr lang="pt-BR" sz="1400" b="1">
              <a:latin typeface="Century Gothic" panose="020B0502020202020204" pitchFamily="34" charset="0"/>
            </a:rPr>
            <a:t>e você quiser apoiar meu trabalho com qualquer contribuição, ficarei  imensamente grato. Meu Pix está disponível abaixo, junto com outras informações.</a:t>
          </a:r>
        </a:p>
        <a:p>
          <a:pPr algn="ctr"/>
          <a:r>
            <a:rPr lang="pt-BR" sz="1400" b="1">
              <a:latin typeface="Century Gothic" panose="020B0502020202020204" pitchFamily="34" charset="0"/>
            </a:rPr>
            <a:t> E não se preocupe, cada investimento será utilizado com sabedoria</a:t>
          </a:r>
          <a:r>
            <a:rPr lang="pt-BR" sz="1400" b="1" baseline="0">
              <a:latin typeface="Century Gothic" panose="020B0502020202020204" pitchFamily="34" charset="0"/>
            </a:rPr>
            <a:t> com meus estudos</a:t>
          </a:r>
          <a:r>
            <a:rPr lang="pt-BR" sz="1400" b="1">
              <a:latin typeface="Century Gothic" panose="020B0502020202020204" pitchFamily="34" charset="0"/>
            </a:rPr>
            <a:t>.</a:t>
          </a:r>
        </a:p>
        <a:p>
          <a:pPr algn="ctr"/>
          <a:endParaRPr lang="pt-BR" sz="1400" b="1">
            <a:latin typeface="Century Gothic" panose="020B050202020202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 Ah, e se preferir, até aceito um Mamute como forma de apoio extra! 😁</a:t>
          </a:r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Enfim, muito Obrigado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pelo apoio e pela sua Contribuição</a:t>
          </a:r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 boa Sorte nas suas Viagens!</a:t>
          </a:r>
        </a:p>
        <a:p>
          <a:pPr algn="ctr" eaLnBrk="1" fontAlgn="auto" latinLnBrk="0" hangingPunct="1"/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 baseline="0"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AmigoImaginário - Cauã</a:t>
          </a:r>
        </a:p>
        <a:p>
          <a:pPr algn="ctr" eaLnBrk="1" fontAlgn="auto" latinLnBrk="0" hangingPunct="1"/>
          <a:r>
            <a:rPr lang="pt-BR" sz="1400" b="1" i="0">
              <a:solidFill>
                <a:srgbClr val="FF00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Youtube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Amigo Imáginario</a:t>
          </a:r>
        </a:p>
        <a:p>
          <a:pPr algn="ctr" eaLnBrk="1" fontAlgn="auto" latinLnBrk="0" hangingPunct="1"/>
          <a:r>
            <a:rPr lang="pt-BR" sz="1400" b="1" i="0">
              <a:solidFill>
                <a:srgbClr val="00B0F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Discord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amigoimaginario020</a:t>
          </a:r>
        </a:p>
        <a:p>
          <a:pPr algn="ctr" eaLnBrk="1" fontAlgn="auto" latinLnBrk="0" hangingPunct="1"/>
          <a:r>
            <a:rPr lang="pt-BR" sz="1400" b="1" i="0" baseline="0">
              <a:solidFill>
                <a:srgbClr val="8C3FC5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Mamutes da Alvorada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https://discord.gg/VFcm5h6F56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rgbClr val="92D05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Meu Pix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🤠👍: cauamoura014@gmail.com</a:t>
          </a:r>
          <a:endParaRPr lang="pt-BR" sz="18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endParaRPr lang="pt-BR" sz="1200" b="1">
            <a:effectLst/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050" b="1" baseline="0">
            <a:latin typeface="Century Gothic" panose="020B0502020202020204" pitchFamily="34" charset="0"/>
          </a:endParaRPr>
        </a:p>
        <a:p>
          <a:pPr algn="ctr"/>
          <a:endParaRPr lang="pt-BR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</xdr:col>
      <xdr:colOff>114300</xdr:colOff>
      <xdr:row>6</xdr:row>
      <xdr:rowOff>95250</xdr:rowOff>
    </xdr:from>
    <xdr:to>
      <xdr:col>2</xdr:col>
      <xdr:colOff>628650</xdr:colOff>
      <xdr:row>12</xdr:row>
      <xdr:rowOff>6895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" y="1238250"/>
          <a:ext cx="1228725" cy="105464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6</xdr:col>
      <xdr:colOff>369120</xdr:colOff>
      <xdr:row>2</xdr:row>
      <xdr:rowOff>19050</xdr:rowOff>
    </xdr:from>
    <xdr:to>
      <xdr:col>14</xdr:col>
      <xdr:colOff>464370</xdr:colOff>
      <xdr:row>6</xdr:row>
      <xdr:rowOff>175260</xdr:rowOff>
    </xdr:to>
    <xdr:sp macro="" textlink="">
      <xdr:nvSpPr>
        <xdr:cNvPr id="12" name="Faixa de Opções: Inclinada para Cima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642017" y="392929"/>
          <a:ext cx="5792446" cy="903967"/>
        </a:xfrm>
        <a:prstGeom prst="ribbon2">
          <a:avLst>
            <a:gd name="adj1" fmla="val 12585"/>
            <a:gd name="adj2" fmla="val 75000"/>
          </a:avLst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</a:effectLst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  <a:latin typeface="Cooper Black" panose="0208090404030B020404" pitchFamily="18" charset="0"/>
            </a:rPr>
            <a:t>MAMUTES</a:t>
          </a:r>
          <a:r>
            <a:rPr lang="pt-BR" sz="2000" baseline="0">
              <a:solidFill>
                <a:sysClr val="windowText" lastClr="000000"/>
              </a:solidFill>
              <a:latin typeface="Cooper Black" panose="0208090404030B020404" pitchFamily="18" charset="0"/>
            </a:rPr>
            <a:t> DA ALVORADA</a:t>
          </a:r>
          <a:endParaRPr lang="pt-BR" sz="2000">
            <a:solidFill>
              <a:sysClr val="windowText" lastClr="000000"/>
            </a:solidFill>
            <a:latin typeface="Cooper Black" panose="0208090404030B020404" pitchFamily="18" charset="0"/>
          </a:endParaRPr>
        </a:p>
      </xdr:txBody>
    </xdr:sp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85725</xdr:rowOff>
        </xdr:from>
        <xdr:to>
          <xdr:col>3</xdr:col>
          <xdr:colOff>523875</xdr:colOff>
          <xdr:row>15</xdr:row>
          <xdr:rowOff>76200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85725</xdr:rowOff>
        </xdr:from>
        <xdr:to>
          <xdr:col>3</xdr:col>
          <xdr:colOff>523875</xdr:colOff>
          <xdr:row>17</xdr:row>
          <xdr:rowOff>76200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76200</xdr:rowOff>
        </xdr:from>
        <xdr:to>
          <xdr:col>3</xdr:col>
          <xdr:colOff>161925</xdr:colOff>
          <xdr:row>32</xdr:row>
          <xdr:rowOff>114300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76200</xdr:rowOff>
        </xdr:from>
        <xdr:to>
          <xdr:col>3</xdr:col>
          <xdr:colOff>161925</xdr:colOff>
          <xdr:row>34</xdr:row>
          <xdr:rowOff>114300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76200</xdr:rowOff>
        </xdr:from>
        <xdr:to>
          <xdr:col>3</xdr:col>
          <xdr:colOff>161925</xdr:colOff>
          <xdr:row>36</xdr:row>
          <xdr:rowOff>114300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rgbClr val="19B000"/>
        </a:solidFill>
        <a:ln>
          <a:noFill/>
        </a:ln>
        <a:effectLst>
          <a:glow rad="469900">
            <a:srgbClr val="19B000">
              <a:alpha val="37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</xdr:col>
      <xdr:colOff>257175</xdr:colOff>
      <xdr:row>6</xdr:row>
      <xdr:rowOff>180975</xdr:rowOff>
    </xdr:from>
    <xdr:to>
      <xdr:col>2</xdr:col>
      <xdr:colOff>548640</xdr:colOff>
      <xdr:row>12</xdr:row>
      <xdr:rowOff>43815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23975"/>
          <a:ext cx="1005840" cy="1005840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31</xdr:row>
          <xdr:rowOff>76200</xdr:rowOff>
        </xdr:from>
        <xdr:to>
          <xdr:col>11</xdr:col>
          <xdr:colOff>342900</xdr:colOff>
          <xdr:row>32</xdr:row>
          <xdr:rowOff>114300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31</xdr:row>
          <xdr:rowOff>123825</xdr:rowOff>
        </xdr:from>
        <xdr:to>
          <xdr:col>9</xdr:col>
          <xdr:colOff>676275</xdr:colOff>
          <xdr:row>32</xdr:row>
          <xdr:rowOff>133350</xdr:rowOff>
        </xdr:to>
        <xdr:sp macro="" textlink="">
          <xdr:nvSpPr>
            <xdr:cNvPr id="2061" name="Drop Dow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33</xdr:row>
          <xdr:rowOff>123825</xdr:rowOff>
        </xdr:from>
        <xdr:to>
          <xdr:col>9</xdr:col>
          <xdr:colOff>676275</xdr:colOff>
          <xdr:row>34</xdr:row>
          <xdr:rowOff>133350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35</xdr:row>
          <xdr:rowOff>123825</xdr:rowOff>
        </xdr:from>
        <xdr:to>
          <xdr:col>9</xdr:col>
          <xdr:colOff>676275</xdr:colOff>
          <xdr:row>36</xdr:row>
          <xdr:rowOff>133350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35</xdr:row>
          <xdr:rowOff>76200</xdr:rowOff>
        </xdr:from>
        <xdr:to>
          <xdr:col>11</xdr:col>
          <xdr:colOff>342900</xdr:colOff>
          <xdr:row>36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33</xdr:row>
          <xdr:rowOff>76200</xdr:rowOff>
        </xdr:from>
        <xdr:to>
          <xdr:col>11</xdr:col>
          <xdr:colOff>342900</xdr:colOff>
          <xdr:row>34</xdr:row>
          <xdr:rowOff>114300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85725</xdr:rowOff>
        </xdr:from>
        <xdr:to>
          <xdr:col>3</xdr:col>
          <xdr:colOff>523875</xdr:colOff>
          <xdr:row>15</xdr:row>
          <xdr:rowOff>76200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85725</xdr:rowOff>
        </xdr:from>
        <xdr:to>
          <xdr:col>3</xdr:col>
          <xdr:colOff>523875</xdr:colOff>
          <xdr:row>17</xdr:row>
          <xdr:rowOff>76200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76200</xdr:rowOff>
        </xdr:from>
        <xdr:to>
          <xdr:col>3</xdr:col>
          <xdr:colOff>161925</xdr:colOff>
          <xdr:row>32</xdr:row>
          <xdr:rowOff>114300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76200</xdr:rowOff>
        </xdr:from>
        <xdr:to>
          <xdr:col>3</xdr:col>
          <xdr:colOff>161925</xdr:colOff>
          <xdr:row>34</xdr:row>
          <xdr:rowOff>114300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76200</xdr:rowOff>
        </xdr:from>
        <xdr:to>
          <xdr:col>3</xdr:col>
          <xdr:colOff>161925</xdr:colOff>
          <xdr:row>36</xdr:row>
          <xdr:rowOff>114300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457200">
            <a:schemeClr val="accent4">
              <a:alpha val="38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</xdr:col>
      <xdr:colOff>257175</xdr:colOff>
      <xdr:row>6</xdr:row>
      <xdr:rowOff>171450</xdr:rowOff>
    </xdr:from>
    <xdr:to>
      <xdr:col>2</xdr:col>
      <xdr:colOff>548640</xdr:colOff>
      <xdr:row>12</xdr:row>
      <xdr:rowOff>34290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14450"/>
          <a:ext cx="1005840" cy="1005840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31</xdr:row>
          <xdr:rowOff>76200</xdr:rowOff>
        </xdr:from>
        <xdr:to>
          <xdr:col>11</xdr:col>
          <xdr:colOff>342900</xdr:colOff>
          <xdr:row>32</xdr:row>
          <xdr:rowOff>114300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31</xdr:row>
          <xdr:rowOff>123825</xdr:rowOff>
        </xdr:from>
        <xdr:to>
          <xdr:col>9</xdr:col>
          <xdr:colOff>676275</xdr:colOff>
          <xdr:row>32</xdr:row>
          <xdr:rowOff>133350</xdr:rowOff>
        </xdr:to>
        <xdr:sp macro="" textlink="">
          <xdr:nvSpPr>
            <xdr:cNvPr id="9223" name="Drop Dow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33</xdr:row>
          <xdr:rowOff>123825</xdr:rowOff>
        </xdr:from>
        <xdr:to>
          <xdr:col>9</xdr:col>
          <xdr:colOff>676275</xdr:colOff>
          <xdr:row>34</xdr:row>
          <xdr:rowOff>133350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35</xdr:row>
          <xdr:rowOff>123825</xdr:rowOff>
        </xdr:from>
        <xdr:to>
          <xdr:col>9</xdr:col>
          <xdr:colOff>676275</xdr:colOff>
          <xdr:row>36</xdr:row>
          <xdr:rowOff>133350</xdr:rowOff>
        </xdr:to>
        <xdr:sp macro="" textlink="">
          <xdr:nvSpPr>
            <xdr:cNvPr id="9225" name="Drop Dow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35</xdr:row>
          <xdr:rowOff>76200</xdr:rowOff>
        </xdr:from>
        <xdr:to>
          <xdr:col>11</xdr:col>
          <xdr:colOff>342900</xdr:colOff>
          <xdr:row>36</xdr:row>
          <xdr:rowOff>114300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33</xdr:row>
          <xdr:rowOff>76200</xdr:rowOff>
        </xdr:from>
        <xdr:to>
          <xdr:col>11</xdr:col>
          <xdr:colOff>342900</xdr:colOff>
          <xdr:row>34</xdr:row>
          <xdr:rowOff>114300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85725</xdr:rowOff>
        </xdr:from>
        <xdr:to>
          <xdr:col>3</xdr:col>
          <xdr:colOff>523875</xdr:colOff>
          <xdr:row>15</xdr:row>
          <xdr:rowOff>76200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85725</xdr:rowOff>
        </xdr:from>
        <xdr:to>
          <xdr:col>3</xdr:col>
          <xdr:colOff>523875</xdr:colOff>
          <xdr:row>17</xdr:row>
          <xdr:rowOff>76200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76200</xdr:rowOff>
        </xdr:from>
        <xdr:to>
          <xdr:col>3</xdr:col>
          <xdr:colOff>161925</xdr:colOff>
          <xdr:row>32</xdr:row>
          <xdr:rowOff>114300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76200</xdr:rowOff>
        </xdr:from>
        <xdr:to>
          <xdr:col>3</xdr:col>
          <xdr:colOff>161925</xdr:colOff>
          <xdr:row>34</xdr:row>
          <xdr:rowOff>114300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76200</xdr:rowOff>
        </xdr:from>
        <xdr:to>
          <xdr:col>3</xdr:col>
          <xdr:colOff>161925</xdr:colOff>
          <xdr:row>36</xdr:row>
          <xdr:rowOff>114300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rgbClr val="FF8C0D"/>
        </a:solidFill>
        <a:ln>
          <a:noFill/>
        </a:ln>
        <a:effectLst>
          <a:glow rad="609600">
            <a:schemeClr val="accent2">
              <a:alpha val="37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</xdr:col>
      <xdr:colOff>238125</xdr:colOff>
      <xdr:row>6</xdr:row>
      <xdr:rowOff>171450</xdr:rowOff>
    </xdr:from>
    <xdr:to>
      <xdr:col>2</xdr:col>
      <xdr:colOff>529590</xdr:colOff>
      <xdr:row>12</xdr:row>
      <xdr:rowOff>34290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1314450"/>
          <a:ext cx="1005840" cy="1005840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31</xdr:row>
          <xdr:rowOff>76200</xdr:rowOff>
        </xdr:from>
        <xdr:to>
          <xdr:col>11</xdr:col>
          <xdr:colOff>342900</xdr:colOff>
          <xdr:row>32</xdr:row>
          <xdr:rowOff>114300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35</xdr:row>
          <xdr:rowOff>76200</xdr:rowOff>
        </xdr:from>
        <xdr:to>
          <xdr:col>11</xdr:col>
          <xdr:colOff>342900</xdr:colOff>
          <xdr:row>36</xdr:row>
          <xdr:rowOff>114300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33</xdr:row>
          <xdr:rowOff>76200</xdr:rowOff>
        </xdr:from>
        <xdr:to>
          <xdr:col>11</xdr:col>
          <xdr:colOff>342900</xdr:colOff>
          <xdr:row>34</xdr:row>
          <xdr:rowOff>114300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31</xdr:row>
          <xdr:rowOff>123825</xdr:rowOff>
        </xdr:from>
        <xdr:to>
          <xdr:col>9</xdr:col>
          <xdr:colOff>676275</xdr:colOff>
          <xdr:row>32</xdr:row>
          <xdr:rowOff>133350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33</xdr:row>
          <xdr:rowOff>123825</xdr:rowOff>
        </xdr:from>
        <xdr:to>
          <xdr:col>9</xdr:col>
          <xdr:colOff>676275</xdr:colOff>
          <xdr:row>34</xdr:row>
          <xdr:rowOff>133350</xdr:rowOff>
        </xdr:to>
        <xdr:sp macro="" textlink="">
          <xdr:nvSpPr>
            <xdr:cNvPr id="10253" name="Drop Dow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35</xdr:row>
          <xdr:rowOff>123825</xdr:rowOff>
        </xdr:from>
        <xdr:to>
          <xdr:col>9</xdr:col>
          <xdr:colOff>676275</xdr:colOff>
          <xdr:row>36</xdr:row>
          <xdr:rowOff>133350</xdr:rowOff>
        </xdr:to>
        <xdr:sp macro="" textlink="">
          <xdr:nvSpPr>
            <xdr:cNvPr id="10254" name="Drop Dow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85725</xdr:rowOff>
        </xdr:from>
        <xdr:to>
          <xdr:col>3</xdr:col>
          <xdr:colOff>523875</xdr:colOff>
          <xdr:row>15</xdr:row>
          <xdr:rowOff>76200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85725</xdr:rowOff>
        </xdr:from>
        <xdr:to>
          <xdr:col>3</xdr:col>
          <xdr:colOff>523875</xdr:colOff>
          <xdr:row>17</xdr:row>
          <xdr:rowOff>76200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76200</xdr:rowOff>
        </xdr:from>
        <xdr:to>
          <xdr:col>3</xdr:col>
          <xdr:colOff>161925</xdr:colOff>
          <xdr:row>32</xdr:row>
          <xdr:rowOff>114300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76200</xdr:rowOff>
        </xdr:from>
        <xdr:to>
          <xdr:col>3</xdr:col>
          <xdr:colOff>161925</xdr:colOff>
          <xdr:row>34</xdr:row>
          <xdr:rowOff>114300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76200</xdr:rowOff>
        </xdr:from>
        <xdr:to>
          <xdr:col>3</xdr:col>
          <xdr:colOff>161925</xdr:colOff>
          <xdr:row>36</xdr:row>
          <xdr:rowOff>114300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rgbClr val="0097CC"/>
        </a:solidFill>
        <a:ln>
          <a:noFill/>
        </a:ln>
        <a:effectLst>
          <a:glow rad="571500">
            <a:srgbClr val="0097CC">
              <a:alpha val="35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</xdr:col>
      <xdr:colOff>238125</xdr:colOff>
      <xdr:row>6</xdr:row>
      <xdr:rowOff>171450</xdr:rowOff>
    </xdr:from>
    <xdr:to>
      <xdr:col>2</xdr:col>
      <xdr:colOff>529590</xdr:colOff>
      <xdr:row>12</xdr:row>
      <xdr:rowOff>34290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1314450"/>
          <a:ext cx="1005840" cy="1005840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31</xdr:row>
          <xdr:rowOff>76200</xdr:rowOff>
        </xdr:from>
        <xdr:to>
          <xdr:col>11</xdr:col>
          <xdr:colOff>342900</xdr:colOff>
          <xdr:row>32</xdr:row>
          <xdr:rowOff>114300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35</xdr:row>
          <xdr:rowOff>76200</xdr:rowOff>
        </xdr:from>
        <xdr:to>
          <xdr:col>11</xdr:col>
          <xdr:colOff>342900</xdr:colOff>
          <xdr:row>36</xdr:row>
          <xdr:rowOff>114300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33</xdr:row>
          <xdr:rowOff>76200</xdr:rowOff>
        </xdr:from>
        <xdr:to>
          <xdr:col>11</xdr:col>
          <xdr:colOff>342900</xdr:colOff>
          <xdr:row>34</xdr:row>
          <xdr:rowOff>114300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31</xdr:row>
          <xdr:rowOff>123825</xdr:rowOff>
        </xdr:from>
        <xdr:to>
          <xdr:col>9</xdr:col>
          <xdr:colOff>676275</xdr:colOff>
          <xdr:row>32</xdr:row>
          <xdr:rowOff>133350</xdr:rowOff>
        </xdr:to>
        <xdr:sp macro="" textlink="">
          <xdr:nvSpPr>
            <xdr:cNvPr id="11276" name="Drop Dow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33</xdr:row>
          <xdr:rowOff>123825</xdr:rowOff>
        </xdr:from>
        <xdr:to>
          <xdr:col>9</xdr:col>
          <xdr:colOff>676275</xdr:colOff>
          <xdr:row>34</xdr:row>
          <xdr:rowOff>133350</xdr:rowOff>
        </xdr:to>
        <xdr:sp macro="" textlink="">
          <xdr:nvSpPr>
            <xdr:cNvPr id="11277" name="Drop Dow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7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35</xdr:row>
          <xdr:rowOff>123825</xdr:rowOff>
        </xdr:from>
        <xdr:to>
          <xdr:col>9</xdr:col>
          <xdr:colOff>676275</xdr:colOff>
          <xdr:row>36</xdr:row>
          <xdr:rowOff>133350</xdr:rowOff>
        </xdr:to>
        <xdr:sp macro="" textlink="">
          <xdr:nvSpPr>
            <xdr:cNvPr id="11278" name="Drop Dow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7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85725</xdr:rowOff>
        </xdr:from>
        <xdr:to>
          <xdr:col>3</xdr:col>
          <xdr:colOff>523875</xdr:colOff>
          <xdr:row>15</xdr:row>
          <xdr:rowOff>76200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85725</xdr:rowOff>
        </xdr:from>
        <xdr:to>
          <xdr:col>3</xdr:col>
          <xdr:colOff>523875</xdr:colOff>
          <xdr:row>17</xdr:row>
          <xdr:rowOff>76200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76200</xdr:rowOff>
        </xdr:from>
        <xdr:to>
          <xdr:col>3</xdr:col>
          <xdr:colOff>161925</xdr:colOff>
          <xdr:row>32</xdr:row>
          <xdr:rowOff>114300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76200</xdr:rowOff>
        </xdr:from>
        <xdr:to>
          <xdr:col>3</xdr:col>
          <xdr:colOff>161925</xdr:colOff>
          <xdr:row>34</xdr:row>
          <xdr:rowOff>114300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76200</xdr:rowOff>
        </xdr:from>
        <xdr:to>
          <xdr:col>3</xdr:col>
          <xdr:colOff>161925</xdr:colOff>
          <xdr:row>36</xdr:row>
          <xdr:rowOff>114300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rgbClr val="5418FC"/>
        </a:solidFill>
        <a:ln>
          <a:noFill/>
        </a:ln>
        <a:effectLst>
          <a:glow rad="571500">
            <a:srgbClr val="5418FC">
              <a:alpha val="33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</xdr:col>
      <xdr:colOff>190500</xdr:colOff>
      <xdr:row>6</xdr:row>
      <xdr:rowOff>180975</xdr:rowOff>
    </xdr:from>
    <xdr:to>
      <xdr:col>2</xdr:col>
      <xdr:colOff>481965</xdr:colOff>
      <xdr:row>12</xdr:row>
      <xdr:rowOff>43815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875" y="1323975"/>
          <a:ext cx="1005840" cy="1005840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31</xdr:row>
          <xdr:rowOff>76200</xdr:rowOff>
        </xdr:from>
        <xdr:to>
          <xdr:col>11</xdr:col>
          <xdr:colOff>342900</xdr:colOff>
          <xdr:row>32</xdr:row>
          <xdr:rowOff>114300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31</xdr:row>
          <xdr:rowOff>123825</xdr:rowOff>
        </xdr:from>
        <xdr:to>
          <xdr:col>9</xdr:col>
          <xdr:colOff>676275</xdr:colOff>
          <xdr:row>32</xdr:row>
          <xdr:rowOff>133350</xdr:rowOff>
        </xdr:to>
        <xdr:sp macro="" textlink="">
          <xdr:nvSpPr>
            <xdr:cNvPr id="5127" name="Drop Dow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33</xdr:row>
          <xdr:rowOff>123825</xdr:rowOff>
        </xdr:from>
        <xdr:to>
          <xdr:col>9</xdr:col>
          <xdr:colOff>676275</xdr:colOff>
          <xdr:row>34</xdr:row>
          <xdr:rowOff>133350</xdr:rowOff>
        </xdr:to>
        <xdr:sp macro="" textlink="">
          <xdr:nvSpPr>
            <xdr:cNvPr id="5128" name="Drop Dow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35</xdr:row>
          <xdr:rowOff>123825</xdr:rowOff>
        </xdr:from>
        <xdr:to>
          <xdr:col>9</xdr:col>
          <xdr:colOff>676275</xdr:colOff>
          <xdr:row>36</xdr:row>
          <xdr:rowOff>133350</xdr:rowOff>
        </xdr:to>
        <xdr:sp macro="" textlink="">
          <xdr:nvSpPr>
            <xdr:cNvPr id="5129" name="Drop Dow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35</xdr:row>
          <xdr:rowOff>76200</xdr:rowOff>
        </xdr:from>
        <xdr:to>
          <xdr:col>11</xdr:col>
          <xdr:colOff>342900</xdr:colOff>
          <xdr:row>36</xdr:row>
          <xdr:rowOff>114300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33</xdr:row>
          <xdr:rowOff>76200</xdr:rowOff>
        </xdr:from>
        <xdr:to>
          <xdr:col>11</xdr:col>
          <xdr:colOff>342900</xdr:colOff>
          <xdr:row>34</xdr:row>
          <xdr:rowOff>114300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9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2" name="Retângulo: Cantos Diagonais Recort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3" name="Retângulo: Cantos Diagonais Recort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4" name="Retângulo: Cantos Diagonais Recort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5" name="Retângulo: Cantos Diagonais Recort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6" name="Retângulo: Cantos Diagonais Recort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glow rad="495300">
            <a:schemeClr val="accent2">
              <a:lumMod val="75000"/>
              <a:alpha val="33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5</xdr:col>
      <xdr:colOff>0</xdr:colOff>
      <xdr:row>13</xdr:row>
      <xdr:rowOff>124630</xdr:rowOff>
    </xdr:from>
    <xdr:to>
      <xdr:col>6</xdr:col>
      <xdr:colOff>100892</xdr:colOff>
      <xdr:row>17</xdr:row>
      <xdr:rowOff>174409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0748" y="2643859"/>
          <a:ext cx="813041" cy="79753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</xdr:row>
      <xdr:rowOff>124630</xdr:rowOff>
    </xdr:from>
    <xdr:to>
      <xdr:col>10</xdr:col>
      <xdr:colOff>100892</xdr:colOff>
      <xdr:row>17</xdr:row>
      <xdr:rowOff>174409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9346" y="2643859"/>
          <a:ext cx="813041" cy="7975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124630</xdr:rowOff>
    </xdr:from>
    <xdr:to>
      <xdr:col>2</xdr:col>
      <xdr:colOff>100892</xdr:colOff>
      <xdr:row>17</xdr:row>
      <xdr:rowOff>174409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150" y="2643859"/>
          <a:ext cx="813041" cy="79753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124630</xdr:rowOff>
    </xdr:from>
    <xdr:to>
      <xdr:col>18</xdr:col>
      <xdr:colOff>100891</xdr:colOff>
      <xdr:row>17</xdr:row>
      <xdr:rowOff>174409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6542" y="2643859"/>
          <a:ext cx="813041" cy="797536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124630</xdr:rowOff>
    </xdr:from>
    <xdr:to>
      <xdr:col>14</xdr:col>
      <xdr:colOff>100892</xdr:colOff>
      <xdr:row>17</xdr:row>
      <xdr:rowOff>174409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944" y="2643859"/>
          <a:ext cx="813041" cy="797536"/>
        </a:xfrm>
        <a:prstGeom prst="rect">
          <a:avLst/>
        </a:prstGeom>
      </xdr:spPr>
    </xdr:pic>
    <xdr:clientData/>
  </xdr:twoCellAnchor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15" name="Retângulo: Cantos Diagonais Recort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9</xdr:row>
          <xdr:rowOff>219075</xdr:rowOff>
        </xdr:from>
        <xdr:to>
          <xdr:col>6</xdr:col>
          <xdr:colOff>257175</xdr:colOff>
          <xdr:row>11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C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1428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13" name="Retângulo: Cantos Diagonais Recort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2857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14" name="Retângulo: Cantos Diagonais Recortado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2862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15" name="Retângulo: Cantos Diagonais Recortados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7150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16" name="Retângulo: Cantos Diagonais Recortados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714375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17" name="Retângulo: Cantos Diagonais Recort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8572500" y="0"/>
          <a:ext cx="1409699" cy="28575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18" name="Retângulo: Cantos Diagonais Recort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10001250" y="0"/>
          <a:ext cx="2143125" cy="285750"/>
        </a:xfrm>
        <a:prstGeom prst="snip2DiagRect">
          <a:avLst/>
        </a:prstGeom>
        <a:solidFill>
          <a:srgbClr val="760000"/>
        </a:solidFill>
        <a:ln>
          <a:noFill/>
        </a:ln>
        <a:effectLst>
          <a:glow rad="355600">
            <a:srgbClr val="C00000">
              <a:alpha val="38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 editAs="oneCell">
    <xdr:from>
      <xdr:col>18</xdr:col>
      <xdr:colOff>248318</xdr:colOff>
      <xdr:row>4</xdr:row>
      <xdr:rowOff>174744</xdr:rowOff>
    </xdr:from>
    <xdr:to>
      <xdr:col>20</xdr:col>
      <xdr:colOff>48292</xdr:colOff>
      <xdr:row>9</xdr:row>
      <xdr:rowOff>90094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67010" y="922501"/>
          <a:ext cx="1224274" cy="107259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17</xdr:col>
      <xdr:colOff>522318</xdr:colOff>
      <xdr:row>10</xdr:row>
      <xdr:rowOff>165218</xdr:rowOff>
    </xdr:from>
    <xdr:to>
      <xdr:col>20</xdr:col>
      <xdr:colOff>486443</xdr:colOff>
      <xdr:row>12</xdr:row>
      <xdr:rowOff>54657</xdr:rowOff>
    </xdr:to>
    <xdr:sp macro="[0]!lsLigarTelaCheia" textlink="">
      <xdr:nvSpPr>
        <xdr:cNvPr id="20" name="Retângulo: Cantos Diagonais Recortados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12628860" y="2301667"/>
          <a:ext cx="2100574" cy="405747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Tela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Cheia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522318</xdr:colOff>
      <xdr:row>13</xdr:row>
      <xdr:rowOff>35608</xdr:rowOff>
    </xdr:from>
    <xdr:to>
      <xdr:col>20</xdr:col>
      <xdr:colOff>486443</xdr:colOff>
      <xdr:row>14</xdr:row>
      <xdr:rowOff>168958</xdr:rowOff>
    </xdr:to>
    <xdr:sp macro="[0]!lsDesligarTelaCheia" textlink="">
      <xdr:nvSpPr>
        <xdr:cNvPr id="21" name="Retângulo: Cantos Diagonais Recortados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12628860" y="2919814"/>
          <a:ext cx="2100574" cy="364798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Desligar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Tela Cheia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47625</xdr:rowOff>
        </xdr:from>
        <xdr:to>
          <xdr:col>6</xdr:col>
          <xdr:colOff>638175</xdr:colOff>
          <xdr:row>11</xdr:row>
          <xdr:rowOff>238125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C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17804</xdr:colOff>
      <xdr:row>0</xdr:row>
      <xdr:rowOff>0</xdr:rowOff>
    </xdr:from>
    <xdr:to>
      <xdr:col>19</xdr:col>
      <xdr:colOff>979</xdr:colOff>
      <xdr:row>1</xdr:row>
      <xdr:rowOff>95250</xdr:rowOff>
    </xdr:to>
    <xdr:sp macro="" textlink="">
      <xdr:nvSpPr>
        <xdr:cNvPr id="26" name="Retângulo: Cantos Diagonais Recortados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xdr:twoCellAnchor>
    <xdr:from>
      <xdr:col>4</xdr:col>
      <xdr:colOff>525212</xdr:colOff>
      <xdr:row>17</xdr:row>
      <xdr:rowOff>89020</xdr:rowOff>
    </xdr:from>
    <xdr:to>
      <xdr:col>6</xdr:col>
      <xdr:colOff>124583</xdr:colOff>
      <xdr:row>18</xdr:row>
      <xdr:rowOff>137090</xdr:rowOff>
    </xdr:to>
    <xdr:sp macro="[0]!PCAPI" textlink="">
      <xdr:nvSpPr>
        <xdr:cNvPr id="27" name="Retângulo: Cantos Diagonais Recortados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3373810" y="3943529"/>
          <a:ext cx="1023670" cy="279519"/>
        </a:xfrm>
        <a:prstGeom prst="snip2Diag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  <xdr:twoCellAnchor>
    <xdr:from>
      <xdr:col>4</xdr:col>
      <xdr:colOff>525212</xdr:colOff>
      <xdr:row>19</xdr:row>
      <xdr:rowOff>89020</xdr:rowOff>
    </xdr:from>
    <xdr:to>
      <xdr:col>6</xdr:col>
      <xdr:colOff>124583</xdr:colOff>
      <xdr:row>20</xdr:row>
      <xdr:rowOff>139529</xdr:rowOff>
    </xdr:to>
    <xdr:sp macro="[0]!FTAPI" textlink="">
      <xdr:nvSpPr>
        <xdr:cNvPr id="28" name="Retângulo: Cantos Diagonais Recortados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3373810" y="4406427"/>
          <a:ext cx="1023670" cy="281957"/>
        </a:xfrm>
        <a:prstGeom prst="snip2DiagRect">
          <a:avLst/>
        </a:prstGeom>
        <a:solidFill>
          <a:schemeClr val="accent4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ATUALIZAR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525212</xdr:colOff>
      <xdr:row>21</xdr:row>
      <xdr:rowOff>89020</xdr:rowOff>
    </xdr:from>
    <xdr:to>
      <xdr:col>6</xdr:col>
      <xdr:colOff>124583</xdr:colOff>
      <xdr:row>22</xdr:row>
      <xdr:rowOff>137091</xdr:rowOff>
    </xdr:to>
    <xdr:sp macro="[0]!MBAPI" textlink="">
      <xdr:nvSpPr>
        <xdr:cNvPr id="29" name="Retângulo: Cantos Diagonais Recortados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3373810" y="4869324"/>
          <a:ext cx="1023670" cy="279519"/>
        </a:xfrm>
        <a:prstGeom prst="snip2DiagRect">
          <a:avLst/>
        </a:prstGeom>
        <a:solidFill>
          <a:schemeClr val="accent2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</a:t>
          </a:r>
          <a:endParaRPr lang="pt-BR" sz="1100" b="1"/>
        </a:p>
      </xdr:txBody>
    </xdr:sp>
    <xdr:clientData/>
  </xdr:twoCellAnchor>
  <xdr:twoCellAnchor>
    <xdr:from>
      <xdr:col>4</xdr:col>
      <xdr:colOff>525212</xdr:colOff>
      <xdr:row>23</xdr:row>
      <xdr:rowOff>89020</xdr:rowOff>
    </xdr:from>
    <xdr:to>
      <xdr:col>6</xdr:col>
      <xdr:colOff>124583</xdr:colOff>
      <xdr:row>24</xdr:row>
      <xdr:rowOff>137090</xdr:rowOff>
    </xdr:to>
    <xdr:sp macro="[0]!MTAPI" textlink="">
      <xdr:nvSpPr>
        <xdr:cNvPr id="30" name="Retângulo: Cantos Diagonais Recortados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3373810" y="5332221"/>
          <a:ext cx="1023670" cy="279519"/>
        </a:xfrm>
        <a:prstGeom prst="snip2DiagRect">
          <a:avLst/>
        </a:prstGeom>
        <a:solidFill>
          <a:srgbClr val="0097CC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</a:t>
          </a:r>
          <a:endParaRPr lang="pt-BR" sz="1100" b="1"/>
        </a:p>
      </xdr:txBody>
    </xdr:sp>
    <xdr:clientData/>
  </xdr:twoCellAnchor>
  <xdr:twoCellAnchor>
    <xdr:from>
      <xdr:col>4</xdr:col>
      <xdr:colOff>525212</xdr:colOff>
      <xdr:row>25</xdr:row>
      <xdr:rowOff>89020</xdr:rowOff>
    </xdr:from>
    <xdr:to>
      <xdr:col>6</xdr:col>
      <xdr:colOff>124583</xdr:colOff>
      <xdr:row>26</xdr:row>
      <xdr:rowOff>137090</xdr:rowOff>
    </xdr:to>
    <xdr:sp macro="[0]!MTAPI" textlink="">
      <xdr:nvSpPr>
        <xdr:cNvPr id="31" name="Retângulo: Cantos Diagonais Recortados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3373810" y="5795118"/>
          <a:ext cx="1023670" cy="279519"/>
        </a:xfrm>
        <a:prstGeom prst="snip2DiagRect">
          <a:avLst/>
        </a:prstGeom>
        <a:solidFill>
          <a:srgbClr val="7030A0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</a:t>
          </a:r>
          <a:endParaRPr lang="pt-B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12</xdr:row>
          <xdr:rowOff>47625</xdr:rowOff>
        </xdr:from>
        <xdr:to>
          <xdr:col>6</xdr:col>
          <xdr:colOff>638175</xdr:colOff>
          <xdr:row>12</xdr:row>
          <xdr:rowOff>238125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C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0</xdr:row>
      <xdr:rowOff>161925</xdr:rowOff>
    </xdr:from>
    <xdr:to>
      <xdr:col>16</xdr:col>
      <xdr:colOff>533400</xdr:colOff>
      <xdr:row>4</xdr:row>
      <xdr:rowOff>95250</xdr:rowOff>
    </xdr:to>
    <xdr:sp macro="[0]!WebScrapingTwoURLsQQQ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29550" y="161925"/>
          <a:ext cx="0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21" name="Retângulo: Cantos Diagonais Recortado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22" name="Retângulo: Cantos Diagonais Recortado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1424299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95250</xdr:rowOff>
    </xdr:to>
    <xdr:sp macro="" textlink="">
      <xdr:nvSpPr>
        <xdr:cNvPr id="23" name="Retângulo: Cantos Diagonais Recortado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2848598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95250</xdr:rowOff>
    </xdr:to>
    <xdr:sp macro="" textlink="">
      <xdr:nvSpPr>
        <xdr:cNvPr id="24" name="Retângulo: Cantos Diagonais Recortado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4272897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695324</xdr:colOff>
      <xdr:row>1</xdr:row>
      <xdr:rowOff>95250</xdr:rowOff>
    </xdr:to>
    <xdr:sp macro="" textlink="">
      <xdr:nvSpPr>
        <xdr:cNvPr id="25" name="Retângulo: Cantos Diagonais Recortado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569719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695324</xdr:colOff>
      <xdr:row>1</xdr:row>
      <xdr:rowOff>95250</xdr:rowOff>
    </xdr:to>
    <xdr:sp macro="" textlink="">
      <xdr:nvSpPr>
        <xdr:cNvPr id="26" name="Retângulo: Cantos Diagonais Recortado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7121495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13</xdr:col>
      <xdr:colOff>695324</xdr:colOff>
      <xdr:row>1</xdr:row>
      <xdr:rowOff>95250</xdr:rowOff>
    </xdr:to>
    <xdr:sp macro="" textlink="">
      <xdr:nvSpPr>
        <xdr:cNvPr id="27" name="Retângulo: Cantos Diagonais Recortado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8545794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0</xdr:colOff>
      <xdr:row>1</xdr:row>
      <xdr:rowOff>95250</xdr:rowOff>
    </xdr:to>
    <xdr:sp macro="" textlink="">
      <xdr:nvSpPr>
        <xdr:cNvPr id="28" name="Retângulo: Cantos Diagonais Recortado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9970093" y="0"/>
          <a:ext cx="2136449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>
    <xdr:from>
      <xdr:col>17</xdr:col>
      <xdr:colOff>17804</xdr:colOff>
      <xdr:row>0</xdr:row>
      <xdr:rowOff>0</xdr:rowOff>
    </xdr:from>
    <xdr:to>
      <xdr:col>18</xdr:col>
      <xdr:colOff>704227</xdr:colOff>
      <xdr:row>1</xdr:row>
      <xdr:rowOff>95250</xdr:rowOff>
    </xdr:to>
    <xdr:sp macro="" textlink="">
      <xdr:nvSpPr>
        <xdr:cNvPr id="29" name="Retângulo: Cantos Diagonais Recortado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rgbClr val="7030A0"/>
        </a:solidFill>
        <a:ln>
          <a:noFill/>
        </a:ln>
        <a:effectLst>
          <a:glow rad="228600">
            <a:srgbClr val="7030A0">
              <a:alpha val="35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142875</xdr:rowOff>
        </xdr:from>
        <xdr:to>
          <xdr:col>3</xdr:col>
          <xdr:colOff>676275</xdr:colOff>
          <xdr:row>8</xdr:row>
          <xdr:rowOff>114300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1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142875</xdr:rowOff>
        </xdr:from>
        <xdr:to>
          <xdr:col>3</xdr:col>
          <xdr:colOff>676275</xdr:colOff>
          <xdr:row>10</xdr:row>
          <xdr:rowOff>114300</xdr:rowOff>
        </xdr:to>
        <xdr:sp macro="" textlink="">
          <xdr:nvSpPr>
            <xdr:cNvPr id="26629" name="Drop Dow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2</xdr:col>
      <xdr:colOff>97921</xdr:colOff>
      <xdr:row>3</xdr:row>
      <xdr:rowOff>216000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0" y="560818"/>
          <a:ext cx="1522220" cy="216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HISTÓRICO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489603</xdr:colOff>
      <xdr:row>3</xdr:row>
      <xdr:rowOff>216000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2136449" y="560818"/>
          <a:ext cx="1201752" cy="216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7</xdr:row>
          <xdr:rowOff>123825</xdr:rowOff>
        </xdr:from>
        <xdr:to>
          <xdr:col>3</xdr:col>
          <xdr:colOff>571500</xdr:colOff>
          <xdr:row>8</xdr:row>
          <xdr:rowOff>133350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9</xdr:row>
          <xdr:rowOff>123825</xdr:rowOff>
        </xdr:from>
        <xdr:to>
          <xdr:col>3</xdr:col>
          <xdr:colOff>571500</xdr:colOff>
          <xdr:row>10</xdr:row>
          <xdr:rowOff>95250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95250</xdr:rowOff>
    </xdr:to>
    <xdr:sp macro="" textlink="">
      <xdr:nvSpPr>
        <xdr:cNvPr id="4" name="Retângulo: Cantos Diagonais Recort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0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95250</xdr:rowOff>
    </xdr:to>
    <xdr:sp macro="" textlink="">
      <xdr:nvSpPr>
        <xdr:cNvPr id="5" name="Retângulo: Cantos Diagonais Recort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424299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PELEGOS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6</xdr:col>
      <xdr:colOff>561796</xdr:colOff>
      <xdr:row>1</xdr:row>
      <xdr:rowOff>95250</xdr:rowOff>
    </xdr:to>
    <xdr:sp macro="" textlink="">
      <xdr:nvSpPr>
        <xdr:cNvPr id="6" name="Retângulo: Cantos Diagonais Recort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2848598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FIBRAS</a:t>
          </a:r>
        </a:p>
      </xdr:txBody>
    </xdr:sp>
    <xdr:clientData/>
  </xdr:twoCellAnchor>
  <xdr:twoCellAnchor>
    <xdr:from>
      <xdr:col>6</xdr:col>
      <xdr:colOff>578621</xdr:colOff>
      <xdr:row>0</xdr:row>
      <xdr:rowOff>0</xdr:rowOff>
    </xdr:from>
    <xdr:to>
      <xdr:col>8</xdr:col>
      <xdr:colOff>365955</xdr:colOff>
      <xdr:row>1</xdr:row>
      <xdr:rowOff>95250</xdr:rowOff>
    </xdr:to>
    <xdr:sp macro="" textlink="">
      <xdr:nvSpPr>
        <xdr:cNvPr id="7" name="Retângulo: Cantos Diagonais Recort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272897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MINÉRIOS</a:t>
          </a:r>
        </a:p>
      </xdr:txBody>
    </xdr:sp>
    <xdr:clientData/>
  </xdr:twoCellAnchor>
  <xdr:twoCellAnchor>
    <xdr:from>
      <xdr:col>8</xdr:col>
      <xdr:colOff>382780</xdr:colOff>
      <xdr:row>0</xdr:row>
      <xdr:rowOff>0</xdr:rowOff>
    </xdr:from>
    <xdr:to>
      <xdr:col>10</xdr:col>
      <xdr:colOff>170114</xdr:colOff>
      <xdr:row>1</xdr:row>
      <xdr:rowOff>95250</xdr:rowOff>
    </xdr:to>
    <xdr:sp macro="" textlink="">
      <xdr:nvSpPr>
        <xdr:cNvPr id="8" name="Retângulo: Cantos Diagonais Recort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5697196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MADEIRAS</a:t>
          </a:r>
        </a:p>
      </xdr:txBody>
    </xdr:sp>
    <xdr:clientData/>
  </xdr:twoCellAnchor>
  <xdr:twoCellAnchor>
    <xdr:from>
      <xdr:col>10</xdr:col>
      <xdr:colOff>186939</xdr:colOff>
      <xdr:row>0</xdr:row>
      <xdr:rowOff>0</xdr:rowOff>
    </xdr:from>
    <xdr:to>
      <xdr:col>12</xdr:col>
      <xdr:colOff>63291</xdr:colOff>
      <xdr:row>1</xdr:row>
      <xdr:rowOff>95250</xdr:rowOff>
    </xdr:to>
    <xdr:sp macro="" textlink="">
      <xdr:nvSpPr>
        <xdr:cNvPr id="9" name="Retângulo: Cantos Diagonais Recort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7121495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ROCHAS</a:t>
          </a:r>
        </a:p>
      </xdr:txBody>
    </xdr:sp>
    <xdr:clientData/>
  </xdr:twoCellAnchor>
  <xdr:twoCellAnchor>
    <xdr:from>
      <xdr:col>12</xdr:col>
      <xdr:colOff>80116</xdr:colOff>
      <xdr:row>0</xdr:row>
      <xdr:rowOff>0</xdr:rowOff>
    </xdr:from>
    <xdr:to>
      <xdr:col>14</xdr:col>
      <xdr:colOff>63291</xdr:colOff>
      <xdr:row>1</xdr:row>
      <xdr:rowOff>95250</xdr:rowOff>
    </xdr:to>
    <xdr:sp macro="" textlink="">
      <xdr:nvSpPr>
        <xdr:cNvPr id="10" name="Retângulo: Cantos Diagonais Recort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8545794" y="0"/>
          <a:ext cx="1407474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ESPEC</a:t>
          </a:r>
        </a:p>
      </xdr:txBody>
    </xdr:sp>
    <xdr:clientData/>
  </xdr:twoCellAnchor>
  <xdr:twoCellAnchor>
    <xdr:from>
      <xdr:col>14</xdr:col>
      <xdr:colOff>80116</xdr:colOff>
      <xdr:row>0</xdr:row>
      <xdr:rowOff>0</xdr:rowOff>
    </xdr:from>
    <xdr:to>
      <xdr:col>17</xdr:col>
      <xdr:colOff>133528</xdr:colOff>
      <xdr:row>1</xdr:row>
      <xdr:rowOff>95250</xdr:rowOff>
    </xdr:to>
    <xdr:sp macro="" textlink="">
      <xdr:nvSpPr>
        <xdr:cNvPr id="11" name="Retângulo: Cantos Diagonais Recortado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9970093" y="0"/>
          <a:ext cx="2136449" cy="28218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CONFIGURAÇÕES</a:t>
          </a:r>
        </a:p>
      </xdr:txBody>
    </xdr:sp>
    <xdr:clientData/>
  </xdr:twoCellAnchor>
  <xdr:twoCellAnchor>
    <xdr:from>
      <xdr:col>17</xdr:col>
      <xdr:colOff>151332</xdr:colOff>
      <xdr:row>0</xdr:row>
      <xdr:rowOff>0</xdr:rowOff>
    </xdr:from>
    <xdr:to>
      <xdr:col>18</xdr:col>
      <xdr:colOff>793245</xdr:colOff>
      <xdr:row>1</xdr:row>
      <xdr:rowOff>95250</xdr:rowOff>
    </xdr:to>
    <xdr:sp macro="" textlink="">
      <xdr:nvSpPr>
        <xdr:cNvPr id="12" name="Retângulo: Cantos Diagonais Recortado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2124346" y="0"/>
          <a:ext cx="1407474" cy="282189"/>
        </a:xfrm>
        <a:prstGeom prst="snip2DiagRect">
          <a:avLst/>
        </a:prstGeom>
        <a:solidFill>
          <a:srgbClr val="7030A0"/>
        </a:solidFill>
        <a:ln>
          <a:noFill/>
        </a:ln>
        <a:effectLst>
          <a:glow rad="228600">
            <a:srgbClr val="7030A0">
              <a:alpha val="35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  <xdr:twoCellAnchor>
    <xdr:from>
      <xdr:col>1</xdr:col>
      <xdr:colOff>183022</xdr:colOff>
      <xdr:row>13</xdr:row>
      <xdr:rowOff>116789</xdr:rowOff>
    </xdr:from>
    <xdr:to>
      <xdr:col>2</xdr:col>
      <xdr:colOff>494543</xdr:colOff>
      <xdr:row>14</xdr:row>
      <xdr:rowOff>155958</xdr:rowOff>
    </xdr:to>
    <xdr:sp macro="[0]!limpardados" textlink="">
      <xdr:nvSpPr>
        <xdr:cNvPr id="17" name="Retângulo: Cantos Diagonais Recortados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895172" y="2778448"/>
          <a:ext cx="1023670" cy="279519"/>
        </a:xfrm>
        <a:prstGeom prst="snip2DiagRect">
          <a:avLst/>
        </a:prstGeom>
        <a:solidFill>
          <a:srgbClr val="0070C0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BR" sz="1100" b="1"/>
        </a:p>
      </xdr:txBody>
    </xdr:sp>
    <xdr:clientData/>
  </xdr:twoCellAnchor>
  <xdr:twoCellAnchor>
    <xdr:from>
      <xdr:col>1</xdr:col>
      <xdr:colOff>186942</xdr:colOff>
      <xdr:row>11</xdr:row>
      <xdr:rowOff>178036</xdr:rowOff>
    </xdr:from>
    <xdr:to>
      <xdr:col>2</xdr:col>
      <xdr:colOff>498463</xdr:colOff>
      <xdr:row>12</xdr:row>
      <xdr:rowOff>217205</xdr:rowOff>
    </xdr:to>
    <xdr:sp macro="[0]!WebScraping" textlink="">
      <xdr:nvSpPr>
        <xdr:cNvPr id="18" name="Retângulo: Cantos Diagonais Recortados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/>
      </xdr:nvSpPr>
      <xdr:spPr>
        <a:xfrm>
          <a:off x="899092" y="2358994"/>
          <a:ext cx="1023670" cy="279519"/>
        </a:xfrm>
        <a:prstGeom prst="snip2DiagRect">
          <a:avLst/>
        </a:prstGeom>
        <a:solidFill>
          <a:schemeClr val="accent6"/>
        </a:solidFill>
        <a:ln>
          <a:noFill/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ATUALIZAR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2</xdr:col>
      <xdr:colOff>97921</xdr:colOff>
      <xdr:row>3</xdr:row>
      <xdr:rowOff>216000</xdr:rowOff>
    </xdr:to>
    <xdr:sp macro="" textlink="">
      <xdr:nvSpPr>
        <xdr:cNvPr id="19" name="Retângulo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0" y="560818"/>
          <a:ext cx="1522220" cy="216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HISTÓRICO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5</xdr:col>
      <xdr:colOff>106822</xdr:colOff>
      <xdr:row>3</xdr:row>
      <xdr:rowOff>216000</xdr:rowOff>
    </xdr:to>
    <xdr:sp macro="" textlink="">
      <xdr:nvSpPr>
        <xdr:cNvPr id="20" name="Retângulo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2136449" y="560818"/>
          <a:ext cx="1201752" cy="216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6500-9152-477B-80EF-B1DCA41FB3A8}">
  <sheetPr codeName="Planilha1">
    <tabColor theme="4" tint="-0.249977111117893"/>
  </sheetPr>
  <dimension ref="A1:Z51"/>
  <sheetViews>
    <sheetView showGridLines="0" showRowColHeaders="0" showZeros="0" zoomScale="107" zoomScaleNormal="107" workbookViewId="0">
      <selection activeCell="E6" sqref="E6"/>
    </sheetView>
  </sheetViews>
  <sheetFormatPr defaultColWidth="0" defaultRowHeight="15" zeroHeight="1" x14ac:dyDescent="0.25"/>
  <cols>
    <col min="1" max="24" width="10.7109375" customWidth="1"/>
    <col min="25" max="26" width="10.7109375" hidden="1" customWidth="1"/>
    <col min="27" max="16384" width="9.140625" hidden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/>
    <row r="6" spans="1:26" x14ac:dyDescent="0.25"/>
    <row r="7" spans="1:26" x14ac:dyDescent="0.25"/>
    <row r="8" spans="1:26" x14ac:dyDescent="0.25"/>
    <row r="9" spans="1:26" x14ac:dyDescent="0.25"/>
    <row r="10" spans="1:26" x14ac:dyDescent="0.25"/>
    <row r="11" spans="1:26" x14ac:dyDescent="0.25"/>
    <row r="12" spans="1:26" x14ac:dyDescent="0.25"/>
    <row r="13" spans="1:26" x14ac:dyDescent="0.25"/>
    <row r="14" spans="1:26" x14ac:dyDescent="0.25"/>
    <row r="15" spans="1:26" x14ac:dyDescent="0.25"/>
    <row r="16" spans="1:2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</sheetData>
  <sheetProtection algorithmName="SHA-512" hashValue="gFAIfHCS/pJ5gYueVuZvwpckwZBG43LWTgFpPU4qU9omhEJB6YQ+pZ8fdfG07vJ7BOQTHeu6ftJzF/t7dtSpCQ==" saltValue="eigSQcK2hezqAzwnQSVoQ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4F755-A434-4786-A3CE-8466B6D861B3}">
  <sheetPr codeName="Planilha2">
    <tabColor theme="9" tint="-0.249977111117893"/>
  </sheetPr>
  <dimension ref="A1:AA69"/>
  <sheetViews>
    <sheetView showGridLines="0" showRowColHeaders="0" showZeros="0" tabSelected="1" zoomScale="107" zoomScaleNormal="107" workbookViewId="0">
      <selection activeCell="C15" sqref="C15:D16"/>
    </sheetView>
  </sheetViews>
  <sheetFormatPr defaultColWidth="0" defaultRowHeight="15" customHeight="1" zeroHeight="1" x14ac:dyDescent="0.2"/>
  <cols>
    <col min="1" max="24" width="10.7109375" style="25" customWidth="1"/>
    <col min="25" max="16384" width="10.7109375" style="25" hidden="1"/>
  </cols>
  <sheetData>
    <row r="1" spans="1:24" s="45" customFormat="1" ht="15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47"/>
      <c r="T1" s="47"/>
      <c r="U1" s="47" t="s">
        <v>38</v>
      </c>
      <c r="V1" s="47">
        <f>IF(C15=1, 2, IF(C15=2, 2, IF(C15=3, 3, IF(C15=4, 4, IF(C15=5, 5, 5)))))</f>
        <v>2</v>
      </c>
      <c r="W1" s="47" t="s">
        <v>41</v>
      </c>
      <c r="X1" s="47" cm="1">
        <f t="array" ref="X1">INDEX(espec!D21:D26,C15,1)</f>
        <v>0</v>
      </c>
    </row>
    <row r="2" spans="1:24" s="45" customFormat="1" ht="15" customHeight="1" x14ac:dyDescent="0.25">
      <c r="A2" s="61" t="str">
        <f>IF(A4=0,"Sem Dados",_xlfn.CONCAT(RIGHT(LEFT(A4,10),2),"/",LEFT(RIGHT(LEFT(A4,10),5),2),"/",LEFT(LEFT(A4,10),4)))</f>
        <v>Sem Dados</v>
      </c>
      <c r="B2" s="61" t="str">
        <f>IF(B4=0,"Sem Dados",_xlfn.CONCAT(RIGHT(LEFT(B4,10),2),"/",LEFT(RIGHT(LEFT(B4,10),5),2),"/",LEFT(LEFT(B4,10),4)))</f>
        <v>25/12/2024</v>
      </c>
      <c r="C2" s="61" t="str">
        <f>IF(C4=0,"Sem Dados",_xlfn.CONCAT(RIGHT(LEFT(C4,10),2),"/",LEFT(RIGHT(LEFT(C4,10),5),2),"/",LEFT(LEFT(C4,10),4)))</f>
        <v>Sem Dados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47" t="s">
        <v>90</v>
      </c>
      <c r="T2" s="48" cm="1">
        <f t="array" ref="T2">(INDEX(valoresAlbion!B23:F28,C15,C17))/(POWER(2,X1))</f>
        <v>31</v>
      </c>
      <c r="U2" s="47" t="s">
        <v>39</v>
      </c>
      <c r="V2" s="47">
        <v>1</v>
      </c>
      <c r="W2" s="47" t="s">
        <v>40</v>
      </c>
      <c r="X2" s="47">
        <f>C15+C17+1</f>
        <v>3</v>
      </c>
    </row>
    <row r="3" spans="1:24" s="45" customFormat="1" ht="15" customHeight="1" x14ac:dyDescent="0.25">
      <c r="A3" s="61" t="str">
        <f>IF(A4=0,"Sem Dados",RIGHT(A4,8))</f>
        <v>Sem Dados</v>
      </c>
      <c r="B3" s="61" t="str">
        <f>IF(B4=0,"Sem Dados",RIGHT(B4,8))</f>
        <v>15:45:00</v>
      </c>
      <c r="C3" s="61" t="str">
        <f>IF(C4=0,"Sem Dados",RIGHT(C4,8))</f>
        <v>Sem Dados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149"/>
      <c r="R3" s="149"/>
      <c r="S3" s="47" t="s">
        <v>89</v>
      </c>
      <c r="T3" s="48" cm="1">
        <f t="array" ref="T3">INDEX(valoresAlbion!B6:G10,C17,C15)</f>
        <v>8</v>
      </c>
      <c r="U3" s="47" t="s">
        <v>37</v>
      </c>
      <c r="V3" s="49">
        <f>1-C27</f>
        <v>1</v>
      </c>
      <c r="W3" s="47" t="s">
        <v>47</v>
      </c>
      <c r="X3" s="47">
        <f>IFERROR(C19*O4,0)</f>
        <v>0</v>
      </c>
    </row>
    <row r="4" spans="1:24" s="63" customFormat="1" ht="18" customHeight="1" x14ac:dyDescent="0.25">
      <c r="A4" s="64">
        <f>VLOOKUP(W4,Ordem1!A3:E29,IF(C32=TRUE,5,3))</f>
        <v>0</v>
      </c>
      <c r="B4" s="64" t="str">
        <f>IFERROR(VLOOKUP(X4,Ordem1!J3:N29,IF(C34=TRUE,5,3)),0)</f>
        <v>2024-12-25T15:45:00</v>
      </c>
      <c r="C4" s="64">
        <f>VLOOKUP(W4,Ordem1!S3:W29,IF(C36=TRUE,3,5))</f>
        <v>0</v>
      </c>
      <c r="D4" s="62"/>
      <c r="E4" s="62"/>
      <c r="F4" s="62"/>
      <c r="G4" s="62" t="s">
        <v>689</v>
      </c>
      <c r="H4" s="62" t="str">
        <f>CHOOSE(C17,"",".1",".2",".3",".4")</f>
        <v/>
      </c>
      <c r="I4" s="62" t="s">
        <v>682</v>
      </c>
      <c r="J4" s="62" t="str">
        <f>CHOOSE(C15,"T2","T3","T4","T5","T6","T7")</f>
        <v>T2</v>
      </c>
      <c r="K4" s="62" t="s">
        <v>683</v>
      </c>
      <c r="L4" s="62" t="str">
        <f>CHOOSE(C15,"T3","T4","T5","T6","T7","T8")</f>
        <v>T3</v>
      </c>
      <c r="M4" s="62"/>
      <c r="N4" s="62" t="s">
        <v>395</v>
      </c>
      <c r="O4" s="62">
        <f>IF(K36=TRUE,M36,S15)</f>
        <v>0</v>
      </c>
      <c r="Q4" s="62" t="s">
        <v>393</v>
      </c>
      <c r="R4" s="62">
        <f>IF(K32=TRUE,M32,C21)</f>
        <v>0</v>
      </c>
      <c r="T4" s="62" t="s">
        <v>394</v>
      </c>
      <c r="U4" s="62">
        <f>IF(K34=TRUE,M34,C23)</f>
        <v>0</v>
      </c>
      <c r="W4" s="60" t="str">
        <f>_xlfn.CONCAT("T",C15+2,CHOOSE(C17,"",".1",".2",".3",".4"))</f>
        <v>T3</v>
      </c>
      <c r="X4" s="60" t="str">
        <f>IF(C15=2,"T3",_xlfn.CONCAT("T",C15+1,CHOOSE(C17,"",".1",".2",".3",".4")))</f>
        <v>T2</v>
      </c>
    </row>
    <row r="5" spans="1:24" s="26" customFormat="1" ht="15" customHeight="1" x14ac:dyDescent="0.25"/>
    <row r="6" spans="1:24" s="26" customFormat="1" ht="15" customHeight="1" x14ac:dyDescent="0.25">
      <c r="A6" s="159" t="s">
        <v>67</v>
      </c>
      <c r="B6" s="160"/>
      <c r="C6" s="160"/>
      <c r="D6" s="160"/>
      <c r="H6" s="150"/>
    </row>
    <row r="7" spans="1:24" s="26" customFormat="1" ht="15" customHeight="1" x14ac:dyDescent="0.25">
      <c r="A7" s="160"/>
      <c r="B7" s="160"/>
      <c r="C7" s="160"/>
      <c r="D7" s="160"/>
    </row>
    <row r="8" spans="1:24" s="26" customFormat="1" ht="15" customHeight="1" x14ac:dyDescent="0.25">
      <c r="A8" s="173"/>
      <c r="B8" s="174"/>
      <c r="C8" s="174"/>
      <c r="D8" s="175"/>
    </row>
    <row r="9" spans="1:24" s="26" customFormat="1" ht="15" customHeight="1" x14ac:dyDescent="0.25">
      <c r="A9" s="176"/>
      <c r="B9" s="177"/>
      <c r="C9" s="177"/>
      <c r="D9" s="178"/>
    </row>
    <row r="10" spans="1:24" s="26" customFormat="1" ht="15" customHeight="1" x14ac:dyDescent="0.25">
      <c r="A10" s="176"/>
      <c r="B10" s="177"/>
      <c r="C10" s="177"/>
      <c r="D10" s="178"/>
    </row>
    <row r="11" spans="1:24" ht="15" customHeight="1" x14ac:dyDescent="0.2">
      <c r="A11" s="176"/>
      <c r="B11" s="177"/>
      <c r="C11" s="177"/>
      <c r="D11" s="178"/>
    </row>
    <row r="12" spans="1:24" ht="15" customHeight="1" x14ac:dyDescent="0.2">
      <c r="A12" s="179"/>
      <c r="B12" s="180"/>
      <c r="C12" s="180"/>
      <c r="D12" s="181"/>
    </row>
    <row r="13" spans="1:24" ht="15" customHeight="1" x14ac:dyDescent="0.2">
      <c r="A13" s="159" t="s">
        <v>0</v>
      </c>
      <c r="B13" s="160"/>
      <c r="C13" s="160"/>
      <c r="D13" s="160"/>
      <c r="G13" s="159" t="s">
        <v>9</v>
      </c>
      <c r="H13" s="160"/>
      <c r="I13" s="160"/>
      <c r="J13" s="160"/>
      <c r="L13" s="159" t="s">
        <v>7</v>
      </c>
      <c r="M13" s="160"/>
      <c r="N13" s="160"/>
      <c r="O13" s="160"/>
      <c r="Q13" s="159" t="s">
        <v>8</v>
      </c>
      <c r="R13" s="160"/>
      <c r="S13" s="160"/>
      <c r="T13" s="160"/>
    </row>
    <row r="14" spans="1:24" ht="15" customHeight="1" x14ac:dyDescent="0.2">
      <c r="A14" s="160"/>
      <c r="B14" s="160"/>
      <c r="C14" s="160"/>
      <c r="D14" s="160"/>
      <c r="G14" s="160"/>
      <c r="H14" s="160"/>
      <c r="I14" s="160"/>
      <c r="J14" s="160"/>
      <c r="L14" s="160"/>
      <c r="M14" s="160"/>
      <c r="N14" s="160"/>
      <c r="O14" s="160"/>
      <c r="Q14" s="160"/>
      <c r="R14" s="160"/>
      <c r="S14" s="160"/>
      <c r="T14" s="160"/>
    </row>
    <row r="15" spans="1:24" ht="15" customHeight="1" x14ac:dyDescent="0.25">
      <c r="A15" s="153" t="s">
        <v>3</v>
      </c>
      <c r="B15" s="153"/>
      <c r="C15" s="158">
        <v>1</v>
      </c>
      <c r="D15" s="158"/>
      <c r="G15" s="153" t="s">
        <v>11</v>
      </c>
      <c r="H15" s="153"/>
      <c r="I15" s="170">
        <f>T2*C19</f>
        <v>0</v>
      </c>
      <c r="J15" s="170"/>
      <c r="L15" s="153" t="str">
        <f>G23</f>
        <v>Pelego T3</v>
      </c>
      <c r="M15" s="153"/>
      <c r="N15" s="169">
        <f>IF(C32=TRUE,R4*I23*Configurações!N9,R4*I23)</f>
        <v>0</v>
      </c>
      <c r="O15" s="169"/>
      <c r="Q15" s="153" t="s">
        <v>14</v>
      </c>
      <c r="R15" s="153"/>
      <c r="S15" s="172"/>
      <c r="T15" s="172"/>
    </row>
    <row r="16" spans="1:24" ht="15" customHeight="1" x14ac:dyDescent="0.25">
      <c r="A16" s="153"/>
      <c r="B16" s="153"/>
      <c r="C16" s="158"/>
      <c r="D16" s="158"/>
      <c r="G16" s="153" t="s">
        <v>12</v>
      </c>
      <c r="H16" s="153"/>
      <c r="I16" s="171"/>
      <c r="J16" s="171"/>
      <c r="L16" s="153" t="str">
        <f>G24</f>
        <v>Couro T2</v>
      </c>
      <c r="M16" s="153"/>
      <c r="N16" s="169">
        <f>IF(C34=TRUE,I24*U4*Configurações!N9,I24*U4)</f>
        <v>0</v>
      </c>
      <c r="O16" s="169"/>
      <c r="Q16" s="153" t="s">
        <v>15</v>
      </c>
      <c r="R16" s="153"/>
      <c r="S16" s="169">
        <f>X3-N19</f>
        <v>0</v>
      </c>
      <c r="T16" s="169"/>
    </row>
    <row r="17" spans="1:23" ht="15" customHeight="1" x14ac:dyDescent="0.25">
      <c r="A17" s="153" t="s">
        <v>4</v>
      </c>
      <c r="B17" s="153"/>
      <c r="C17" s="158">
        <v>1</v>
      </c>
      <c r="D17" s="158"/>
      <c r="G17" s="153" t="s">
        <v>13</v>
      </c>
      <c r="H17" s="153"/>
      <c r="I17" s="182">
        <f>IF(T2=0,"Indefinido",IF(I16=0,0,(I16/T2)-1))</f>
        <v>0</v>
      </c>
      <c r="J17" s="182"/>
      <c r="L17" s="153" t="s">
        <v>34</v>
      </c>
      <c r="M17" s="153"/>
      <c r="N17" s="169" cm="1">
        <f t="array" ref="N17">(C25/100)*C19*INDEX(valoresAlbion!J6:O10,C17,C15)</f>
        <v>0</v>
      </c>
      <c r="O17" s="169"/>
      <c r="Q17" s="153" t="s">
        <v>16</v>
      </c>
      <c r="R17" s="153"/>
      <c r="S17" s="165">
        <f>IFERROR(S16/N19,0)</f>
        <v>0</v>
      </c>
      <c r="T17" s="165"/>
    </row>
    <row r="18" spans="1:23" ht="15" customHeight="1" x14ac:dyDescent="0.25">
      <c r="A18" s="153"/>
      <c r="B18" s="153"/>
      <c r="C18" s="158"/>
      <c r="D18" s="158"/>
      <c r="L18" s="153" t="s">
        <v>898</v>
      </c>
      <c r="M18" s="153"/>
      <c r="N18" s="154">
        <f>IF(C36=TRUE,(X3*Configurações!B3)+(X3*Configurações!F9),(X3*Configurações!B3))</f>
        <v>0</v>
      </c>
      <c r="O18" s="154"/>
    </row>
    <row r="19" spans="1:23" ht="15" customHeight="1" x14ac:dyDescent="0.25">
      <c r="A19" s="153" t="s">
        <v>1</v>
      </c>
      <c r="B19" s="153"/>
      <c r="C19" s="183"/>
      <c r="D19" s="183"/>
      <c r="L19" s="153" t="s">
        <v>693</v>
      </c>
      <c r="M19" s="153"/>
      <c r="N19" s="169">
        <f>SUM(N15:O18)</f>
        <v>0</v>
      </c>
      <c r="O19" s="169"/>
      <c r="S19"/>
      <c r="T19"/>
    </row>
    <row r="20" spans="1:23" ht="15" customHeight="1" x14ac:dyDescent="0.2">
      <c r="A20" s="153"/>
      <c r="B20" s="153"/>
      <c r="C20" s="183"/>
      <c r="D20" s="183"/>
    </row>
    <row r="21" spans="1:23" ht="15" customHeight="1" x14ac:dyDescent="0.25">
      <c r="A21" s="153" t="s">
        <v>61</v>
      </c>
      <c r="B21" s="153"/>
      <c r="C21" s="167"/>
      <c r="D21" s="167"/>
      <c r="G21" s="184" t="s">
        <v>6</v>
      </c>
      <c r="H21" s="185"/>
      <c r="I21" s="185"/>
      <c r="J21" s="186"/>
      <c r="K21"/>
      <c r="L21"/>
    </row>
    <row r="22" spans="1:23" ht="15" customHeight="1" x14ac:dyDescent="0.25">
      <c r="A22" s="153"/>
      <c r="B22" s="153"/>
      <c r="C22" s="167"/>
      <c r="D22" s="167"/>
      <c r="G22" s="187"/>
      <c r="H22" s="188"/>
      <c r="I22" s="188"/>
      <c r="J22" s="189"/>
      <c r="K22"/>
      <c r="L22"/>
    </row>
    <row r="23" spans="1:23" ht="15" customHeight="1" x14ac:dyDescent="0.25">
      <c r="A23" s="153" t="s">
        <v>62</v>
      </c>
      <c r="B23" s="153"/>
      <c r="C23" s="167"/>
      <c r="D23" s="167"/>
      <c r="G23" s="153" t="str">
        <f>IF(C15=1,_xlfn.CONCAT(K4,L4),_xlfn.CONCAT(K4,L4,H4))</f>
        <v>Pelego T3</v>
      </c>
      <c r="H23" s="153"/>
      <c r="I23" s="170">
        <f>ROUNDUP(IF($C$19=1,V1,(V1*$C$19*$V$3)+($C$27*V1)),0)</f>
        <v>0</v>
      </c>
      <c r="J23" s="170"/>
      <c r="K23"/>
      <c r="L23"/>
    </row>
    <row r="24" spans="1:23" ht="15" customHeight="1" x14ac:dyDescent="0.25">
      <c r="A24" s="153"/>
      <c r="B24" s="153"/>
      <c r="C24" s="167"/>
      <c r="D24" s="167"/>
      <c r="G24" s="153" t="str">
        <f>IF(OR(C15=1,C15=2),_xlfn.CONCAT(I4,J4),_xlfn.CONCAT(I4,J4,H4))</f>
        <v>Couro T2</v>
      </c>
      <c r="H24" s="153"/>
      <c r="I24" s="170">
        <f>ROUNDUP(IF($C$19=1,V2,(V2*$C$19*$V$3)+($C$27*V2)),0)</f>
        <v>0</v>
      </c>
      <c r="J24" s="170"/>
      <c r="K24"/>
    </row>
    <row r="25" spans="1:23" ht="15" customHeight="1" x14ac:dyDescent="0.25">
      <c r="A25" s="153" t="s">
        <v>2</v>
      </c>
      <c r="B25" s="153"/>
      <c r="C25" s="167"/>
      <c r="D25" s="167"/>
      <c r="K25"/>
    </row>
    <row r="26" spans="1:23" ht="15" customHeight="1" x14ac:dyDescent="0.2">
      <c r="A26" s="153"/>
      <c r="B26" s="153"/>
      <c r="C26" s="167"/>
      <c r="D26" s="167"/>
    </row>
    <row r="27" spans="1:23" ht="15" customHeight="1" x14ac:dyDescent="0.2">
      <c r="A27" s="153" t="s">
        <v>1014</v>
      </c>
      <c r="B27" s="153"/>
      <c r="C27" s="168"/>
      <c r="D27" s="168"/>
    </row>
    <row r="28" spans="1:23" ht="15" customHeight="1" x14ac:dyDescent="0.2">
      <c r="A28" s="153"/>
      <c r="B28" s="153"/>
      <c r="C28" s="168"/>
      <c r="D28" s="168"/>
    </row>
    <row r="29" spans="1:23" ht="15" customHeight="1" x14ac:dyDescent="0.25">
      <c r="C29" s="27"/>
      <c r="D29" s="27"/>
      <c r="W29"/>
    </row>
    <row r="30" spans="1:23" ht="15" customHeight="1" x14ac:dyDescent="0.25">
      <c r="A30" s="159" t="s">
        <v>5</v>
      </c>
      <c r="B30" s="160"/>
      <c r="C30" s="160"/>
      <c r="D30" s="160"/>
      <c r="G30" s="159" t="s">
        <v>680</v>
      </c>
      <c r="H30" s="160"/>
      <c r="I30" s="160"/>
      <c r="J30" s="160"/>
      <c r="K30" s="159" t="s">
        <v>386</v>
      </c>
      <c r="L30" s="160"/>
      <c r="M30" s="159" t="s">
        <v>398</v>
      </c>
      <c r="N30" s="160"/>
      <c r="O30" s="159" t="s">
        <v>397</v>
      </c>
      <c r="P30" s="160"/>
      <c r="Q30" s="159" t="s">
        <v>681</v>
      </c>
      <c r="R30" s="160"/>
      <c r="U30"/>
      <c r="W30"/>
    </row>
    <row r="31" spans="1:23" ht="15" customHeight="1" x14ac:dyDescent="0.25">
      <c r="A31" s="160"/>
      <c r="B31" s="160"/>
      <c r="C31" s="160"/>
      <c r="D31" s="160"/>
      <c r="G31" s="160"/>
      <c r="H31" s="160"/>
      <c r="I31" s="160"/>
      <c r="J31" s="160"/>
      <c r="K31" s="160"/>
      <c r="L31" s="160"/>
      <c r="M31" s="160"/>
      <c r="N31" s="160"/>
      <c r="O31" s="166"/>
      <c r="P31" s="166"/>
      <c r="Q31" s="166"/>
      <c r="R31" s="166"/>
      <c r="W31"/>
    </row>
    <row r="32" spans="1:23" ht="15" customHeight="1" x14ac:dyDescent="0.25">
      <c r="A32" s="155" t="s">
        <v>63</v>
      </c>
      <c r="B32" s="155"/>
      <c r="C32" s="157" t="b">
        <v>0</v>
      </c>
      <c r="D32" s="157"/>
      <c r="G32" s="155" t="str">
        <f>G23</f>
        <v>Pelego T3</v>
      </c>
      <c r="H32" s="155"/>
      <c r="I32" s="157">
        <v>1</v>
      </c>
      <c r="J32" s="157"/>
      <c r="K32" s="157" t="b">
        <v>0</v>
      </c>
      <c r="L32" s="157"/>
      <c r="M32" s="161" t="str">
        <f>IF(A4=0,"Sem Dados",VLOOKUP(W4,Ordem1!A4:E29,IF(C32=TRUE,4,2)))</f>
        <v>Sem Dados</v>
      </c>
      <c r="N32" s="162"/>
      <c r="O32" s="191" t="str">
        <f>IFERROR(INT(A2 + A3 - (Configurações!A3 / 24)),"Sem Dados")</f>
        <v>Sem Dados</v>
      </c>
      <c r="P32" s="191"/>
      <c r="Q32" s="190" t="str">
        <f>IFERROR(IF(MOD(A2 + A3 - (Configurações!A3 / 24), 1) = 0, "00:00:00", MOD(A2 + A3 - (Configurações!A3 / 24), 1)), "Sem Dados")</f>
        <v>Sem Dados</v>
      </c>
      <c r="R32" s="190"/>
      <c r="V32"/>
      <c r="W32"/>
    </row>
    <row r="33" spans="1:27" ht="15" customHeight="1" x14ac:dyDescent="0.25">
      <c r="A33" s="156"/>
      <c r="B33" s="156"/>
      <c r="C33" s="158"/>
      <c r="D33" s="158"/>
      <c r="G33" s="156"/>
      <c r="H33" s="156"/>
      <c r="I33" s="158"/>
      <c r="J33" s="158"/>
      <c r="K33" s="158"/>
      <c r="L33" s="158"/>
      <c r="M33" s="163"/>
      <c r="N33" s="164"/>
      <c r="O33" s="191"/>
      <c r="P33" s="191"/>
      <c r="Q33" s="190"/>
      <c r="R33" s="190"/>
      <c r="S33"/>
      <c r="V33"/>
      <c r="W33"/>
    </row>
    <row r="34" spans="1:27" ht="15" customHeight="1" x14ac:dyDescent="0.25">
      <c r="A34" s="156" t="s">
        <v>64</v>
      </c>
      <c r="B34" s="156"/>
      <c r="C34" s="158" t="b">
        <v>0</v>
      </c>
      <c r="D34" s="158"/>
      <c r="G34" s="155" t="str">
        <f>G24</f>
        <v>Couro T2</v>
      </c>
      <c r="H34" s="155"/>
      <c r="I34" s="157">
        <v>1</v>
      </c>
      <c r="J34" s="157"/>
      <c r="K34" s="157" t="b">
        <v>0</v>
      </c>
      <c r="L34" s="157"/>
      <c r="M34" s="161">
        <f>IF(B4=0,"Sem Dados",(VLOOKUP(X4,Ordem1!J3:N29,IF(C34=TRUE,4,2))))</f>
        <v>44</v>
      </c>
      <c r="N34" s="162"/>
      <c r="O34" s="191">
        <f>IFERROR(INT(B2 + B3 - (Configurações!A3 / 24)),"Sem Dados")</f>
        <v>45651</v>
      </c>
      <c r="P34" s="191"/>
      <c r="Q34" s="190">
        <f>IFERROR(IF(MOD(B2 + B3 - (Configurações!A3 / 24), 1) = 0, "00:00:00", MOD(B2 + B3 - (Configurações!A3 / 24), 1)), "Sem Dados")</f>
        <v>0.53125</v>
      </c>
      <c r="R34" s="190"/>
      <c r="V34"/>
      <c r="W34"/>
    </row>
    <row r="35" spans="1:27" ht="15" customHeight="1" x14ac:dyDescent="0.25">
      <c r="A35" s="156"/>
      <c r="B35" s="156"/>
      <c r="C35" s="158"/>
      <c r="D35" s="158"/>
      <c r="G35" s="156"/>
      <c r="H35" s="156"/>
      <c r="I35" s="158"/>
      <c r="J35" s="158"/>
      <c r="K35" s="158"/>
      <c r="L35" s="158"/>
      <c r="M35" s="163"/>
      <c r="N35" s="164"/>
      <c r="O35" s="191"/>
      <c r="P35" s="191"/>
      <c r="Q35" s="190"/>
      <c r="R35" s="190"/>
      <c r="S35"/>
      <c r="V35"/>
      <c r="W35"/>
    </row>
    <row r="36" spans="1:27" ht="15" customHeight="1" x14ac:dyDescent="0.25">
      <c r="A36" s="156" t="s">
        <v>10</v>
      </c>
      <c r="B36" s="156"/>
      <c r="C36" s="158" t="b">
        <v>0</v>
      </c>
      <c r="D36" s="158"/>
      <c r="G36" s="155" t="s">
        <v>387</v>
      </c>
      <c r="H36" s="155"/>
      <c r="I36" s="157">
        <v>1</v>
      </c>
      <c r="J36" s="157"/>
      <c r="K36" s="157" t="b">
        <v>0</v>
      </c>
      <c r="L36" s="157"/>
      <c r="M36" s="161" t="str">
        <f>IF(C4=0,"Sem Dados",VLOOKUP(W4,Ordem1!S4:W29,IF(C36=TRUE,2,4)))</f>
        <v>Sem Dados</v>
      </c>
      <c r="N36" s="162"/>
      <c r="O36" s="191" t="str">
        <f>IFERROR(INT(C2 + C3 - (Configurações!A3 / 24)),"Sem Dados")</f>
        <v>Sem Dados</v>
      </c>
      <c r="P36" s="191"/>
      <c r="Q36" s="190" t="str">
        <f>IFERROR(IF(MOD(C2 + C3 - (Configurações!A3 / 24), 1) = 0, "00:00:00", MOD(C2 + C3 - (Configurações!A3 / 24), 1)), "Sem Dados")</f>
        <v>Sem Dados</v>
      </c>
      <c r="R36" s="190"/>
      <c r="V36"/>
      <c r="W36"/>
    </row>
    <row r="37" spans="1:27" ht="15" customHeight="1" x14ac:dyDescent="0.2">
      <c r="A37" s="156"/>
      <c r="B37" s="156"/>
      <c r="C37" s="158"/>
      <c r="D37" s="158"/>
      <c r="G37" s="156"/>
      <c r="H37" s="156"/>
      <c r="I37" s="158"/>
      <c r="J37" s="158"/>
      <c r="K37" s="158"/>
      <c r="L37" s="158"/>
      <c r="M37" s="163"/>
      <c r="N37" s="164"/>
      <c r="O37" s="191"/>
      <c r="P37" s="191"/>
      <c r="Q37" s="190"/>
      <c r="R37" s="190"/>
    </row>
    <row r="38" spans="1:27" ht="15" customHeight="1" x14ac:dyDescent="0.2">
      <c r="A38" s="45"/>
      <c r="B38" s="45"/>
      <c r="C38" s="45"/>
      <c r="D38" s="45"/>
      <c r="E38" s="45"/>
      <c r="F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</row>
    <row r="39" spans="1:27" ht="15" customHeight="1" x14ac:dyDescent="0.2"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</row>
    <row r="40" spans="1:27" ht="15" customHeight="1" x14ac:dyDescent="0.25">
      <c r="N40"/>
      <c r="O40"/>
      <c r="P40"/>
      <c r="Q40"/>
      <c r="R40" s="45"/>
      <c r="S40" s="45"/>
      <c r="T40" s="45"/>
      <c r="U40" s="45"/>
      <c r="V40" s="45"/>
      <c r="W40" s="45"/>
      <c r="X40" s="45"/>
      <c r="Y40" s="45"/>
      <c r="Z40" s="45"/>
      <c r="AA40" s="45"/>
    </row>
    <row r="41" spans="1:27" ht="15" customHeight="1" x14ac:dyDescent="0.25">
      <c r="N41"/>
      <c r="O41"/>
      <c r="P41"/>
      <c r="Q41"/>
      <c r="R41" s="45"/>
      <c r="S41" s="45"/>
      <c r="T41" s="45"/>
      <c r="U41" s="45"/>
      <c r="V41" s="45"/>
      <c r="W41" s="45"/>
      <c r="X41" s="45"/>
      <c r="Y41" s="45"/>
      <c r="Z41" s="45"/>
      <c r="AA41" s="45"/>
    </row>
    <row r="42" spans="1:27" ht="15" customHeight="1" x14ac:dyDescent="0.25">
      <c r="I42" s="45"/>
      <c r="J42" s="45"/>
      <c r="K42" s="45"/>
      <c r="L42" s="45"/>
      <c r="M42" s="45"/>
      <c r="N42"/>
      <c r="O42"/>
      <c r="P42"/>
      <c r="Q42"/>
      <c r="R42" s="45"/>
      <c r="S42" s="45"/>
      <c r="T42" s="45"/>
      <c r="U42" s="45"/>
      <c r="V42" s="45"/>
      <c r="W42" s="45"/>
      <c r="X42" s="45"/>
      <c r="Y42" s="45"/>
      <c r="Z42" s="45"/>
      <c r="AA42" s="45"/>
    </row>
    <row r="43" spans="1:27" ht="15" customHeight="1" x14ac:dyDescent="0.25">
      <c r="I43" s="45"/>
      <c r="J43" s="45"/>
      <c r="K43" s="45"/>
      <c r="L43" s="45"/>
      <c r="M43" s="45"/>
      <c r="N43"/>
      <c r="O43"/>
      <c r="P43"/>
      <c r="Q43"/>
      <c r="R43" s="45"/>
      <c r="S43" s="45"/>
      <c r="T43" s="45"/>
      <c r="U43" s="45"/>
      <c r="V43" s="45"/>
      <c r="W43" s="45"/>
      <c r="X43" s="45"/>
      <c r="Y43" s="45"/>
      <c r="Z43" s="45"/>
      <c r="AA43" s="45"/>
    </row>
    <row r="44" spans="1:27" ht="15" customHeight="1" x14ac:dyDescent="0.25">
      <c r="I44" s="45"/>
      <c r="J44" s="45"/>
      <c r="K44" s="45"/>
      <c r="L44" s="45"/>
      <c r="M44" s="45"/>
      <c r="N44"/>
      <c r="O44"/>
      <c r="P44"/>
      <c r="Q44"/>
      <c r="R44" s="45"/>
      <c r="S44" s="45"/>
      <c r="T44" s="45"/>
      <c r="U44" s="45"/>
      <c r="V44" s="45"/>
      <c r="W44" s="45"/>
      <c r="X44" s="45"/>
      <c r="Y44" s="45"/>
      <c r="Z44" s="45"/>
      <c r="AA44" s="45"/>
    </row>
    <row r="45" spans="1:27" ht="15" customHeight="1" x14ac:dyDescent="0.25">
      <c r="I45" s="45"/>
      <c r="J45" s="45"/>
      <c r="K45" s="45"/>
      <c r="L45" s="45"/>
      <c r="M45" s="45"/>
      <c r="N45"/>
      <c r="O45"/>
      <c r="P45"/>
      <c r="Q45"/>
      <c r="R45" s="45"/>
      <c r="S45" s="45"/>
      <c r="T45" s="45"/>
      <c r="U45" s="45"/>
      <c r="V45" s="45"/>
      <c r="W45" s="45"/>
      <c r="X45" s="45"/>
      <c r="Y45" s="45"/>
      <c r="Z45" s="45"/>
      <c r="AA45" s="45"/>
    </row>
    <row r="46" spans="1:27" ht="15" customHeight="1" x14ac:dyDescent="0.2"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</row>
    <row r="47" spans="1:27" ht="15" customHeight="1" x14ac:dyDescent="0.2"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</row>
    <row r="48" spans="1:27" ht="15" customHeight="1" x14ac:dyDescent="0.2"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</row>
    <row r="49" spans="1:27" ht="15" customHeight="1" x14ac:dyDescent="0.2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</row>
    <row r="50" spans="1:27" ht="15" customHeight="1" x14ac:dyDescent="0.2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</row>
    <row r="51" spans="1:27" ht="15" hidden="1" customHeight="1" x14ac:dyDescent="0.2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</row>
    <row r="52" spans="1:27" ht="15" hidden="1" customHeight="1" x14ac:dyDescent="0.2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</row>
    <row r="53" spans="1:27" ht="15" hidden="1" customHeight="1" x14ac:dyDescent="0.2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</row>
    <row r="54" spans="1:27" ht="15" hidden="1" customHeight="1" x14ac:dyDescent="0.2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</row>
    <row r="55" spans="1:27" ht="15" hidden="1" customHeight="1" x14ac:dyDescent="0.2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</row>
    <row r="56" spans="1:27" ht="15" hidden="1" customHeight="1" x14ac:dyDescent="0.2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</row>
    <row r="57" spans="1:27" ht="15" hidden="1" customHeight="1" x14ac:dyDescent="0.2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</row>
    <row r="58" spans="1:27" ht="15" hidden="1" customHeight="1" x14ac:dyDescent="0.2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</row>
    <row r="59" spans="1:27" ht="15" hidden="1" customHeight="1" x14ac:dyDescent="0.2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</row>
    <row r="60" spans="1:27" ht="15" hidden="1" customHeight="1" x14ac:dyDescent="0.2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</row>
    <row r="61" spans="1:27" ht="15" hidden="1" customHeight="1" x14ac:dyDescent="0.2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</row>
    <row r="62" spans="1:27" ht="15" hidden="1" customHeight="1" x14ac:dyDescent="0.2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</row>
    <row r="63" spans="1:27" ht="15" hidden="1" customHeight="1" x14ac:dyDescent="0.25">
      <c r="A63" s="46"/>
      <c r="B63" s="46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</row>
    <row r="64" spans="1:27" ht="15" hidden="1" customHeight="1" x14ac:dyDescent="0.2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</row>
    <row r="65" spans="1:27" ht="15" hidden="1" customHeight="1" x14ac:dyDescent="0.2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</row>
    <row r="66" spans="1:27" ht="15" hidden="1" customHeight="1" x14ac:dyDescent="0.2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</row>
    <row r="67" spans="1:27" ht="15" hidden="1" customHeight="1" x14ac:dyDescent="0.2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</row>
    <row r="68" spans="1:27" ht="15" hidden="1" customHeight="1" x14ac:dyDescent="0.2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</row>
    <row r="69" spans="1:27" ht="15" hidden="1" customHeight="1" x14ac:dyDescent="0.2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</row>
  </sheetData>
  <sheetProtection algorithmName="SHA-512" hashValue="W12v33DFeAfWOoIIlRbdToxGt3z90mV8wdLRvvLyMEmSSmmLJ9kIzDJpkWcZIwEjnuxU7oSoH6pRRQI+dTendQ==" saltValue="G2Y2+C3RspSl66FUa7JJcw==" spinCount="100000" sheet="1" objects="1" scenarios="1" selectLockedCells="1"/>
  <mergeCells count="77">
    <mergeCell ref="Q36:R37"/>
    <mergeCell ref="O36:P37"/>
    <mergeCell ref="L19:M19"/>
    <mergeCell ref="O34:P35"/>
    <mergeCell ref="M34:N35"/>
    <mergeCell ref="O32:P33"/>
    <mergeCell ref="M36:N37"/>
    <mergeCell ref="A23:B24"/>
    <mergeCell ref="C23:D24"/>
    <mergeCell ref="G24:H24"/>
    <mergeCell ref="Q32:R33"/>
    <mergeCell ref="Q34:R35"/>
    <mergeCell ref="A6:D7"/>
    <mergeCell ref="A8:D12"/>
    <mergeCell ref="A21:B22"/>
    <mergeCell ref="C21:D22"/>
    <mergeCell ref="L15:M15"/>
    <mergeCell ref="A13:D14"/>
    <mergeCell ref="C15:D16"/>
    <mergeCell ref="A15:B16"/>
    <mergeCell ref="A17:B18"/>
    <mergeCell ref="C17:D18"/>
    <mergeCell ref="L13:O14"/>
    <mergeCell ref="G17:H17"/>
    <mergeCell ref="I17:J17"/>
    <mergeCell ref="A19:B20"/>
    <mergeCell ref="C19:D20"/>
    <mergeCell ref="G21:J22"/>
    <mergeCell ref="Q13:T14"/>
    <mergeCell ref="G13:J14"/>
    <mergeCell ref="G15:H15"/>
    <mergeCell ref="I15:J15"/>
    <mergeCell ref="G16:H16"/>
    <mergeCell ref="I16:J16"/>
    <mergeCell ref="L16:M16"/>
    <mergeCell ref="N16:O16"/>
    <mergeCell ref="Q15:R15"/>
    <mergeCell ref="S15:T15"/>
    <mergeCell ref="Q16:R16"/>
    <mergeCell ref="S16:T16"/>
    <mergeCell ref="N15:O15"/>
    <mergeCell ref="Q17:R17"/>
    <mergeCell ref="S17:T17"/>
    <mergeCell ref="Q30:R31"/>
    <mergeCell ref="A25:B26"/>
    <mergeCell ref="C25:D26"/>
    <mergeCell ref="A27:B28"/>
    <mergeCell ref="C27:D28"/>
    <mergeCell ref="A30:D31"/>
    <mergeCell ref="M30:N31"/>
    <mergeCell ref="O30:P31"/>
    <mergeCell ref="K30:L31"/>
    <mergeCell ref="L17:M17"/>
    <mergeCell ref="N17:O17"/>
    <mergeCell ref="N19:O19"/>
    <mergeCell ref="I23:J23"/>
    <mergeCell ref="I24:J24"/>
    <mergeCell ref="A36:B37"/>
    <mergeCell ref="C36:D37"/>
    <mergeCell ref="A32:B33"/>
    <mergeCell ref="C32:D33"/>
    <mergeCell ref="A34:B35"/>
    <mergeCell ref="C34:D35"/>
    <mergeCell ref="L18:M18"/>
    <mergeCell ref="N18:O18"/>
    <mergeCell ref="G36:H37"/>
    <mergeCell ref="I36:J37"/>
    <mergeCell ref="K36:L37"/>
    <mergeCell ref="G32:H33"/>
    <mergeCell ref="G34:H35"/>
    <mergeCell ref="K34:L35"/>
    <mergeCell ref="I34:J35"/>
    <mergeCell ref="K32:L33"/>
    <mergeCell ref="I32:J33"/>
    <mergeCell ref="G23:H23"/>
    <mergeCell ref="G30:J31"/>
    <mergeCell ref="M32:N33"/>
  </mergeCells>
  <phoneticPr fontId="23" type="noConversion"/>
  <conditionalFormatting sqref="A6:D7 A13:D14 A30:D31 G13:J14 L13:O14 Q13:T14 K30:R31 G21">
    <cfRule type="expression" dxfId="117" priority="27">
      <formula>$C$15=6</formula>
    </cfRule>
    <cfRule type="expression" dxfId="116" priority="28">
      <formula>$C$15=5</formula>
    </cfRule>
    <cfRule type="expression" dxfId="115" priority="34">
      <formula>$C$15=3</formula>
    </cfRule>
    <cfRule type="expression" dxfId="114" priority="35">
      <formula>$C$15=2</formula>
    </cfRule>
    <cfRule type="expression" dxfId="113" priority="36">
      <formula>$C$15=1</formula>
    </cfRule>
  </conditionalFormatting>
  <conditionalFormatting sqref="A6:D7 A13:D14 A30:D31 G13:J14 L13:O14 Q13:T14 K30:R31 G21">
    <cfRule type="expression" dxfId="112" priority="33">
      <formula>$C$15=4</formula>
    </cfRule>
  </conditionalFormatting>
  <conditionalFormatting sqref="S16:T17">
    <cfRule type="cellIs" dxfId="111" priority="24" operator="lessThan">
      <formula>0</formula>
    </cfRule>
    <cfRule type="cellIs" dxfId="110" priority="25" operator="greaterThan">
      <formula>0</formula>
    </cfRule>
  </conditionalFormatting>
  <conditionalFormatting sqref="G30:J31">
    <cfRule type="expression" dxfId="109" priority="18">
      <formula>$C$15=6</formula>
    </cfRule>
    <cfRule type="expression" dxfId="108" priority="19">
      <formula>$C$15=5</formula>
    </cfRule>
    <cfRule type="expression" dxfId="107" priority="21">
      <formula>$C$15=3</formula>
    </cfRule>
    <cfRule type="expression" dxfId="106" priority="22">
      <formula>$C$15=2</formula>
    </cfRule>
    <cfRule type="expression" dxfId="105" priority="23">
      <formula>$C$15=1</formula>
    </cfRule>
  </conditionalFormatting>
  <conditionalFormatting sqref="G30:J31">
    <cfRule type="expression" dxfId="104" priority="20">
      <formula>$C$15=4</formula>
    </cfRule>
  </conditionalFormatting>
  <conditionalFormatting sqref="C21:D22">
    <cfRule type="expression" dxfId="103" priority="11">
      <formula>$K$32=TRUE</formula>
    </cfRule>
  </conditionalFormatting>
  <conditionalFormatting sqref="C23:D24">
    <cfRule type="expression" dxfId="102" priority="10">
      <formula>$K$34=TRUE</formula>
    </cfRule>
  </conditionalFormatting>
  <conditionalFormatting sqref="S15:T15">
    <cfRule type="expression" dxfId="101" priority="9">
      <formula>$K$36=TRUE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Drop Down 1">
              <controlPr defaultSize="0" autoLine="0" autoPict="0">
                <anchor moveWithCells="1">
                  <from>
                    <xdr:col>2</xdr:col>
                    <xdr:colOff>85725</xdr:colOff>
                    <xdr:row>14</xdr:row>
                    <xdr:rowOff>85725</xdr:rowOff>
                  </from>
                  <to>
                    <xdr:col>3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Drop Down 2">
              <controlPr defaultSize="0" autoLine="0" autoPict="0">
                <anchor moveWithCells="1">
                  <from>
                    <xdr:col>2</xdr:col>
                    <xdr:colOff>85725</xdr:colOff>
                    <xdr:row>16</xdr:row>
                    <xdr:rowOff>85725</xdr:rowOff>
                  </from>
                  <to>
                    <xdr:col>3</xdr:col>
                    <xdr:colOff>523875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76200</xdr:rowOff>
                  </from>
                  <to>
                    <xdr:col>3</xdr:col>
                    <xdr:colOff>161925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76200</xdr:rowOff>
                  </from>
                  <to>
                    <xdr:col>3</xdr:col>
                    <xdr:colOff>161925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76200</xdr:rowOff>
                  </from>
                  <to>
                    <xdr:col>3</xdr:col>
                    <xdr:colOff>161925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Check Box 9">
              <controlPr defaultSize="0" autoFill="0" autoLine="0" autoPict="0">
                <anchor moveWithCells="1">
                  <from>
                    <xdr:col>10</xdr:col>
                    <xdr:colOff>266700</xdr:colOff>
                    <xdr:row>31</xdr:row>
                    <xdr:rowOff>76200</xdr:rowOff>
                  </from>
                  <to>
                    <xdr:col>11</xdr:col>
                    <xdr:colOff>342900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31</xdr:row>
                    <xdr:rowOff>123825</xdr:rowOff>
                  </from>
                  <to>
                    <xdr:col>9</xdr:col>
                    <xdr:colOff>676275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33</xdr:row>
                    <xdr:rowOff>123825</xdr:rowOff>
                  </from>
                  <to>
                    <xdr:col>9</xdr:col>
                    <xdr:colOff>676275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Drop Down 15">
              <controlPr defaultSize="0" autoLine="0" autoPict="0">
                <anchor moveWithCells="1">
                  <from>
                    <xdr:col>8</xdr:col>
                    <xdr:colOff>66675</xdr:colOff>
                    <xdr:row>35</xdr:row>
                    <xdr:rowOff>123825</xdr:rowOff>
                  </from>
                  <to>
                    <xdr:col>9</xdr:col>
                    <xdr:colOff>676275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4" name="Check Box 17">
              <controlPr defaultSize="0" autoFill="0" autoLine="0" autoPict="0">
                <anchor moveWithCells="1">
                  <from>
                    <xdr:col>10</xdr:col>
                    <xdr:colOff>266700</xdr:colOff>
                    <xdr:row>35</xdr:row>
                    <xdr:rowOff>76200</xdr:rowOff>
                  </from>
                  <to>
                    <xdr:col>11</xdr:col>
                    <xdr:colOff>342900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5" name="Check Box 18">
              <controlPr defaultSize="0" autoFill="0" autoLine="0" autoPict="0">
                <anchor moveWithCells="1">
                  <from>
                    <xdr:col>10</xdr:col>
                    <xdr:colOff>266700</xdr:colOff>
                    <xdr:row>33</xdr:row>
                    <xdr:rowOff>76200</xdr:rowOff>
                  </from>
                  <to>
                    <xdr:col>11</xdr:col>
                    <xdr:colOff>342900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A43E2-FE7C-4B82-A122-F462774D3A3C}">
  <sheetPr codeName="Planilha20">
    <tabColor theme="9" tint="-0.249977111117893"/>
  </sheetPr>
  <dimension ref="A1:Z29"/>
  <sheetViews>
    <sheetView showGridLines="0" showRowColHeaders="0" workbookViewId="0">
      <selection activeCell="F7" sqref="F7:G7"/>
    </sheetView>
  </sheetViews>
  <sheetFormatPr defaultColWidth="0" defaultRowHeight="15" zeroHeight="1" x14ac:dyDescent="0.25"/>
  <cols>
    <col min="1" max="1" width="9.140625" customWidth="1"/>
    <col min="2" max="2" width="17.140625" customWidth="1"/>
    <col min="3" max="3" width="14.42578125" customWidth="1"/>
    <col min="4" max="4" width="18" customWidth="1"/>
    <col min="5" max="6" width="9.140625" customWidth="1"/>
    <col min="7" max="7" width="18.42578125" customWidth="1"/>
    <col min="8" max="8" width="9.140625" customWidth="1"/>
    <col min="9" max="9" width="5" customWidth="1"/>
    <col min="10" max="10" width="11.7109375" customWidth="1"/>
    <col min="11" max="11" width="15" style="97" customWidth="1"/>
    <col min="12" max="12" width="9.140625" style="97" customWidth="1"/>
    <col min="13" max="13" width="17.28515625" style="97" customWidth="1"/>
    <col min="14" max="14" width="9.140625" style="97" customWidth="1"/>
    <col min="15" max="15" width="9.140625" customWidth="1"/>
    <col min="16" max="16" width="15.5703125" customWidth="1"/>
    <col min="17" max="17" width="9.140625" customWidth="1"/>
    <col min="18" max="18" width="3.140625" customWidth="1"/>
    <col min="19" max="19" width="9.140625" customWidth="1"/>
    <col min="20" max="20" width="15" customWidth="1"/>
    <col min="21" max="21" width="9.140625" customWidth="1"/>
    <col min="22" max="22" width="16.28515625" customWidth="1"/>
    <col min="23" max="24" width="9.140625" customWidth="1"/>
    <col min="25" max="25" width="12.5703125" customWidth="1"/>
    <col min="26" max="26" width="9.140625" customWidth="1"/>
    <col min="27" max="16384" width="9.140625" hidden="1"/>
  </cols>
  <sheetData>
    <row r="1" spans="1:26" x14ac:dyDescent="0.25">
      <c r="A1" s="192" t="s">
        <v>388</v>
      </c>
      <c r="B1" s="192"/>
      <c r="C1" s="192"/>
      <c r="D1" s="192"/>
      <c r="E1" s="192"/>
      <c r="F1" s="192"/>
      <c r="G1" s="192"/>
      <c r="H1" s="192"/>
      <c r="I1" s="65"/>
      <c r="J1" s="192" t="s">
        <v>389</v>
      </c>
      <c r="K1" s="192"/>
      <c r="L1" s="192"/>
      <c r="M1" s="192"/>
      <c r="N1" s="192"/>
      <c r="O1" s="192"/>
      <c r="P1" s="192"/>
      <c r="Q1" s="192"/>
      <c r="R1" s="65"/>
      <c r="S1" s="192" t="s">
        <v>389</v>
      </c>
      <c r="T1" s="192"/>
      <c r="U1" s="192"/>
      <c r="V1" s="192"/>
      <c r="W1" s="192"/>
      <c r="X1" s="192"/>
      <c r="Y1" s="192"/>
      <c r="Z1" s="192"/>
    </row>
    <row r="2" spans="1:26" x14ac:dyDescent="0.25">
      <c r="A2" s="66" t="s">
        <v>30</v>
      </c>
      <c r="B2" s="66" t="s">
        <v>390</v>
      </c>
      <c r="C2" s="66" t="s">
        <v>376</v>
      </c>
      <c r="D2" s="66" t="s">
        <v>391</v>
      </c>
      <c r="E2" s="66" t="s">
        <v>376</v>
      </c>
      <c r="F2" s="66" t="s">
        <v>384</v>
      </c>
      <c r="G2" s="66" t="s">
        <v>378</v>
      </c>
      <c r="H2" s="66" t="s">
        <v>365</v>
      </c>
      <c r="I2" s="65"/>
      <c r="J2" s="66" t="s">
        <v>30</v>
      </c>
      <c r="K2" s="66" t="s">
        <v>390</v>
      </c>
      <c r="L2" s="66" t="s">
        <v>376</v>
      </c>
      <c r="M2" s="66" t="s">
        <v>391</v>
      </c>
      <c r="N2" s="66" t="s">
        <v>376</v>
      </c>
      <c r="O2" s="66" t="s">
        <v>384</v>
      </c>
      <c r="P2" s="66" t="s">
        <v>378</v>
      </c>
      <c r="Q2" s="66" t="s">
        <v>365</v>
      </c>
      <c r="R2" s="65"/>
      <c r="S2" s="66" t="s">
        <v>30</v>
      </c>
      <c r="T2" s="66" t="s">
        <v>392</v>
      </c>
      <c r="U2" s="66" t="s">
        <v>376</v>
      </c>
      <c r="V2" s="66" t="s">
        <v>396</v>
      </c>
      <c r="W2" s="66" t="s">
        <v>376</v>
      </c>
      <c r="X2" s="66" t="s">
        <v>384</v>
      </c>
      <c r="Y2" s="66" t="s">
        <v>378</v>
      </c>
      <c r="Z2" s="66" t="s">
        <v>365</v>
      </c>
    </row>
    <row r="3" spans="1:26" x14ac:dyDescent="0.25">
      <c r="A3" s="67" t="s">
        <v>479</v>
      </c>
      <c r="B3" s="96" cm="1">
        <f t="array" ref="B3">INDEX(PELEGO,F3,1)</f>
        <v>0</v>
      </c>
      <c r="C3" s="96" cm="1">
        <f t="array" ref="C3">INDEX(PELEGO,F3,2)</f>
        <v>0</v>
      </c>
      <c r="D3" s="96" cm="1">
        <f t="array" ref="D3">INDEX(PELEGO,F3,3)</f>
        <v>0</v>
      </c>
      <c r="E3" s="96" cm="1">
        <f t="array" ref="E3">INDEX(PELEGO,F3,4)</f>
        <v>0</v>
      </c>
      <c r="F3" s="69">
        <f t="shared" ref="F3" si="0">MATCH(G3,codigo1,0)</f>
        <v>1</v>
      </c>
      <c r="G3" s="69" t="str">
        <f>_xlfn.CONCAT(CHOOSE(Pelego!$I$32,"Brecilien","Bridgewatch","Caerleon","Fort Sterling","Lymhurst","Martlock","Thetford"),"B",H3)</f>
        <v>BrecilienB0</v>
      </c>
      <c r="H3" s="70">
        <v>0</v>
      </c>
      <c r="I3" s="65"/>
      <c r="J3" s="67" t="s">
        <v>479</v>
      </c>
      <c r="K3" s="96" cm="1">
        <f t="array" ref="K3">INDEX(COURO,O3,1)</f>
        <v>44</v>
      </c>
      <c r="L3" s="96" t="str" cm="1">
        <f t="array" ref="L3">INDEX(COURO,O3,2)</f>
        <v>2024-12-25T15:45:00</v>
      </c>
      <c r="M3" s="96" cm="1">
        <f t="array" ref="M3">INDEX(COURO,O3,3)</f>
        <v>0</v>
      </c>
      <c r="N3" s="96" cm="1">
        <f t="array" ref="N3">INDEX(COURO,O3,4)</f>
        <v>0</v>
      </c>
      <c r="O3" s="69">
        <f t="shared" ref="O3" si="1">MATCH(P3,codigo2,0)</f>
        <v>1</v>
      </c>
      <c r="P3" s="69" t="str">
        <f>_xlfn.CONCAT(CHOOSE(Pelego!$I$34,"Brecilien","Bridgewatch","Caerleon","Fort Sterling","Lymhurst","Martlock","Thetford"),"R",Q3)</f>
        <v>BrecilienR0</v>
      </c>
      <c r="Q3" s="70">
        <v>0</v>
      </c>
      <c r="R3" s="65"/>
      <c r="S3" s="67" t="s">
        <v>479</v>
      </c>
      <c r="T3" s="96" cm="1">
        <f t="array" ref="T3">INDEX(COURO,X3,1)</f>
        <v>44</v>
      </c>
      <c r="U3" s="96" t="str" cm="1">
        <f t="array" ref="U3">INDEX(COURO,X3,2)</f>
        <v>2024-12-25T15:45:00</v>
      </c>
      <c r="V3" s="96" cm="1">
        <f t="array" ref="V3">INDEX(COURO,X3,3)</f>
        <v>0</v>
      </c>
      <c r="W3" s="96" cm="1">
        <f t="array" ref="W3">INDEX(COURO,X3,4)</f>
        <v>0</v>
      </c>
      <c r="X3" s="69">
        <f t="shared" ref="X3" si="2">MATCH(Y3,codigo2,0)</f>
        <v>1</v>
      </c>
      <c r="Y3" s="69" t="str">
        <f>_xlfn.CONCAT(CHOOSE(Pelego!$I$36,"Brecilien","Bridgewatch","Caerleon","Fort Sterling","Lymhurst","Martlock","Thetford"),"R",Z3)</f>
        <v>BrecilienR0</v>
      </c>
      <c r="Z3" s="70">
        <v>0</v>
      </c>
    </row>
    <row r="4" spans="1:26" x14ac:dyDescent="0.25">
      <c r="A4" s="67" t="s">
        <v>95</v>
      </c>
      <c r="B4" s="96" cm="1">
        <f t="array" ref="B4">INDEX(PELEGO,F4,1)</f>
        <v>0</v>
      </c>
      <c r="C4" s="96" cm="1">
        <f t="array" ref="C4">INDEX(PELEGO,F4,2)</f>
        <v>0</v>
      </c>
      <c r="D4" s="96" cm="1">
        <f t="array" ref="D4">INDEX(PELEGO,F4,3)</f>
        <v>0</v>
      </c>
      <c r="E4" s="96" cm="1">
        <f t="array" ref="E4">INDEX(PELEGO,F4,4)</f>
        <v>0</v>
      </c>
      <c r="F4" s="69">
        <f t="shared" ref="F4:F29" si="3">MATCH(G4,codigo1,0)</f>
        <v>8</v>
      </c>
      <c r="G4" s="69" t="str">
        <f>_xlfn.CONCAT(CHOOSE(Pelego!$I$32,"Brecilien","Bridgewatch","Caerleon","Fort Sterling","Lymhurst","Martlock","Thetford"),"B",H4)</f>
        <v>BrecilienB1</v>
      </c>
      <c r="H4" s="70">
        <v>1</v>
      </c>
      <c r="I4" s="65"/>
      <c r="J4" s="67" t="s">
        <v>95</v>
      </c>
      <c r="K4" s="96" cm="1">
        <f t="array" ref="K4">INDEX(COURO,O4,1)</f>
        <v>299</v>
      </c>
      <c r="L4" s="96" t="str" cm="1">
        <f t="array" ref="L4">INDEX(COURO,O4,2)</f>
        <v>2024-12-25T15:45:00</v>
      </c>
      <c r="M4" s="96" cm="1">
        <f t="array" ref="M4">INDEX(COURO,O4,3)</f>
        <v>0</v>
      </c>
      <c r="N4" s="96" cm="1">
        <f t="array" ref="N4">INDEX(COURO,O4,4)</f>
        <v>0</v>
      </c>
      <c r="O4" s="69">
        <f t="shared" ref="O4:O29" si="4">MATCH(P4,codigo2,0)</f>
        <v>8</v>
      </c>
      <c r="P4" s="69" t="str">
        <f>_xlfn.CONCAT(CHOOSE(Pelego!$I$34,"Brecilien","Bridgewatch","Caerleon","Fort Sterling","Lymhurst","Martlock","Thetford"),"R",Q4)</f>
        <v>BrecilienR1</v>
      </c>
      <c r="Q4" s="70">
        <v>1</v>
      </c>
      <c r="R4" s="65"/>
      <c r="S4" s="67" t="s">
        <v>95</v>
      </c>
      <c r="T4" s="96" cm="1">
        <f t="array" ref="T4">INDEX(COURO,X4,1)</f>
        <v>299</v>
      </c>
      <c r="U4" s="96" t="str" cm="1">
        <f t="array" ref="U4">INDEX(COURO,X4,2)</f>
        <v>2024-12-25T15:45:00</v>
      </c>
      <c r="V4" s="96" cm="1">
        <f t="array" ref="V4">INDEX(COURO,X4,3)</f>
        <v>0</v>
      </c>
      <c r="W4" s="96" cm="1">
        <f t="array" ref="W4">INDEX(COURO,X4,4)</f>
        <v>0</v>
      </c>
      <c r="X4" s="69">
        <f t="shared" ref="X4:X29" si="5">MATCH(Y4,codigo2,0)</f>
        <v>8</v>
      </c>
      <c r="Y4" s="69" t="str">
        <f>_xlfn.CONCAT(CHOOSE(Pelego!$I$36,"Brecilien","Bridgewatch","Caerleon","Fort Sterling","Lymhurst","Martlock","Thetford"),"R",Z4)</f>
        <v>BrecilienR1</v>
      </c>
      <c r="Z4" s="70">
        <v>1</v>
      </c>
    </row>
    <row r="5" spans="1:26" x14ac:dyDescent="0.25">
      <c r="A5" s="67" t="s">
        <v>96</v>
      </c>
      <c r="B5" s="96" cm="1">
        <f t="array" ref="B5">INDEX(PELEGO,F5,1)</f>
        <v>39</v>
      </c>
      <c r="C5" s="96" t="str" cm="1">
        <f t="array" ref="C5">INDEX(PELEGO,F5,2)</f>
        <v>2024-12-24T20:55:00</v>
      </c>
      <c r="D5" s="96" cm="1">
        <f t="array" ref="D5">INDEX(PELEGO,F5,3)</f>
        <v>0</v>
      </c>
      <c r="E5" s="96" cm="1">
        <f t="array" ref="E5">INDEX(PELEGO,F5,4)</f>
        <v>0</v>
      </c>
      <c r="F5" s="69">
        <f t="shared" si="3"/>
        <v>15</v>
      </c>
      <c r="G5" s="69" t="str">
        <f>_xlfn.CONCAT(CHOOSE(Pelego!$I$32,"Brecilien","Bridgewatch","Caerleon","Fort Sterling","Lymhurst","Martlock","Thetford"),"B",H5)</f>
        <v>BrecilienB2</v>
      </c>
      <c r="H5" s="70">
        <v>2</v>
      </c>
      <c r="I5" s="65"/>
      <c r="J5" s="67" t="s">
        <v>96</v>
      </c>
      <c r="K5" s="96" cm="1">
        <f t="array" ref="K5">INDEX(COURO,O5,1)</f>
        <v>0</v>
      </c>
      <c r="L5" s="96" cm="1">
        <f t="array" ref="L5">INDEX(COURO,O5,2)</f>
        <v>0</v>
      </c>
      <c r="M5" s="96" cm="1">
        <f t="array" ref="M5">INDEX(COURO,O5,3)</f>
        <v>0</v>
      </c>
      <c r="N5" s="96" cm="1">
        <f t="array" ref="N5">INDEX(COURO,O5,4)</f>
        <v>0</v>
      </c>
      <c r="O5" s="69">
        <f t="shared" si="4"/>
        <v>15</v>
      </c>
      <c r="P5" s="69" t="str">
        <f>_xlfn.CONCAT(CHOOSE(Pelego!$I$34,"Brecilien","Bridgewatch","Caerleon","Fort Sterling","Lymhurst","Martlock","Thetford"),"R",Q5)</f>
        <v>BrecilienR2</v>
      </c>
      <c r="Q5" s="70">
        <v>2</v>
      </c>
      <c r="R5" s="65"/>
      <c r="S5" s="67" t="s">
        <v>96</v>
      </c>
      <c r="T5" s="96" cm="1">
        <f t="array" ref="T5">INDEX(COURO,X5,1)</f>
        <v>0</v>
      </c>
      <c r="U5" s="96" cm="1">
        <f t="array" ref="U5">INDEX(COURO,X5,2)</f>
        <v>0</v>
      </c>
      <c r="V5" s="96" cm="1">
        <f t="array" ref="V5">INDEX(COURO,X5,3)</f>
        <v>0</v>
      </c>
      <c r="W5" s="96" cm="1">
        <f t="array" ref="W5">INDEX(COURO,X5,4)</f>
        <v>0</v>
      </c>
      <c r="X5" s="69">
        <f t="shared" si="5"/>
        <v>15</v>
      </c>
      <c r="Y5" s="69" t="str">
        <f>_xlfn.CONCAT(CHOOSE(Pelego!$I$36,"Brecilien","Bridgewatch","Caerleon","Fort Sterling","Lymhurst","Martlock","Thetford"),"R",Z5)</f>
        <v>BrecilienR2</v>
      </c>
      <c r="Z5" s="70">
        <v>2</v>
      </c>
    </row>
    <row r="6" spans="1:26" x14ac:dyDescent="0.25">
      <c r="A6" s="67" t="s">
        <v>97</v>
      </c>
      <c r="B6" s="96" cm="1">
        <f t="array" ref="B6">INDEX(PELEGO,F6,1)</f>
        <v>73</v>
      </c>
      <c r="C6" s="96" t="str" cm="1">
        <f t="array" ref="C6">INDEX(PELEGO,F6,2)</f>
        <v>2024-12-25T15:55:00</v>
      </c>
      <c r="D6" s="96" cm="1">
        <f t="array" ref="D6">INDEX(PELEGO,F6,3)</f>
        <v>0</v>
      </c>
      <c r="E6" s="96" cm="1">
        <f t="array" ref="E6">INDEX(PELEGO,F6,4)</f>
        <v>0</v>
      </c>
      <c r="F6" s="69">
        <f t="shared" si="3"/>
        <v>22</v>
      </c>
      <c r="G6" s="69" t="str">
        <f>_xlfn.CONCAT(CHOOSE(Pelego!$I$32,"Brecilien","Bridgewatch","Caerleon","Fort Sterling","Lymhurst","Martlock","Thetford"),"B",H6)</f>
        <v>BrecilienB3</v>
      </c>
      <c r="H6" s="70">
        <v>3</v>
      </c>
      <c r="I6" s="65"/>
      <c r="J6" s="67" t="s">
        <v>97</v>
      </c>
      <c r="K6" s="96" cm="1">
        <f t="array" ref="K6">INDEX(COURO,O6,1)</f>
        <v>0</v>
      </c>
      <c r="L6" s="96" cm="1">
        <f t="array" ref="L6">INDEX(COURO,O6,2)</f>
        <v>0</v>
      </c>
      <c r="M6" s="96" cm="1">
        <f t="array" ref="M6">INDEX(COURO,O6,3)</f>
        <v>0</v>
      </c>
      <c r="N6" s="96" cm="1">
        <f t="array" ref="N6">INDEX(COURO,O6,4)</f>
        <v>0</v>
      </c>
      <c r="O6" s="69">
        <f t="shared" si="4"/>
        <v>22</v>
      </c>
      <c r="P6" s="69" t="str">
        <f>_xlfn.CONCAT(CHOOSE(Pelego!$I$34,"Brecilien","Bridgewatch","Caerleon","Fort Sterling","Lymhurst","Martlock","Thetford"),"R",Q6)</f>
        <v>BrecilienR3</v>
      </c>
      <c r="Q6" s="70">
        <v>3</v>
      </c>
      <c r="R6" s="65"/>
      <c r="S6" s="67" t="s">
        <v>97</v>
      </c>
      <c r="T6" s="96" cm="1">
        <f t="array" ref="T6">INDEX(COURO,X6,1)</f>
        <v>0</v>
      </c>
      <c r="U6" s="96" cm="1">
        <f t="array" ref="U6">INDEX(COURO,X6,2)</f>
        <v>0</v>
      </c>
      <c r="V6" s="96" cm="1">
        <f t="array" ref="V6">INDEX(COURO,X6,3)</f>
        <v>0</v>
      </c>
      <c r="W6" s="96" cm="1">
        <f t="array" ref="W6">INDEX(COURO,X6,4)</f>
        <v>0</v>
      </c>
      <c r="X6" s="69">
        <f t="shared" si="5"/>
        <v>22</v>
      </c>
      <c r="Y6" s="69" t="str">
        <f>_xlfn.CONCAT(CHOOSE(Pelego!$I$36,"Brecilien","Bridgewatch","Caerleon","Fort Sterling","Lymhurst","Martlock","Thetford"),"R",Z6)</f>
        <v>BrecilienR3</v>
      </c>
      <c r="Z6" s="70">
        <v>3</v>
      </c>
    </row>
    <row r="7" spans="1:26" x14ac:dyDescent="0.25">
      <c r="A7" s="67" t="s">
        <v>98</v>
      </c>
      <c r="B7" s="96" cm="1">
        <f t="array" ref="B7">INDEX(PELEGO,F7,1)</f>
        <v>631</v>
      </c>
      <c r="C7" s="96" t="str" cm="1">
        <f t="array" ref="C7">INDEX(PELEGO,F7,2)</f>
        <v>2024-12-25T14:05:00</v>
      </c>
      <c r="D7" s="96" cm="1">
        <f t="array" ref="D7">INDEX(PELEGO,F7,3)</f>
        <v>0</v>
      </c>
      <c r="E7" s="96" cm="1">
        <f t="array" ref="E7">INDEX(PELEGO,F7,4)</f>
        <v>0</v>
      </c>
      <c r="F7" s="69">
        <f t="shared" si="3"/>
        <v>29</v>
      </c>
      <c r="G7" s="69" t="str">
        <f>_xlfn.CONCAT(CHOOSE(Pelego!$I$32,"Brecilien","Bridgewatch","Caerleon","Fort Sterling","Lymhurst","Martlock","Thetford"),"B",H7)</f>
        <v>BrecilienB4</v>
      </c>
      <c r="H7" s="70">
        <v>4</v>
      </c>
      <c r="I7" s="65"/>
      <c r="J7" s="67" t="s">
        <v>98</v>
      </c>
      <c r="K7" s="96" cm="1">
        <f t="array" ref="K7">INDEX(COURO,O7,1)</f>
        <v>0</v>
      </c>
      <c r="L7" s="96" cm="1">
        <f t="array" ref="L7">INDEX(COURO,O7,2)</f>
        <v>0</v>
      </c>
      <c r="M7" s="96" cm="1">
        <f t="array" ref="M7">INDEX(COURO,O7,3)</f>
        <v>0</v>
      </c>
      <c r="N7" s="96" cm="1">
        <f t="array" ref="N7">INDEX(COURO,O7,4)</f>
        <v>0</v>
      </c>
      <c r="O7" s="69">
        <f t="shared" si="4"/>
        <v>29</v>
      </c>
      <c r="P7" s="69" t="str">
        <f>_xlfn.CONCAT(CHOOSE(Pelego!$I$34,"Brecilien","Bridgewatch","Caerleon","Fort Sterling","Lymhurst","Martlock","Thetford"),"R",Q7)</f>
        <v>BrecilienR4</v>
      </c>
      <c r="Q7" s="70">
        <v>4</v>
      </c>
      <c r="R7" s="65"/>
      <c r="S7" s="67" t="s">
        <v>98</v>
      </c>
      <c r="T7" s="96" cm="1">
        <f t="array" ref="T7">INDEX(COURO,X7,1)</f>
        <v>0</v>
      </c>
      <c r="U7" s="96" cm="1">
        <f t="array" ref="U7">INDEX(COURO,X7,2)</f>
        <v>0</v>
      </c>
      <c r="V7" s="96" cm="1">
        <f t="array" ref="V7">INDEX(COURO,X7,3)</f>
        <v>0</v>
      </c>
      <c r="W7" s="96" cm="1">
        <f t="array" ref="W7">INDEX(COURO,X7,4)</f>
        <v>0</v>
      </c>
      <c r="X7" s="69">
        <f t="shared" si="5"/>
        <v>29</v>
      </c>
      <c r="Y7" s="69" t="str">
        <f>_xlfn.CONCAT(CHOOSE(Pelego!$I$36,"Brecilien","Bridgewatch","Caerleon","Fort Sterling","Lymhurst","Martlock","Thetford"),"R",Z7)</f>
        <v>BrecilienR4</v>
      </c>
      <c r="Z7" s="70">
        <v>4</v>
      </c>
    </row>
    <row r="8" spans="1:26" x14ac:dyDescent="0.25">
      <c r="A8" s="67" t="s">
        <v>99</v>
      </c>
      <c r="B8" s="96" cm="1">
        <f t="array" ref="B8">INDEX(PELEGO,F8,1)</f>
        <v>6289</v>
      </c>
      <c r="C8" s="96" t="str" cm="1">
        <f t="array" ref="C8">INDEX(PELEGO,F8,2)</f>
        <v>2024-12-25T15:40:00</v>
      </c>
      <c r="D8" s="96" cm="1">
        <f t="array" ref="D8">INDEX(PELEGO,F8,3)</f>
        <v>0</v>
      </c>
      <c r="E8" s="96" cm="1">
        <f t="array" ref="E8">INDEX(PELEGO,F8,4)</f>
        <v>0</v>
      </c>
      <c r="F8" s="69">
        <f t="shared" si="3"/>
        <v>36</v>
      </c>
      <c r="G8" s="69" t="str">
        <f>_xlfn.CONCAT(CHOOSE(Pelego!$I$32,"Brecilien","Bridgewatch","Caerleon","Fort Sterling","Lymhurst","Martlock","Thetford"),"B",H8)</f>
        <v>BrecilienB5</v>
      </c>
      <c r="H8" s="70">
        <v>5</v>
      </c>
      <c r="I8" s="65"/>
      <c r="J8" s="67" t="s">
        <v>99</v>
      </c>
      <c r="K8" s="96" cm="1">
        <f t="array" ref="K8">INDEX(COURO,O8,1)</f>
        <v>9990</v>
      </c>
      <c r="L8" s="96" t="str" cm="1">
        <f t="array" ref="L8">INDEX(COURO,O8,2)</f>
        <v>2024-12-25T16:25:00</v>
      </c>
      <c r="M8" s="96" cm="1">
        <f t="array" ref="M8">INDEX(COURO,O8,3)</f>
        <v>8101</v>
      </c>
      <c r="N8" s="96" t="str" cm="1">
        <f t="array" ref="N8">INDEX(COURO,O8,4)</f>
        <v>2024-12-25T15:40:00</v>
      </c>
      <c r="O8" s="69">
        <f t="shared" si="4"/>
        <v>36</v>
      </c>
      <c r="P8" s="69" t="str">
        <f>_xlfn.CONCAT(CHOOSE(Pelego!$I$34,"Brecilien","Bridgewatch","Caerleon","Fort Sterling","Lymhurst","Martlock","Thetford"),"R",Q8)</f>
        <v>BrecilienR5</v>
      </c>
      <c r="Q8" s="70">
        <v>5</v>
      </c>
      <c r="R8" s="65"/>
      <c r="S8" s="67" t="s">
        <v>99</v>
      </c>
      <c r="T8" s="96" cm="1">
        <f t="array" ref="T8">INDEX(COURO,X8,1)</f>
        <v>9990</v>
      </c>
      <c r="U8" s="96" t="str" cm="1">
        <f t="array" ref="U8">INDEX(COURO,X8,2)</f>
        <v>2024-12-25T16:25:00</v>
      </c>
      <c r="V8" s="96" cm="1">
        <f t="array" ref="V8">INDEX(COURO,X8,3)</f>
        <v>8101</v>
      </c>
      <c r="W8" s="96" t="str" cm="1">
        <f t="array" ref="W8">INDEX(COURO,X8,4)</f>
        <v>2024-12-25T15:40:00</v>
      </c>
      <c r="X8" s="69">
        <f t="shared" si="5"/>
        <v>36</v>
      </c>
      <c r="Y8" s="69" t="str">
        <f>_xlfn.CONCAT(CHOOSE(Pelego!$I$36,"Brecilien","Bridgewatch","Caerleon","Fort Sterling","Lymhurst","Martlock","Thetford"),"R",Z8)</f>
        <v>BrecilienR5</v>
      </c>
      <c r="Z8" s="70">
        <v>5</v>
      </c>
    </row>
    <row r="9" spans="1:26" x14ac:dyDescent="0.25">
      <c r="A9" s="67" t="s">
        <v>100</v>
      </c>
      <c r="B9" s="96" cm="1">
        <f t="array" ref="B9">INDEX(PELEGO,F9,1)</f>
        <v>0</v>
      </c>
      <c r="C9" s="96" cm="1">
        <f t="array" ref="C9">INDEX(PELEGO,F9,2)</f>
        <v>0</v>
      </c>
      <c r="D9" s="96" cm="1">
        <f t="array" ref="D9">INDEX(PELEGO,F9,3)</f>
        <v>0</v>
      </c>
      <c r="E9" s="96" cm="1">
        <f t="array" ref="E9">INDEX(PELEGO,F9,4)</f>
        <v>0</v>
      </c>
      <c r="F9" s="69">
        <f t="shared" si="3"/>
        <v>43</v>
      </c>
      <c r="G9" s="69" t="str">
        <f>_xlfn.CONCAT(CHOOSE(Pelego!$I$32,"Brecilien","Bridgewatch","Caerleon","Fort Sterling","Lymhurst","Martlock","Thetford"),"B",H9)</f>
        <v>BrecilienB6</v>
      </c>
      <c r="H9" s="70">
        <v>6</v>
      </c>
      <c r="I9" s="65"/>
      <c r="J9" s="67" t="s">
        <v>100</v>
      </c>
      <c r="K9" s="96" cm="1">
        <f t="array" ref="K9">INDEX(COURO,O9,1)</f>
        <v>0</v>
      </c>
      <c r="L9" s="96" cm="1">
        <f t="array" ref="L9">INDEX(COURO,O9,2)</f>
        <v>0</v>
      </c>
      <c r="M9" s="96" cm="1">
        <f t="array" ref="M9">INDEX(COURO,O9,3)</f>
        <v>0</v>
      </c>
      <c r="N9" s="96" cm="1">
        <f t="array" ref="N9">INDEX(COURO,O9,4)</f>
        <v>0</v>
      </c>
      <c r="O9" s="69">
        <f t="shared" si="4"/>
        <v>43</v>
      </c>
      <c r="P9" s="69" t="str">
        <f>_xlfn.CONCAT(CHOOSE(Pelego!$I$34,"Brecilien","Bridgewatch","Caerleon","Fort Sterling","Lymhurst","Martlock","Thetford"),"R",Q9)</f>
        <v>BrecilienR6</v>
      </c>
      <c r="Q9" s="70">
        <v>6</v>
      </c>
      <c r="R9" s="65"/>
      <c r="S9" s="67" t="s">
        <v>100</v>
      </c>
      <c r="T9" s="96" cm="1">
        <f t="array" ref="T9">INDEX(COURO,X9,1)</f>
        <v>0</v>
      </c>
      <c r="U9" s="96" cm="1">
        <f t="array" ref="U9">INDEX(COURO,X9,2)</f>
        <v>0</v>
      </c>
      <c r="V9" s="96" cm="1">
        <f t="array" ref="V9">INDEX(COURO,X9,3)</f>
        <v>0</v>
      </c>
      <c r="W9" s="96" cm="1">
        <f t="array" ref="W9">INDEX(COURO,X9,4)</f>
        <v>0</v>
      </c>
      <c r="X9" s="69">
        <f t="shared" si="5"/>
        <v>43</v>
      </c>
      <c r="Y9" s="69" t="str">
        <f>_xlfn.CONCAT(CHOOSE(Pelego!$I$36,"Brecilien","Bridgewatch","Caerleon","Fort Sterling","Lymhurst","Martlock","Thetford"),"R",Z9)</f>
        <v>BrecilienR6</v>
      </c>
      <c r="Z9" s="70">
        <v>6</v>
      </c>
    </row>
    <row r="10" spans="1:26" x14ac:dyDescent="0.25">
      <c r="A10" s="67" t="s">
        <v>101</v>
      </c>
      <c r="B10" s="96" cm="1">
        <f t="array" ref="B10">INDEX(PELEGO,F10,1)</f>
        <v>349</v>
      </c>
      <c r="C10" s="96" t="str" cm="1">
        <f t="array" ref="C10">INDEX(PELEGO,F10,2)</f>
        <v>2024-12-25T16:00:00</v>
      </c>
      <c r="D10" s="96" cm="1">
        <f t="array" ref="D10">INDEX(PELEGO,F10,3)</f>
        <v>0</v>
      </c>
      <c r="E10" s="96" cm="1">
        <f t="array" ref="E10">INDEX(PELEGO,F10,4)</f>
        <v>0</v>
      </c>
      <c r="F10" s="69">
        <f t="shared" si="3"/>
        <v>50</v>
      </c>
      <c r="G10" s="69" t="str">
        <f>_xlfn.CONCAT(CHOOSE(Pelego!$I$32,"Brecilien","Bridgewatch","Caerleon","Fort Sterling","Lymhurst","Martlock","Thetford"),"B",H10)</f>
        <v>BrecilienB7</v>
      </c>
      <c r="H10" s="70">
        <v>7</v>
      </c>
      <c r="I10" s="65"/>
      <c r="J10" s="67" t="s">
        <v>101</v>
      </c>
      <c r="K10" s="96" cm="1">
        <f t="array" ref="K10">INDEX(COURO,O10,1)</f>
        <v>1181</v>
      </c>
      <c r="L10" s="96" t="str" cm="1">
        <f t="array" ref="L10">INDEX(COURO,O10,2)</f>
        <v>2024-12-25T15:45:00</v>
      </c>
      <c r="M10" s="96" cm="1">
        <f t="array" ref="M10">INDEX(COURO,O10,3)</f>
        <v>0</v>
      </c>
      <c r="N10" s="96" cm="1">
        <f t="array" ref="N10">INDEX(COURO,O10,4)</f>
        <v>0</v>
      </c>
      <c r="O10" s="69">
        <f t="shared" si="4"/>
        <v>50</v>
      </c>
      <c r="P10" s="69" t="str">
        <f>_xlfn.CONCAT(CHOOSE(Pelego!$I$34,"Brecilien","Bridgewatch","Caerleon","Fort Sterling","Lymhurst","Martlock","Thetford"),"R",Q10)</f>
        <v>BrecilienR7</v>
      </c>
      <c r="Q10" s="70">
        <v>7</v>
      </c>
      <c r="R10" s="65"/>
      <c r="S10" s="67" t="s">
        <v>101</v>
      </c>
      <c r="T10" s="96" cm="1">
        <f t="array" ref="T10">INDEX(COURO,X10,1)</f>
        <v>1181</v>
      </c>
      <c r="U10" s="96" t="str" cm="1">
        <f t="array" ref="U10">INDEX(COURO,X10,2)</f>
        <v>2024-12-25T15:45:00</v>
      </c>
      <c r="V10" s="96" cm="1">
        <f t="array" ref="V10">INDEX(COURO,X10,3)</f>
        <v>0</v>
      </c>
      <c r="W10" s="96" cm="1">
        <f t="array" ref="W10">INDEX(COURO,X10,4)</f>
        <v>0</v>
      </c>
      <c r="X10" s="69">
        <f t="shared" si="5"/>
        <v>50</v>
      </c>
      <c r="Y10" s="69" t="str">
        <f>_xlfn.CONCAT(CHOOSE(Pelego!$I$36,"Brecilien","Bridgewatch","Caerleon","Fort Sterling","Lymhurst","Martlock","Thetford"),"R",Z10)</f>
        <v>BrecilienR7</v>
      </c>
      <c r="Z10" s="70">
        <v>7</v>
      </c>
    </row>
    <row r="11" spans="1:26" x14ac:dyDescent="0.25">
      <c r="A11" s="67" t="s">
        <v>102</v>
      </c>
      <c r="B11" s="96" cm="1">
        <f t="array" ref="B11">INDEX(PELEGO,F11,1)</f>
        <v>478</v>
      </c>
      <c r="C11" s="96" t="str" cm="1">
        <f t="array" ref="C11">INDEX(PELEGO,F11,2)</f>
        <v>2024-12-25T16:00:00</v>
      </c>
      <c r="D11" s="96" cm="1">
        <f t="array" ref="D11">INDEX(PELEGO,F11,3)</f>
        <v>0</v>
      </c>
      <c r="E11" s="96" cm="1">
        <f t="array" ref="E11">INDEX(PELEGO,F11,4)</f>
        <v>0</v>
      </c>
      <c r="F11" s="69">
        <f t="shared" si="3"/>
        <v>57</v>
      </c>
      <c r="G11" s="69" t="str">
        <f>_xlfn.CONCAT(CHOOSE(Pelego!$I$32,"Brecilien","Bridgewatch","Caerleon","Fort Sterling","Lymhurst","Martlock","Thetford"),"B",H11)</f>
        <v>BrecilienB8</v>
      </c>
      <c r="H11" s="70">
        <v>8</v>
      </c>
      <c r="I11" s="65"/>
      <c r="J11" s="67" t="s">
        <v>102</v>
      </c>
      <c r="K11" s="96" cm="1">
        <f t="array" ref="K11">INDEX(COURO,O11,1)</f>
        <v>0</v>
      </c>
      <c r="L11" s="96" cm="1">
        <f t="array" ref="L11">INDEX(COURO,O11,2)</f>
        <v>0</v>
      </c>
      <c r="M11" s="96" cm="1">
        <f t="array" ref="M11">INDEX(COURO,O11,3)</f>
        <v>0</v>
      </c>
      <c r="N11" s="96" cm="1">
        <f t="array" ref="N11">INDEX(COURO,O11,4)</f>
        <v>0</v>
      </c>
      <c r="O11" s="69">
        <f t="shared" si="4"/>
        <v>57</v>
      </c>
      <c r="P11" s="69" t="str">
        <f>_xlfn.CONCAT(CHOOSE(Pelego!$I$34,"Brecilien","Bridgewatch","Caerleon","Fort Sterling","Lymhurst","Martlock","Thetford"),"R",Q11)</f>
        <v>BrecilienR8</v>
      </c>
      <c r="Q11" s="70">
        <v>8</v>
      </c>
      <c r="R11" s="65"/>
      <c r="S11" s="67" t="s">
        <v>102</v>
      </c>
      <c r="T11" s="96" cm="1">
        <f t="array" ref="T11">INDEX(COURO,X11,1)</f>
        <v>0</v>
      </c>
      <c r="U11" s="96" cm="1">
        <f t="array" ref="U11">INDEX(COURO,X11,2)</f>
        <v>0</v>
      </c>
      <c r="V11" s="96" cm="1">
        <f t="array" ref="V11">INDEX(COURO,X11,3)</f>
        <v>0</v>
      </c>
      <c r="W11" s="96" cm="1">
        <f t="array" ref="W11">INDEX(COURO,X11,4)</f>
        <v>0</v>
      </c>
      <c r="X11" s="69">
        <f t="shared" si="5"/>
        <v>57</v>
      </c>
      <c r="Y11" s="69" t="str">
        <f>_xlfn.CONCAT(CHOOSE(Pelego!$I$36,"Brecilien","Bridgewatch","Caerleon","Fort Sterling","Lymhurst","Martlock","Thetford"),"R",Z11)</f>
        <v>BrecilienR8</v>
      </c>
      <c r="Z11" s="70">
        <v>8</v>
      </c>
    </row>
    <row r="12" spans="1:26" x14ac:dyDescent="0.25">
      <c r="A12" s="67" t="s">
        <v>103</v>
      </c>
      <c r="B12" s="96" cm="1">
        <f t="array" ref="B12">INDEX(PELEGO,F12,1)</f>
        <v>2709</v>
      </c>
      <c r="C12" s="96" t="str" cm="1">
        <f t="array" ref="C12">INDEX(PELEGO,F12,2)</f>
        <v>2024-12-25T16:00:00</v>
      </c>
      <c r="D12" s="96" cm="1">
        <f t="array" ref="D12">INDEX(PELEGO,F12,3)</f>
        <v>0</v>
      </c>
      <c r="E12" s="96" cm="1">
        <f t="array" ref="E12">INDEX(PELEGO,F12,4)</f>
        <v>0</v>
      </c>
      <c r="F12" s="69">
        <f t="shared" si="3"/>
        <v>64</v>
      </c>
      <c r="G12" s="69" t="str">
        <f>_xlfn.CONCAT(CHOOSE(Pelego!$I$32,"Brecilien","Bridgewatch","Caerleon","Fort Sterling","Lymhurst","Martlock","Thetford"),"B",H12)</f>
        <v>BrecilienB9</v>
      </c>
      <c r="H12" s="70">
        <v>9</v>
      </c>
      <c r="I12" s="65"/>
      <c r="J12" s="67" t="s">
        <v>103</v>
      </c>
      <c r="K12" s="96" cm="1">
        <f t="array" ref="K12">INDEX(COURO,O12,1)</f>
        <v>0</v>
      </c>
      <c r="L12" s="96" cm="1">
        <f t="array" ref="L12">INDEX(COURO,O12,2)</f>
        <v>0</v>
      </c>
      <c r="M12" s="96" cm="1">
        <f t="array" ref="M12">INDEX(COURO,O12,3)</f>
        <v>0</v>
      </c>
      <c r="N12" s="96" cm="1">
        <f t="array" ref="N12">INDEX(COURO,O12,4)</f>
        <v>0</v>
      </c>
      <c r="O12" s="69">
        <f t="shared" si="4"/>
        <v>64</v>
      </c>
      <c r="P12" s="69" t="str">
        <f>_xlfn.CONCAT(CHOOSE(Pelego!$I$34,"Brecilien","Bridgewatch","Caerleon","Fort Sterling","Lymhurst","Martlock","Thetford"),"R",Q12)</f>
        <v>BrecilienR9</v>
      </c>
      <c r="Q12" s="70">
        <v>9</v>
      </c>
      <c r="R12" s="65"/>
      <c r="S12" s="67" t="s">
        <v>103</v>
      </c>
      <c r="T12" s="96" cm="1">
        <f t="array" ref="T12">INDEX(COURO,X12,1)</f>
        <v>0</v>
      </c>
      <c r="U12" s="96" cm="1">
        <f t="array" ref="U12">INDEX(COURO,X12,2)</f>
        <v>0</v>
      </c>
      <c r="V12" s="96" cm="1">
        <f t="array" ref="V12">INDEX(COURO,X12,3)</f>
        <v>0</v>
      </c>
      <c r="W12" s="96" cm="1">
        <f t="array" ref="W12">INDEX(COURO,X12,4)</f>
        <v>0</v>
      </c>
      <c r="X12" s="69">
        <f t="shared" si="5"/>
        <v>64</v>
      </c>
      <c r="Y12" s="69" t="str">
        <f>_xlfn.CONCAT(CHOOSE(Pelego!$I$36,"Brecilien","Bridgewatch","Caerleon","Fort Sterling","Lymhurst","Martlock","Thetford"),"R",Z12)</f>
        <v>BrecilienR9</v>
      </c>
      <c r="Z12" s="70">
        <v>9</v>
      </c>
    </row>
    <row r="13" spans="1:26" x14ac:dyDescent="0.25">
      <c r="A13" s="67" t="s">
        <v>104</v>
      </c>
      <c r="B13" s="96" cm="1">
        <f t="array" ref="B13">INDEX(PELEGO,F13,1)</f>
        <v>0</v>
      </c>
      <c r="C13" s="96" cm="1">
        <f t="array" ref="C13">INDEX(PELEGO,F13,2)</f>
        <v>0</v>
      </c>
      <c r="D13" s="96" cm="1">
        <f t="array" ref="D13">INDEX(PELEGO,F13,3)</f>
        <v>0</v>
      </c>
      <c r="E13" s="96" cm="1">
        <f t="array" ref="E13">INDEX(PELEGO,F13,4)</f>
        <v>0</v>
      </c>
      <c r="F13" s="69">
        <f t="shared" si="3"/>
        <v>71</v>
      </c>
      <c r="G13" s="69" t="str">
        <f>_xlfn.CONCAT(CHOOSE(Pelego!$I$32,"Brecilien","Bridgewatch","Caerleon","Fort Sterling","Lymhurst","Martlock","Thetford"),"B",H13)</f>
        <v>BrecilienB10</v>
      </c>
      <c r="H13" s="70">
        <v>10</v>
      </c>
      <c r="I13" s="65"/>
      <c r="J13" s="67" t="s">
        <v>104</v>
      </c>
      <c r="K13" s="96" cm="1">
        <f t="array" ref="K13">INDEX(COURO,O13,1)</f>
        <v>0</v>
      </c>
      <c r="L13" s="96" cm="1">
        <f t="array" ref="L13">INDEX(COURO,O13,2)</f>
        <v>0</v>
      </c>
      <c r="M13" s="96" cm="1">
        <f t="array" ref="M13">INDEX(COURO,O13,3)</f>
        <v>0</v>
      </c>
      <c r="N13" s="96" cm="1">
        <f t="array" ref="N13">INDEX(COURO,O13,4)</f>
        <v>0</v>
      </c>
      <c r="O13" s="69">
        <f t="shared" si="4"/>
        <v>71</v>
      </c>
      <c r="P13" s="69" t="str">
        <f>_xlfn.CONCAT(CHOOSE(Pelego!$I$34,"Brecilien","Bridgewatch","Caerleon","Fort Sterling","Lymhurst","Martlock","Thetford"),"R",Q13)</f>
        <v>BrecilienR10</v>
      </c>
      <c r="Q13" s="70">
        <v>10</v>
      </c>
      <c r="R13" s="65"/>
      <c r="S13" s="67" t="s">
        <v>104</v>
      </c>
      <c r="T13" s="96" cm="1">
        <f t="array" ref="T13">INDEX(COURO,X13,1)</f>
        <v>0</v>
      </c>
      <c r="U13" s="96" cm="1">
        <f t="array" ref="U13">INDEX(COURO,X13,2)</f>
        <v>0</v>
      </c>
      <c r="V13" s="96" cm="1">
        <f t="array" ref="V13">INDEX(COURO,X13,3)</f>
        <v>0</v>
      </c>
      <c r="W13" s="96" cm="1">
        <f t="array" ref="W13">INDEX(COURO,X13,4)</f>
        <v>0</v>
      </c>
      <c r="X13" s="69">
        <f t="shared" si="5"/>
        <v>71</v>
      </c>
      <c r="Y13" s="69" t="str">
        <f>_xlfn.CONCAT(CHOOSE(Pelego!$I$36,"Brecilien","Bridgewatch","Caerleon","Fort Sterling","Lymhurst","Martlock","Thetford"),"R",Z13)</f>
        <v>BrecilienR10</v>
      </c>
      <c r="Z13" s="70">
        <v>10</v>
      </c>
    </row>
    <row r="14" spans="1:26" x14ac:dyDescent="0.25">
      <c r="A14" s="67" t="s">
        <v>105</v>
      </c>
      <c r="B14" s="96" cm="1">
        <f t="array" ref="B14">INDEX(PELEGO,F14,1)</f>
        <v>0</v>
      </c>
      <c r="C14" s="96" cm="1">
        <f t="array" ref="C14">INDEX(PELEGO,F14,2)</f>
        <v>0</v>
      </c>
      <c r="D14" s="96" cm="1">
        <f t="array" ref="D14">INDEX(PELEGO,F14,3)</f>
        <v>0</v>
      </c>
      <c r="E14" s="96" cm="1">
        <f t="array" ref="E14">INDEX(PELEGO,F14,4)</f>
        <v>0</v>
      </c>
      <c r="F14" s="69">
        <f t="shared" si="3"/>
        <v>78</v>
      </c>
      <c r="G14" s="69" t="str">
        <f>_xlfn.CONCAT(CHOOSE(Pelego!$I$32,"Brecilien","Bridgewatch","Caerleon","Fort Sterling","Lymhurst","Martlock","Thetford"),"B",H14)</f>
        <v>BrecilienB11</v>
      </c>
      <c r="H14" s="70">
        <v>11</v>
      </c>
      <c r="I14" s="65"/>
      <c r="J14" s="67" t="s">
        <v>105</v>
      </c>
      <c r="K14" s="96" cm="1">
        <f t="array" ref="K14">INDEX(COURO,O14,1)</f>
        <v>0</v>
      </c>
      <c r="L14" s="96" cm="1">
        <f t="array" ref="L14">INDEX(COURO,O14,2)</f>
        <v>0</v>
      </c>
      <c r="M14" s="96" cm="1">
        <f t="array" ref="M14">INDEX(COURO,O14,3)</f>
        <v>0</v>
      </c>
      <c r="N14" s="96" cm="1">
        <f t="array" ref="N14">INDEX(COURO,O14,4)</f>
        <v>0</v>
      </c>
      <c r="O14" s="69">
        <f t="shared" si="4"/>
        <v>78</v>
      </c>
      <c r="P14" s="69" t="str">
        <f>_xlfn.CONCAT(CHOOSE(Pelego!$I$34,"Brecilien","Bridgewatch","Caerleon","Fort Sterling","Lymhurst","Martlock","Thetford"),"R",Q14)</f>
        <v>BrecilienR11</v>
      </c>
      <c r="Q14" s="70">
        <v>11</v>
      </c>
      <c r="R14" s="65"/>
      <c r="S14" s="67" t="s">
        <v>105</v>
      </c>
      <c r="T14" s="96" cm="1">
        <f t="array" ref="T14">INDEX(COURO,X14,1)</f>
        <v>0</v>
      </c>
      <c r="U14" s="96" cm="1">
        <f t="array" ref="U14">INDEX(COURO,X14,2)</f>
        <v>0</v>
      </c>
      <c r="V14" s="96" cm="1">
        <f t="array" ref="V14">INDEX(COURO,X14,3)</f>
        <v>0</v>
      </c>
      <c r="W14" s="96" cm="1">
        <f t="array" ref="W14">INDEX(COURO,X14,4)</f>
        <v>0</v>
      </c>
      <c r="X14" s="69">
        <f t="shared" si="5"/>
        <v>78</v>
      </c>
      <c r="Y14" s="69" t="str">
        <f>_xlfn.CONCAT(CHOOSE(Pelego!$I$36,"Brecilien","Bridgewatch","Caerleon","Fort Sterling","Lymhurst","Martlock","Thetford"),"R",Z14)</f>
        <v>BrecilienR11</v>
      </c>
      <c r="Z14" s="70">
        <v>11</v>
      </c>
    </row>
    <row r="15" spans="1:26" x14ac:dyDescent="0.25">
      <c r="A15" s="67" t="s">
        <v>106</v>
      </c>
      <c r="B15" s="96" cm="1">
        <f t="array" ref="B15">INDEX(PELEGO,F15,1)</f>
        <v>1303</v>
      </c>
      <c r="C15" s="96" t="str" cm="1">
        <f t="array" ref="C15">INDEX(PELEGO,F15,2)</f>
        <v>2024-12-25T16:00:00</v>
      </c>
      <c r="D15" s="96" cm="1">
        <f t="array" ref="D15">INDEX(PELEGO,F15,3)</f>
        <v>0</v>
      </c>
      <c r="E15" s="96" cm="1">
        <f t="array" ref="E15">INDEX(PELEGO,F15,4)</f>
        <v>0</v>
      </c>
      <c r="F15" s="69">
        <f t="shared" si="3"/>
        <v>85</v>
      </c>
      <c r="G15" s="69" t="str">
        <f>_xlfn.CONCAT(CHOOSE(Pelego!$I$32,"Brecilien","Bridgewatch","Caerleon","Fort Sterling","Lymhurst","Martlock","Thetford"),"B",H15)</f>
        <v>BrecilienB12</v>
      </c>
      <c r="H15" s="70">
        <v>12</v>
      </c>
      <c r="I15" s="65"/>
      <c r="J15" s="67" t="s">
        <v>106</v>
      </c>
      <c r="K15" s="96" cm="1">
        <f t="array" ref="K15">INDEX(COURO,O15,1)</f>
        <v>0</v>
      </c>
      <c r="L15" s="96" cm="1">
        <f t="array" ref="L15">INDEX(COURO,O15,2)</f>
        <v>0</v>
      </c>
      <c r="M15" s="96" cm="1">
        <f t="array" ref="M15">INDEX(COURO,O15,3)</f>
        <v>0</v>
      </c>
      <c r="N15" s="96" cm="1">
        <f t="array" ref="N15">INDEX(COURO,O15,4)</f>
        <v>0</v>
      </c>
      <c r="O15" s="69">
        <f t="shared" si="4"/>
        <v>85</v>
      </c>
      <c r="P15" s="69" t="str">
        <f>_xlfn.CONCAT(CHOOSE(Pelego!$I$34,"Brecilien","Bridgewatch","Caerleon","Fort Sterling","Lymhurst","Martlock","Thetford"),"R",Q15)</f>
        <v>BrecilienR12</v>
      </c>
      <c r="Q15" s="70">
        <v>12</v>
      </c>
      <c r="R15" s="65"/>
      <c r="S15" s="67" t="s">
        <v>106</v>
      </c>
      <c r="T15" s="96" cm="1">
        <f t="array" ref="T15">INDEX(COURO,X15,1)</f>
        <v>0</v>
      </c>
      <c r="U15" s="96" cm="1">
        <f t="array" ref="U15">INDEX(COURO,X15,2)</f>
        <v>0</v>
      </c>
      <c r="V15" s="96" cm="1">
        <f t="array" ref="V15">INDEX(COURO,X15,3)</f>
        <v>0</v>
      </c>
      <c r="W15" s="96" cm="1">
        <f t="array" ref="W15">INDEX(COURO,X15,4)</f>
        <v>0</v>
      </c>
      <c r="X15" s="69">
        <f t="shared" si="5"/>
        <v>85</v>
      </c>
      <c r="Y15" s="69" t="str">
        <f>_xlfn.CONCAT(CHOOSE(Pelego!$I$36,"Brecilien","Bridgewatch","Caerleon","Fort Sterling","Lymhurst","Martlock","Thetford"),"R",Z15)</f>
        <v>BrecilienR12</v>
      </c>
      <c r="Z15" s="70">
        <v>12</v>
      </c>
    </row>
    <row r="16" spans="1:26" x14ac:dyDescent="0.25">
      <c r="A16" s="67" t="s">
        <v>107</v>
      </c>
      <c r="B16" s="96" cm="1">
        <f t="array" ref="B16">INDEX(PELEGO,F16,1)</f>
        <v>2470</v>
      </c>
      <c r="C16" s="96" t="str" cm="1">
        <f t="array" ref="C16">INDEX(PELEGO,F16,2)</f>
        <v>2024-12-25T16:00:00</v>
      </c>
      <c r="D16" s="96" cm="1">
        <f t="array" ref="D16">INDEX(PELEGO,F16,3)</f>
        <v>0</v>
      </c>
      <c r="E16" s="96" cm="1">
        <f t="array" ref="E16">INDEX(PELEGO,F16,4)</f>
        <v>0</v>
      </c>
      <c r="F16" s="69">
        <f t="shared" si="3"/>
        <v>92</v>
      </c>
      <c r="G16" s="69" t="str">
        <f>_xlfn.CONCAT(CHOOSE(Pelego!$I$32,"Brecilien","Bridgewatch","Caerleon","Fort Sterling","Lymhurst","Martlock","Thetford"),"B",H16)</f>
        <v>BrecilienB13</v>
      </c>
      <c r="H16" s="70">
        <v>13</v>
      </c>
      <c r="I16" s="65"/>
      <c r="J16" s="67" t="s">
        <v>107</v>
      </c>
      <c r="K16" s="96" cm="1">
        <f t="array" ref="K16">INDEX(COURO,O16,1)</f>
        <v>0</v>
      </c>
      <c r="L16" s="96" cm="1">
        <f t="array" ref="L16">INDEX(COURO,O16,2)</f>
        <v>0</v>
      </c>
      <c r="M16" s="96" cm="1">
        <f t="array" ref="M16">INDEX(COURO,O16,3)</f>
        <v>0</v>
      </c>
      <c r="N16" s="96" cm="1">
        <f t="array" ref="N16">INDEX(COURO,O16,4)</f>
        <v>0</v>
      </c>
      <c r="O16" s="69">
        <f t="shared" si="4"/>
        <v>92</v>
      </c>
      <c r="P16" s="69" t="str">
        <f>_xlfn.CONCAT(CHOOSE(Pelego!$I$34,"Brecilien","Bridgewatch","Caerleon","Fort Sterling","Lymhurst","Martlock","Thetford"),"R",Q16)</f>
        <v>BrecilienR13</v>
      </c>
      <c r="Q16" s="70">
        <v>13</v>
      </c>
      <c r="R16" s="65"/>
      <c r="S16" s="67" t="s">
        <v>107</v>
      </c>
      <c r="T16" s="96" cm="1">
        <f t="array" ref="T16">INDEX(COURO,X16,1)</f>
        <v>0</v>
      </c>
      <c r="U16" s="96" cm="1">
        <f t="array" ref="U16">INDEX(COURO,X16,2)</f>
        <v>0</v>
      </c>
      <c r="V16" s="96" cm="1">
        <f t="array" ref="V16">INDEX(COURO,X16,3)</f>
        <v>0</v>
      </c>
      <c r="W16" s="96" cm="1">
        <f t="array" ref="W16">INDEX(COURO,X16,4)</f>
        <v>0</v>
      </c>
      <c r="X16" s="69">
        <f t="shared" si="5"/>
        <v>92</v>
      </c>
      <c r="Y16" s="69" t="str">
        <f>_xlfn.CONCAT(CHOOSE(Pelego!$I$36,"Brecilien","Bridgewatch","Caerleon","Fort Sterling","Lymhurst","Martlock","Thetford"),"R",Z16)</f>
        <v>BrecilienR13</v>
      </c>
      <c r="Z16" s="70">
        <v>13</v>
      </c>
    </row>
    <row r="17" spans="1:26" x14ac:dyDescent="0.25">
      <c r="A17" s="67" t="s">
        <v>108</v>
      </c>
      <c r="B17" s="96" cm="1">
        <f t="array" ref="B17">INDEX(PELEGO,F17,1)</f>
        <v>8278</v>
      </c>
      <c r="C17" s="96" t="str" cm="1">
        <f t="array" ref="C17">INDEX(PELEGO,F17,2)</f>
        <v>2024-12-25T16:35:00</v>
      </c>
      <c r="D17" s="96" cm="1">
        <f t="array" ref="D17">INDEX(PELEGO,F17,3)</f>
        <v>0</v>
      </c>
      <c r="E17" s="96" cm="1">
        <f t="array" ref="E17">INDEX(PELEGO,F17,4)</f>
        <v>0</v>
      </c>
      <c r="F17" s="69">
        <f t="shared" si="3"/>
        <v>99</v>
      </c>
      <c r="G17" s="69" t="str">
        <f>_xlfn.CONCAT(CHOOSE(Pelego!$I$32,"Brecilien","Bridgewatch","Caerleon","Fort Sterling","Lymhurst","Martlock","Thetford"),"B",H17)</f>
        <v>BrecilienB14</v>
      </c>
      <c r="H17" s="70">
        <v>14</v>
      </c>
      <c r="I17" s="65"/>
      <c r="J17" s="67" t="s">
        <v>108</v>
      </c>
      <c r="K17" s="96" cm="1">
        <f t="array" ref="K17">INDEX(COURO,O17,1)</f>
        <v>0</v>
      </c>
      <c r="L17" s="96" cm="1">
        <f t="array" ref="L17">INDEX(COURO,O17,2)</f>
        <v>0</v>
      </c>
      <c r="M17" s="96" cm="1">
        <f t="array" ref="M17">INDEX(COURO,O17,3)</f>
        <v>0</v>
      </c>
      <c r="N17" s="96" cm="1">
        <f t="array" ref="N17">INDEX(COURO,O17,4)</f>
        <v>0</v>
      </c>
      <c r="O17" s="69">
        <f t="shared" si="4"/>
        <v>99</v>
      </c>
      <c r="P17" s="69" t="str">
        <f>_xlfn.CONCAT(CHOOSE(Pelego!$I$34,"Brecilien","Bridgewatch","Caerleon","Fort Sterling","Lymhurst","Martlock","Thetford"),"R",Q17)</f>
        <v>BrecilienR14</v>
      </c>
      <c r="Q17" s="70">
        <v>14</v>
      </c>
      <c r="R17" s="65"/>
      <c r="S17" s="67" t="s">
        <v>108</v>
      </c>
      <c r="T17" s="96" cm="1">
        <f t="array" ref="T17">INDEX(COURO,X17,1)</f>
        <v>0</v>
      </c>
      <c r="U17" s="96" cm="1">
        <f t="array" ref="U17">INDEX(COURO,X17,2)</f>
        <v>0</v>
      </c>
      <c r="V17" s="96" cm="1">
        <f t="array" ref="V17">INDEX(COURO,X17,3)</f>
        <v>0</v>
      </c>
      <c r="W17" s="96" cm="1">
        <f t="array" ref="W17">INDEX(COURO,X17,4)</f>
        <v>0</v>
      </c>
      <c r="X17" s="69">
        <f t="shared" si="5"/>
        <v>99</v>
      </c>
      <c r="Y17" s="69" t="str">
        <f>_xlfn.CONCAT(CHOOSE(Pelego!$I$36,"Brecilien","Bridgewatch","Caerleon","Fort Sterling","Lymhurst","Martlock","Thetford"),"R",Z17)</f>
        <v>BrecilienR14</v>
      </c>
      <c r="Z17" s="70">
        <v>14</v>
      </c>
    </row>
    <row r="18" spans="1:26" x14ac:dyDescent="0.25">
      <c r="A18" s="67" t="s">
        <v>109</v>
      </c>
      <c r="B18" s="96" cm="1">
        <f t="array" ref="B18">INDEX(PELEGO,F18,1)</f>
        <v>0</v>
      </c>
      <c r="C18" s="96" cm="1">
        <f t="array" ref="C18">INDEX(PELEGO,F18,2)</f>
        <v>0</v>
      </c>
      <c r="D18" s="96" cm="1">
        <f t="array" ref="D18">INDEX(PELEGO,F18,3)</f>
        <v>0</v>
      </c>
      <c r="E18" s="96" cm="1">
        <f t="array" ref="E18">INDEX(PELEGO,F18,4)</f>
        <v>0</v>
      </c>
      <c r="F18" s="69">
        <f t="shared" si="3"/>
        <v>106</v>
      </c>
      <c r="G18" s="69" t="str">
        <f>_xlfn.CONCAT(CHOOSE(Pelego!$I$32,"Brecilien","Bridgewatch","Caerleon","Fort Sterling","Lymhurst","Martlock","Thetford"),"B",H18)</f>
        <v>BrecilienB15</v>
      </c>
      <c r="H18" s="70">
        <v>15</v>
      </c>
      <c r="I18" s="65"/>
      <c r="J18" s="67" t="s">
        <v>109</v>
      </c>
      <c r="K18" s="96" cm="1">
        <f t="array" ref="K18">INDEX(COURO,O18,1)</f>
        <v>83473</v>
      </c>
      <c r="L18" s="96" t="str" cm="1">
        <f t="array" ref="L18">INDEX(COURO,O18,2)</f>
        <v>2024-12-25T02:35:00</v>
      </c>
      <c r="M18" s="96" cm="1">
        <f t="array" ref="M18">INDEX(COURO,O18,3)</f>
        <v>0</v>
      </c>
      <c r="N18" s="96" cm="1">
        <f t="array" ref="N18">INDEX(COURO,O18,4)</f>
        <v>0</v>
      </c>
      <c r="O18" s="69">
        <f t="shared" si="4"/>
        <v>106</v>
      </c>
      <c r="P18" s="69" t="str">
        <f>_xlfn.CONCAT(CHOOSE(Pelego!$I$34,"Brecilien","Bridgewatch","Caerleon","Fort Sterling","Lymhurst","Martlock","Thetford"),"R",Q18)</f>
        <v>BrecilienR15</v>
      </c>
      <c r="Q18" s="70">
        <v>15</v>
      </c>
      <c r="R18" s="65"/>
      <c r="S18" s="67" t="s">
        <v>109</v>
      </c>
      <c r="T18" s="96" cm="1">
        <f t="array" ref="T18">INDEX(COURO,X18,1)</f>
        <v>83473</v>
      </c>
      <c r="U18" s="96" t="str" cm="1">
        <f t="array" ref="U18">INDEX(COURO,X18,2)</f>
        <v>2024-12-25T02:35:00</v>
      </c>
      <c r="V18" s="96" cm="1">
        <f t="array" ref="V18">INDEX(COURO,X18,3)</f>
        <v>0</v>
      </c>
      <c r="W18" s="96" cm="1">
        <f t="array" ref="W18">INDEX(COURO,X18,4)</f>
        <v>0</v>
      </c>
      <c r="X18" s="69">
        <f t="shared" si="5"/>
        <v>106</v>
      </c>
      <c r="Y18" s="69" t="str">
        <f>_xlfn.CONCAT(CHOOSE(Pelego!$I$36,"Brecilien","Bridgewatch","Caerleon","Fort Sterling","Lymhurst","Martlock","Thetford"),"R",Z18)</f>
        <v>BrecilienR15</v>
      </c>
      <c r="Z18" s="70">
        <v>15</v>
      </c>
    </row>
    <row r="19" spans="1:26" x14ac:dyDescent="0.25">
      <c r="A19" s="67" t="s">
        <v>110</v>
      </c>
      <c r="B19" s="96" cm="1">
        <f t="array" ref="B19">INDEX(PELEGO,F19,1)</f>
        <v>0</v>
      </c>
      <c r="C19" s="96" cm="1">
        <f t="array" ref="C19">INDEX(PELEGO,F19,2)</f>
        <v>0</v>
      </c>
      <c r="D19" s="96" cm="1">
        <f t="array" ref="D19">INDEX(PELEGO,F19,3)</f>
        <v>0</v>
      </c>
      <c r="E19" s="96" cm="1">
        <f t="array" ref="E19">INDEX(PELEGO,F19,4)</f>
        <v>0</v>
      </c>
      <c r="F19" s="69">
        <f t="shared" si="3"/>
        <v>113</v>
      </c>
      <c r="G19" s="69" t="str">
        <f>_xlfn.CONCAT(CHOOSE(Pelego!$I$32,"Brecilien","Bridgewatch","Caerleon","Fort Sterling","Lymhurst","Martlock","Thetford"),"B",H19)</f>
        <v>BrecilienB16</v>
      </c>
      <c r="H19" s="70">
        <v>16</v>
      </c>
      <c r="I19" s="65"/>
      <c r="J19" s="67" t="s">
        <v>110</v>
      </c>
      <c r="K19" s="96" cm="1">
        <f t="array" ref="K19">INDEX(COURO,O19,1)</f>
        <v>0</v>
      </c>
      <c r="L19" s="96" cm="1">
        <f t="array" ref="L19">INDEX(COURO,O19,2)</f>
        <v>0</v>
      </c>
      <c r="M19" s="96" cm="1">
        <f t="array" ref="M19">INDEX(COURO,O19,3)</f>
        <v>0</v>
      </c>
      <c r="N19" s="96" cm="1">
        <f t="array" ref="N19">INDEX(COURO,O19,4)</f>
        <v>0</v>
      </c>
      <c r="O19" s="69">
        <f t="shared" si="4"/>
        <v>113</v>
      </c>
      <c r="P19" s="69" t="str">
        <f>_xlfn.CONCAT(CHOOSE(Pelego!$I$34,"Brecilien","Bridgewatch","Caerleon","Fort Sterling","Lymhurst","Martlock","Thetford"),"R",Q19)</f>
        <v>BrecilienR16</v>
      </c>
      <c r="Q19" s="70">
        <v>16</v>
      </c>
      <c r="R19" s="65"/>
      <c r="S19" s="67" t="s">
        <v>110</v>
      </c>
      <c r="T19" s="96" cm="1">
        <f t="array" ref="T19">INDEX(COURO,X19,1)</f>
        <v>0</v>
      </c>
      <c r="U19" s="96" cm="1">
        <f t="array" ref="U19">INDEX(COURO,X19,2)</f>
        <v>0</v>
      </c>
      <c r="V19" s="96" cm="1">
        <f t="array" ref="V19">INDEX(COURO,X19,3)</f>
        <v>0</v>
      </c>
      <c r="W19" s="96" cm="1">
        <f t="array" ref="W19">INDEX(COURO,X19,4)</f>
        <v>0</v>
      </c>
      <c r="X19" s="69">
        <f t="shared" si="5"/>
        <v>113</v>
      </c>
      <c r="Y19" s="69" t="str">
        <f>_xlfn.CONCAT(CHOOSE(Pelego!$I$36,"Brecilien","Bridgewatch","Caerleon","Fort Sterling","Lymhurst","Martlock","Thetford"),"R",Z19)</f>
        <v>BrecilienR16</v>
      </c>
      <c r="Z19" s="70">
        <v>16</v>
      </c>
    </row>
    <row r="20" spans="1:26" x14ac:dyDescent="0.25">
      <c r="A20" s="67" t="s">
        <v>111</v>
      </c>
      <c r="B20" s="96" cm="1">
        <f t="array" ref="B20">INDEX(PELEGO,F20,1)</f>
        <v>0</v>
      </c>
      <c r="C20" s="96" cm="1">
        <f t="array" ref="C20">INDEX(PELEGO,F20,2)</f>
        <v>0</v>
      </c>
      <c r="D20" s="96" cm="1">
        <f t="array" ref="D20">INDEX(PELEGO,F20,3)</f>
        <v>0</v>
      </c>
      <c r="E20" s="96" cm="1">
        <f t="array" ref="E20">INDEX(PELEGO,F20,4)</f>
        <v>0</v>
      </c>
      <c r="F20" s="69">
        <f t="shared" si="3"/>
        <v>120</v>
      </c>
      <c r="G20" s="69" t="str">
        <f>_xlfn.CONCAT(CHOOSE(Pelego!$I$32,"Brecilien","Bridgewatch","Caerleon","Fort Sterling","Lymhurst","Martlock","Thetford"),"B",H20)</f>
        <v>BrecilienB17</v>
      </c>
      <c r="H20" s="70">
        <v>17</v>
      </c>
      <c r="I20" s="65"/>
      <c r="J20" s="67" t="s">
        <v>111</v>
      </c>
      <c r="K20" s="96" cm="1">
        <f t="array" ref="K20">INDEX(COURO,O20,1)</f>
        <v>0</v>
      </c>
      <c r="L20" s="96" cm="1">
        <f t="array" ref="L20">INDEX(COURO,O20,2)</f>
        <v>0</v>
      </c>
      <c r="M20" s="96" cm="1">
        <f t="array" ref="M20">INDEX(COURO,O20,3)</f>
        <v>0</v>
      </c>
      <c r="N20" s="96" cm="1">
        <f t="array" ref="N20">INDEX(COURO,O20,4)</f>
        <v>0</v>
      </c>
      <c r="O20" s="69">
        <f t="shared" si="4"/>
        <v>120</v>
      </c>
      <c r="P20" s="69" t="str">
        <f>_xlfn.CONCAT(CHOOSE(Pelego!$I$34,"Brecilien","Bridgewatch","Caerleon","Fort Sterling","Lymhurst","Martlock","Thetford"),"R",Q20)</f>
        <v>BrecilienR17</v>
      </c>
      <c r="Q20" s="70">
        <v>17</v>
      </c>
      <c r="R20" s="65"/>
      <c r="S20" s="67" t="s">
        <v>111</v>
      </c>
      <c r="T20" s="96" cm="1">
        <f t="array" ref="T20">INDEX(COURO,X20,1)</f>
        <v>0</v>
      </c>
      <c r="U20" s="96" cm="1">
        <f t="array" ref="U20">INDEX(COURO,X20,2)</f>
        <v>0</v>
      </c>
      <c r="V20" s="96" cm="1">
        <f t="array" ref="V20">INDEX(COURO,X20,3)</f>
        <v>0</v>
      </c>
      <c r="W20" s="96" cm="1">
        <f t="array" ref="W20">INDEX(COURO,X20,4)</f>
        <v>0</v>
      </c>
      <c r="X20" s="69">
        <f t="shared" si="5"/>
        <v>120</v>
      </c>
      <c r="Y20" s="69" t="str">
        <f>_xlfn.CONCAT(CHOOSE(Pelego!$I$36,"Brecilien","Bridgewatch","Caerleon","Fort Sterling","Lymhurst","Martlock","Thetford"),"R",Z20)</f>
        <v>BrecilienR17</v>
      </c>
      <c r="Z20" s="70">
        <v>17</v>
      </c>
    </row>
    <row r="21" spans="1:26" x14ac:dyDescent="0.25">
      <c r="A21" s="67" t="s">
        <v>112</v>
      </c>
      <c r="B21" s="96" cm="1">
        <f t="array" ref="B21">INDEX(PELEGO,F21,1)</f>
        <v>0</v>
      </c>
      <c r="C21" s="96" cm="1">
        <f t="array" ref="C21">INDEX(PELEGO,F21,2)</f>
        <v>0</v>
      </c>
      <c r="D21" s="96" cm="1">
        <f t="array" ref="D21">INDEX(PELEGO,F21,3)</f>
        <v>0</v>
      </c>
      <c r="E21" s="96" cm="1">
        <f t="array" ref="E21">INDEX(PELEGO,F21,4)</f>
        <v>0</v>
      </c>
      <c r="F21" s="69">
        <f t="shared" si="3"/>
        <v>127</v>
      </c>
      <c r="G21" s="69" t="str">
        <f>_xlfn.CONCAT(CHOOSE(Pelego!$I$32,"Brecilien","Bridgewatch","Caerleon","Fort Sterling","Lymhurst","Martlock","Thetford"),"B",H21)</f>
        <v>BrecilienB18</v>
      </c>
      <c r="H21" s="70">
        <v>18</v>
      </c>
      <c r="I21" s="65"/>
      <c r="J21" s="67" t="s">
        <v>112</v>
      </c>
      <c r="K21" s="96" cm="1">
        <f t="array" ref="K21">INDEX(COURO,O21,1)</f>
        <v>0</v>
      </c>
      <c r="L21" s="96" cm="1">
        <f t="array" ref="L21">INDEX(COURO,O21,2)</f>
        <v>0</v>
      </c>
      <c r="M21" s="96" cm="1">
        <f t="array" ref="M21">INDEX(COURO,O21,3)</f>
        <v>0</v>
      </c>
      <c r="N21" s="96" cm="1">
        <f t="array" ref="N21">INDEX(COURO,O21,4)</f>
        <v>0</v>
      </c>
      <c r="O21" s="69">
        <f t="shared" si="4"/>
        <v>127</v>
      </c>
      <c r="P21" s="69" t="str">
        <f>_xlfn.CONCAT(CHOOSE(Pelego!$I$34,"Brecilien","Bridgewatch","Caerleon","Fort Sterling","Lymhurst","Martlock","Thetford"),"R",Q21)</f>
        <v>BrecilienR18</v>
      </c>
      <c r="Q21" s="70">
        <v>18</v>
      </c>
      <c r="R21" s="65"/>
      <c r="S21" s="67" t="s">
        <v>112</v>
      </c>
      <c r="T21" s="96" cm="1">
        <f t="array" ref="T21">INDEX(COURO,X21,1)</f>
        <v>0</v>
      </c>
      <c r="U21" s="96" cm="1">
        <f t="array" ref="U21">INDEX(COURO,X21,2)</f>
        <v>0</v>
      </c>
      <c r="V21" s="96" cm="1">
        <f t="array" ref="V21">INDEX(COURO,X21,3)</f>
        <v>0</v>
      </c>
      <c r="W21" s="96" cm="1">
        <f t="array" ref="W21">INDEX(COURO,X21,4)</f>
        <v>0</v>
      </c>
      <c r="X21" s="69">
        <f t="shared" si="5"/>
        <v>127</v>
      </c>
      <c r="Y21" s="69" t="str">
        <f>_xlfn.CONCAT(CHOOSE(Pelego!$I$36,"Brecilien","Bridgewatch","Caerleon","Fort Sterling","Lymhurst","Martlock","Thetford"),"R",Z21)</f>
        <v>BrecilienR18</v>
      </c>
      <c r="Z21" s="70">
        <v>18</v>
      </c>
    </row>
    <row r="22" spans="1:26" x14ac:dyDescent="0.25">
      <c r="A22" s="67" t="s">
        <v>113</v>
      </c>
      <c r="B22" s="96" cm="1">
        <f t="array" ref="B22">INDEX(PELEGO,F22,1)</f>
        <v>0</v>
      </c>
      <c r="C22" s="96" cm="1">
        <f t="array" ref="C22">INDEX(PELEGO,F22,2)</f>
        <v>0</v>
      </c>
      <c r="D22" s="96" cm="1">
        <f t="array" ref="D22">INDEX(PELEGO,F22,3)</f>
        <v>0</v>
      </c>
      <c r="E22" s="96" cm="1">
        <f t="array" ref="E22">INDEX(PELEGO,F22,4)</f>
        <v>0</v>
      </c>
      <c r="F22" s="69">
        <f t="shared" si="3"/>
        <v>134</v>
      </c>
      <c r="G22" s="69" t="str">
        <f>_xlfn.CONCAT(CHOOSE(Pelego!$I$32,"Brecilien","Bridgewatch","Caerleon","Fort Sterling","Lymhurst","Martlock","Thetford"),"B",H22)</f>
        <v>BrecilienB19</v>
      </c>
      <c r="H22" s="70">
        <v>19</v>
      </c>
      <c r="I22" s="65"/>
      <c r="J22" s="67" t="s">
        <v>113</v>
      </c>
      <c r="K22" s="96" cm="1">
        <f t="array" ref="K22">INDEX(COURO,O22,1)</f>
        <v>0</v>
      </c>
      <c r="L22" s="96" cm="1">
        <f t="array" ref="L22">INDEX(COURO,O22,2)</f>
        <v>0</v>
      </c>
      <c r="M22" s="96" cm="1">
        <f t="array" ref="M22">INDEX(COURO,O22,3)</f>
        <v>0</v>
      </c>
      <c r="N22" s="96" cm="1">
        <f t="array" ref="N22">INDEX(COURO,O22,4)</f>
        <v>0</v>
      </c>
      <c r="O22" s="69">
        <f t="shared" si="4"/>
        <v>134</v>
      </c>
      <c r="P22" s="69" t="str">
        <f>_xlfn.CONCAT(CHOOSE(Pelego!$I$34,"Brecilien","Bridgewatch","Caerleon","Fort Sterling","Lymhurst","Martlock","Thetford"),"R",Q22)</f>
        <v>BrecilienR19</v>
      </c>
      <c r="Q22" s="70">
        <v>19</v>
      </c>
      <c r="R22" s="65"/>
      <c r="S22" s="67" t="s">
        <v>113</v>
      </c>
      <c r="T22" s="96" cm="1">
        <f t="array" ref="T22">INDEX(COURO,X22,1)</f>
        <v>0</v>
      </c>
      <c r="U22" s="96" cm="1">
        <f t="array" ref="U22">INDEX(COURO,X22,2)</f>
        <v>0</v>
      </c>
      <c r="V22" s="96" cm="1">
        <f t="array" ref="V22">INDEX(COURO,X22,3)</f>
        <v>0</v>
      </c>
      <c r="W22" s="96" cm="1">
        <f t="array" ref="W22">INDEX(COURO,X22,4)</f>
        <v>0</v>
      </c>
      <c r="X22" s="69">
        <f t="shared" si="5"/>
        <v>134</v>
      </c>
      <c r="Y22" s="69" t="str">
        <f>_xlfn.CONCAT(CHOOSE(Pelego!$I$36,"Brecilien","Bridgewatch","Caerleon","Fort Sterling","Lymhurst","Martlock","Thetford"),"R",Z22)</f>
        <v>BrecilienR19</v>
      </c>
      <c r="Z22" s="70">
        <v>19</v>
      </c>
    </row>
    <row r="23" spans="1:26" x14ac:dyDescent="0.25">
      <c r="A23" s="67" t="s">
        <v>114</v>
      </c>
      <c r="B23" s="96" cm="1">
        <f t="array" ref="B23">INDEX(PELEGO,F23,1)</f>
        <v>0</v>
      </c>
      <c r="C23" s="96" cm="1">
        <f t="array" ref="C23">INDEX(PELEGO,F23,2)</f>
        <v>0</v>
      </c>
      <c r="D23" s="96" cm="1">
        <f t="array" ref="D23">INDEX(PELEGO,F23,3)</f>
        <v>0</v>
      </c>
      <c r="E23" s="96" cm="1">
        <f t="array" ref="E23">INDEX(PELEGO,F23,4)</f>
        <v>0</v>
      </c>
      <c r="F23" s="69">
        <f t="shared" si="3"/>
        <v>141</v>
      </c>
      <c r="G23" s="69" t="str">
        <f>_xlfn.CONCAT(CHOOSE(Pelego!$I$32,"Brecilien","Bridgewatch","Caerleon","Fort Sterling","Lymhurst","Martlock","Thetford"),"B",H23)</f>
        <v>BrecilienB20</v>
      </c>
      <c r="H23" s="70">
        <v>20</v>
      </c>
      <c r="I23" s="65"/>
      <c r="J23" s="67" t="s">
        <v>114</v>
      </c>
      <c r="K23" s="96" cm="1">
        <f t="array" ref="K23">INDEX(COURO,O23,1)</f>
        <v>0</v>
      </c>
      <c r="L23" s="96" cm="1">
        <f t="array" ref="L23">INDEX(COURO,O23,2)</f>
        <v>0</v>
      </c>
      <c r="M23" s="96" cm="1">
        <f t="array" ref="M23">INDEX(COURO,O23,3)</f>
        <v>0</v>
      </c>
      <c r="N23" s="96" cm="1">
        <f t="array" ref="N23">INDEX(COURO,O23,4)</f>
        <v>0</v>
      </c>
      <c r="O23" s="69">
        <f t="shared" si="4"/>
        <v>141</v>
      </c>
      <c r="P23" s="69" t="str">
        <f>_xlfn.CONCAT(CHOOSE(Pelego!$I$34,"Brecilien","Bridgewatch","Caerleon","Fort Sterling","Lymhurst","Martlock","Thetford"),"R",Q23)</f>
        <v>BrecilienR20</v>
      </c>
      <c r="Q23" s="70">
        <v>20</v>
      </c>
      <c r="R23" s="65"/>
      <c r="S23" s="67" t="s">
        <v>114</v>
      </c>
      <c r="T23" s="96" cm="1">
        <f t="array" ref="T23">INDEX(COURO,X23,1)</f>
        <v>0</v>
      </c>
      <c r="U23" s="96" cm="1">
        <f t="array" ref="U23">INDEX(COURO,X23,2)</f>
        <v>0</v>
      </c>
      <c r="V23" s="96" cm="1">
        <f t="array" ref="V23">INDEX(COURO,X23,3)</f>
        <v>0</v>
      </c>
      <c r="W23" s="96" cm="1">
        <f t="array" ref="W23">INDEX(COURO,X23,4)</f>
        <v>0</v>
      </c>
      <c r="X23" s="69">
        <f t="shared" si="5"/>
        <v>141</v>
      </c>
      <c r="Y23" s="69" t="str">
        <f>_xlfn.CONCAT(CHOOSE(Pelego!$I$36,"Brecilien","Bridgewatch","Caerleon","Fort Sterling","Lymhurst","Martlock","Thetford"),"R",Z23)</f>
        <v>BrecilienR20</v>
      </c>
      <c r="Z23" s="70">
        <v>20</v>
      </c>
    </row>
    <row r="24" spans="1:26" x14ac:dyDescent="0.25">
      <c r="A24" s="67" t="s">
        <v>115</v>
      </c>
      <c r="B24" s="96" cm="1">
        <f t="array" ref="B24">INDEX(PELEGO,F24,1)</f>
        <v>0</v>
      </c>
      <c r="C24" s="96" cm="1">
        <f t="array" ref="C24">INDEX(PELEGO,F24,2)</f>
        <v>0</v>
      </c>
      <c r="D24" s="96" cm="1">
        <f t="array" ref="D24">INDEX(PELEGO,F24,3)</f>
        <v>0</v>
      </c>
      <c r="E24" s="96" cm="1">
        <f t="array" ref="E24">INDEX(PELEGO,F24,4)</f>
        <v>0</v>
      </c>
      <c r="F24" s="69">
        <f t="shared" si="3"/>
        <v>148</v>
      </c>
      <c r="G24" s="69" t="str">
        <f>_xlfn.CONCAT(CHOOSE(Pelego!$I$32,"Brecilien","Bridgewatch","Caerleon","Fort Sterling","Lymhurst","Martlock","Thetford"),"B",H24)</f>
        <v>BrecilienB21</v>
      </c>
      <c r="H24" s="70">
        <v>21</v>
      </c>
      <c r="I24" s="65"/>
      <c r="J24" s="67" t="s">
        <v>115</v>
      </c>
      <c r="K24" s="96" cm="1">
        <f t="array" ref="K24">INDEX(COURO,O24,1)</f>
        <v>0</v>
      </c>
      <c r="L24" s="96" cm="1">
        <f t="array" ref="L24">INDEX(COURO,O24,2)</f>
        <v>0</v>
      </c>
      <c r="M24" s="96" cm="1">
        <f t="array" ref="M24">INDEX(COURO,O24,3)</f>
        <v>0</v>
      </c>
      <c r="N24" s="96" cm="1">
        <f t="array" ref="N24">INDEX(COURO,O24,4)</f>
        <v>0</v>
      </c>
      <c r="O24" s="69">
        <f t="shared" si="4"/>
        <v>148</v>
      </c>
      <c r="P24" s="69" t="str">
        <f>_xlfn.CONCAT(CHOOSE(Pelego!$I$34,"Brecilien","Bridgewatch","Caerleon","Fort Sterling","Lymhurst","Martlock","Thetford"),"R",Q24)</f>
        <v>BrecilienR21</v>
      </c>
      <c r="Q24" s="70">
        <v>21</v>
      </c>
      <c r="R24" s="65"/>
      <c r="S24" s="67" t="s">
        <v>115</v>
      </c>
      <c r="T24" s="96" cm="1">
        <f t="array" ref="T24">INDEX(COURO,X24,1)</f>
        <v>0</v>
      </c>
      <c r="U24" s="96" cm="1">
        <f t="array" ref="U24">INDEX(COURO,X24,2)</f>
        <v>0</v>
      </c>
      <c r="V24" s="96" cm="1">
        <f t="array" ref="V24">INDEX(COURO,X24,3)</f>
        <v>0</v>
      </c>
      <c r="W24" s="96" cm="1">
        <f t="array" ref="W24">INDEX(COURO,X24,4)</f>
        <v>0</v>
      </c>
      <c r="X24" s="69">
        <f t="shared" si="5"/>
        <v>148</v>
      </c>
      <c r="Y24" s="69" t="str">
        <f>_xlfn.CONCAT(CHOOSE(Pelego!$I$36,"Brecilien","Bridgewatch","Caerleon","Fort Sterling","Lymhurst","Martlock","Thetford"),"R",Z24)</f>
        <v>BrecilienR21</v>
      </c>
      <c r="Z24" s="70">
        <v>21</v>
      </c>
    </row>
    <row r="25" spans="1:26" x14ac:dyDescent="0.25">
      <c r="A25" s="67" t="s">
        <v>116</v>
      </c>
      <c r="B25" s="96" cm="1">
        <f t="array" ref="B25">INDEX(PELEGO,F25,1)</f>
        <v>9198</v>
      </c>
      <c r="C25" s="96" t="str" cm="1">
        <f t="array" ref="C25">INDEX(PELEGO,F25,2)</f>
        <v>2024-12-25T11:05:00</v>
      </c>
      <c r="D25" s="96" cm="1">
        <f t="array" ref="D25">INDEX(PELEGO,F25,3)</f>
        <v>0</v>
      </c>
      <c r="E25" s="96" cm="1">
        <f t="array" ref="E25">INDEX(PELEGO,F25,4)</f>
        <v>0</v>
      </c>
      <c r="F25" s="69">
        <f t="shared" si="3"/>
        <v>155</v>
      </c>
      <c r="G25" s="69" t="str">
        <f>_xlfn.CONCAT(CHOOSE(Pelego!$I$32,"Brecilien","Bridgewatch","Caerleon","Fort Sterling","Lymhurst","Martlock","Thetford"),"B",H25)</f>
        <v>BrecilienB22</v>
      </c>
      <c r="H25" s="70">
        <v>22</v>
      </c>
      <c r="I25" s="65"/>
      <c r="J25" s="67" t="s">
        <v>116</v>
      </c>
      <c r="K25" s="96" cm="1">
        <f t="array" ref="K25">INDEX(COURO,O25,1)</f>
        <v>0</v>
      </c>
      <c r="L25" s="96" cm="1">
        <f t="array" ref="L25">INDEX(COURO,O25,2)</f>
        <v>0</v>
      </c>
      <c r="M25" s="96" cm="1">
        <f t="array" ref="M25">INDEX(COURO,O25,3)</f>
        <v>0</v>
      </c>
      <c r="N25" s="96" cm="1">
        <f t="array" ref="N25">INDEX(COURO,O25,4)</f>
        <v>0</v>
      </c>
      <c r="O25" s="69">
        <f t="shared" si="4"/>
        <v>155</v>
      </c>
      <c r="P25" s="69" t="str">
        <f>_xlfn.CONCAT(CHOOSE(Pelego!$I$34,"Brecilien","Bridgewatch","Caerleon","Fort Sterling","Lymhurst","Martlock","Thetford"),"R",Q25)</f>
        <v>BrecilienR22</v>
      </c>
      <c r="Q25" s="70">
        <v>22</v>
      </c>
      <c r="R25" s="65"/>
      <c r="S25" s="67" t="s">
        <v>116</v>
      </c>
      <c r="T25" s="96" cm="1">
        <f t="array" ref="T25">INDEX(COURO,X25,1)</f>
        <v>0</v>
      </c>
      <c r="U25" s="96" cm="1">
        <f t="array" ref="U25">INDEX(COURO,X25,2)</f>
        <v>0</v>
      </c>
      <c r="V25" s="96" cm="1">
        <f t="array" ref="V25">INDEX(COURO,X25,3)</f>
        <v>0</v>
      </c>
      <c r="W25" s="96" cm="1">
        <f t="array" ref="W25">INDEX(COURO,X25,4)</f>
        <v>0</v>
      </c>
      <c r="X25" s="69">
        <f t="shared" si="5"/>
        <v>155</v>
      </c>
      <c r="Y25" s="69" t="str">
        <f>_xlfn.CONCAT(CHOOSE(Pelego!$I$36,"Brecilien","Bridgewatch","Caerleon","Fort Sterling","Lymhurst","Martlock","Thetford"),"R",Z25)</f>
        <v>BrecilienR22</v>
      </c>
      <c r="Z25" s="70">
        <v>22</v>
      </c>
    </row>
    <row r="26" spans="1:26" x14ac:dyDescent="0.25">
      <c r="A26" s="67" t="s">
        <v>117</v>
      </c>
      <c r="B26" s="96" cm="1">
        <f t="array" ref="B26">INDEX(PELEGO,F26,1)</f>
        <v>27997</v>
      </c>
      <c r="C26" s="96" t="str" cm="1">
        <f t="array" ref="C26">INDEX(PELEGO,F26,2)</f>
        <v>2024-12-24T22:15:00</v>
      </c>
      <c r="D26" s="96" cm="1">
        <f t="array" ref="D26">INDEX(PELEGO,F26,3)</f>
        <v>0</v>
      </c>
      <c r="E26" s="96" cm="1">
        <f t="array" ref="E26">INDEX(PELEGO,F26,4)</f>
        <v>0</v>
      </c>
      <c r="F26" s="69">
        <f t="shared" si="3"/>
        <v>162</v>
      </c>
      <c r="G26" s="69" t="str">
        <f>_xlfn.CONCAT(CHOOSE(Pelego!$I$32,"Brecilien","Bridgewatch","Caerleon","Fort Sterling","Lymhurst","Martlock","Thetford"),"B",H26)</f>
        <v>BrecilienB23</v>
      </c>
      <c r="H26" s="70">
        <v>23</v>
      </c>
      <c r="I26" s="65"/>
      <c r="J26" s="67" t="s">
        <v>117</v>
      </c>
      <c r="K26" s="96" cm="1">
        <f t="array" ref="K26">INDEX(COURO,O26,1)</f>
        <v>0</v>
      </c>
      <c r="L26" s="96" cm="1">
        <f t="array" ref="L26">INDEX(COURO,O26,2)</f>
        <v>0</v>
      </c>
      <c r="M26" s="96" cm="1">
        <f t="array" ref="M26">INDEX(COURO,O26,3)</f>
        <v>0</v>
      </c>
      <c r="N26" s="96" cm="1">
        <f t="array" ref="N26">INDEX(COURO,O26,4)</f>
        <v>0</v>
      </c>
      <c r="O26" s="69">
        <f t="shared" si="4"/>
        <v>162</v>
      </c>
      <c r="P26" s="69" t="str">
        <f>_xlfn.CONCAT(CHOOSE(Pelego!$I$34,"Brecilien","Bridgewatch","Caerleon","Fort Sterling","Lymhurst","Martlock","Thetford"),"R",Q26)</f>
        <v>BrecilienR23</v>
      </c>
      <c r="Q26" s="70">
        <v>23</v>
      </c>
      <c r="R26" s="65"/>
      <c r="S26" s="67" t="s">
        <v>117</v>
      </c>
      <c r="T26" s="96" cm="1">
        <f t="array" ref="T26">INDEX(COURO,X26,1)</f>
        <v>0</v>
      </c>
      <c r="U26" s="96" cm="1">
        <f t="array" ref="U26">INDEX(COURO,X26,2)</f>
        <v>0</v>
      </c>
      <c r="V26" s="96" cm="1">
        <f t="array" ref="V26">INDEX(COURO,X26,3)</f>
        <v>0</v>
      </c>
      <c r="W26" s="96" cm="1">
        <f t="array" ref="W26">INDEX(COURO,X26,4)</f>
        <v>0</v>
      </c>
      <c r="X26" s="69">
        <f t="shared" si="5"/>
        <v>162</v>
      </c>
      <c r="Y26" s="69" t="str">
        <f>_xlfn.CONCAT(CHOOSE(Pelego!$I$36,"Brecilien","Bridgewatch","Caerleon","Fort Sterling","Lymhurst","Martlock","Thetford"),"R",Z26)</f>
        <v>BrecilienR23</v>
      </c>
      <c r="Z26" s="70">
        <v>23</v>
      </c>
    </row>
    <row r="27" spans="1:26" x14ac:dyDescent="0.25">
      <c r="A27" s="67" t="s">
        <v>118</v>
      </c>
      <c r="B27" s="96" cm="1">
        <f t="array" ref="B27">INDEX(PELEGO,F27,1)</f>
        <v>0</v>
      </c>
      <c r="C27" s="96" cm="1">
        <f t="array" ref="C27">INDEX(PELEGO,F27,2)</f>
        <v>0</v>
      </c>
      <c r="D27" s="96" cm="1">
        <f t="array" ref="D27">INDEX(PELEGO,F27,3)</f>
        <v>0</v>
      </c>
      <c r="E27" s="96" cm="1">
        <f t="array" ref="E27">INDEX(PELEGO,F27,4)</f>
        <v>0</v>
      </c>
      <c r="F27" s="69">
        <f t="shared" si="3"/>
        <v>169</v>
      </c>
      <c r="G27" s="69" t="str">
        <f>_xlfn.CONCAT(CHOOSE(Pelego!$I$32,"Brecilien","Bridgewatch","Caerleon","Fort Sterling","Lymhurst","Martlock","Thetford"),"B",H27)</f>
        <v>BrecilienB24</v>
      </c>
      <c r="H27" s="70">
        <v>24</v>
      </c>
      <c r="I27" s="65"/>
      <c r="J27" s="67" t="s">
        <v>118</v>
      </c>
      <c r="K27" s="96" cm="1">
        <f t="array" ref="K27">INDEX(COURO,O27,1)</f>
        <v>0</v>
      </c>
      <c r="L27" s="96" cm="1">
        <f t="array" ref="L27">INDEX(COURO,O27,2)</f>
        <v>0</v>
      </c>
      <c r="M27" s="96" cm="1">
        <f t="array" ref="M27">INDEX(COURO,O27,3)</f>
        <v>0</v>
      </c>
      <c r="N27" s="96" cm="1">
        <f t="array" ref="N27">INDEX(COURO,O27,4)</f>
        <v>0</v>
      </c>
      <c r="O27" s="69">
        <f t="shared" si="4"/>
        <v>169</v>
      </c>
      <c r="P27" s="69" t="str">
        <f>_xlfn.CONCAT(CHOOSE(Pelego!$I$34,"Brecilien","Bridgewatch","Caerleon","Fort Sterling","Lymhurst","Martlock","Thetford"),"R",Q27)</f>
        <v>BrecilienR24</v>
      </c>
      <c r="Q27" s="70">
        <v>24</v>
      </c>
      <c r="R27" s="65"/>
      <c r="S27" s="67" t="s">
        <v>118</v>
      </c>
      <c r="T27" s="96" cm="1">
        <f t="array" ref="T27">INDEX(COURO,X27,1)</f>
        <v>0</v>
      </c>
      <c r="U27" s="96" cm="1">
        <f t="array" ref="U27">INDEX(COURO,X27,2)</f>
        <v>0</v>
      </c>
      <c r="V27" s="96" cm="1">
        <f t="array" ref="V27">INDEX(COURO,X27,3)</f>
        <v>0</v>
      </c>
      <c r="W27" s="96" cm="1">
        <f t="array" ref="W27">INDEX(COURO,X27,4)</f>
        <v>0</v>
      </c>
      <c r="X27" s="69">
        <f t="shared" si="5"/>
        <v>169</v>
      </c>
      <c r="Y27" s="69" t="str">
        <f>_xlfn.CONCAT(CHOOSE(Pelego!$I$36,"Brecilien","Bridgewatch","Caerleon","Fort Sterling","Lymhurst","Martlock","Thetford"),"R",Z27)</f>
        <v>BrecilienR24</v>
      </c>
      <c r="Z27" s="70">
        <v>24</v>
      </c>
    </row>
    <row r="28" spans="1:26" x14ac:dyDescent="0.25">
      <c r="A28" s="67" t="s">
        <v>119</v>
      </c>
      <c r="B28" s="96" cm="1">
        <f t="array" ref="B28">INDEX(PELEGO,F28,1)</f>
        <v>0</v>
      </c>
      <c r="C28" s="96" cm="1">
        <f t="array" ref="C28">INDEX(PELEGO,F28,2)</f>
        <v>0</v>
      </c>
      <c r="D28" s="96" cm="1">
        <f t="array" ref="D28">INDEX(PELEGO,F28,3)</f>
        <v>0</v>
      </c>
      <c r="E28" s="96" cm="1">
        <f t="array" ref="E28">INDEX(PELEGO,F28,4)</f>
        <v>0</v>
      </c>
      <c r="F28" s="69">
        <f t="shared" si="3"/>
        <v>176</v>
      </c>
      <c r="G28" s="69" t="str">
        <f>_xlfn.CONCAT(CHOOSE(Pelego!$I$32,"Brecilien","Bridgewatch","Caerleon","Fort Sterling","Lymhurst","Martlock","Thetford"),"B",H28)</f>
        <v>BrecilienB25</v>
      </c>
      <c r="H28" s="70">
        <v>25</v>
      </c>
      <c r="I28" s="65"/>
      <c r="J28" s="67" t="s">
        <v>119</v>
      </c>
      <c r="K28" s="96" cm="1">
        <f t="array" ref="K28">INDEX(COURO,O28,1)</f>
        <v>0</v>
      </c>
      <c r="L28" s="96" cm="1">
        <f t="array" ref="L28">INDEX(COURO,O28,2)</f>
        <v>0</v>
      </c>
      <c r="M28" s="96" cm="1">
        <f t="array" ref="M28">INDEX(COURO,O28,3)</f>
        <v>0</v>
      </c>
      <c r="N28" s="96" cm="1">
        <f t="array" ref="N28">INDEX(COURO,O28,4)</f>
        <v>0</v>
      </c>
      <c r="O28" s="69">
        <f t="shared" si="4"/>
        <v>176</v>
      </c>
      <c r="P28" s="69" t="str">
        <f>_xlfn.CONCAT(CHOOSE(Pelego!$I$34,"Brecilien","Bridgewatch","Caerleon","Fort Sterling","Lymhurst","Martlock","Thetford"),"R",Q28)</f>
        <v>BrecilienR25</v>
      </c>
      <c r="Q28" s="70">
        <v>25</v>
      </c>
      <c r="R28" s="65"/>
      <c r="S28" s="67" t="s">
        <v>119</v>
      </c>
      <c r="T28" s="96" cm="1">
        <f t="array" ref="T28">INDEX(COURO,X28,1)</f>
        <v>0</v>
      </c>
      <c r="U28" s="96" cm="1">
        <f t="array" ref="U28">INDEX(COURO,X28,2)</f>
        <v>0</v>
      </c>
      <c r="V28" s="96" cm="1">
        <f t="array" ref="V28">INDEX(COURO,X28,3)</f>
        <v>0</v>
      </c>
      <c r="W28" s="96" cm="1">
        <f t="array" ref="W28">INDEX(COURO,X28,4)</f>
        <v>0</v>
      </c>
      <c r="X28" s="69">
        <f t="shared" si="5"/>
        <v>176</v>
      </c>
      <c r="Y28" s="69" t="str">
        <f>_xlfn.CONCAT(CHOOSE(Pelego!$I$36,"Brecilien","Bridgewatch","Caerleon","Fort Sterling","Lymhurst","Martlock","Thetford"),"R",Z28)</f>
        <v>BrecilienR25</v>
      </c>
      <c r="Z28" s="70">
        <v>25</v>
      </c>
    </row>
    <row r="29" spans="1:26" x14ac:dyDescent="0.25">
      <c r="A29" s="67" t="s">
        <v>120</v>
      </c>
      <c r="B29" s="96" cm="1">
        <f t="array" ref="B29">INDEX(PELEGO,F29,1)</f>
        <v>0</v>
      </c>
      <c r="C29" s="96" cm="1">
        <f t="array" ref="C29">INDEX(PELEGO,F29,2)</f>
        <v>0</v>
      </c>
      <c r="D29" s="96" cm="1">
        <f t="array" ref="D29">INDEX(PELEGO,F29,3)</f>
        <v>0</v>
      </c>
      <c r="E29" s="96" cm="1">
        <f t="array" ref="E29">INDEX(PELEGO,F29,4)</f>
        <v>0</v>
      </c>
      <c r="F29" s="69">
        <f t="shared" si="3"/>
        <v>183</v>
      </c>
      <c r="G29" s="69" t="str">
        <f>_xlfn.CONCAT(CHOOSE(Pelego!$I$32,"Brecilien","Bridgewatch","Caerleon","Fort Sterling","Lymhurst","Martlock","Thetford"),"B",H29)</f>
        <v>BrecilienB26</v>
      </c>
      <c r="H29" s="70">
        <v>26</v>
      </c>
      <c r="I29" s="65"/>
      <c r="J29" s="67" t="s">
        <v>120</v>
      </c>
      <c r="K29" s="96" cm="1">
        <f t="array" ref="K29">INDEX(COURO,O29,1)</f>
        <v>0</v>
      </c>
      <c r="L29" s="96" cm="1">
        <f t="array" ref="L29">INDEX(COURO,O29,2)</f>
        <v>0</v>
      </c>
      <c r="M29" s="96" cm="1">
        <f t="array" ref="M29">INDEX(COURO,O29,3)</f>
        <v>0</v>
      </c>
      <c r="N29" s="96" cm="1">
        <f t="array" ref="N29">INDEX(COURO,O29,4)</f>
        <v>0</v>
      </c>
      <c r="O29" s="69">
        <f t="shared" si="4"/>
        <v>183</v>
      </c>
      <c r="P29" s="69" t="str">
        <f>_xlfn.CONCAT(CHOOSE(Pelego!$I$34,"Brecilien","Bridgewatch","Caerleon","Fort Sterling","Lymhurst","Martlock","Thetford"),"R",Q29)</f>
        <v>BrecilienR26</v>
      </c>
      <c r="Q29" s="70">
        <v>26</v>
      </c>
      <c r="R29" s="65"/>
      <c r="S29" s="67" t="s">
        <v>120</v>
      </c>
      <c r="T29" s="96" cm="1">
        <f t="array" ref="T29">INDEX(COURO,X29,1)</f>
        <v>0</v>
      </c>
      <c r="U29" s="96" cm="1">
        <f t="array" ref="U29">INDEX(COURO,X29,2)</f>
        <v>0</v>
      </c>
      <c r="V29" s="96" cm="1">
        <f t="array" ref="V29">INDEX(COURO,X29,3)</f>
        <v>0</v>
      </c>
      <c r="W29" s="96" cm="1">
        <f t="array" ref="W29">INDEX(COURO,X29,4)</f>
        <v>0</v>
      </c>
      <c r="X29" s="69">
        <f t="shared" si="5"/>
        <v>183</v>
      </c>
      <c r="Y29" s="69" t="str">
        <f>_xlfn.CONCAT(CHOOSE(Pelego!$I$36,"Brecilien","Bridgewatch","Caerleon","Fort Sterling","Lymhurst","Martlock","Thetford"),"R",Z29)</f>
        <v>BrecilienR26</v>
      </c>
      <c r="Z29" s="70">
        <v>26</v>
      </c>
    </row>
  </sheetData>
  <sheetProtection selectLockedCells="1"/>
  <mergeCells count="3">
    <mergeCell ref="A1:H1"/>
    <mergeCell ref="J1:Q1"/>
    <mergeCell ref="S1:Z1"/>
  </mergeCells>
  <phoneticPr fontId="2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75C-C0E0-44FC-84B5-56C74DB1F79A}">
  <sheetPr codeName="Planilha3">
    <tabColor theme="7"/>
  </sheetPr>
  <dimension ref="A1:X63"/>
  <sheetViews>
    <sheetView showGridLines="0" showRowColHeaders="0" showZeros="0" zoomScale="107" zoomScaleNormal="107" workbookViewId="0">
      <selection activeCell="C15" sqref="C15:D16"/>
    </sheetView>
  </sheetViews>
  <sheetFormatPr defaultColWidth="0" defaultRowHeight="15" customHeight="1" zeroHeight="1" x14ac:dyDescent="0.2"/>
  <cols>
    <col min="1" max="24" width="10.7109375" style="25" customWidth="1"/>
    <col min="25" max="16384" width="10.7109375" style="25" hidden="1"/>
  </cols>
  <sheetData>
    <row r="1" spans="1:24" s="138" customFormat="1" ht="15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47"/>
      <c r="T1" s="47"/>
      <c r="U1" s="47" t="s">
        <v>38</v>
      </c>
      <c r="V1" s="47">
        <f>IF(C15=1, 2, IF(C15=2, 2, IF(C15=3, 3, IF(C15=4, 4, IF(C15=5, 5, 5)))))</f>
        <v>2</v>
      </c>
      <c r="W1" s="47" t="s">
        <v>41</v>
      </c>
      <c r="X1" s="47" cm="1">
        <f t="array" ref="X1">INDEX(espec!H21:H26,C15,1)</f>
        <v>0</v>
      </c>
    </row>
    <row r="2" spans="1:24" s="138" customFormat="1" ht="15" customHeight="1" x14ac:dyDescent="0.25">
      <c r="A2" s="61" t="str">
        <f>IF(A4=0,"Sem Dados",_xlfn.CONCAT(RIGHT(LEFT(A4,10),2),"/",LEFT(RIGHT(LEFT(A4,10),5),2),"/",LEFT(LEFT(A4,10),4)))</f>
        <v>28/12/2024</v>
      </c>
      <c r="B2" s="61" t="str">
        <f>IF(B4=0,"Sem Dados",_xlfn.CONCAT(RIGHT(LEFT(B4,10),2),"/",LEFT(RIGHT(LEFT(B4,10),5),2),"/",LEFT(LEFT(B4,10),4)))</f>
        <v>28/12/2024</v>
      </c>
      <c r="C2" s="61" t="str">
        <f>IF(C4=0,"Sem Dados",_xlfn.CONCAT(RIGHT(LEFT(C4,10),2),"/",LEFT(RIGHT(LEFT(C4,10),5),2),"/",LEFT(LEFT(C4,10),4)))</f>
        <v>27/12/2024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47" t="s">
        <v>90</v>
      </c>
      <c r="T2" s="48" cm="1">
        <f t="array" ref="T2">(INDEX(valoresAlbion!B23:F28,C15,C17))/(POWER(2,X1))</f>
        <v>31</v>
      </c>
      <c r="U2" s="47" t="s">
        <v>39</v>
      </c>
      <c r="V2" s="47">
        <v>1</v>
      </c>
      <c r="W2" s="47" t="s">
        <v>40</v>
      </c>
      <c r="X2" s="47">
        <f>C15+C17+1</f>
        <v>3</v>
      </c>
    </row>
    <row r="3" spans="1:24" s="138" customFormat="1" ht="15" customHeight="1" x14ac:dyDescent="0.25">
      <c r="A3" s="61" t="str">
        <f>IF(A4=0,"Sem Dados",RIGHT(A4,8))</f>
        <v>18:25:00</v>
      </c>
      <c r="B3" s="61" t="str">
        <f>IF(B4=0,"Sem Dados",RIGHT(B4,8))</f>
        <v>02:00:00</v>
      </c>
      <c r="C3" s="61" t="str">
        <f>IF(C4=0,"Sem Dados",RIGHT(C4,8))</f>
        <v>22:00:00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47" t="s">
        <v>89</v>
      </c>
      <c r="T3" s="48" cm="1">
        <f t="array" ref="T3">INDEX(valoresAlbion!B6:G10,C17,C15)</f>
        <v>8</v>
      </c>
      <c r="U3" s="47" t="s">
        <v>37</v>
      </c>
      <c r="V3" s="49">
        <f>1-C27</f>
        <v>1</v>
      </c>
      <c r="W3" s="47" t="s">
        <v>47</v>
      </c>
      <c r="X3" s="47">
        <f>IFERROR(C19*O4,0)</f>
        <v>0</v>
      </c>
    </row>
    <row r="4" spans="1:24" s="137" customFormat="1" ht="18" customHeight="1" x14ac:dyDescent="0.25">
      <c r="A4" s="64" t="str">
        <f>VLOOKUP(W4,'Ordem 2'!A3:E29,IF(C32=TRUE,5,3))</f>
        <v>2024-12-28T18:25:00</v>
      </c>
      <c r="B4" s="64" t="str">
        <f>IFERROR(VLOOKUP(X4,'Ordem 2'!J3:N29,IF(C34=TRUE,5,3)),0)</f>
        <v>2024-12-28T02:00:00</v>
      </c>
      <c r="C4" s="64" t="str">
        <f>VLOOKUP(W4,'Ordem 2'!S3:W29,IF(C36=TRUE,3,5))</f>
        <v>2024-12-27T22:00:00</v>
      </c>
      <c r="D4" s="62"/>
      <c r="E4" s="62"/>
      <c r="F4" s="63"/>
      <c r="G4" s="63" t="s">
        <v>689</v>
      </c>
      <c r="H4" s="63" t="str">
        <f>CHOOSE(C17,"",".1",".2",".3",".4")</f>
        <v/>
      </c>
      <c r="I4" s="63" t="s">
        <v>684</v>
      </c>
      <c r="J4" s="63" t="str">
        <f>CHOOSE(C15,"T2","T3","T4","T5","T6","T7")</f>
        <v>T2</v>
      </c>
      <c r="K4" s="63" t="s">
        <v>1015</v>
      </c>
      <c r="L4" s="63" t="str">
        <f>CHOOSE(C15,"T3","T4","T5","T6","T7","T8")</f>
        <v>T3</v>
      </c>
      <c r="M4" s="63"/>
      <c r="N4" s="62" t="s">
        <v>395</v>
      </c>
      <c r="O4" s="62">
        <f>IF(K36=TRUE,M36,S15)</f>
        <v>0</v>
      </c>
      <c r="P4" s="63"/>
      <c r="Q4" s="62" t="s">
        <v>393</v>
      </c>
      <c r="R4" s="62">
        <f>IF(K32=TRUE,M32,C21)</f>
        <v>0</v>
      </c>
      <c r="S4" s="63"/>
      <c r="T4" s="62" t="s">
        <v>394</v>
      </c>
      <c r="U4" s="62">
        <f>IF(K34=TRUE,M34,C23)</f>
        <v>0</v>
      </c>
      <c r="V4" s="63"/>
      <c r="W4" s="60" t="str">
        <f>_xlfn.CONCAT("T",C15+2,CHOOSE(C17,"",".1",".2",".3",".4"))</f>
        <v>T3</v>
      </c>
      <c r="X4" s="60" t="str">
        <f>IF(C15=2,"T3",_xlfn.CONCAT("T",C15+1,CHOOSE(C17,"",".1",".2",".3",".4")))</f>
        <v>T2</v>
      </c>
    </row>
    <row r="5" spans="1:24" s="26" customFormat="1" ht="15" customHeight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s="26" customFormat="1" ht="15" customHeight="1" x14ac:dyDescent="0.25">
      <c r="A6" s="159" t="s">
        <v>68</v>
      </c>
      <c r="B6" s="160"/>
      <c r="C6" s="160"/>
      <c r="D6" s="160"/>
    </row>
    <row r="7" spans="1:24" s="26" customFormat="1" ht="15" customHeight="1" x14ac:dyDescent="0.25">
      <c r="A7" s="160"/>
      <c r="B7" s="160"/>
      <c r="C7" s="160"/>
      <c r="D7" s="160"/>
    </row>
    <row r="8" spans="1:24" s="26" customFormat="1" ht="15" customHeight="1" x14ac:dyDescent="0.25">
      <c r="A8" s="173"/>
      <c r="B8" s="174"/>
      <c r="C8" s="174"/>
      <c r="D8" s="175"/>
    </row>
    <row r="9" spans="1:24" s="26" customFormat="1" ht="15" customHeight="1" x14ac:dyDescent="0.25">
      <c r="A9" s="176"/>
      <c r="B9" s="177"/>
      <c r="C9" s="177"/>
      <c r="D9" s="178"/>
    </row>
    <row r="10" spans="1:24" s="26" customFormat="1" ht="15" customHeight="1" x14ac:dyDescent="0.25">
      <c r="A10" s="176"/>
      <c r="B10" s="177"/>
      <c r="C10" s="177"/>
      <c r="D10" s="178"/>
    </row>
    <row r="11" spans="1:24" ht="15" customHeight="1" x14ac:dyDescent="0.2">
      <c r="A11" s="176"/>
      <c r="B11" s="177"/>
      <c r="C11" s="177"/>
      <c r="D11" s="178"/>
    </row>
    <row r="12" spans="1:24" ht="15" customHeight="1" x14ac:dyDescent="0.2">
      <c r="A12" s="179"/>
      <c r="B12" s="180"/>
      <c r="C12" s="180"/>
      <c r="D12" s="181"/>
    </row>
    <row r="13" spans="1:24" ht="15" customHeight="1" x14ac:dyDescent="0.2">
      <c r="A13" s="159" t="s">
        <v>0</v>
      </c>
      <c r="B13" s="160"/>
      <c r="C13" s="160"/>
      <c r="D13" s="160"/>
      <c r="G13" s="159" t="s">
        <v>9</v>
      </c>
      <c r="H13" s="160"/>
      <c r="I13" s="160"/>
      <c r="J13" s="160"/>
      <c r="L13" s="159" t="s">
        <v>7</v>
      </c>
      <c r="M13" s="160"/>
      <c r="N13" s="160"/>
      <c r="O13" s="160"/>
      <c r="Q13" s="159" t="s">
        <v>8</v>
      </c>
      <c r="R13" s="160"/>
      <c r="S13" s="160"/>
      <c r="T13" s="160"/>
    </row>
    <row r="14" spans="1:24" ht="15" customHeight="1" x14ac:dyDescent="0.2">
      <c r="A14" s="160"/>
      <c r="B14" s="160"/>
      <c r="C14" s="160"/>
      <c r="D14" s="160"/>
      <c r="G14" s="160"/>
      <c r="H14" s="160"/>
      <c r="I14" s="160"/>
      <c r="J14" s="160"/>
      <c r="L14" s="160"/>
      <c r="M14" s="160"/>
      <c r="N14" s="160"/>
      <c r="O14" s="160"/>
      <c r="Q14" s="160"/>
      <c r="R14" s="160"/>
      <c r="S14" s="160"/>
      <c r="T14" s="160"/>
    </row>
    <row r="15" spans="1:24" ht="15" customHeight="1" x14ac:dyDescent="0.25">
      <c r="A15" s="153" t="s">
        <v>3</v>
      </c>
      <c r="B15" s="153"/>
      <c r="C15" s="158">
        <v>1</v>
      </c>
      <c r="D15" s="158"/>
      <c r="G15" s="153" t="s">
        <v>11</v>
      </c>
      <c r="H15" s="153"/>
      <c r="I15" s="193">
        <f>T2*C19</f>
        <v>0</v>
      </c>
      <c r="J15" s="193"/>
      <c r="L15" s="153" t="str">
        <f>G23</f>
        <v>Fibra T3</v>
      </c>
      <c r="M15" s="153"/>
      <c r="N15" s="169">
        <f>IF(C32=TRUE,R4*I23*Configurações!N9,R4*I23)</f>
        <v>0</v>
      </c>
      <c r="O15" s="169"/>
      <c r="Q15" s="153" t="s">
        <v>14</v>
      </c>
      <c r="R15" s="153"/>
      <c r="S15" s="172"/>
      <c r="T15" s="172"/>
    </row>
    <row r="16" spans="1:24" ht="15" customHeight="1" x14ac:dyDescent="0.25">
      <c r="A16" s="153"/>
      <c r="B16" s="153"/>
      <c r="C16" s="158"/>
      <c r="D16" s="158"/>
      <c r="G16" s="153" t="s">
        <v>12</v>
      </c>
      <c r="H16" s="153"/>
      <c r="I16" s="194"/>
      <c r="J16" s="194"/>
      <c r="L16" s="153" t="str">
        <f>G24</f>
        <v>Tecido T2</v>
      </c>
      <c r="M16" s="153"/>
      <c r="N16" s="169">
        <f>IF(C34=TRUE,I24*U4*Configurações!N9,I24*U4)</f>
        <v>0</v>
      </c>
      <c r="O16" s="169"/>
      <c r="Q16" s="153" t="s">
        <v>15</v>
      </c>
      <c r="R16" s="153"/>
      <c r="S16" s="169">
        <f>X3-N19</f>
        <v>0</v>
      </c>
      <c r="T16" s="169"/>
    </row>
    <row r="17" spans="1:21" ht="15" customHeight="1" x14ac:dyDescent="0.25">
      <c r="A17" s="153" t="s">
        <v>4</v>
      </c>
      <c r="B17" s="153"/>
      <c r="C17" s="158">
        <v>1</v>
      </c>
      <c r="D17" s="158"/>
      <c r="G17" s="153" t="s">
        <v>13</v>
      </c>
      <c r="H17" s="153"/>
      <c r="I17" s="182">
        <f>IF(T2=0,"Indefinido",IF(I16=0,0,(I16/T2)-1))</f>
        <v>0</v>
      </c>
      <c r="J17" s="182"/>
      <c r="L17" s="153" t="s">
        <v>34</v>
      </c>
      <c r="M17" s="153"/>
      <c r="N17" s="169" cm="1">
        <f t="array" ref="N17">(C25/100)*C19*INDEX(valoresAlbion!J6:O10,C17,C15)</f>
        <v>0</v>
      </c>
      <c r="O17" s="169"/>
      <c r="Q17" s="153" t="s">
        <v>16</v>
      </c>
      <c r="R17" s="153"/>
      <c r="S17" s="165">
        <f>IFERROR(S16/N19,0)</f>
        <v>0</v>
      </c>
      <c r="T17" s="165"/>
    </row>
    <row r="18" spans="1:21" ht="15" customHeight="1" x14ac:dyDescent="0.25">
      <c r="A18" s="153"/>
      <c r="B18" s="153"/>
      <c r="C18" s="158"/>
      <c r="D18" s="158"/>
      <c r="L18" s="153" t="s">
        <v>898</v>
      </c>
      <c r="M18" s="153"/>
      <c r="N18" s="154">
        <f>IF(C36=TRUE,(X3*Configurações!B3)+(X3*Configurações!F9),(X3*Configurações!B3))</f>
        <v>0</v>
      </c>
      <c r="O18" s="154"/>
    </row>
    <row r="19" spans="1:21" ht="15" customHeight="1" x14ac:dyDescent="0.25">
      <c r="A19" s="153" t="s">
        <v>1</v>
      </c>
      <c r="B19" s="153"/>
      <c r="C19" s="183"/>
      <c r="D19" s="183"/>
      <c r="L19" s="153" t="s">
        <v>693</v>
      </c>
      <c r="M19" s="153"/>
      <c r="N19" s="169">
        <f>SUM(N15:O18)</f>
        <v>0</v>
      </c>
      <c r="O19" s="169"/>
    </row>
    <row r="20" spans="1:21" ht="15" customHeight="1" x14ac:dyDescent="0.2">
      <c r="A20" s="153"/>
      <c r="B20" s="153"/>
      <c r="C20" s="183"/>
      <c r="D20" s="183"/>
    </row>
    <row r="21" spans="1:21" ht="15" customHeight="1" x14ac:dyDescent="0.25">
      <c r="A21" s="153" t="s">
        <v>71</v>
      </c>
      <c r="B21" s="153"/>
      <c r="C21" s="167"/>
      <c r="D21" s="167"/>
      <c r="G21" s="184" t="s">
        <v>6</v>
      </c>
      <c r="H21" s="185"/>
      <c r="I21" s="185"/>
      <c r="J21" s="186"/>
      <c r="K21"/>
      <c r="L21"/>
    </row>
    <row r="22" spans="1:21" ht="15" customHeight="1" x14ac:dyDescent="0.25">
      <c r="A22" s="153"/>
      <c r="B22" s="153"/>
      <c r="C22" s="167"/>
      <c r="D22" s="167"/>
      <c r="G22" s="187"/>
      <c r="H22" s="188"/>
      <c r="I22" s="188"/>
      <c r="J22" s="189"/>
      <c r="K22"/>
      <c r="L22"/>
    </row>
    <row r="23" spans="1:21" ht="15" customHeight="1" x14ac:dyDescent="0.25">
      <c r="A23" s="153" t="s">
        <v>72</v>
      </c>
      <c r="B23" s="153"/>
      <c r="C23" s="167"/>
      <c r="D23" s="167"/>
      <c r="G23" s="153" t="str">
        <f>IF(C15=1,_xlfn.CONCAT(K4,L4),_xlfn.CONCAT(K4,L4,H4))</f>
        <v>Fibra T3</v>
      </c>
      <c r="H23" s="153"/>
      <c r="I23" s="170">
        <f>ROUNDUP(IF($C$19=1,V1,(V1*$C$19*$V$3)+($C$27*V1)),0)</f>
        <v>0</v>
      </c>
      <c r="J23" s="170"/>
      <c r="K23"/>
      <c r="L23"/>
    </row>
    <row r="24" spans="1:21" ht="15" customHeight="1" x14ac:dyDescent="0.25">
      <c r="A24" s="153"/>
      <c r="B24" s="153"/>
      <c r="C24" s="167"/>
      <c r="D24" s="167"/>
      <c r="G24" s="153" t="str">
        <f>IF(OR(C15=1,C15=2),_xlfn.CONCAT(I4,J4),_xlfn.CONCAT(I4,J4,H4))</f>
        <v>Tecido T2</v>
      </c>
      <c r="H24" s="153"/>
      <c r="I24" s="170">
        <f>ROUNDUP(IF($C$19=1,V2,(V2*$C$19*$V$3)+($C$27*V2)),0)</f>
        <v>0</v>
      </c>
      <c r="J24" s="170"/>
      <c r="K24"/>
    </row>
    <row r="25" spans="1:21" ht="15" customHeight="1" x14ac:dyDescent="0.25">
      <c r="A25" s="153" t="s">
        <v>2</v>
      </c>
      <c r="B25" s="153"/>
      <c r="C25" s="167"/>
      <c r="D25" s="167"/>
      <c r="K25"/>
    </row>
    <row r="26" spans="1:21" ht="15" customHeight="1" x14ac:dyDescent="0.2">
      <c r="A26" s="153"/>
      <c r="B26" s="153"/>
      <c r="C26" s="167"/>
      <c r="D26" s="167"/>
    </row>
    <row r="27" spans="1:21" ht="15" customHeight="1" x14ac:dyDescent="0.2">
      <c r="A27" s="153" t="s">
        <v>1014</v>
      </c>
      <c r="B27" s="153"/>
      <c r="C27" s="168"/>
      <c r="D27" s="168"/>
    </row>
    <row r="28" spans="1:21" ht="15" customHeight="1" x14ac:dyDescent="0.2">
      <c r="A28" s="153"/>
      <c r="B28" s="153"/>
      <c r="C28" s="168"/>
      <c r="D28" s="168"/>
    </row>
    <row r="29" spans="1:21" ht="15" customHeight="1" x14ac:dyDescent="0.2">
      <c r="C29" s="27"/>
      <c r="D29" s="27"/>
    </row>
    <row r="30" spans="1:21" ht="15" customHeight="1" x14ac:dyDescent="0.2">
      <c r="A30" s="159" t="s">
        <v>5</v>
      </c>
      <c r="B30" s="160"/>
      <c r="C30" s="160"/>
      <c r="D30" s="160"/>
      <c r="G30" s="159" t="s">
        <v>680</v>
      </c>
      <c r="H30" s="160"/>
      <c r="I30" s="160"/>
      <c r="J30" s="160"/>
      <c r="K30" s="159" t="s">
        <v>386</v>
      </c>
      <c r="L30" s="160"/>
      <c r="M30" s="159" t="s">
        <v>398</v>
      </c>
      <c r="N30" s="160"/>
      <c r="O30" s="159" t="s">
        <v>397</v>
      </c>
      <c r="P30" s="160"/>
      <c r="Q30" s="159" t="s">
        <v>681</v>
      </c>
      <c r="R30" s="160"/>
    </row>
    <row r="31" spans="1:21" ht="15" customHeight="1" x14ac:dyDescent="0.2">
      <c r="A31" s="160"/>
      <c r="B31" s="160"/>
      <c r="C31" s="160"/>
      <c r="D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</row>
    <row r="32" spans="1:21" ht="15" customHeight="1" x14ac:dyDescent="0.25">
      <c r="A32" s="155" t="s">
        <v>75</v>
      </c>
      <c r="B32" s="155"/>
      <c r="C32" s="157"/>
      <c r="D32" s="157"/>
      <c r="G32" s="155" t="str">
        <f>G23</f>
        <v>Fibra T3</v>
      </c>
      <c r="H32" s="155"/>
      <c r="I32" s="157">
        <v>1</v>
      </c>
      <c r="J32" s="157"/>
      <c r="K32" s="157" t="b">
        <v>0</v>
      </c>
      <c r="L32" s="157"/>
      <c r="M32" s="161">
        <f>IF(A4=0,"Sem Dados",VLOOKUP(W4,'Ordem 2'!A3:E29,IF(C32=TRUE,4,2)))</f>
        <v>76</v>
      </c>
      <c r="N32" s="162"/>
      <c r="O32" s="191">
        <f>IFERROR(INT(A2 + A3 - (Configurações!A3 / 24)),"Sem Dados")</f>
        <v>45654</v>
      </c>
      <c r="P32" s="191"/>
      <c r="Q32" s="190">
        <f>IFERROR(IF(MOD(A2 + A3 - (Configurações!A3 / 24), 1) = 0, "00:00:00", MOD(A2 + A3 - (Configurações!A3 / 24), 1)), "Sem Dados")</f>
        <v>0.64236111110949423</v>
      </c>
      <c r="R32" s="190"/>
      <c r="U32"/>
    </row>
    <row r="33" spans="1:21" ht="15" customHeight="1" x14ac:dyDescent="0.25">
      <c r="A33" s="156"/>
      <c r="B33" s="156"/>
      <c r="C33" s="158"/>
      <c r="D33" s="158"/>
      <c r="G33" s="156"/>
      <c r="H33" s="156"/>
      <c r="I33" s="158"/>
      <c r="J33" s="158"/>
      <c r="K33" s="158"/>
      <c r="L33" s="158"/>
      <c r="M33" s="163"/>
      <c r="N33" s="164"/>
      <c r="O33" s="191"/>
      <c r="P33" s="191"/>
      <c r="Q33" s="190"/>
      <c r="R33" s="190"/>
      <c r="S33"/>
      <c r="U33"/>
    </row>
    <row r="34" spans="1:21" ht="15" customHeight="1" x14ac:dyDescent="0.25">
      <c r="A34" s="156" t="s">
        <v>76</v>
      </c>
      <c r="B34" s="156"/>
      <c r="C34" s="158"/>
      <c r="D34" s="158"/>
      <c r="G34" s="155" t="str">
        <f>G24</f>
        <v>Tecido T2</v>
      </c>
      <c r="H34" s="155"/>
      <c r="I34" s="157">
        <v>1</v>
      </c>
      <c r="J34" s="157"/>
      <c r="K34" s="157" t="b">
        <v>0</v>
      </c>
      <c r="L34" s="157"/>
      <c r="M34" s="161">
        <f>IF(B4=0,"Sem Dados",(VLOOKUP(X4,'Ordem 2'!J3:N29,IF(C34=TRUE,4,2))))</f>
        <v>28</v>
      </c>
      <c r="N34" s="162"/>
      <c r="O34" s="191">
        <f>IFERROR(INT(B2 + B3 - (Configurações!A3 / 24)),"Sem Dados")</f>
        <v>45653</v>
      </c>
      <c r="P34" s="191"/>
      <c r="Q34" s="190">
        <f>IFERROR(IF(MOD(B2 + B3 - (Configurações!A3 / 24), 1) = 0, "00:00:00", MOD(B2 + B3 - (Configurações!A3 / 24), 1)), "Sem Dados")</f>
        <v>0.95833333333575865</v>
      </c>
      <c r="R34" s="190"/>
      <c r="U34"/>
    </row>
    <row r="35" spans="1:21" ht="15" customHeight="1" x14ac:dyDescent="0.25">
      <c r="A35" s="156"/>
      <c r="B35" s="156"/>
      <c r="C35" s="158"/>
      <c r="D35" s="158"/>
      <c r="G35" s="156"/>
      <c r="H35" s="156"/>
      <c r="I35" s="158"/>
      <c r="J35" s="158"/>
      <c r="K35" s="158"/>
      <c r="L35" s="158"/>
      <c r="M35" s="163"/>
      <c r="N35" s="164"/>
      <c r="O35" s="191"/>
      <c r="P35" s="191"/>
      <c r="Q35" s="190"/>
      <c r="R35" s="190"/>
      <c r="S35"/>
      <c r="U35"/>
    </row>
    <row r="36" spans="1:21" ht="15" customHeight="1" x14ac:dyDescent="0.25">
      <c r="A36" s="156" t="s">
        <v>10</v>
      </c>
      <c r="B36" s="156"/>
      <c r="C36" s="158" t="b">
        <v>0</v>
      </c>
      <c r="D36" s="158"/>
      <c r="G36" s="155" t="s">
        <v>387</v>
      </c>
      <c r="H36" s="155"/>
      <c r="I36" s="157">
        <v>1</v>
      </c>
      <c r="J36" s="157"/>
      <c r="K36" s="157" t="b">
        <v>0</v>
      </c>
      <c r="L36" s="157"/>
      <c r="M36" s="161">
        <f>IF(C4=0,"Sem Dados",VLOOKUP(W4,'Ordem 2'!S3:W29,IF(C36=TRUE,2,4)))</f>
        <v>168</v>
      </c>
      <c r="N36" s="162"/>
      <c r="O36" s="191">
        <f>IFERROR(INT(C2 + C3 - (Configurações!A3 / 24)),"Sem Dados")</f>
        <v>45653</v>
      </c>
      <c r="P36" s="191"/>
      <c r="Q36" s="190">
        <f>IFERROR(IF(MOD(C2 + C3 - (Configurações!A3 / 24), 1) = 0, "00:00:00", MOD(C2 + C3 - (Configurações!A3 / 24), 1)), "Sem Dados")</f>
        <v>0.79166666666424135</v>
      </c>
      <c r="R36" s="190"/>
      <c r="U36"/>
    </row>
    <row r="37" spans="1:21" ht="15" customHeight="1" x14ac:dyDescent="0.25">
      <c r="A37" s="156"/>
      <c r="B37" s="156"/>
      <c r="C37" s="158"/>
      <c r="D37" s="158"/>
      <c r="G37" s="156"/>
      <c r="H37" s="156"/>
      <c r="I37" s="158"/>
      <c r="J37" s="158"/>
      <c r="K37" s="158"/>
      <c r="L37" s="158"/>
      <c r="M37" s="163"/>
      <c r="N37" s="164"/>
      <c r="O37" s="191"/>
      <c r="P37" s="191"/>
      <c r="Q37" s="190"/>
      <c r="R37" s="190"/>
      <c r="U37"/>
    </row>
    <row r="38" spans="1:21" ht="15" customHeight="1" x14ac:dyDescent="0.2"/>
    <row r="39" spans="1:21" ht="15" customHeight="1" x14ac:dyDescent="0.2"/>
    <row r="40" spans="1:21" ht="15" customHeight="1" x14ac:dyDescent="0.25">
      <c r="A40"/>
      <c r="B40"/>
    </row>
    <row r="41" spans="1:21" ht="15" customHeight="1" x14ac:dyDescent="0.25">
      <c r="A41"/>
      <c r="B41"/>
      <c r="C41"/>
    </row>
    <row r="42" spans="1:21" ht="15" customHeight="1" x14ac:dyDescent="0.25">
      <c r="A42"/>
      <c r="B42"/>
      <c r="C42" s="28"/>
    </row>
    <row r="43" spans="1:21" ht="15" customHeight="1" x14ac:dyDescent="0.25">
      <c r="A43"/>
      <c r="B43"/>
    </row>
    <row r="44" spans="1:21" ht="15" customHeight="1" x14ac:dyDescent="0.25">
      <c r="A44"/>
      <c r="B44"/>
      <c r="C44"/>
    </row>
    <row r="45" spans="1:21" ht="15" customHeight="1" x14ac:dyDescent="0.2"/>
    <row r="46" spans="1:21" ht="15" customHeight="1" x14ac:dyDescent="0.2"/>
    <row r="47" spans="1:21" ht="15" customHeight="1" x14ac:dyDescent="0.2"/>
    <row r="48" spans="1:21" ht="15" customHeight="1" x14ac:dyDescent="0.2"/>
    <row r="49" spans="1:2" ht="15" customHeight="1" x14ac:dyDescent="0.2"/>
    <row r="50" spans="1:2" ht="15" customHeight="1" x14ac:dyDescent="0.2"/>
    <row r="63" spans="1:2" ht="15" hidden="1" customHeight="1" x14ac:dyDescent="0.25">
      <c r="A63" s="26"/>
      <c r="B63" s="26"/>
    </row>
  </sheetData>
  <sheetProtection algorithmName="SHA-512" hashValue="WyG8CXYcg+sMKWWnIORbSXSVvGvOrBBuQutkDYHd6wQtO0QvgHHp9fBY53cweN5ObpjFQiSau7upgnaCbwetew==" saltValue="AcG6Xe/yPvpeYSNWWy5W8g==" spinCount="100000" sheet="1" objects="1" scenarios="1" selectLockedCells="1"/>
  <mergeCells count="77">
    <mergeCell ref="G21:J22"/>
    <mergeCell ref="Q36:R37"/>
    <mergeCell ref="G34:H35"/>
    <mergeCell ref="I34:J35"/>
    <mergeCell ref="K34:L35"/>
    <mergeCell ref="M34:N35"/>
    <mergeCell ref="O34:P35"/>
    <mergeCell ref="Q34:R35"/>
    <mergeCell ref="G36:H37"/>
    <mergeCell ref="I36:J37"/>
    <mergeCell ref="K36:L37"/>
    <mergeCell ref="M36:N37"/>
    <mergeCell ref="O36:P37"/>
    <mergeCell ref="Q30:R31"/>
    <mergeCell ref="O32:P33"/>
    <mergeCell ref="Q32:R33"/>
    <mergeCell ref="A30:D31"/>
    <mergeCell ref="A32:B33"/>
    <mergeCell ref="C32:D33"/>
    <mergeCell ref="G30:J31"/>
    <mergeCell ref="K30:L31"/>
    <mergeCell ref="M30:N31"/>
    <mergeCell ref="O30:P31"/>
    <mergeCell ref="G32:H33"/>
    <mergeCell ref="I32:J33"/>
    <mergeCell ref="K32:L33"/>
    <mergeCell ref="M32:N33"/>
    <mergeCell ref="A36:B37"/>
    <mergeCell ref="C36:D37"/>
    <mergeCell ref="I17:J17"/>
    <mergeCell ref="L17:M17"/>
    <mergeCell ref="N17:O17"/>
    <mergeCell ref="A34:B35"/>
    <mergeCell ref="C34:D35"/>
    <mergeCell ref="A23:B24"/>
    <mergeCell ref="C23:D24"/>
    <mergeCell ref="A25:B26"/>
    <mergeCell ref="C25:D26"/>
    <mergeCell ref="G23:H23"/>
    <mergeCell ref="I23:J23"/>
    <mergeCell ref="G24:H24"/>
    <mergeCell ref="I24:J24"/>
    <mergeCell ref="A27:B28"/>
    <mergeCell ref="C27:D28"/>
    <mergeCell ref="A21:B22"/>
    <mergeCell ref="C21:D22"/>
    <mergeCell ref="A19:B20"/>
    <mergeCell ref="C19:D20"/>
    <mergeCell ref="G17:H17"/>
    <mergeCell ref="Q17:R17"/>
    <mergeCell ref="S17:T17"/>
    <mergeCell ref="L19:M19"/>
    <mergeCell ref="N19:O19"/>
    <mergeCell ref="L18:M18"/>
    <mergeCell ref="N18:O18"/>
    <mergeCell ref="S16:T16"/>
    <mergeCell ref="L13:O14"/>
    <mergeCell ref="Q13:T14"/>
    <mergeCell ref="A17:B18"/>
    <mergeCell ref="C17:D18"/>
    <mergeCell ref="G15:H15"/>
    <mergeCell ref="I15:J15"/>
    <mergeCell ref="L15:M15"/>
    <mergeCell ref="N15:O15"/>
    <mergeCell ref="Q15:R15"/>
    <mergeCell ref="S15:T15"/>
    <mergeCell ref="G13:J14"/>
    <mergeCell ref="G16:H16"/>
    <mergeCell ref="I16:J16"/>
    <mergeCell ref="L16:M16"/>
    <mergeCell ref="N16:O16"/>
    <mergeCell ref="Q16:R16"/>
    <mergeCell ref="A6:D7"/>
    <mergeCell ref="A8:D12"/>
    <mergeCell ref="A13:D14"/>
    <mergeCell ref="A15:B16"/>
    <mergeCell ref="C15:D16"/>
  </mergeCells>
  <conditionalFormatting sqref="A6:D7 A13:D14 A30:D31 G13:J14 L13:O14 Q13:T14 G21">
    <cfRule type="expression" dxfId="100" priority="18">
      <formula>$C$15=6</formula>
    </cfRule>
    <cfRule type="expression" dxfId="99" priority="19">
      <formula>$C$15=5</formula>
    </cfRule>
    <cfRule type="expression" dxfId="98" priority="21">
      <formula>$C$15=3</formula>
    </cfRule>
    <cfRule type="expression" dxfId="97" priority="22">
      <formula>$C$15=2</formula>
    </cfRule>
    <cfRule type="expression" dxfId="96" priority="23">
      <formula>$C$15=1</formula>
    </cfRule>
  </conditionalFormatting>
  <conditionalFormatting sqref="A6:D7 A13:D14 A30:D31 G13:J14 L13:O14 Q13:T14 G21">
    <cfRule type="expression" dxfId="95" priority="20">
      <formula>$C$15=4</formula>
    </cfRule>
  </conditionalFormatting>
  <conditionalFormatting sqref="S16:T17">
    <cfRule type="cellIs" dxfId="94" priority="16" operator="lessThan">
      <formula>0</formula>
    </cfRule>
    <cfRule type="cellIs" dxfId="93" priority="17" operator="greaterThan">
      <formula>0</formula>
    </cfRule>
  </conditionalFormatting>
  <conditionalFormatting sqref="K30:R31">
    <cfRule type="expression" dxfId="92" priority="10">
      <formula>$C$15=6</formula>
    </cfRule>
    <cfRule type="expression" dxfId="91" priority="11">
      <formula>$C$15=5</formula>
    </cfRule>
    <cfRule type="expression" dxfId="90" priority="13">
      <formula>$C$15=3</formula>
    </cfRule>
    <cfRule type="expression" dxfId="89" priority="14">
      <formula>$C$15=2</formula>
    </cfRule>
    <cfRule type="expression" dxfId="88" priority="15">
      <formula>$C$15=1</formula>
    </cfRule>
  </conditionalFormatting>
  <conditionalFormatting sqref="K30:R31">
    <cfRule type="expression" dxfId="87" priority="12">
      <formula>$C$15=4</formula>
    </cfRule>
  </conditionalFormatting>
  <conditionalFormatting sqref="G30:J31">
    <cfRule type="expression" dxfId="86" priority="4">
      <formula>$C$15=6</formula>
    </cfRule>
    <cfRule type="expression" dxfId="85" priority="5">
      <formula>$C$15=5</formula>
    </cfRule>
    <cfRule type="expression" dxfId="84" priority="7">
      <formula>$C$15=3</formula>
    </cfRule>
    <cfRule type="expression" dxfId="83" priority="8">
      <formula>$C$15=2</formula>
    </cfRule>
    <cfRule type="expression" dxfId="82" priority="9">
      <formula>$C$15=1</formula>
    </cfRule>
  </conditionalFormatting>
  <conditionalFormatting sqref="G30:J31">
    <cfRule type="expression" dxfId="81" priority="6">
      <formula>$C$15=4</formula>
    </cfRule>
  </conditionalFormatting>
  <conditionalFormatting sqref="C21:D22">
    <cfRule type="expression" dxfId="80" priority="3">
      <formula>$K$32=TRUE</formula>
    </cfRule>
  </conditionalFormatting>
  <conditionalFormatting sqref="C23:D24">
    <cfRule type="expression" dxfId="79" priority="2">
      <formula>$K$34=TRUE</formula>
    </cfRule>
  </conditionalFormatting>
  <conditionalFormatting sqref="S15:T15">
    <cfRule type="expression" dxfId="78" priority="1">
      <formula>$K$36=TRUE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2</xdr:col>
                    <xdr:colOff>85725</xdr:colOff>
                    <xdr:row>14</xdr:row>
                    <xdr:rowOff>85725</xdr:rowOff>
                  </from>
                  <to>
                    <xdr:col>3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defaultSize="0" autoLine="0" autoPict="0">
                <anchor moveWithCells="1">
                  <from>
                    <xdr:col>2</xdr:col>
                    <xdr:colOff>85725</xdr:colOff>
                    <xdr:row>16</xdr:row>
                    <xdr:rowOff>85725</xdr:rowOff>
                  </from>
                  <to>
                    <xdr:col>3</xdr:col>
                    <xdr:colOff>523875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76200</xdr:rowOff>
                  </from>
                  <to>
                    <xdr:col>3</xdr:col>
                    <xdr:colOff>161925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76200</xdr:rowOff>
                  </from>
                  <to>
                    <xdr:col>3</xdr:col>
                    <xdr:colOff>161925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76200</xdr:rowOff>
                  </from>
                  <to>
                    <xdr:col>3</xdr:col>
                    <xdr:colOff>161925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10</xdr:col>
                    <xdr:colOff>266700</xdr:colOff>
                    <xdr:row>31</xdr:row>
                    <xdr:rowOff>76200</xdr:rowOff>
                  </from>
                  <to>
                    <xdr:col>11</xdr:col>
                    <xdr:colOff>342900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Drop Down 7">
              <controlPr defaultSize="0" autoLine="0" autoPict="0">
                <anchor moveWithCells="1">
                  <from>
                    <xdr:col>8</xdr:col>
                    <xdr:colOff>66675</xdr:colOff>
                    <xdr:row>31</xdr:row>
                    <xdr:rowOff>123825</xdr:rowOff>
                  </from>
                  <to>
                    <xdr:col>9</xdr:col>
                    <xdr:colOff>676275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Drop Down 8">
              <controlPr defaultSize="0" autoLine="0" autoPict="0">
                <anchor moveWithCells="1">
                  <from>
                    <xdr:col>8</xdr:col>
                    <xdr:colOff>66675</xdr:colOff>
                    <xdr:row>33</xdr:row>
                    <xdr:rowOff>123825</xdr:rowOff>
                  </from>
                  <to>
                    <xdr:col>9</xdr:col>
                    <xdr:colOff>676275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Drop Down 9">
              <controlPr defaultSize="0" autoLine="0" autoPict="0">
                <anchor moveWithCells="1">
                  <from>
                    <xdr:col>8</xdr:col>
                    <xdr:colOff>66675</xdr:colOff>
                    <xdr:row>35</xdr:row>
                    <xdr:rowOff>123825</xdr:rowOff>
                  </from>
                  <to>
                    <xdr:col>9</xdr:col>
                    <xdr:colOff>676275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10</xdr:col>
                    <xdr:colOff>266700</xdr:colOff>
                    <xdr:row>35</xdr:row>
                    <xdr:rowOff>76200</xdr:rowOff>
                  </from>
                  <to>
                    <xdr:col>11</xdr:col>
                    <xdr:colOff>342900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eck Box 11">
              <controlPr defaultSize="0" autoFill="0" autoLine="0" autoPict="0">
                <anchor moveWithCells="1">
                  <from>
                    <xdr:col>10</xdr:col>
                    <xdr:colOff>266700</xdr:colOff>
                    <xdr:row>33</xdr:row>
                    <xdr:rowOff>76200</xdr:rowOff>
                  </from>
                  <to>
                    <xdr:col>11</xdr:col>
                    <xdr:colOff>342900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6BA7-F914-421A-8E7F-9762970E32E5}">
  <sheetPr codeName="Planilha21">
    <tabColor theme="7"/>
  </sheetPr>
  <dimension ref="A1:Z29"/>
  <sheetViews>
    <sheetView showGridLines="0" showRowColHeaders="0" workbookViewId="0">
      <selection activeCell="F7" sqref="F7:G7"/>
    </sheetView>
  </sheetViews>
  <sheetFormatPr defaultColWidth="0" defaultRowHeight="15" zeroHeight="1" x14ac:dyDescent="0.25"/>
  <cols>
    <col min="1" max="6" width="9.140625" customWidth="1"/>
    <col min="7" max="7" width="10.28515625" customWidth="1"/>
    <col min="8" max="8" width="9.140625" customWidth="1"/>
    <col min="9" max="9" width="3.85546875" customWidth="1"/>
    <col min="10" max="15" width="9.140625" customWidth="1"/>
    <col min="16" max="16" width="11.28515625" customWidth="1"/>
    <col min="17" max="17" width="9.140625" customWidth="1"/>
    <col min="18" max="18" width="3.42578125" customWidth="1"/>
    <col min="19" max="24" width="9.140625" customWidth="1"/>
    <col min="25" max="25" width="11" customWidth="1"/>
    <col min="26" max="26" width="9.140625" customWidth="1"/>
    <col min="27" max="16384" width="9.140625" hidden="1"/>
  </cols>
  <sheetData>
    <row r="1" spans="1:26" x14ac:dyDescent="0.25">
      <c r="A1" s="192" t="s">
        <v>399</v>
      </c>
      <c r="B1" s="192"/>
      <c r="C1" s="192"/>
      <c r="D1" s="192"/>
      <c r="E1" s="192"/>
      <c r="F1" s="192"/>
      <c r="G1" s="192"/>
      <c r="H1" s="192"/>
      <c r="I1" s="65"/>
      <c r="J1" s="192" t="s">
        <v>400</v>
      </c>
      <c r="K1" s="192"/>
      <c r="L1" s="192"/>
      <c r="M1" s="192"/>
      <c r="N1" s="192"/>
      <c r="O1" s="192"/>
      <c r="P1" s="192"/>
      <c r="Q1" s="192"/>
      <c r="R1" s="65"/>
      <c r="S1" s="192" t="s">
        <v>400</v>
      </c>
      <c r="T1" s="192"/>
      <c r="U1" s="192"/>
      <c r="V1" s="192"/>
      <c r="W1" s="192"/>
      <c r="X1" s="192"/>
      <c r="Y1" s="192"/>
      <c r="Z1" s="192"/>
    </row>
    <row r="2" spans="1:26" x14ac:dyDescent="0.25">
      <c r="A2" s="66" t="s">
        <v>30</v>
      </c>
      <c r="B2" s="66" t="s">
        <v>390</v>
      </c>
      <c r="C2" s="66" t="s">
        <v>376</v>
      </c>
      <c r="D2" s="66" t="s">
        <v>391</v>
      </c>
      <c r="E2" s="66" t="s">
        <v>376</v>
      </c>
      <c r="F2" s="66" t="s">
        <v>384</v>
      </c>
      <c r="G2" s="66" t="s">
        <v>378</v>
      </c>
      <c r="H2" s="66" t="s">
        <v>365</v>
      </c>
      <c r="I2" s="65"/>
      <c r="J2" s="66" t="s">
        <v>30</v>
      </c>
      <c r="K2" s="66" t="s">
        <v>390</v>
      </c>
      <c r="L2" s="66" t="s">
        <v>376</v>
      </c>
      <c r="M2" s="66" t="s">
        <v>391</v>
      </c>
      <c r="N2" s="66" t="s">
        <v>376</v>
      </c>
      <c r="O2" s="66" t="s">
        <v>384</v>
      </c>
      <c r="P2" s="66" t="s">
        <v>378</v>
      </c>
      <c r="Q2" s="66" t="s">
        <v>365</v>
      </c>
      <c r="R2" s="65"/>
      <c r="S2" s="66" t="s">
        <v>30</v>
      </c>
      <c r="T2" s="66" t="s">
        <v>392</v>
      </c>
      <c r="U2" s="66" t="s">
        <v>376</v>
      </c>
      <c r="V2" s="66" t="s">
        <v>396</v>
      </c>
      <c r="W2" s="66" t="s">
        <v>376</v>
      </c>
      <c r="X2" s="66" t="s">
        <v>384</v>
      </c>
      <c r="Y2" s="66" t="s">
        <v>378</v>
      </c>
      <c r="Z2" s="66" t="s">
        <v>365</v>
      </c>
    </row>
    <row r="3" spans="1:26" x14ac:dyDescent="0.25">
      <c r="A3" s="67" t="s">
        <v>479</v>
      </c>
      <c r="B3" s="68" cm="1">
        <f t="array" ref="B3">INDEX(FIBRA,F3,1)</f>
        <v>21</v>
      </c>
      <c r="C3" s="68" t="str" cm="1">
        <f t="array" ref="C3">INDEX(FIBRA,F3,2)</f>
        <v>2024-12-28T16:35:00</v>
      </c>
      <c r="D3" s="68" cm="1">
        <f t="array" ref="D3">INDEX(FIBRA,F3,3)</f>
        <v>1</v>
      </c>
      <c r="E3" s="68" t="str" cm="1">
        <f t="array" ref="E3">INDEX(FIBRA,F3,4)</f>
        <v>2024-12-28T19:00:00</v>
      </c>
      <c r="F3" s="69">
        <f>MATCH(G3,codigo3,0)</f>
        <v>1</v>
      </c>
      <c r="G3" s="69" t="str">
        <f>_xlfn.CONCAT(CHOOSE(Fibras!$I$32,"Brecilien","Bridgewatch","Caerleon","Fort Sterling","Lymhurst","Martlock","Thetford"),"B",H3)</f>
        <v>BrecilienB0</v>
      </c>
      <c r="H3" s="70">
        <v>0</v>
      </c>
      <c r="I3" s="65"/>
      <c r="J3" s="67" t="s">
        <v>479</v>
      </c>
      <c r="K3" s="68" cm="1">
        <f t="array" ref="K3">INDEX(TECIDO,O3,1)</f>
        <v>28</v>
      </c>
      <c r="L3" s="68" t="str" cm="1">
        <f t="array" ref="L3">INDEX(TECIDO,O3,2)</f>
        <v>2024-12-28T02:00:00</v>
      </c>
      <c r="M3" s="68" cm="1">
        <f t="array" ref="M3">INDEX(TECIDO,O3,3)</f>
        <v>0</v>
      </c>
      <c r="N3" s="68" cm="1">
        <f t="array" ref="N3">INDEX(TECIDO,O3,4)</f>
        <v>0</v>
      </c>
      <c r="O3" s="69">
        <f t="shared" ref="O3" si="0">MATCH(P3,codigo4,0)</f>
        <v>1</v>
      </c>
      <c r="P3" s="69" t="str">
        <f>_xlfn.CONCAT(CHOOSE(Fibras!$I$34,"Brecilien","Bridgewatch","Caerleon","Fort Sterling","Lymhurst","Martlock","Thetford"),"R",Q3)</f>
        <v>BrecilienR0</v>
      </c>
      <c r="Q3" s="70">
        <v>0</v>
      </c>
      <c r="R3" s="65"/>
      <c r="S3" s="67" t="s">
        <v>479</v>
      </c>
      <c r="T3" s="68" cm="1">
        <f t="array" ref="T3">INDEX(TECIDO,X3,1)</f>
        <v>28</v>
      </c>
      <c r="U3" s="68" t="str" cm="1">
        <f t="array" ref="U3">INDEX(TECIDO,X3,2)</f>
        <v>2024-12-28T02:00:00</v>
      </c>
      <c r="V3" s="68" cm="1">
        <f t="array" ref="V3">INDEX(TECIDO,X3,3)</f>
        <v>0</v>
      </c>
      <c r="W3" s="68" cm="1">
        <f t="array" ref="W3">INDEX(TECIDO,X3,4)</f>
        <v>0</v>
      </c>
      <c r="X3" s="69">
        <f t="shared" ref="X3" si="1">MATCH(Y3,codigo4,0)</f>
        <v>1</v>
      </c>
      <c r="Y3" s="69" t="str">
        <f>_xlfn.CONCAT(CHOOSE(Fibras!$I$36,"Brecilien","Bridgewatch","Caerleon","Fort Sterling","Lymhurst","Martlock","Thetford"),"R",Z3)</f>
        <v>BrecilienR0</v>
      </c>
      <c r="Z3" s="70">
        <v>0</v>
      </c>
    </row>
    <row r="4" spans="1:26" x14ac:dyDescent="0.25">
      <c r="A4" s="67" t="s">
        <v>95</v>
      </c>
      <c r="B4" s="68" cm="1">
        <f t="array" ref="B4">INDEX(FIBRA,F4,1)</f>
        <v>76</v>
      </c>
      <c r="C4" s="68" t="str" cm="1">
        <f t="array" ref="C4">INDEX(FIBRA,F4,2)</f>
        <v>2024-12-28T18:25:00</v>
      </c>
      <c r="D4" s="68" cm="1">
        <f t="array" ref="D4">INDEX(FIBRA,F4,3)</f>
        <v>70</v>
      </c>
      <c r="E4" s="68" t="str" cm="1">
        <f t="array" ref="E4">INDEX(FIBRA,F4,4)</f>
        <v>2024-12-28T16:30:00</v>
      </c>
      <c r="F4" s="69">
        <f t="shared" ref="F4:F29" si="2">MATCH(G4,codigo3,0)</f>
        <v>8</v>
      </c>
      <c r="G4" s="69" t="str">
        <f>_xlfn.CONCAT(CHOOSE(Fibras!$I$32,"Brecilien","Bridgewatch","Caerleon","Fort Sterling","Lymhurst","Martlock","Thetford"),"B",H4)</f>
        <v>BrecilienB1</v>
      </c>
      <c r="H4" s="70">
        <v>1</v>
      </c>
      <c r="I4" s="65"/>
      <c r="J4" s="67" t="s">
        <v>95</v>
      </c>
      <c r="K4" s="68" cm="1">
        <f t="array" ref="K4">INDEX(TECIDO,O4,1)</f>
        <v>423</v>
      </c>
      <c r="L4" s="68" t="str" cm="1">
        <f t="array" ref="L4">INDEX(TECIDO,O4,2)</f>
        <v>2024-12-27T22:00:00</v>
      </c>
      <c r="M4" s="68" cm="1">
        <f t="array" ref="M4">INDEX(TECIDO,O4,3)</f>
        <v>168</v>
      </c>
      <c r="N4" s="68" t="str" cm="1">
        <f t="array" ref="N4">INDEX(TECIDO,O4,4)</f>
        <v>2024-12-27T22:00:00</v>
      </c>
      <c r="O4" s="69">
        <f t="shared" ref="O4:O29" si="3">MATCH(P4,codigo4,0)</f>
        <v>8</v>
      </c>
      <c r="P4" s="69" t="str">
        <f>_xlfn.CONCAT(CHOOSE(Fibras!$I$34,"Brecilien","Bridgewatch","Caerleon","Fort Sterling","Lymhurst","Martlock","Thetford"),"R",Q4)</f>
        <v>BrecilienR1</v>
      </c>
      <c r="Q4" s="70">
        <v>1</v>
      </c>
      <c r="R4" s="65"/>
      <c r="S4" s="67" t="s">
        <v>95</v>
      </c>
      <c r="T4" s="68" cm="1">
        <f t="array" ref="T4">INDEX(TECIDO,X4,1)</f>
        <v>423</v>
      </c>
      <c r="U4" s="68" t="str" cm="1">
        <f t="array" ref="U4">INDEX(TECIDO,X4,2)</f>
        <v>2024-12-27T22:00:00</v>
      </c>
      <c r="V4" s="68" cm="1">
        <f t="array" ref="V4">INDEX(TECIDO,X4,3)</f>
        <v>168</v>
      </c>
      <c r="W4" s="68" t="str" cm="1">
        <f t="array" ref="W4">INDEX(TECIDO,X4,4)</f>
        <v>2024-12-27T22:00:00</v>
      </c>
      <c r="X4" s="69">
        <f t="shared" ref="X4:X29" si="4">MATCH(Y4,codigo4,0)</f>
        <v>8</v>
      </c>
      <c r="Y4" s="69" t="str">
        <f>_xlfn.CONCAT(CHOOSE(Fibras!$I$36,"Brecilien","Bridgewatch","Caerleon","Fort Sterling","Lymhurst","Martlock","Thetford"),"R",Z4)</f>
        <v>BrecilienR1</v>
      </c>
      <c r="Z4" s="70">
        <v>1</v>
      </c>
    </row>
    <row r="5" spans="1:26" x14ac:dyDescent="0.25">
      <c r="A5" s="67" t="s">
        <v>96</v>
      </c>
      <c r="B5" s="68" cm="1">
        <f t="array" ref="B5">INDEX(FIBRA,F5,1)</f>
        <v>54</v>
      </c>
      <c r="C5" s="68" t="str" cm="1">
        <f t="array" ref="C5">INDEX(FIBRA,F5,2)</f>
        <v>2024-12-28T16:30:00</v>
      </c>
      <c r="D5" s="68" cm="1">
        <f t="array" ref="D5">INDEX(FIBRA,F5,3)</f>
        <v>52</v>
      </c>
      <c r="E5" s="68" t="str" cm="1">
        <f t="array" ref="E5">INDEX(FIBRA,F5,4)</f>
        <v>2024-12-28T16:30:00</v>
      </c>
      <c r="F5" s="69">
        <f t="shared" si="2"/>
        <v>15</v>
      </c>
      <c r="G5" s="69" t="str">
        <f>_xlfn.CONCAT(CHOOSE(Fibras!$I$32,"Brecilien","Bridgewatch","Caerleon","Fort Sterling","Lymhurst","Martlock","Thetford"),"B",H5)</f>
        <v>BrecilienB2</v>
      </c>
      <c r="H5" s="70">
        <v>2</v>
      </c>
      <c r="I5" s="65"/>
      <c r="J5" s="67" t="s">
        <v>96</v>
      </c>
      <c r="K5" s="68" cm="1">
        <f t="array" ref="K5">INDEX(TECIDO,O5,1)</f>
        <v>298</v>
      </c>
      <c r="L5" s="68" t="str" cm="1">
        <f t="array" ref="L5">INDEX(TECIDO,O5,2)</f>
        <v>2024-12-27T22:05:00</v>
      </c>
      <c r="M5" s="68" cm="1">
        <f t="array" ref="M5">INDEX(TECIDO,O5,3)</f>
        <v>0</v>
      </c>
      <c r="N5" s="68" cm="1">
        <f t="array" ref="N5">INDEX(TECIDO,O5,4)</f>
        <v>0</v>
      </c>
      <c r="O5" s="69">
        <f t="shared" si="3"/>
        <v>15</v>
      </c>
      <c r="P5" s="69" t="str">
        <f>_xlfn.CONCAT(CHOOSE(Fibras!$I$34,"Brecilien","Bridgewatch","Caerleon","Fort Sterling","Lymhurst","Martlock","Thetford"),"R",Q5)</f>
        <v>BrecilienR2</v>
      </c>
      <c r="Q5" s="70">
        <v>2</v>
      </c>
      <c r="R5" s="65"/>
      <c r="S5" s="67" t="s">
        <v>96</v>
      </c>
      <c r="T5" s="68" cm="1">
        <f t="array" ref="T5">INDEX(TECIDO,X5,1)</f>
        <v>298</v>
      </c>
      <c r="U5" s="68" t="str" cm="1">
        <f t="array" ref="U5">INDEX(TECIDO,X5,2)</f>
        <v>2024-12-27T22:05:00</v>
      </c>
      <c r="V5" s="68" cm="1">
        <f t="array" ref="V5">INDEX(TECIDO,X5,3)</f>
        <v>0</v>
      </c>
      <c r="W5" s="68" cm="1">
        <f t="array" ref="W5">INDEX(TECIDO,X5,4)</f>
        <v>0</v>
      </c>
      <c r="X5" s="69">
        <f t="shared" si="4"/>
        <v>15</v>
      </c>
      <c r="Y5" s="69" t="str">
        <f>_xlfn.CONCAT(CHOOSE(Fibras!$I$36,"Brecilien","Bridgewatch","Caerleon","Fort Sterling","Lymhurst","Martlock","Thetford"),"R",Z5)</f>
        <v>BrecilienR2</v>
      </c>
      <c r="Z5" s="70">
        <v>2</v>
      </c>
    </row>
    <row r="6" spans="1:26" x14ac:dyDescent="0.25">
      <c r="A6" s="67" t="s">
        <v>97</v>
      </c>
      <c r="B6" s="68" cm="1">
        <f t="array" ref="B6">INDEX(FIBRA,F6,1)</f>
        <v>0</v>
      </c>
      <c r="C6" s="68" cm="1">
        <f t="array" ref="C6">INDEX(FIBRA,F6,2)</f>
        <v>0</v>
      </c>
      <c r="D6" s="68" cm="1">
        <f t="array" ref="D6">INDEX(FIBRA,F6,3)</f>
        <v>0</v>
      </c>
      <c r="E6" s="68" cm="1">
        <f t="array" ref="E6">INDEX(FIBRA,F6,4)</f>
        <v>0</v>
      </c>
      <c r="F6" s="69">
        <f t="shared" si="2"/>
        <v>22</v>
      </c>
      <c r="G6" s="69" t="str">
        <f>_xlfn.CONCAT(CHOOSE(Fibras!$I$32,"Brecilien","Bridgewatch","Caerleon","Fort Sterling","Lymhurst","Martlock","Thetford"),"B",H6)</f>
        <v>BrecilienB3</v>
      </c>
      <c r="H6" s="70">
        <v>3</v>
      </c>
      <c r="I6" s="65"/>
      <c r="J6" s="67" t="s">
        <v>97</v>
      </c>
      <c r="K6" s="68" cm="1">
        <f t="array" ref="K6">INDEX(TECIDO,O6,1)</f>
        <v>744</v>
      </c>
      <c r="L6" s="68" t="str" cm="1">
        <f t="array" ref="L6">INDEX(TECIDO,O6,2)</f>
        <v>2024-12-27T22:05:00</v>
      </c>
      <c r="M6" s="68" cm="1">
        <f t="array" ref="M6">INDEX(TECIDO,O6,3)</f>
        <v>0</v>
      </c>
      <c r="N6" s="68" cm="1">
        <f t="array" ref="N6">INDEX(TECIDO,O6,4)</f>
        <v>0</v>
      </c>
      <c r="O6" s="69">
        <f t="shared" si="3"/>
        <v>22</v>
      </c>
      <c r="P6" s="69" t="str">
        <f>_xlfn.CONCAT(CHOOSE(Fibras!$I$34,"Brecilien","Bridgewatch","Caerleon","Fort Sterling","Lymhurst","Martlock","Thetford"),"R",Q6)</f>
        <v>BrecilienR3</v>
      </c>
      <c r="Q6" s="70">
        <v>3</v>
      </c>
      <c r="R6" s="65"/>
      <c r="S6" s="67" t="s">
        <v>97</v>
      </c>
      <c r="T6" s="68" cm="1">
        <f t="array" ref="T6">INDEX(TECIDO,X6,1)</f>
        <v>744</v>
      </c>
      <c r="U6" s="68" t="str" cm="1">
        <f t="array" ref="U6">INDEX(TECIDO,X6,2)</f>
        <v>2024-12-27T22:05:00</v>
      </c>
      <c r="V6" s="68" cm="1">
        <f t="array" ref="V6">INDEX(TECIDO,X6,3)</f>
        <v>0</v>
      </c>
      <c r="W6" s="68" cm="1">
        <f t="array" ref="W6">INDEX(TECIDO,X6,4)</f>
        <v>0</v>
      </c>
      <c r="X6" s="69">
        <f t="shared" si="4"/>
        <v>22</v>
      </c>
      <c r="Y6" s="69" t="str">
        <f>_xlfn.CONCAT(CHOOSE(Fibras!$I$36,"Brecilien","Bridgewatch","Caerleon","Fort Sterling","Lymhurst","Martlock","Thetford"),"R",Z6)</f>
        <v>BrecilienR3</v>
      </c>
      <c r="Z6" s="70">
        <v>3</v>
      </c>
    </row>
    <row r="7" spans="1:26" x14ac:dyDescent="0.25">
      <c r="A7" s="67" t="s">
        <v>98</v>
      </c>
      <c r="B7" s="68" cm="1">
        <f t="array" ref="B7">INDEX(FIBRA,F7,1)</f>
        <v>659</v>
      </c>
      <c r="C7" s="68" t="str" cm="1">
        <f t="array" ref="C7">INDEX(FIBRA,F7,2)</f>
        <v>2024-12-28T14:30:00</v>
      </c>
      <c r="D7" s="68" cm="1">
        <f t="array" ref="D7">INDEX(FIBRA,F7,3)</f>
        <v>0</v>
      </c>
      <c r="E7" s="68" cm="1">
        <f t="array" ref="E7">INDEX(FIBRA,F7,4)</f>
        <v>0</v>
      </c>
      <c r="F7" s="69">
        <f t="shared" si="2"/>
        <v>29</v>
      </c>
      <c r="G7" s="69" t="str">
        <f>_xlfn.CONCAT(CHOOSE(Fibras!$I$32,"Brecilien","Bridgewatch","Caerleon","Fort Sterling","Lymhurst","Martlock","Thetford"),"B",H7)</f>
        <v>BrecilienB4</v>
      </c>
      <c r="H7" s="70">
        <v>4</v>
      </c>
      <c r="I7" s="65"/>
      <c r="J7" s="67" t="s">
        <v>98</v>
      </c>
      <c r="K7" s="68" cm="1">
        <f t="array" ref="K7">INDEX(TECIDO,O7,1)</f>
        <v>1943</v>
      </c>
      <c r="L7" s="68" t="str" cm="1">
        <f t="array" ref="L7">INDEX(TECIDO,O7,2)</f>
        <v>2024-12-27T22:05:00</v>
      </c>
      <c r="M7" s="68" cm="1">
        <f t="array" ref="M7">INDEX(TECIDO,O7,3)</f>
        <v>1144</v>
      </c>
      <c r="N7" s="68" t="str" cm="1">
        <f t="array" ref="N7">INDEX(TECIDO,O7,4)</f>
        <v>2024-12-27T22:05:00</v>
      </c>
      <c r="O7" s="69">
        <f t="shared" si="3"/>
        <v>29</v>
      </c>
      <c r="P7" s="69" t="str">
        <f>_xlfn.CONCAT(CHOOSE(Fibras!$I$34,"Brecilien","Bridgewatch","Caerleon","Fort Sterling","Lymhurst","Martlock","Thetford"),"R",Q7)</f>
        <v>BrecilienR4</v>
      </c>
      <c r="Q7" s="70">
        <v>4</v>
      </c>
      <c r="R7" s="65"/>
      <c r="S7" s="67" t="s">
        <v>98</v>
      </c>
      <c r="T7" s="68" cm="1">
        <f t="array" ref="T7">INDEX(TECIDO,X7,1)</f>
        <v>1943</v>
      </c>
      <c r="U7" s="68" t="str" cm="1">
        <f t="array" ref="U7">INDEX(TECIDO,X7,2)</f>
        <v>2024-12-27T22:05:00</v>
      </c>
      <c r="V7" s="68" cm="1">
        <f t="array" ref="V7">INDEX(TECIDO,X7,3)</f>
        <v>1144</v>
      </c>
      <c r="W7" s="68" t="str" cm="1">
        <f t="array" ref="W7">INDEX(TECIDO,X7,4)</f>
        <v>2024-12-27T22:05:00</v>
      </c>
      <c r="X7" s="69">
        <f t="shared" si="4"/>
        <v>29</v>
      </c>
      <c r="Y7" s="69" t="str">
        <f>_xlfn.CONCAT(CHOOSE(Fibras!$I$36,"Brecilien","Bridgewatch","Caerleon","Fort Sterling","Lymhurst","Martlock","Thetford"),"R",Z7)</f>
        <v>BrecilienR4</v>
      </c>
      <c r="Z7" s="70">
        <v>4</v>
      </c>
    </row>
    <row r="8" spans="1:26" x14ac:dyDescent="0.25">
      <c r="A8" s="67" t="s">
        <v>99</v>
      </c>
      <c r="B8" s="68" cm="1">
        <f t="array" ref="B8">INDEX(FIBRA,F8,1)</f>
        <v>0</v>
      </c>
      <c r="C8" s="68" cm="1">
        <f t="array" ref="C8">INDEX(FIBRA,F8,2)</f>
        <v>0</v>
      </c>
      <c r="D8" s="68" cm="1">
        <f t="array" ref="D8">INDEX(FIBRA,F8,3)</f>
        <v>0</v>
      </c>
      <c r="E8" s="68" cm="1">
        <f t="array" ref="E8">INDEX(FIBRA,F8,4)</f>
        <v>0</v>
      </c>
      <c r="F8" s="69">
        <f t="shared" si="2"/>
        <v>36</v>
      </c>
      <c r="G8" s="69" t="str">
        <f>_xlfn.CONCAT(CHOOSE(Fibras!$I$32,"Brecilien","Bridgewatch","Caerleon","Fort Sterling","Lymhurst","Martlock","Thetford"),"B",H8)</f>
        <v>BrecilienB5</v>
      </c>
      <c r="H8" s="70">
        <v>5</v>
      </c>
      <c r="I8" s="65"/>
      <c r="J8" s="67" t="s">
        <v>99</v>
      </c>
      <c r="K8" s="68" cm="1">
        <f t="array" ref="K8">INDEX(TECIDO,O8,1)</f>
        <v>13330</v>
      </c>
      <c r="L8" s="68" t="str" cm="1">
        <f t="array" ref="L8">INDEX(TECIDO,O8,2)</f>
        <v>2024-12-27T21:30:00</v>
      </c>
      <c r="M8" s="68" cm="1">
        <f t="array" ref="M8">INDEX(TECIDO,O8,3)</f>
        <v>0</v>
      </c>
      <c r="N8" s="68" cm="1">
        <f t="array" ref="N8">INDEX(TECIDO,O8,4)</f>
        <v>0</v>
      </c>
      <c r="O8" s="69">
        <f t="shared" si="3"/>
        <v>36</v>
      </c>
      <c r="P8" s="69" t="str">
        <f>_xlfn.CONCAT(CHOOSE(Fibras!$I$34,"Brecilien","Bridgewatch","Caerleon","Fort Sterling","Lymhurst","Martlock","Thetford"),"R",Q8)</f>
        <v>BrecilienR5</v>
      </c>
      <c r="Q8" s="70">
        <v>5</v>
      </c>
      <c r="R8" s="65"/>
      <c r="S8" s="67" t="s">
        <v>99</v>
      </c>
      <c r="T8" s="68" cm="1">
        <f t="array" ref="T8">INDEX(TECIDO,X8,1)</f>
        <v>13330</v>
      </c>
      <c r="U8" s="68" t="str" cm="1">
        <f t="array" ref="U8">INDEX(TECIDO,X8,2)</f>
        <v>2024-12-27T21:30:00</v>
      </c>
      <c r="V8" s="68" cm="1">
        <f t="array" ref="V8">INDEX(TECIDO,X8,3)</f>
        <v>0</v>
      </c>
      <c r="W8" s="68" cm="1">
        <f t="array" ref="W8">INDEX(TECIDO,X8,4)</f>
        <v>0</v>
      </c>
      <c r="X8" s="69">
        <f t="shared" si="4"/>
        <v>36</v>
      </c>
      <c r="Y8" s="69" t="str">
        <f>_xlfn.CONCAT(CHOOSE(Fibras!$I$36,"Brecilien","Bridgewatch","Caerleon","Fort Sterling","Lymhurst","Martlock","Thetford"),"R",Z8)</f>
        <v>BrecilienR5</v>
      </c>
      <c r="Z8" s="70">
        <v>5</v>
      </c>
    </row>
    <row r="9" spans="1:26" x14ac:dyDescent="0.25">
      <c r="A9" s="67" t="s">
        <v>100</v>
      </c>
      <c r="B9" s="68" cm="1">
        <f t="array" ref="B9">INDEX(FIBRA,F9,1)</f>
        <v>37968</v>
      </c>
      <c r="C9" s="68" t="str" cm="1">
        <f t="array" ref="C9">INDEX(FIBRA,F9,2)</f>
        <v>2024-12-28T16:25:00</v>
      </c>
      <c r="D9" s="68" cm="1">
        <f t="array" ref="D9">INDEX(FIBRA,F9,3)</f>
        <v>0</v>
      </c>
      <c r="E9" s="68" cm="1">
        <f t="array" ref="E9">INDEX(FIBRA,F9,4)</f>
        <v>0</v>
      </c>
      <c r="F9" s="69">
        <f t="shared" si="2"/>
        <v>43</v>
      </c>
      <c r="G9" s="69" t="str">
        <f>_xlfn.CONCAT(CHOOSE(Fibras!$I$32,"Brecilien","Bridgewatch","Caerleon","Fort Sterling","Lymhurst","Martlock","Thetford"),"B",H9)</f>
        <v>BrecilienB6</v>
      </c>
      <c r="H9" s="70">
        <v>6</v>
      </c>
      <c r="I9" s="65"/>
      <c r="J9" s="67" t="s">
        <v>100</v>
      </c>
      <c r="K9" s="68" cm="1">
        <f t="array" ref="K9">INDEX(TECIDO,O9,1)</f>
        <v>0</v>
      </c>
      <c r="L9" s="68" cm="1">
        <f t="array" ref="L9">INDEX(TECIDO,O9,2)</f>
        <v>0</v>
      </c>
      <c r="M9" s="68" cm="1">
        <f t="array" ref="M9">INDEX(TECIDO,O9,3)</f>
        <v>0</v>
      </c>
      <c r="N9" s="68" cm="1">
        <f t="array" ref="N9">INDEX(TECIDO,O9,4)</f>
        <v>0</v>
      </c>
      <c r="O9" s="69">
        <f t="shared" si="3"/>
        <v>43</v>
      </c>
      <c r="P9" s="69" t="str">
        <f>_xlfn.CONCAT(CHOOSE(Fibras!$I$34,"Brecilien","Bridgewatch","Caerleon","Fort Sterling","Lymhurst","Martlock","Thetford"),"R",Q9)</f>
        <v>BrecilienR6</v>
      </c>
      <c r="Q9" s="70">
        <v>6</v>
      </c>
      <c r="R9" s="65"/>
      <c r="S9" s="67" t="s">
        <v>100</v>
      </c>
      <c r="T9" s="68" cm="1">
        <f t="array" ref="T9">INDEX(TECIDO,X9,1)</f>
        <v>0</v>
      </c>
      <c r="U9" s="68" cm="1">
        <f t="array" ref="U9">INDEX(TECIDO,X9,2)</f>
        <v>0</v>
      </c>
      <c r="V9" s="68" cm="1">
        <f t="array" ref="V9">INDEX(TECIDO,X9,3)</f>
        <v>0</v>
      </c>
      <c r="W9" s="68" cm="1">
        <f t="array" ref="W9">INDEX(TECIDO,X9,4)</f>
        <v>0</v>
      </c>
      <c r="X9" s="69">
        <f t="shared" si="4"/>
        <v>43</v>
      </c>
      <c r="Y9" s="69" t="str">
        <f>_xlfn.CONCAT(CHOOSE(Fibras!$I$36,"Brecilien","Bridgewatch","Caerleon","Fort Sterling","Lymhurst","Martlock","Thetford"),"R",Z9)</f>
        <v>BrecilienR6</v>
      </c>
      <c r="Z9" s="70">
        <v>6</v>
      </c>
    </row>
    <row r="10" spans="1:26" x14ac:dyDescent="0.25">
      <c r="A10" s="67" t="s">
        <v>101</v>
      </c>
      <c r="B10" s="68" cm="1">
        <f t="array" ref="B10">INDEX(FIBRA,F10,1)</f>
        <v>309</v>
      </c>
      <c r="C10" s="68" t="str" cm="1">
        <f t="array" ref="C10">INDEX(FIBRA,F10,2)</f>
        <v>2024-12-27T20:20:00</v>
      </c>
      <c r="D10" s="68" cm="1">
        <f t="array" ref="D10">INDEX(FIBRA,F10,3)</f>
        <v>0</v>
      </c>
      <c r="E10" s="68" cm="1">
        <f t="array" ref="E10">INDEX(FIBRA,F10,4)</f>
        <v>0</v>
      </c>
      <c r="F10" s="69">
        <f t="shared" si="2"/>
        <v>50</v>
      </c>
      <c r="G10" s="69" t="str">
        <f>_xlfn.CONCAT(CHOOSE(Fibras!$I$32,"Brecilien","Bridgewatch","Caerleon","Fort Sterling","Lymhurst","Martlock","Thetford"),"B",H10)</f>
        <v>BrecilienB7</v>
      </c>
      <c r="H10" s="70">
        <v>7</v>
      </c>
      <c r="I10" s="65"/>
      <c r="J10" s="67" t="s">
        <v>101</v>
      </c>
      <c r="K10" s="68" cm="1">
        <f t="array" ref="K10">INDEX(TECIDO,O10,1)</f>
        <v>810</v>
      </c>
      <c r="L10" s="68" t="str" cm="1">
        <f t="array" ref="L10">INDEX(TECIDO,O10,2)</f>
        <v>2024-12-28T17:25:00</v>
      </c>
      <c r="M10" s="68" cm="1">
        <f t="array" ref="M10">INDEX(TECIDO,O10,3)</f>
        <v>621</v>
      </c>
      <c r="N10" s="68" t="str" cm="1">
        <f t="array" ref="N10">INDEX(TECIDO,O10,4)</f>
        <v>2024-12-28T17:25:00</v>
      </c>
      <c r="O10" s="69">
        <f t="shared" si="3"/>
        <v>50</v>
      </c>
      <c r="P10" s="69" t="str">
        <f>_xlfn.CONCAT(CHOOSE(Fibras!$I$34,"Brecilien","Bridgewatch","Caerleon","Fort Sterling","Lymhurst","Martlock","Thetford"),"R",Q10)</f>
        <v>BrecilienR7</v>
      </c>
      <c r="Q10" s="70">
        <v>7</v>
      </c>
      <c r="R10" s="65"/>
      <c r="S10" s="67" t="s">
        <v>101</v>
      </c>
      <c r="T10" s="68" cm="1">
        <f t="array" ref="T10">INDEX(TECIDO,X10,1)</f>
        <v>810</v>
      </c>
      <c r="U10" s="68" t="str" cm="1">
        <f t="array" ref="U10">INDEX(TECIDO,X10,2)</f>
        <v>2024-12-28T17:25:00</v>
      </c>
      <c r="V10" s="68" cm="1">
        <f t="array" ref="V10">INDEX(TECIDO,X10,3)</f>
        <v>621</v>
      </c>
      <c r="W10" s="68" t="str" cm="1">
        <f t="array" ref="W10">INDEX(TECIDO,X10,4)</f>
        <v>2024-12-28T17:25:00</v>
      </c>
      <c r="X10" s="69">
        <f t="shared" si="4"/>
        <v>50</v>
      </c>
      <c r="Y10" s="69" t="str">
        <f>_xlfn.CONCAT(CHOOSE(Fibras!$I$36,"Brecilien","Bridgewatch","Caerleon","Fort Sterling","Lymhurst","Martlock","Thetford"),"R",Z10)</f>
        <v>BrecilienR7</v>
      </c>
      <c r="Z10" s="70">
        <v>7</v>
      </c>
    </row>
    <row r="11" spans="1:26" x14ac:dyDescent="0.25">
      <c r="A11" s="67" t="s">
        <v>102</v>
      </c>
      <c r="B11" s="68" cm="1">
        <f t="array" ref="B11">INDEX(FIBRA,F11,1)</f>
        <v>366</v>
      </c>
      <c r="C11" s="68" t="str" cm="1">
        <f t="array" ref="C11">INDEX(FIBRA,F11,2)</f>
        <v>2024-12-27T20:20:00</v>
      </c>
      <c r="D11" s="68" cm="1">
        <f t="array" ref="D11">INDEX(FIBRA,F11,3)</f>
        <v>324</v>
      </c>
      <c r="E11" s="68" t="str" cm="1">
        <f t="array" ref="E11">INDEX(FIBRA,F11,4)</f>
        <v>2024-12-27T20:05:00</v>
      </c>
      <c r="F11" s="69">
        <f t="shared" si="2"/>
        <v>57</v>
      </c>
      <c r="G11" s="69" t="str">
        <f>_xlfn.CONCAT(CHOOSE(Fibras!$I$32,"Brecilien","Bridgewatch","Caerleon","Fort Sterling","Lymhurst","Martlock","Thetford"),"B",H11)</f>
        <v>BrecilienB8</v>
      </c>
      <c r="H11" s="70">
        <v>8</v>
      </c>
      <c r="I11" s="65"/>
      <c r="J11" s="67" t="s">
        <v>102</v>
      </c>
      <c r="K11" s="68" cm="1">
        <f t="array" ref="K11">INDEX(TECIDO,O11,1)</f>
        <v>1300</v>
      </c>
      <c r="L11" s="68" t="str" cm="1">
        <f t="array" ref="L11">INDEX(TECIDO,O11,2)</f>
        <v>2024-12-27T21:35:00</v>
      </c>
      <c r="M11" s="68" cm="1">
        <f t="array" ref="M11">INDEX(TECIDO,O11,3)</f>
        <v>0</v>
      </c>
      <c r="N11" s="68" cm="1">
        <f t="array" ref="N11">INDEX(TECIDO,O11,4)</f>
        <v>0</v>
      </c>
      <c r="O11" s="69">
        <f t="shared" si="3"/>
        <v>57</v>
      </c>
      <c r="P11" s="69" t="str">
        <f>_xlfn.CONCAT(CHOOSE(Fibras!$I$34,"Brecilien","Bridgewatch","Caerleon","Fort Sterling","Lymhurst","Martlock","Thetford"),"R",Q11)</f>
        <v>BrecilienR8</v>
      </c>
      <c r="Q11" s="70">
        <v>8</v>
      </c>
      <c r="R11" s="65"/>
      <c r="S11" s="67" t="s">
        <v>102</v>
      </c>
      <c r="T11" s="68" cm="1">
        <f t="array" ref="T11">INDEX(TECIDO,X11,1)</f>
        <v>1300</v>
      </c>
      <c r="U11" s="68" t="str" cm="1">
        <f t="array" ref="U11">INDEX(TECIDO,X11,2)</f>
        <v>2024-12-27T21:35:00</v>
      </c>
      <c r="V11" s="68" cm="1">
        <f t="array" ref="V11">INDEX(TECIDO,X11,3)</f>
        <v>0</v>
      </c>
      <c r="W11" s="68" cm="1">
        <f t="array" ref="W11">INDEX(TECIDO,X11,4)</f>
        <v>0</v>
      </c>
      <c r="X11" s="69">
        <f t="shared" si="4"/>
        <v>57</v>
      </c>
      <c r="Y11" s="69" t="str">
        <f>_xlfn.CONCAT(CHOOSE(Fibras!$I$36,"Brecilien","Bridgewatch","Caerleon","Fort Sterling","Lymhurst","Martlock","Thetford"),"R",Z11)</f>
        <v>BrecilienR8</v>
      </c>
      <c r="Z11" s="70">
        <v>8</v>
      </c>
    </row>
    <row r="12" spans="1:26" x14ac:dyDescent="0.25">
      <c r="A12" s="67" t="s">
        <v>103</v>
      </c>
      <c r="B12" s="68" cm="1">
        <f t="array" ref="B12">INDEX(FIBRA,F12,1)</f>
        <v>445</v>
      </c>
      <c r="C12" s="68" t="str" cm="1">
        <f t="array" ref="C12">INDEX(FIBRA,F12,2)</f>
        <v>2024-12-28T14:30:00</v>
      </c>
      <c r="D12" s="68" cm="1">
        <f t="array" ref="D12">INDEX(FIBRA,F12,3)</f>
        <v>0</v>
      </c>
      <c r="E12" s="68" cm="1">
        <f t="array" ref="E12">INDEX(FIBRA,F12,4)</f>
        <v>0</v>
      </c>
      <c r="F12" s="69">
        <f t="shared" si="2"/>
        <v>64</v>
      </c>
      <c r="G12" s="69" t="str">
        <f>_xlfn.CONCAT(CHOOSE(Fibras!$I$32,"Brecilien","Bridgewatch","Caerleon","Fort Sterling","Lymhurst","Martlock","Thetford"),"B",H12)</f>
        <v>BrecilienB9</v>
      </c>
      <c r="H12" s="70">
        <v>9</v>
      </c>
      <c r="I12" s="65"/>
      <c r="J12" s="67" t="s">
        <v>103</v>
      </c>
      <c r="K12" s="68" cm="1">
        <f t="array" ref="K12">INDEX(TECIDO,O12,1)</f>
        <v>3282</v>
      </c>
      <c r="L12" s="68" t="str" cm="1">
        <f t="array" ref="L12">INDEX(TECIDO,O12,2)</f>
        <v>2024-12-27T21:50:00</v>
      </c>
      <c r="M12" s="68" cm="1">
        <f t="array" ref="M12">INDEX(TECIDO,O12,3)</f>
        <v>0</v>
      </c>
      <c r="N12" s="68" cm="1">
        <f t="array" ref="N12">INDEX(TECIDO,O12,4)</f>
        <v>0</v>
      </c>
      <c r="O12" s="69">
        <f t="shared" si="3"/>
        <v>64</v>
      </c>
      <c r="P12" s="69" t="str">
        <f>_xlfn.CONCAT(CHOOSE(Fibras!$I$34,"Brecilien","Bridgewatch","Caerleon","Fort Sterling","Lymhurst","Martlock","Thetford"),"R",Q12)</f>
        <v>BrecilienR9</v>
      </c>
      <c r="Q12" s="70">
        <v>9</v>
      </c>
      <c r="R12" s="65"/>
      <c r="S12" s="67" t="s">
        <v>103</v>
      </c>
      <c r="T12" s="68" cm="1">
        <f t="array" ref="T12">INDEX(TECIDO,X12,1)</f>
        <v>3282</v>
      </c>
      <c r="U12" s="68" t="str" cm="1">
        <f t="array" ref="U12">INDEX(TECIDO,X12,2)</f>
        <v>2024-12-27T21:50:00</v>
      </c>
      <c r="V12" s="68" cm="1">
        <f t="array" ref="V12">INDEX(TECIDO,X12,3)</f>
        <v>0</v>
      </c>
      <c r="W12" s="68" cm="1">
        <f t="array" ref="W12">INDEX(TECIDO,X12,4)</f>
        <v>0</v>
      </c>
      <c r="X12" s="69">
        <f t="shared" si="4"/>
        <v>64</v>
      </c>
      <c r="Y12" s="69" t="str">
        <f>_xlfn.CONCAT(CHOOSE(Fibras!$I$36,"Brecilien","Bridgewatch","Caerleon","Fort Sterling","Lymhurst","Martlock","Thetford"),"R",Z12)</f>
        <v>BrecilienR9</v>
      </c>
      <c r="Z12" s="70">
        <v>9</v>
      </c>
    </row>
    <row r="13" spans="1:26" x14ac:dyDescent="0.25">
      <c r="A13" s="67" t="s">
        <v>104</v>
      </c>
      <c r="B13" s="68" cm="1">
        <f t="array" ref="B13">INDEX(FIBRA,F13,1)</f>
        <v>7946</v>
      </c>
      <c r="C13" s="68" t="str" cm="1">
        <f t="array" ref="C13">INDEX(FIBRA,F13,2)</f>
        <v>2024-12-27T21:35:00</v>
      </c>
      <c r="D13" s="68" cm="1">
        <f t="array" ref="D13">INDEX(FIBRA,F13,3)</f>
        <v>0</v>
      </c>
      <c r="E13" s="68" cm="1">
        <f t="array" ref="E13">INDEX(FIBRA,F13,4)</f>
        <v>0</v>
      </c>
      <c r="F13" s="69">
        <f t="shared" si="2"/>
        <v>71</v>
      </c>
      <c r="G13" s="69" t="str">
        <f>_xlfn.CONCAT(CHOOSE(Fibras!$I$32,"Brecilien","Bridgewatch","Caerleon","Fort Sterling","Lymhurst","Martlock","Thetford"),"B",H13)</f>
        <v>BrecilienB10</v>
      </c>
      <c r="H13" s="70">
        <v>10</v>
      </c>
      <c r="I13" s="65"/>
      <c r="J13" s="67" t="s">
        <v>104</v>
      </c>
      <c r="K13" s="68" cm="1">
        <f t="array" ref="K13">INDEX(TECIDO,O13,1)</f>
        <v>26984</v>
      </c>
      <c r="L13" s="68" t="str" cm="1">
        <f t="array" ref="L13">INDEX(TECIDO,O13,2)</f>
        <v>2024-12-27T21:30:00</v>
      </c>
      <c r="M13" s="68" cm="1">
        <f t="array" ref="M13">INDEX(TECIDO,O13,3)</f>
        <v>0</v>
      </c>
      <c r="N13" s="68" cm="1">
        <f t="array" ref="N13">INDEX(TECIDO,O13,4)</f>
        <v>0</v>
      </c>
      <c r="O13" s="69">
        <f t="shared" si="3"/>
        <v>71</v>
      </c>
      <c r="P13" s="69" t="str">
        <f>_xlfn.CONCAT(CHOOSE(Fibras!$I$34,"Brecilien","Bridgewatch","Caerleon","Fort Sterling","Lymhurst","Martlock","Thetford"),"R",Q13)</f>
        <v>BrecilienR10</v>
      </c>
      <c r="Q13" s="70">
        <v>10</v>
      </c>
      <c r="R13" s="65"/>
      <c r="S13" s="67" t="s">
        <v>104</v>
      </c>
      <c r="T13" s="68" cm="1">
        <f t="array" ref="T13">INDEX(TECIDO,X13,1)</f>
        <v>26984</v>
      </c>
      <c r="U13" s="68" t="str" cm="1">
        <f t="array" ref="U13">INDEX(TECIDO,X13,2)</f>
        <v>2024-12-27T21:30:00</v>
      </c>
      <c r="V13" s="68" cm="1">
        <f t="array" ref="V13">INDEX(TECIDO,X13,3)</f>
        <v>0</v>
      </c>
      <c r="W13" s="68" cm="1">
        <f t="array" ref="W13">INDEX(TECIDO,X13,4)</f>
        <v>0</v>
      </c>
      <c r="X13" s="69">
        <f t="shared" si="4"/>
        <v>71</v>
      </c>
      <c r="Y13" s="69" t="str">
        <f>_xlfn.CONCAT(CHOOSE(Fibras!$I$36,"Brecilien","Bridgewatch","Caerleon","Fort Sterling","Lymhurst","Martlock","Thetford"),"R",Z13)</f>
        <v>BrecilienR10</v>
      </c>
      <c r="Z13" s="70">
        <v>10</v>
      </c>
    </row>
    <row r="14" spans="1:26" x14ac:dyDescent="0.25">
      <c r="A14" s="67" t="s">
        <v>105</v>
      </c>
      <c r="B14" s="68" cm="1">
        <f t="array" ref="B14">INDEX(FIBRA,F14,1)</f>
        <v>39892</v>
      </c>
      <c r="C14" s="68" t="str" cm="1">
        <f t="array" ref="C14">INDEX(FIBRA,F14,2)</f>
        <v>2024-12-28T16:25:00</v>
      </c>
      <c r="D14" s="68" cm="1">
        <f t="array" ref="D14">INDEX(FIBRA,F14,3)</f>
        <v>0</v>
      </c>
      <c r="E14" s="68" cm="1">
        <f t="array" ref="E14">INDEX(FIBRA,F14,4)</f>
        <v>0</v>
      </c>
      <c r="F14" s="69">
        <f t="shared" si="2"/>
        <v>78</v>
      </c>
      <c r="G14" s="69" t="str">
        <f>_xlfn.CONCAT(CHOOSE(Fibras!$I$32,"Brecilien","Bridgewatch","Caerleon","Fort Sterling","Lymhurst","Martlock","Thetford"),"B",H14)</f>
        <v>BrecilienB11</v>
      </c>
      <c r="H14" s="70">
        <v>11</v>
      </c>
      <c r="I14" s="65"/>
      <c r="J14" s="67" t="s">
        <v>105</v>
      </c>
      <c r="K14" s="68" cm="1">
        <f t="array" ref="K14">INDEX(TECIDO,O14,1)</f>
        <v>0</v>
      </c>
      <c r="L14" s="68" cm="1">
        <f t="array" ref="L14">INDEX(TECIDO,O14,2)</f>
        <v>0</v>
      </c>
      <c r="M14" s="68" cm="1">
        <f t="array" ref="M14">INDEX(TECIDO,O14,3)</f>
        <v>0</v>
      </c>
      <c r="N14" s="68" cm="1">
        <f t="array" ref="N14">INDEX(TECIDO,O14,4)</f>
        <v>0</v>
      </c>
      <c r="O14" s="69">
        <f t="shared" si="3"/>
        <v>78</v>
      </c>
      <c r="P14" s="69" t="str">
        <f>_xlfn.CONCAT(CHOOSE(Fibras!$I$34,"Brecilien","Bridgewatch","Caerleon","Fort Sterling","Lymhurst","Martlock","Thetford"),"R",Q14)</f>
        <v>BrecilienR11</v>
      </c>
      <c r="Q14" s="70">
        <v>11</v>
      </c>
      <c r="R14" s="65"/>
      <c r="S14" s="67" t="s">
        <v>105</v>
      </c>
      <c r="T14" s="68" cm="1">
        <f t="array" ref="T14">INDEX(TECIDO,X14,1)</f>
        <v>0</v>
      </c>
      <c r="U14" s="68" cm="1">
        <f t="array" ref="U14">INDEX(TECIDO,X14,2)</f>
        <v>0</v>
      </c>
      <c r="V14" s="68" cm="1">
        <f t="array" ref="V14">INDEX(TECIDO,X14,3)</f>
        <v>0</v>
      </c>
      <c r="W14" s="68" cm="1">
        <f t="array" ref="W14">INDEX(TECIDO,X14,4)</f>
        <v>0</v>
      </c>
      <c r="X14" s="69">
        <f t="shared" si="4"/>
        <v>78</v>
      </c>
      <c r="Y14" s="69" t="str">
        <f>_xlfn.CONCAT(CHOOSE(Fibras!$I$36,"Brecilien","Bridgewatch","Caerleon","Fort Sterling","Lymhurst","Martlock","Thetford"),"R",Z14)</f>
        <v>BrecilienR11</v>
      </c>
      <c r="Z14" s="70">
        <v>11</v>
      </c>
    </row>
    <row r="15" spans="1:26" x14ac:dyDescent="0.25">
      <c r="A15" s="67" t="s">
        <v>106</v>
      </c>
      <c r="B15" s="68" cm="1">
        <f t="array" ref="B15">INDEX(FIBRA,F15,1)</f>
        <v>783</v>
      </c>
      <c r="C15" s="68" t="str" cm="1">
        <f t="array" ref="C15">INDEX(FIBRA,F15,2)</f>
        <v>2024-12-27T20:10:00</v>
      </c>
      <c r="D15" s="68" cm="1">
        <f t="array" ref="D15">INDEX(FIBRA,F15,3)</f>
        <v>779</v>
      </c>
      <c r="E15" s="68" t="str" cm="1">
        <f t="array" ref="E15">INDEX(FIBRA,F15,4)</f>
        <v>2024-12-27T20:15:00</v>
      </c>
      <c r="F15" s="69">
        <f t="shared" si="2"/>
        <v>85</v>
      </c>
      <c r="G15" s="69" t="str">
        <f>_xlfn.CONCAT(CHOOSE(Fibras!$I$32,"Brecilien","Bridgewatch","Caerleon","Fort Sterling","Lymhurst","Martlock","Thetford"),"B",H15)</f>
        <v>BrecilienB12</v>
      </c>
      <c r="H15" s="70">
        <v>12</v>
      </c>
      <c r="I15" s="65"/>
      <c r="J15" s="67" t="s">
        <v>106</v>
      </c>
      <c r="K15" s="68" cm="1">
        <f t="array" ref="K15">INDEX(TECIDO,O15,1)</f>
        <v>3409</v>
      </c>
      <c r="L15" s="68" t="str" cm="1">
        <f t="array" ref="L15">INDEX(TECIDO,O15,2)</f>
        <v>2024-12-28T06:25:00</v>
      </c>
      <c r="M15" s="68" cm="1">
        <f t="array" ref="M15">INDEX(TECIDO,O15,3)</f>
        <v>0</v>
      </c>
      <c r="N15" s="68" cm="1">
        <f t="array" ref="N15">INDEX(TECIDO,O15,4)</f>
        <v>0</v>
      </c>
      <c r="O15" s="69">
        <f t="shared" si="3"/>
        <v>85</v>
      </c>
      <c r="P15" s="69" t="str">
        <f>_xlfn.CONCAT(CHOOSE(Fibras!$I$34,"Brecilien","Bridgewatch","Caerleon","Fort Sterling","Lymhurst","Martlock","Thetford"),"R",Q15)</f>
        <v>BrecilienR12</v>
      </c>
      <c r="Q15" s="70">
        <v>12</v>
      </c>
      <c r="R15" s="65"/>
      <c r="S15" s="67" t="s">
        <v>106</v>
      </c>
      <c r="T15" s="68" cm="1">
        <f t="array" ref="T15">INDEX(TECIDO,X15,1)</f>
        <v>3409</v>
      </c>
      <c r="U15" s="68" t="str" cm="1">
        <f t="array" ref="U15">INDEX(TECIDO,X15,2)</f>
        <v>2024-12-28T06:25:00</v>
      </c>
      <c r="V15" s="68" cm="1">
        <f t="array" ref="V15">INDEX(TECIDO,X15,3)</f>
        <v>0</v>
      </c>
      <c r="W15" s="68" cm="1">
        <f t="array" ref="W15">INDEX(TECIDO,X15,4)</f>
        <v>0</v>
      </c>
      <c r="X15" s="69">
        <f t="shared" si="4"/>
        <v>85</v>
      </c>
      <c r="Y15" s="69" t="str">
        <f>_xlfn.CONCAT(CHOOSE(Fibras!$I$36,"Brecilien","Bridgewatch","Caerleon","Fort Sterling","Lymhurst","Martlock","Thetford"),"R",Z15)</f>
        <v>BrecilienR12</v>
      </c>
      <c r="Z15" s="70">
        <v>12</v>
      </c>
    </row>
    <row r="16" spans="1:26" x14ac:dyDescent="0.25">
      <c r="A16" s="67" t="s">
        <v>107</v>
      </c>
      <c r="B16" s="68" cm="1">
        <f t="array" ref="B16">INDEX(FIBRA,F16,1)</f>
        <v>1093</v>
      </c>
      <c r="C16" s="68" t="str" cm="1">
        <f t="array" ref="C16">INDEX(FIBRA,F16,2)</f>
        <v>2024-12-28T15:35:00</v>
      </c>
      <c r="D16" s="68" cm="1">
        <f t="array" ref="D16">INDEX(FIBRA,F16,3)</f>
        <v>1050</v>
      </c>
      <c r="E16" s="68" t="str" cm="1">
        <f t="array" ref="E16">INDEX(FIBRA,F16,4)</f>
        <v>2024-12-28T15:45:00</v>
      </c>
      <c r="F16" s="69">
        <f t="shared" si="2"/>
        <v>92</v>
      </c>
      <c r="G16" s="69" t="str">
        <f>_xlfn.CONCAT(CHOOSE(Fibras!$I$32,"Brecilien","Bridgewatch","Caerleon","Fort Sterling","Lymhurst","Martlock","Thetford"),"B",H16)</f>
        <v>BrecilienB13</v>
      </c>
      <c r="H16" s="70">
        <v>13</v>
      </c>
      <c r="I16" s="65"/>
      <c r="J16" s="67" t="s">
        <v>107</v>
      </c>
      <c r="K16" s="68" cm="1">
        <f t="array" ref="K16">INDEX(TECIDO,O16,1)</f>
        <v>0</v>
      </c>
      <c r="L16" s="68" cm="1">
        <f t="array" ref="L16">INDEX(TECIDO,O16,2)</f>
        <v>0</v>
      </c>
      <c r="M16" s="68" cm="1">
        <f t="array" ref="M16">INDEX(TECIDO,O16,3)</f>
        <v>0</v>
      </c>
      <c r="N16" s="68" cm="1">
        <f t="array" ref="N16">INDEX(TECIDO,O16,4)</f>
        <v>0</v>
      </c>
      <c r="O16" s="69">
        <f t="shared" si="3"/>
        <v>92</v>
      </c>
      <c r="P16" s="69" t="str">
        <f>_xlfn.CONCAT(CHOOSE(Fibras!$I$34,"Brecilien","Bridgewatch","Caerleon","Fort Sterling","Lymhurst","Martlock","Thetford"),"R",Q16)</f>
        <v>BrecilienR13</v>
      </c>
      <c r="Q16" s="70">
        <v>13</v>
      </c>
      <c r="R16" s="65"/>
      <c r="S16" s="67" t="s">
        <v>107</v>
      </c>
      <c r="T16" s="68" cm="1">
        <f t="array" ref="T16">INDEX(TECIDO,X16,1)</f>
        <v>0</v>
      </c>
      <c r="U16" s="68" cm="1">
        <f t="array" ref="U16">INDEX(TECIDO,X16,2)</f>
        <v>0</v>
      </c>
      <c r="V16" s="68" cm="1">
        <f t="array" ref="V16">INDEX(TECIDO,X16,3)</f>
        <v>0</v>
      </c>
      <c r="W16" s="68" cm="1">
        <f t="array" ref="W16">INDEX(TECIDO,X16,4)</f>
        <v>0</v>
      </c>
      <c r="X16" s="69">
        <f t="shared" si="4"/>
        <v>92</v>
      </c>
      <c r="Y16" s="69" t="str">
        <f>_xlfn.CONCAT(CHOOSE(Fibras!$I$36,"Brecilien","Bridgewatch","Caerleon","Fort Sterling","Lymhurst","Martlock","Thetford"),"R",Z16)</f>
        <v>BrecilienR13</v>
      </c>
      <c r="Z16" s="70">
        <v>13</v>
      </c>
    </row>
    <row r="17" spans="1:26" x14ac:dyDescent="0.25">
      <c r="A17" s="67" t="s">
        <v>108</v>
      </c>
      <c r="B17" s="68" cm="1">
        <f t="array" ref="B17">INDEX(FIBRA,F17,1)</f>
        <v>4966</v>
      </c>
      <c r="C17" s="68" t="str" cm="1">
        <f t="array" ref="C17">INDEX(FIBRA,F17,2)</f>
        <v>2024-12-28T15:45:00</v>
      </c>
      <c r="D17" s="68" cm="1">
        <f t="array" ref="D17">INDEX(FIBRA,F17,3)</f>
        <v>4450</v>
      </c>
      <c r="E17" s="68" t="str" cm="1">
        <f t="array" ref="E17">INDEX(FIBRA,F17,4)</f>
        <v>2024-12-28T15:35:00</v>
      </c>
      <c r="F17" s="69">
        <f t="shared" si="2"/>
        <v>99</v>
      </c>
      <c r="G17" s="69" t="str">
        <f>_xlfn.CONCAT(CHOOSE(Fibras!$I$32,"Brecilien","Bridgewatch","Caerleon","Fort Sterling","Lymhurst","Martlock","Thetford"),"B",H17)</f>
        <v>BrecilienB14</v>
      </c>
      <c r="H17" s="70">
        <v>14</v>
      </c>
      <c r="I17" s="65"/>
      <c r="J17" s="67" t="s">
        <v>108</v>
      </c>
      <c r="K17" s="68" cm="1">
        <f t="array" ref="K17">INDEX(TECIDO,O17,1)</f>
        <v>20974</v>
      </c>
      <c r="L17" s="68" t="str" cm="1">
        <f t="array" ref="L17">INDEX(TECIDO,O17,2)</f>
        <v>2024-12-27T21:50:00</v>
      </c>
      <c r="M17" s="68" cm="1">
        <f t="array" ref="M17">INDEX(TECIDO,O17,3)</f>
        <v>0</v>
      </c>
      <c r="N17" s="68" cm="1">
        <f t="array" ref="N17">INDEX(TECIDO,O17,4)</f>
        <v>0</v>
      </c>
      <c r="O17" s="69">
        <f t="shared" si="3"/>
        <v>99</v>
      </c>
      <c r="P17" s="69" t="str">
        <f>_xlfn.CONCAT(CHOOSE(Fibras!$I$34,"Brecilien","Bridgewatch","Caerleon","Fort Sterling","Lymhurst","Martlock","Thetford"),"R",Q17)</f>
        <v>BrecilienR14</v>
      </c>
      <c r="Q17" s="70">
        <v>14</v>
      </c>
      <c r="R17" s="65"/>
      <c r="S17" s="67" t="s">
        <v>108</v>
      </c>
      <c r="T17" s="68" cm="1">
        <f t="array" ref="T17">INDEX(TECIDO,X17,1)</f>
        <v>20974</v>
      </c>
      <c r="U17" s="68" t="str" cm="1">
        <f t="array" ref="U17">INDEX(TECIDO,X17,2)</f>
        <v>2024-12-27T21:50:00</v>
      </c>
      <c r="V17" s="68" cm="1">
        <f t="array" ref="V17">INDEX(TECIDO,X17,3)</f>
        <v>0</v>
      </c>
      <c r="W17" s="68" cm="1">
        <f t="array" ref="W17">INDEX(TECIDO,X17,4)</f>
        <v>0</v>
      </c>
      <c r="X17" s="69">
        <f t="shared" si="4"/>
        <v>99</v>
      </c>
      <c r="Y17" s="69" t="str">
        <f>_xlfn.CONCAT(CHOOSE(Fibras!$I$36,"Brecilien","Bridgewatch","Caerleon","Fort Sterling","Lymhurst","Martlock","Thetford"),"R",Z17)</f>
        <v>BrecilienR14</v>
      </c>
      <c r="Z17" s="70">
        <v>14</v>
      </c>
    </row>
    <row r="18" spans="1:26" x14ac:dyDescent="0.25">
      <c r="A18" s="67" t="s">
        <v>109</v>
      </c>
      <c r="B18" s="68" cm="1">
        <f t="array" ref="B18">INDEX(FIBRA,F18,1)</f>
        <v>10072</v>
      </c>
      <c r="C18" s="68" t="str" cm="1">
        <f t="array" ref="C18">INDEX(FIBRA,F18,2)</f>
        <v>2024-12-27T21:35:00</v>
      </c>
      <c r="D18" s="68" cm="1">
        <f t="array" ref="D18">INDEX(FIBRA,F18,3)</f>
        <v>0</v>
      </c>
      <c r="E18" s="68" cm="1">
        <f t="array" ref="E18">INDEX(FIBRA,F18,4)</f>
        <v>0</v>
      </c>
      <c r="F18" s="69">
        <f t="shared" si="2"/>
        <v>106</v>
      </c>
      <c r="G18" s="69" t="str">
        <f>_xlfn.CONCAT(CHOOSE(Fibras!$I$32,"Brecilien","Bridgewatch","Caerleon","Fort Sterling","Lymhurst","Martlock","Thetford"),"B",H18)</f>
        <v>BrecilienB15</v>
      </c>
      <c r="H18" s="70">
        <v>15</v>
      </c>
      <c r="I18" s="65"/>
      <c r="J18" s="67" t="s">
        <v>109</v>
      </c>
      <c r="K18" s="68" cm="1">
        <f t="array" ref="K18">INDEX(TECIDO,O18,1)</f>
        <v>42985</v>
      </c>
      <c r="L18" s="68" t="str" cm="1">
        <f t="array" ref="L18">INDEX(TECIDO,O18,2)</f>
        <v>2024-12-27T21:30:00</v>
      </c>
      <c r="M18" s="68" cm="1">
        <f t="array" ref="M18">INDEX(TECIDO,O18,3)</f>
        <v>0</v>
      </c>
      <c r="N18" s="68" cm="1">
        <f t="array" ref="N18">INDEX(TECIDO,O18,4)</f>
        <v>0</v>
      </c>
      <c r="O18" s="69">
        <f t="shared" si="3"/>
        <v>106</v>
      </c>
      <c r="P18" s="69" t="str">
        <f>_xlfn.CONCAT(CHOOSE(Fibras!$I$34,"Brecilien","Bridgewatch","Caerleon","Fort Sterling","Lymhurst","Martlock","Thetford"),"R",Q18)</f>
        <v>BrecilienR15</v>
      </c>
      <c r="Q18" s="70">
        <v>15</v>
      </c>
      <c r="R18" s="65"/>
      <c r="S18" s="67" t="s">
        <v>109</v>
      </c>
      <c r="T18" s="68" cm="1">
        <f t="array" ref="T18">INDEX(TECIDO,X18,1)</f>
        <v>42985</v>
      </c>
      <c r="U18" s="68" t="str" cm="1">
        <f t="array" ref="U18">INDEX(TECIDO,X18,2)</f>
        <v>2024-12-27T21:30:00</v>
      </c>
      <c r="V18" s="68" cm="1">
        <f t="array" ref="V18">INDEX(TECIDO,X18,3)</f>
        <v>0</v>
      </c>
      <c r="W18" s="68" cm="1">
        <f t="array" ref="W18">INDEX(TECIDO,X18,4)</f>
        <v>0</v>
      </c>
      <c r="X18" s="69">
        <f t="shared" si="4"/>
        <v>106</v>
      </c>
      <c r="Y18" s="69" t="str">
        <f>_xlfn.CONCAT(CHOOSE(Fibras!$I$36,"Brecilien","Bridgewatch","Caerleon","Fort Sterling","Lymhurst","Martlock","Thetford"),"R",Z18)</f>
        <v>BrecilienR15</v>
      </c>
      <c r="Z18" s="70">
        <v>15</v>
      </c>
    </row>
    <row r="19" spans="1:26" x14ac:dyDescent="0.25">
      <c r="A19" s="67" t="s">
        <v>110</v>
      </c>
      <c r="B19" s="68" cm="1">
        <f t="array" ref="B19">INDEX(FIBRA,F19,1)</f>
        <v>0</v>
      </c>
      <c r="C19" s="68" cm="1">
        <f t="array" ref="C19">INDEX(FIBRA,F19,2)</f>
        <v>0</v>
      </c>
      <c r="D19" s="68" cm="1">
        <f t="array" ref="D19">INDEX(FIBRA,F19,3)</f>
        <v>0</v>
      </c>
      <c r="E19" s="68" cm="1">
        <f t="array" ref="E19">INDEX(FIBRA,F19,4)</f>
        <v>0</v>
      </c>
      <c r="F19" s="69">
        <f t="shared" si="2"/>
        <v>113</v>
      </c>
      <c r="G19" s="69" t="str">
        <f>_xlfn.CONCAT(CHOOSE(Fibras!$I$32,"Brecilien","Bridgewatch","Caerleon","Fort Sterling","Lymhurst","Martlock","Thetford"),"B",H19)</f>
        <v>BrecilienB16</v>
      </c>
      <c r="H19" s="70">
        <v>16</v>
      </c>
      <c r="I19" s="65"/>
      <c r="J19" s="67" t="s">
        <v>110</v>
      </c>
      <c r="K19" s="68" cm="1">
        <f t="array" ref="K19">INDEX(TECIDO,O19,1)</f>
        <v>0</v>
      </c>
      <c r="L19" s="68" cm="1">
        <f t="array" ref="L19">INDEX(TECIDO,O19,2)</f>
        <v>0</v>
      </c>
      <c r="M19" s="68" cm="1">
        <f t="array" ref="M19">INDEX(TECIDO,O19,3)</f>
        <v>0</v>
      </c>
      <c r="N19" s="68" cm="1">
        <f t="array" ref="N19">INDEX(TECIDO,O19,4)</f>
        <v>0</v>
      </c>
      <c r="O19" s="69">
        <f t="shared" si="3"/>
        <v>113</v>
      </c>
      <c r="P19" s="69" t="str">
        <f>_xlfn.CONCAT(CHOOSE(Fibras!$I$34,"Brecilien","Bridgewatch","Caerleon","Fort Sterling","Lymhurst","Martlock","Thetford"),"R",Q19)</f>
        <v>BrecilienR16</v>
      </c>
      <c r="Q19" s="70">
        <v>16</v>
      </c>
      <c r="R19" s="65"/>
      <c r="S19" s="67" t="s">
        <v>110</v>
      </c>
      <c r="T19" s="68" cm="1">
        <f t="array" ref="T19">INDEX(TECIDO,X19,1)</f>
        <v>0</v>
      </c>
      <c r="U19" s="68" cm="1">
        <f t="array" ref="U19">INDEX(TECIDO,X19,2)</f>
        <v>0</v>
      </c>
      <c r="V19" s="68" cm="1">
        <f t="array" ref="V19">INDEX(TECIDO,X19,3)</f>
        <v>0</v>
      </c>
      <c r="W19" s="68" cm="1">
        <f t="array" ref="W19">INDEX(TECIDO,X19,4)</f>
        <v>0</v>
      </c>
      <c r="X19" s="69">
        <f t="shared" si="4"/>
        <v>113</v>
      </c>
      <c r="Y19" s="69" t="str">
        <f>_xlfn.CONCAT(CHOOSE(Fibras!$I$36,"Brecilien","Bridgewatch","Caerleon","Fort Sterling","Lymhurst","Martlock","Thetford"),"R",Z19)</f>
        <v>BrecilienR16</v>
      </c>
      <c r="Z19" s="70">
        <v>16</v>
      </c>
    </row>
    <row r="20" spans="1:26" x14ac:dyDescent="0.25">
      <c r="A20" s="67" t="s">
        <v>111</v>
      </c>
      <c r="B20" s="68" cm="1">
        <f t="array" ref="B20">INDEX(FIBRA,F20,1)</f>
        <v>1555</v>
      </c>
      <c r="C20" s="68" t="str" cm="1">
        <f t="array" ref="C20">INDEX(FIBRA,F20,2)</f>
        <v>2024-12-28T17:20:00</v>
      </c>
      <c r="D20" s="68" cm="1">
        <f t="array" ref="D20">INDEX(FIBRA,F20,3)</f>
        <v>1388</v>
      </c>
      <c r="E20" s="68" t="str" cm="1">
        <f t="array" ref="E20">INDEX(FIBRA,F20,4)</f>
        <v>2024-12-28T17:20:00</v>
      </c>
      <c r="F20" s="69">
        <f t="shared" si="2"/>
        <v>120</v>
      </c>
      <c r="G20" s="69" t="str">
        <f>_xlfn.CONCAT(CHOOSE(Fibras!$I$32,"Brecilien","Bridgewatch","Caerleon","Fort Sterling","Lymhurst","Martlock","Thetford"),"B",H20)</f>
        <v>BrecilienB17</v>
      </c>
      <c r="H20" s="70">
        <v>17</v>
      </c>
      <c r="I20" s="65"/>
      <c r="J20" s="67" t="s">
        <v>111</v>
      </c>
      <c r="K20" s="68" cm="1">
        <f t="array" ref="K20">INDEX(TECIDO,O20,1)</f>
        <v>0</v>
      </c>
      <c r="L20" s="68" cm="1">
        <f t="array" ref="L20">INDEX(TECIDO,O20,2)</f>
        <v>0</v>
      </c>
      <c r="M20" s="68" cm="1">
        <f t="array" ref="M20">INDEX(TECIDO,O20,3)</f>
        <v>0</v>
      </c>
      <c r="N20" s="68" cm="1">
        <f t="array" ref="N20">INDEX(TECIDO,O20,4)</f>
        <v>0</v>
      </c>
      <c r="O20" s="69">
        <f t="shared" si="3"/>
        <v>120</v>
      </c>
      <c r="P20" s="69" t="str">
        <f>_xlfn.CONCAT(CHOOSE(Fibras!$I$34,"Brecilien","Bridgewatch","Caerleon","Fort Sterling","Lymhurst","Martlock","Thetford"),"R",Q20)</f>
        <v>BrecilienR17</v>
      </c>
      <c r="Q20" s="70">
        <v>17</v>
      </c>
      <c r="R20" s="65"/>
      <c r="S20" s="67" t="s">
        <v>111</v>
      </c>
      <c r="T20" s="68" cm="1">
        <f t="array" ref="T20">INDEX(TECIDO,X20,1)</f>
        <v>0</v>
      </c>
      <c r="U20" s="68" cm="1">
        <f t="array" ref="U20">INDEX(TECIDO,X20,2)</f>
        <v>0</v>
      </c>
      <c r="V20" s="68" cm="1">
        <f t="array" ref="V20">INDEX(TECIDO,X20,3)</f>
        <v>0</v>
      </c>
      <c r="W20" s="68" cm="1">
        <f t="array" ref="W20">INDEX(TECIDO,X20,4)</f>
        <v>0</v>
      </c>
      <c r="X20" s="69">
        <f t="shared" si="4"/>
        <v>120</v>
      </c>
      <c r="Y20" s="69" t="str">
        <f>_xlfn.CONCAT(CHOOSE(Fibras!$I$36,"Brecilien","Bridgewatch","Caerleon","Fort Sterling","Lymhurst","Martlock","Thetford"),"R",Z20)</f>
        <v>BrecilienR17</v>
      </c>
      <c r="Z20" s="70">
        <v>17</v>
      </c>
    </row>
    <row r="21" spans="1:26" x14ac:dyDescent="0.25">
      <c r="A21" s="67" t="s">
        <v>112</v>
      </c>
      <c r="B21" s="68" cm="1">
        <f t="array" ref="B21">INDEX(FIBRA,F21,1)</f>
        <v>3644</v>
      </c>
      <c r="C21" s="68" t="str" cm="1">
        <f t="array" ref="C21">INDEX(FIBRA,F21,2)</f>
        <v>2024-12-28T14:30:00</v>
      </c>
      <c r="D21" s="68" cm="1">
        <f t="array" ref="D21">INDEX(FIBRA,F21,3)</f>
        <v>0</v>
      </c>
      <c r="E21" s="68" cm="1">
        <f t="array" ref="E21">INDEX(FIBRA,F21,4)</f>
        <v>0</v>
      </c>
      <c r="F21" s="69">
        <f t="shared" si="2"/>
        <v>127</v>
      </c>
      <c r="G21" s="69" t="str">
        <f>_xlfn.CONCAT(CHOOSE(Fibras!$I$32,"Brecilien","Bridgewatch","Caerleon","Fort Sterling","Lymhurst","Martlock","Thetford"),"B",H21)</f>
        <v>BrecilienB18</v>
      </c>
      <c r="H21" s="70">
        <v>18</v>
      </c>
      <c r="I21" s="65"/>
      <c r="J21" s="67" t="s">
        <v>112</v>
      </c>
      <c r="K21" s="68" cm="1">
        <f t="array" ref="K21">INDEX(TECIDO,O21,1)</f>
        <v>19995</v>
      </c>
      <c r="L21" s="68" t="str" cm="1">
        <f t="array" ref="L21">INDEX(TECIDO,O21,2)</f>
        <v>2024-12-28T00:30:00</v>
      </c>
      <c r="M21" s="68" cm="1">
        <f t="array" ref="M21">INDEX(TECIDO,O21,3)</f>
        <v>0</v>
      </c>
      <c r="N21" s="68" cm="1">
        <f t="array" ref="N21">INDEX(TECIDO,O21,4)</f>
        <v>0</v>
      </c>
      <c r="O21" s="69">
        <f t="shared" si="3"/>
        <v>127</v>
      </c>
      <c r="P21" s="69" t="str">
        <f>_xlfn.CONCAT(CHOOSE(Fibras!$I$34,"Brecilien","Bridgewatch","Caerleon","Fort Sterling","Lymhurst","Martlock","Thetford"),"R",Q21)</f>
        <v>BrecilienR18</v>
      </c>
      <c r="Q21" s="70">
        <v>18</v>
      </c>
      <c r="R21" s="65"/>
      <c r="S21" s="67" t="s">
        <v>112</v>
      </c>
      <c r="T21" s="68" cm="1">
        <f t="array" ref="T21">INDEX(TECIDO,X21,1)</f>
        <v>19995</v>
      </c>
      <c r="U21" s="68" t="str" cm="1">
        <f t="array" ref="U21">INDEX(TECIDO,X21,2)</f>
        <v>2024-12-28T00:30:00</v>
      </c>
      <c r="V21" s="68" cm="1">
        <f t="array" ref="V21">INDEX(TECIDO,X21,3)</f>
        <v>0</v>
      </c>
      <c r="W21" s="68" cm="1">
        <f t="array" ref="W21">INDEX(TECIDO,X21,4)</f>
        <v>0</v>
      </c>
      <c r="X21" s="69">
        <f t="shared" si="4"/>
        <v>127</v>
      </c>
      <c r="Y21" s="69" t="str">
        <f>_xlfn.CONCAT(CHOOSE(Fibras!$I$36,"Brecilien","Bridgewatch","Caerleon","Fort Sterling","Lymhurst","Martlock","Thetford"),"R",Z21)</f>
        <v>BrecilienR18</v>
      </c>
      <c r="Z21" s="70">
        <v>18</v>
      </c>
    </row>
    <row r="22" spans="1:26" x14ac:dyDescent="0.25">
      <c r="A22" s="67" t="s">
        <v>113</v>
      </c>
      <c r="B22" s="68" cm="1">
        <f t="array" ref="B22">INDEX(FIBRA,F22,1)</f>
        <v>7137</v>
      </c>
      <c r="C22" s="68" t="str" cm="1">
        <f t="array" ref="C22">INDEX(FIBRA,F22,2)</f>
        <v>2024-12-28T14:30:00</v>
      </c>
      <c r="D22" s="68" cm="1">
        <f t="array" ref="D22">INDEX(FIBRA,F22,3)</f>
        <v>0</v>
      </c>
      <c r="E22" s="68" cm="1">
        <f t="array" ref="E22">INDEX(FIBRA,F22,4)</f>
        <v>0</v>
      </c>
      <c r="F22" s="69">
        <f t="shared" si="2"/>
        <v>134</v>
      </c>
      <c r="G22" s="69" t="str">
        <f>_xlfn.CONCAT(CHOOSE(Fibras!$I$32,"Brecilien","Bridgewatch","Caerleon","Fort Sterling","Lymhurst","Martlock","Thetford"),"B",H22)</f>
        <v>BrecilienB19</v>
      </c>
      <c r="H22" s="70">
        <v>19</v>
      </c>
      <c r="I22" s="65"/>
      <c r="J22" s="67" t="s">
        <v>113</v>
      </c>
      <c r="K22" s="68" cm="1">
        <f t="array" ref="K22">INDEX(TECIDO,O22,1)</f>
        <v>46994</v>
      </c>
      <c r="L22" s="68" t="str" cm="1">
        <f t="array" ref="L22">INDEX(TECIDO,O22,2)</f>
        <v>2024-12-27T21:50:00</v>
      </c>
      <c r="M22" s="68" cm="1">
        <f t="array" ref="M22">INDEX(TECIDO,O22,3)</f>
        <v>0</v>
      </c>
      <c r="N22" s="68" cm="1">
        <f t="array" ref="N22">INDEX(TECIDO,O22,4)</f>
        <v>0</v>
      </c>
      <c r="O22" s="69">
        <f t="shared" si="3"/>
        <v>134</v>
      </c>
      <c r="P22" s="69" t="str">
        <f>_xlfn.CONCAT(CHOOSE(Fibras!$I$34,"Brecilien","Bridgewatch","Caerleon","Fort Sterling","Lymhurst","Martlock","Thetford"),"R",Q22)</f>
        <v>BrecilienR19</v>
      </c>
      <c r="Q22" s="70">
        <v>19</v>
      </c>
      <c r="R22" s="65"/>
      <c r="S22" s="67" t="s">
        <v>113</v>
      </c>
      <c r="T22" s="68" cm="1">
        <f t="array" ref="T22">INDEX(TECIDO,X22,1)</f>
        <v>46994</v>
      </c>
      <c r="U22" s="68" t="str" cm="1">
        <f t="array" ref="U22">INDEX(TECIDO,X22,2)</f>
        <v>2024-12-27T21:50:00</v>
      </c>
      <c r="V22" s="68" cm="1">
        <f t="array" ref="V22">INDEX(TECIDO,X22,3)</f>
        <v>0</v>
      </c>
      <c r="W22" s="68" cm="1">
        <f t="array" ref="W22">INDEX(TECIDO,X22,4)</f>
        <v>0</v>
      </c>
      <c r="X22" s="69">
        <f t="shared" si="4"/>
        <v>134</v>
      </c>
      <c r="Y22" s="69" t="str">
        <f>_xlfn.CONCAT(CHOOSE(Fibras!$I$36,"Brecilien","Bridgewatch","Caerleon","Fort Sterling","Lymhurst","Martlock","Thetford"),"R",Z22)</f>
        <v>BrecilienR19</v>
      </c>
      <c r="Z22" s="70">
        <v>19</v>
      </c>
    </row>
    <row r="23" spans="1:26" x14ac:dyDescent="0.25">
      <c r="A23" s="67" t="s">
        <v>114</v>
      </c>
      <c r="B23" s="68" cm="1">
        <f t="array" ref="B23">INDEX(FIBRA,F23,1)</f>
        <v>52600</v>
      </c>
      <c r="C23" s="68" t="str" cm="1">
        <f t="array" ref="C23">INDEX(FIBRA,F23,2)</f>
        <v>2024-12-28T15:40:00</v>
      </c>
      <c r="D23" s="68" cm="1">
        <f t="array" ref="D23">INDEX(FIBRA,F23,3)</f>
        <v>41114</v>
      </c>
      <c r="E23" s="68" t="str" cm="1">
        <f t="array" ref="E23">INDEX(FIBRA,F23,4)</f>
        <v>2024-12-28T15:35:00</v>
      </c>
      <c r="F23" s="69">
        <f t="shared" si="2"/>
        <v>141</v>
      </c>
      <c r="G23" s="69" t="str">
        <f>_xlfn.CONCAT(CHOOSE(Fibras!$I$32,"Brecilien","Bridgewatch","Caerleon","Fort Sterling","Lymhurst","Martlock","Thetford"),"B",H23)</f>
        <v>BrecilienB20</v>
      </c>
      <c r="H23" s="70">
        <v>20</v>
      </c>
      <c r="I23" s="65"/>
      <c r="J23" s="67" t="s">
        <v>114</v>
      </c>
      <c r="K23" s="68" cm="1">
        <f t="array" ref="K23">INDEX(TECIDO,O23,1)</f>
        <v>204999</v>
      </c>
      <c r="L23" s="68" t="str" cm="1">
        <f t="array" ref="L23">INDEX(TECIDO,O23,2)</f>
        <v>2024-12-28T09:45:00</v>
      </c>
      <c r="M23" s="68" cm="1">
        <f t="array" ref="M23">INDEX(TECIDO,O23,3)</f>
        <v>0</v>
      </c>
      <c r="N23" s="68" cm="1">
        <f t="array" ref="N23">INDEX(TECIDO,O23,4)</f>
        <v>0</v>
      </c>
      <c r="O23" s="69">
        <f t="shared" si="3"/>
        <v>141</v>
      </c>
      <c r="P23" s="69" t="str">
        <f>_xlfn.CONCAT(CHOOSE(Fibras!$I$34,"Brecilien","Bridgewatch","Caerleon","Fort Sterling","Lymhurst","Martlock","Thetford"),"R",Q23)</f>
        <v>BrecilienR20</v>
      </c>
      <c r="Q23" s="70">
        <v>20</v>
      </c>
      <c r="R23" s="65"/>
      <c r="S23" s="67" t="s">
        <v>114</v>
      </c>
      <c r="T23" s="68" cm="1">
        <f t="array" ref="T23">INDEX(TECIDO,X23,1)</f>
        <v>204999</v>
      </c>
      <c r="U23" s="68" t="str" cm="1">
        <f t="array" ref="U23">INDEX(TECIDO,X23,2)</f>
        <v>2024-12-28T09:45:00</v>
      </c>
      <c r="V23" s="68" cm="1">
        <f t="array" ref="V23">INDEX(TECIDO,X23,3)</f>
        <v>0</v>
      </c>
      <c r="W23" s="68" cm="1">
        <f t="array" ref="W23">INDEX(TECIDO,X23,4)</f>
        <v>0</v>
      </c>
      <c r="X23" s="69">
        <f t="shared" si="4"/>
        <v>141</v>
      </c>
      <c r="Y23" s="69" t="str">
        <f>_xlfn.CONCAT(CHOOSE(Fibras!$I$36,"Brecilien","Bridgewatch","Caerleon","Fort Sterling","Lymhurst","Martlock","Thetford"),"R",Z23)</f>
        <v>BrecilienR20</v>
      </c>
      <c r="Z23" s="70">
        <v>20</v>
      </c>
    </row>
    <row r="24" spans="1:26" x14ac:dyDescent="0.25">
      <c r="A24" s="67" t="s">
        <v>115</v>
      </c>
      <c r="B24" s="68" cm="1">
        <f t="array" ref="B24">INDEX(FIBRA,F24,1)</f>
        <v>0</v>
      </c>
      <c r="C24" s="68" cm="1">
        <f t="array" ref="C24">INDEX(FIBRA,F24,2)</f>
        <v>0</v>
      </c>
      <c r="D24" s="68" cm="1">
        <f t="array" ref="D24">INDEX(FIBRA,F24,3)</f>
        <v>0</v>
      </c>
      <c r="E24" s="68" cm="1">
        <f t="array" ref="E24">INDEX(FIBRA,F24,4)</f>
        <v>0</v>
      </c>
      <c r="F24" s="69">
        <f t="shared" si="2"/>
        <v>148</v>
      </c>
      <c r="G24" s="69" t="str">
        <f>_xlfn.CONCAT(CHOOSE(Fibras!$I$32,"Brecilien","Bridgewatch","Caerleon","Fort Sterling","Lymhurst","Martlock","Thetford"),"B",H24)</f>
        <v>BrecilienB21</v>
      </c>
      <c r="H24" s="70">
        <v>21</v>
      </c>
      <c r="I24" s="65"/>
      <c r="J24" s="67" t="s">
        <v>115</v>
      </c>
      <c r="K24" s="68" cm="1">
        <f t="array" ref="K24">INDEX(TECIDO,O24,1)</f>
        <v>0</v>
      </c>
      <c r="L24" s="68" cm="1">
        <f t="array" ref="L24">INDEX(TECIDO,O24,2)</f>
        <v>0</v>
      </c>
      <c r="M24" s="68" cm="1">
        <f t="array" ref="M24">INDEX(TECIDO,O24,3)</f>
        <v>0</v>
      </c>
      <c r="N24" s="68" cm="1">
        <f t="array" ref="N24">INDEX(TECIDO,O24,4)</f>
        <v>0</v>
      </c>
      <c r="O24" s="69">
        <f t="shared" si="3"/>
        <v>148</v>
      </c>
      <c r="P24" s="69" t="str">
        <f>_xlfn.CONCAT(CHOOSE(Fibras!$I$34,"Brecilien","Bridgewatch","Caerleon","Fort Sterling","Lymhurst","Martlock","Thetford"),"R",Q24)</f>
        <v>BrecilienR21</v>
      </c>
      <c r="Q24" s="70">
        <v>21</v>
      </c>
      <c r="R24" s="65"/>
      <c r="S24" s="67" t="s">
        <v>115</v>
      </c>
      <c r="T24" s="68" cm="1">
        <f t="array" ref="T24">INDEX(TECIDO,X24,1)</f>
        <v>0</v>
      </c>
      <c r="U24" s="68" cm="1">
        <f t="array" ref="U24">INDEX(TECIDO,X24,2)</f>
        <v>0</v>
      </c>
      <c r="V24" s="68" cm="1">
        <f t="array" ref="V24">INDEX(TECIDO,X24,3)</f>
        <v>0</v>
      </c>
      <c r="W24" s="68" cm="1">
        <f t="array" ref="W24">INDEX(TECIDO,X24,4)</f>
        <v>0</v>
      </c>
      <c r="X24" s="69">
        <f t="shared" si="4"/>
        <v>148</v>
      </c>
      <c r="Y24" s="69" t="str">
        <f>_xlfn.CONCAT(CHOOSE(Fibras!$I$36,"Brecilien","Bridgewatch","Caerleon","Fort Sterling","Lymhurst","Martlock","Thetford"),"R",Z24)</f>
        <v>BrecilienR21</v>
      </c>
      <c r="Z24" s="70">
        <v>21</v>
      </c>
    </row>
    <row r="25" spans="1:26" x14ac:dyDescent="0.25">
      <c r="A25" s="67" t="s">
        <v>116</v>
      </c>
      <c r="B25" s="68" cm="1">
        <f t="array" ref="B25">INDEX(FIBRA,F25,1)</f>
        <v>6460</v>
      </c>
      <c r="C25" s="68" t="str" cm="1">
        <f t="array" ref="C25">INDEX(FIBRA,F25,2)</f>
        <v>2024-12-28T15:45:00</v>
      </c>
      <c r="D25" s="68" cm="1">
        <f t="array" ref="D25">INDEX(FIBRA,F25,3)</f>
        <v>6305</v>
      </c>
      <c r="E25" s="68" t="str" cm="1">
        <f t="array" ref="E25">INDEX(FIBRA,F25,4)</f>
        <v>2024-12-28T15:45:00</v>
      </c>
      <c r="F25" s="69">
        <f t="shared" si="2"/>
        <v>155</v>
      </c>
      <c r="G25" s="69" t="str">
        <f>_xlfn.CONCAT(CHOOSE(Fibras!$I$32,"Brecilien","Bridgewatch","Caerleon","Fort Sterling","Lymhurst","Martlock","Thetford"),"B",H25)</f>
        <v>BrecilienB22</v>
      </c>
      <c r="H25" s="70">
        <v>22</v>
      </c>
      <c r="I25" s="65"/>
      <c r="J25" s="67" t="s">
        <v>116</v>
      </c>
      <c r="K25" s="68" cm="1">
        <f t="array" ref="K25">INDEX(TECIDO,O25,1)</f>
        <v>0</v>
      </c>
      <c r="L25" s="68" cm="1">
        <f t="array" ref="L25">INDEX(TECIDO,O25,2)</f>
        <v>0</v>
      </c>
      <c r="M25" s="68" cm="1">
        <f t="array" ref="M25">INDEX(TECIDO,O25,3)</f>
        <v>0</v>
      </c>
      <c r="N25" s="68" cm="1">
        <f t="array" ref="N25">INDEX(TECIDO,O25,4)</f>
        <v>0</v>
      </c>
      <c r="O25" s="69">
        <f t="shared" si="3"/>
        <v>155</v>
      </c>
      <c r="P25" s="69" t="str">
        <f>_xlfn.CONCAT(CHOOSE(Fibras!$I$34,"Brecilien","Bridgewatch","Caerleon","Fort Sterling","Lymhurst","Martlock","Thetford"),"R",Q25)</f>
        <v>BrecilienR22</v>
      </c>
      <c r="Q25" s="70">
        <v>22</v>
      </c>
      <c r="R25" s="65"/>
      <c r="S25" s="67" t="s">
        <v>116</v>
      </c>
      <c r="T25" s="68" cm="1">
        <f t="array" ref="T25">INDEX(TECIDO,X25,1)</f>
        <v>0</v>
      </c>
      <c r="U25" s="68" cm="1">
        <f t="array" ref="U25">INDEX(TECIDO,X25,2)</f>
        <v>0</v>
      </c>
      <c r="V25" s="68" cm="1">
        <f t="array" ref="V25">INDEX(TECIDO,X25,3)</f>
        <v>0</v>
      </c>
      <c r="W25" s="68" cm="1">
        <f t="array" ref="W25">INDEX(TECIDO,X25,4)</f>
        <v>0</v>
      </c>
      <c r="X25" s="69">
        <f t="shared" si="4"/>
        <v>155</v>
      </c>
      <c r="Y25" s="69" t="str">
        <f>_xlfn.CONCAT(CHOOSE(Fibras!$I$36,"Brecilien","Bridgewatch","Caerleon","Fort Sterling","Lymhurst","Martlock","Thetford"),"R",Z25)</f>
        <v>BrecilienR22</v>
      </c>
      <c r="Z25" s="70">
        <v>22</v>
      </c>
    </row>
    <row r="26" spans="1:26" x14ac:dyDescent="0.25">
      <c r="A26" s="67" t="s">
        <v>117</v>
      </c>
      <c r="B26" s="68" cm="1">
        <f t="array" ref="B26">INDEX(FIBRA,F26,1)</f>
        <v>14932</v>
      </c>
      <c r="C26" s="68" t="str" cm="1">
        <f t="array" ref="C26">INDEX(FIBRA,F26,2)</f>
        <v>2024-12-28T15:35:00</v>
      </c>
      <c r="D26" s="68" cm="1">
        <f t="array" ref="D26">INDEX(FIBRA,F26,3)</f>
        <v>12501</v>
      </c>
      <c r="E26" s="68" t="str" cm="1">
        <f t="array" ref="E26">INDEX(FIBRA,F26,4)</f>
        <v>2024-12-27T19:55:00</v>
      </c>
      <c r="F26" s="69">
        <f t="shared" si="2"/>
        <v>162</v>
      </c>
      <c r="G26" s="69" t="str">
        <f>_xlfn.CONCAT(CHOOSE(Fibras!$I$32,"Brecilien","Bridgewatch","Caerleon","Fort Sterling","Lymhurst","Martlock","Thetford"),"B",H26)</f>
        <v>BrecilienB23</v>
      </c>
      <c r="H26" s="70">
        <v>23</v>
      </c>
      <c r="I26" s="65"/>
      <c r="J26" s="67" t="s">
        <v>117</v>
      </c>
      <c r="K26" s="68" cm="1">
        <f t="array" ref="K26">INDEX(TECIDO,O26,1)</f>
        <v>0</v>
      </c>
      <c r="L26" s="68" cm="1">
        <f t="array" ref="L26">INDEX(TECIDO,O26,2)</f>
        <v>0</v>
      </c>
      <c r="M26" s="68" cm="1">
        <f t="array" ref="M26">INDEX(TECIDO,O26,3)</f>
        <v>0</v>
      </c>
      <c r="N26" s="68" cm="1">
        <f t="array" ref="N26">INDEX(TECIDO,O26,4)</f>
        <v>0</v>
      </c>
      <c r="O26" s="69">
        <f t="shared" si="3"/>
        <v>162</v>
      </c>
      <c r="P26" s="69" t="str">
        <f>_xlfn.CONCAT(CHOOSE(Fibras!$I$34,"Brecilien","Bridgewatch","Caerleon","Fort Sterling","Lymhurst","Martlock","Thetford"),"R",Q26)</f>
        <v>BrecilienR23</v>
      </c>
      <c r="Q26" s="70">
        <v>23</v>
      </c>
      <c r="R26" s="65"/>
      <c r="S26" s="67" t="s">
        <v>117</v>
      </c>
      <c r="T26" s="68" cm="1">
        <f t="array" ref="T26">INDEX(TECIDO,X26,1)</f>
        <v>0</v>
      </c>
      <c r="U26" s="68" cm="1">
        <f t="array" ref="U26">INDEX(TECIDO,X26,2)</f>
        <v>0</v>
      </c>
      <c r="V26" s="68" cm="1">
        <f t="array" ref="V26">INDEX(TECIDO,X26,3)</f>
        <v>0</v>
      </c>
      <c r="W26" s="68" cm="1">
        <f t="array" ref="W26">INDEX(TECIDO,X26,4)</f>
        <v>0</v>
      </c>
      <c r="X26" s="69">
        <f t="shared" si="4"/>
        <v>162</v>
      </c>
      <c r="Y26" s="69" t="str">
        <f>_xlfn.CONCAT(CHOOSE(Fibras!$I$36,"Brecilien","Bridgewatch","Caerleon","Fort Sterling","Lymhurst","Martlock","Thetford"),"R",Z26)</f>
        <v>BrecilienR23</v>
      </c>
      <c r="Z26" s="70">
        <v>23</v>
      </c>
    </row>
    <row r="27" spans="1:26" x14ac:dyDescent="0.25">
      <c r="A27" s="67" t="s">
        <v>118</v>
      </c>
      <c r="B27" s="68" cm="1">
        <f t="array" ref="B27">INDEX(FIBRA,F27,1)</f>
        <v>45654</v>
      </c>
      <c r="C27" s="68" t="str" cm="1">
        <f t="array" ref="C27">INDEX(FIBRA,F27,2)</f>
        <v>2024-12-28T15:20:00</v>
      </c>
      <c r="D27" s="68" cm="1">
        <f t="array" ref="D27">INDEX(FIBRA,F27,3)</f>
        <v>0</v>
      </c>
      <c r="E27" s="68" cm="1">
        <f t="array" ref="E27">INDEX(FIBRA,F27,4)</f>
        <v>0</v>
      </c>
      <c r="F27" s="69">
        <f t="shared" si="2"/>
        <v>169</v>
      </c>
      <c r="G27" s="69" t="str">
        <f>_xlfn.CONCAT(CHOOSE(Fibras!$I$32,"Brecilien","Bridgewatch","Caerleon","Fort Sterling","Lymhurst","Martlock","Thetford"),"B",H27)</f>
        <v>BrecilienB24</v>
      </c>
      <c r="H27" s="70">
        <v>24</v>
      </c>
      <c r="I27" s="65"/>
      <c r="J27" s="67" t="s">
        <v>118</v>
      </c>
      <c r="K27" s="68" cm="1">
        <f t="array" ref="K27">INDEX(TECIDO,O27,1)</f>
        <v>0</v>
      </c>
      <c r="L27" s="68" cm="1">
        <f t="array" ref="L27">INDEX(TECIDO,O27,2)</f>
        <v>0</v>
      </c>
      <c r="M27" s="68" cm="1">
        <f t="array" ref="M27">INDEX(TECIDO,O27,3)</f>
        <v>0</v>
      </c>
      <c r="N27" s="68" cm="1">
        <f t="array" ref="N27">INDEX(TECIDO,O27,4)</f>
        <v>0</v>
      </c>
      <c r="O27" s="69">
        <f t="shared" si="3"/>
        <v>169</v>
      </c>
      <c r="P27" s="69" t="str">
        <f>_xlfn.CONCAT(CHOOSE(Fibras!$I$34,"Brecilien","Bridgewatch","Caerleon","Fort Sterling","Lymhurst","Martlock","Thetford"),"R",Q27)</f>
        <v>BrecilienR24</v>
      </c>
      <c r="Q27" s="70">
        <v>24</v>
      </c>
      <c r="R27" s="65"/>
      <c r="S27" s="67" t="s">
        <v>118</v>
      </c>
      <c r="T27" s="68" cm="1">
        <f t="array" ref="T27">INDEX(TECIDO,X27,1)</f>
        <v>0</v>
      </c>
      <c r="U27" s="68" cm="1">
        <f t="array" ref="U27">INDEX(TECIDO,X27,2)</f>
        <v>0</v>
      </c>
      <c r="V27" s="68" cm="1">
        <f t="array" ref="V27">INDEX(TECIDO,X27,3)</f>
        <v>0</v>
      </c>
      <c r="W27" s="68" cm="1">
        <f t="array" ref="W27">INDEX(TECIDO,X27,4)</f>
        <v>0</v>
      </c>
      <c r="X27" s="69">
        <f t="shared" si="4"/>
        <v>169</v>
      </c>
      <c r="Y27" s="69" t="str">
        <f>_xlfn.CONCAT(CHOOSE(Fibras!$I$36,"Brecilien","Bridgewatch","Caerleon","Fort Sterling","Lymhurst","Martlock","Thetford"),"R",Z27)</f>
        <v>BrecilienR24</v>
      </c>
      <c r="Z27" s="70">
        <v>24</v>
      </c>
    </row>
    <row r="28" spans="1:26" x14ac:dyDescent="0.25">
      <c r="A28" s="67" t="s">
        <v>119</v>
      </c>
      <c r="B28" s="68" cm="1">
        <f t="array" ref="B28">INDEX(FIBRA,F28,1)</f>
        <v>0</v>
      </c>
      <c r="C28" s="68" cm="1">
        <f t="array" ref="C28">INDEX(FIBRA,F28,2)</f>
        <v>0</v>
      </c>
      <c r="D28" s="68" cm="1">
        <f t="array" ref="D28">INDEX(FIBRA,F28,3)</f>
        <v>0</v>
      </c>
      <c r="E28" s="68" cm="1">
        <f t="array" ref="E28">INDEX(FIBRA,F28,4)</f>
        <v>0</v>
      </c>
      <c r="F28" s="69">
        <f t="shared" si="2"/>
        <v>176</v>
      </c>
      <c r="G28" s="69" t="str">
        <f>_xlfn.CONCAT(CHOOSE(Fibras!$I$32,"Brecilien","Bridgewatch","Caerleon","Fort Sterling","Lymhurst","Martlock","Thetford"),"B",H28)</f>
        <v>BrecilienB25</v>
      </c>
      <c r="H28" s="70">
        <v>25</v>
      </c>
      <c r="I28" s="65"/>
      <c r="J28" s="67" t="s">
        <v>119</v>
      </c>
      <c r="K28" s="68" cm="1">
        <f t="array" ref="K28">INDEX(TECIDO,O28,1)</f>
        <v>0</v>
      </c>
      <c r="L28" s="68" cm="1">
        <f t="array" ref="L28">INDEX(TECIDO,O28,2)</f>
        <v>0</v>
      </c>
      <c r="M28" s="68" cm="1">
        <f t="array" ref="M28">INDEX(TECIDO,O28,3)</f>
        <v>0</v>
      </c>
      <c r="N28" s="68" cm="1">
        <f t="array" ref="N28">INDEX(TECIDO,O28,4)</f>
        <v>0</v>
      </c>
      <c r="O28" s="69">
        <f t="shared" si="3"/>
        <v>176</v>
      </c>
      <c r="P28" s="69" t="str">
        <f>_xlfn.CONCAT(CHOOSE(Fibras!$I$34,"Brecilien","Bridgewatch","Caerleon","Fort Sterling","Lymhurst","Martlock","Thetford"),"R",Q28)</f>
        <v>BrecilienR25</v>
      </c>
      <c r="Q28" s="70">
        <v>25</v>
      </c>
      <c r="R28" s="65"/>
      <c r="S28" s="67" t="s">
        <v>119</v>
      </c>
      <c r="T28" s="68" cm="1">
        <f t="array" ref="T28">INDEX(TECIDO,X28,1)</f>
        <v>0</v>
      </c>
      <c r="U28" s="68" cm="1">
        <f t="array" ref="U28">INDEX(TECIDO,X28,2)</f>
        <v>0</v>
      </c>
      <c r="V28" s="68" cm="1">
        <f t="array" ref="V28">INDEX(TECIDO,X28,3)</f>
        <v>0</v>
      </c>
      <c r="W28" s="68" cm="1">
        <f t="array" ref="W28">INDEX(TECIDO,X28,4)</f>
        <v>0</v>
      </c>
      <c r="X28" s="69">
        <f t="shared" si="4"/>
        <v>176</v>
      </c>
      <c r="Y28" s="69" t="str">
        <f>_xlfn.CONCAT(CHOOSE(Fibras!$I$36,"Brecilien","Bridgewatch","Caerleon","Fort Sterling","Lymhurst","Martlock","Thetford"),"R",Z28)</f>
        <v>BrecilienR25</v>
      </c>
      <c r="Z28" s="70">
        <v>25</v>
      </c>
    </row>
    <row r="29" spans="1:26" x14ac:dyDescent="0.25">
      <c r="A29" s="67" t="s">
        <v>120</v>
      </c>
      <c r="B29" s="68" cm="1">
        <f t="array" ref="B29">INDEX(FIBRA,F29,1)</f>
        <v>0</v>
      </c>
      <c r="C29" s="68" cm="1">
        <f t="array" ref="C29">INDEX(FIBRA,F29,2)</f>
        <v>0</v>
      </c>
      <c r="D29" s="68" cm="1">
        <f t="array" ref="D29">INDEX(FIBRA,F29,3)</f>
        <v>0</v>
      </c>
      <c r="E29" s="68" cm="1">
        <f t="array" ref="E29">INDEX(FIBRA,F29,4)</f>
        <v>0</v>
      </c>
      <c r="F29" s="69">
        <f t="shared" si="2"/>
        <v>183</v>
      </c>
      <c r="G29" s="69" t="str">
        <f>_xlfn.CONCAT(CHOOSE(Fibras!$I$32,"Brecilien","Bridgewatch","Caerleon","Fort Sterling","Lymhurst","Martlock","Thetford"),"B",H29)</f>
        <v>BrecilienB26</v>
      </c>
      <c r="H29" s="70">
        <v>26</v>
      </c>
      <c r="I29" s="65"/>
      <c r="J29" s="67" t="s">
        <v>120</v>
      </c>
      <c r="K29" s="68" cm="1">
        <f t="array" ref="K29">INDEX(TECIDO,O29,1)</f>
        <v>0</v>
      </c>
      <c r="L29" s="68" cm="1">
        <f t="array" ref="L29">INDEX(TECIDO,O29,2)</f>
        <v>0</v>
      </c>
      <c r="M29" s="68" cm="1">
        <f t="array" ref="M29">INDEX(TECIDO,O29,3)</f>
        <v>0</v>
      </c>
      <c r="N29" s="68" cm="1">
        <f t="array" ref="N29">INDEX(TECIDO,O29,4)</f>
        <v>0</v>
      </c>
      <c r="O29" s="69">
        <f t="shared" si="3"/>
        <v>183</v>
      </c>
      <c r="P29" s="69" t="str">
        <f>_xlfn.CONCAT(CHOOSE(Fibras!$I$34,"Brecilien","Bridgewatch","Caerleon","Fort Sterling","Lymhurst","Martlock","Thetford"),"R",Q29)</f>
        <v>BrecilienR26</v>
      </c>
      <c r="Q29" s="70">
        <v>26</v>
      </c>
      <c r="R29" s="65"/>
      <c r="S29" s="67" t="s">
        <v>120</v>
      </c>
      <c r="T29" s="68" cm="1">
        <f t="array" ref="T29">INDEX(TECIDO,X29,1)</f>
        <v>0</v>
      </c>
      <c r="U29" s="68" cm="1">
        <f t="array" ref="U29">INDEX(TECIDO,X29,2)</f>
        <v>0</v>
      </c>
      <c r="V29" s="68" cm="1">
        <f t="array" ref="V29">INDEX(TECIDO,X29,3)</f>
        <v>0</v>
      </c>
      <c r="W29" s="68" cm="1">
        <f t="array" ref="W29">INDEX(TECIDO,X29,4)</f>
        <v>0</v>
      </c>
      <c r="X29" s="69">
        <f t="shared" si="4"/>
        <v>183</v>
      </c>
      <c r="Y29" s="69" t="str">
        <f>_xlfn.CONCAT(CHOOSE(Fibras!$I$36,"Brecilien","Bridgewatch","Caerleon","Fort Sterling","Lymhurst","Martlock","Thetford"),"R",Z29)</f>
        <v>BrecilienR26</v>
      </c>
      <c r="Z29" s="70">
        <v>26</v>
      </c>
    </row>
  </sheetData>
  <sheetProtection selectLockedCells="1"/>
  <mergeCells count="3">
    <mergeCell ref="A1:H1"/>
    <mergeCell ref="J1:Q1"/>
    <mergeCell ref="S1:Z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C730-8629-4904-A231-784652DB2477}">
  <sheetPr codeName="Planilha4">
    <tabColor theme="5"/>
  </sheetPr>
  <dimension ref="A1:X63"/>
  <sheetViews>
    <sheetView showGridLines="0" showRowColHeaders="0" showZeros="0" zoomScale="107" zoomScaleNormal="107" workbookViewId="0">
      <selection activeCell="C15" sqref="C15:D16"/>
    </sheetView>
  </sheetViews>
  <sheetFormatPr defaultColWidth="0" defaultRowHeight="15" customHeight="1" zeroHeight="1" x14ac:dyDescent="0.2"/>
  <cols>
    <col min="1" max="24" width="10.7109375" style="25" customWidth="1"/>
    <col min="25" max="16384" width="10.7109375" style="25" hidden="1"/>
  </cols>
  <sheetData>
    <row r="1" spans="1:24" s="138" customFormat="1" ht="15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47"/>
      <c r="T1" s="47"/>
      <c r="U1" s="47" t="s">
        <v>38</v>
      </c>
      <c r="V1" s="47">
        <f>IF(C15=1, 2, IF(C15=2, 2, IF(C15=3, 3, IF(C15=4, 4, IF(C15=5, 5, 5)))))</f>
        <v>2</v>
      </c>
      <c r="W1" s="47" t="s">
        <v>41</v>
      </c>
      <c r="X1" s="47" cm="1">
        <f t="array" ref="X1">INDEX(espec!L21:L26,C15,1)</f>
        <v>0</v>
      </c>
    </row>
    <row r="2" spans="1:24" s="138" customFormat="1" ht="15" customHeight="1" x14ac:dyDescent="0.25">
      <c r="A2" s="61" t="str">
        <f>IF(A4=0,"Sem Dados",_xlfn.CONCAT(RIGHT(LEFT(A4,10),2),"/",LEFT(RIGHT(LEFT(A4,10),5),2),"/",LEFT(LEFT(A4,10),4)))</f>
        <v>09/09/2024</v>
      </c>
      <c r="B2" s="61" t="str">
        <f>IF(B4=0,"Sem Dados",_xlfn.CONCAT(RIGHT(LEFT(B4,10),2),"/",LEFT(RIGHT(LEFT(B4,10),5),2),"/",LEFT(LEFT(B4,10),4)))</f>
        <v>09/09/2024</v>
      </c>
      <c r="C2" s="61" t="str">
        <f>IF(C4=0,"Sem Dados",_xlfn.CONCAT(RIGHT(LEFT(C4,10),2),"/",LEFT(RIGHT(LEFT(C4,10),5),2),"/",LEFT(LEFT(C4,10),4)))</f>
        <v>Sem Dados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47" t="s">
        <v>90</v>
      </c>
      <c r="T2" s="48" cm="1">
        <f t="array" ref="T2">(INDEX(valoresAlbion!B23:F28,C15,C17))/(POWER(2,X1))</f>
        <v>31</v>
      </c>
      <c r="U2" s="47" t="s">
        <v>39</v>
      </c>
      <c r="V2" s="47">
        <v>1</v>
      </c>
      <c r="W2" s="47" t="s">
        <v>40</v>
      </c>
      <c r="X2" s="47">
        <f>C15+C17+1</f>
        <v>3</v>
      </c>
    </row>
    <row r="3" spans="1:24" s="138" customFormat="1" ht="15" customHeight="1" x14ac:dyDescent="0.25">
      <c r="A3" s="61" t="str">
        <f>IF(A4=0,"Sem Dados",RIGHT(A4,8))</f>
        <v>04:30:00</v>
      </c>
      <c r="B3" s="61" t="str">
        <f>IF(B4=0,"Sem Dados",RIGHT(B4,8))</f>
        <v>04:30:00</v>
      </c>
      <c r="C3" s="61" t="str">
        <f>IF(C4=0,"Sem Dados",RIGHT(C4,8))</f>
        <v>Sem Dados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47" t="s">
        <v>89</v>
      </c>
      <c r="T3" s="48" cm="1">
        <f t="array" ref="T3">INDEX(valoresAlbion!B6:G10,C17,C15)</f>
        <v>8</v>
      </c>
      <c r="U3" s="47" t="s">
        <v>37</v>
      </c>
      <c r="V3" s="49">
        <f>1-C27</f>
        <v>1</v>
      </c>
      <c r="W3" s="47" t="s">
        <v>47</v>
      </c>
      <c r="X3" s="47">
        <f>IFERROR(C19*O4,0)</f>
        <v>0</v>
      </c>
    </row>
    <row r="4" spans="1:24" s="137" customFormat="1" ht="18" customHeight="1" x14ac:dyDescent="0.25">
      <c r="A4" s="64" t="str">
        <f>VLOOKUP(W4,'Ordem 3'!A3:E29,IF(C32=TRUE,5,3))</f>
        <v>2024-09-09T04:30:00</v>
      </c>
      <c r="B4" s="64" t="str">
        <f>IFERROR(VLOOKUP(X4,'Ordem 3'!J3:N29,IF(C34=TRUE,5,3)),0)</f>
        <v>2024-09-09T04:30:00</v>
      </c>
      <c r="C4" s="64">
        <f>VLOOKUP(W4,'Ordem 3'!S3:W29,IF(C36=TRUE,3,5))</f>
        <v>0</v>
      </c>
      <c r="D4" s="62"/>
      <c r="E4" s="63"/>
      <c r="F4" s="63"/>
      <c r="G4" s="63" t="s">
        <v>689</v>
      </c>
      <c r="H4" s="63" t="str">
        <f>CHOOSE(C17,"",".1",".2",".3",".4")</f>
        <v/>
      </c>
      <c r="I4" s="63" t="s">
        <v>685</v>
      </c>
      <c r="J4" s="63" t="str">
        <f>CHOOSE(C15,"T2","T3","T4","T5","T6","T7")</f>
        <v>T2</v>
      </c>
      <c r="K4" s="63" t="s">
        <v>686</v>
      </c>
      <c r="L4" s="63" t="str">
        <f>CHOOSE(C15,"T3","T4","T5","T6","T7","T8")</f>
        <v>T3</v>
      </c>
      <c r="M4" s="63"/>
      <c r="N4" s="62" t="s">
        <v>395</v>
      </c>
      <c r="O4" s="62">
        <f>IF(K36=TRUE,M36,S15)</f>
        <v>0</v>
      </c>
      <c r="P4" s="63"/>
      <c r="Q4" s="62" t="s">
        <v>393</v>
      </c>
      <c r="R4" s="62">
        <f>IF(K32=TRUE,M32,C21)</f>
        <v>0</v>
      </c>
      <c r="S4" s="63"/>
      <c r="T4" s="62" t="s">
        <v>394</v>
      </c>
      <c r="U4" s="62">
        <f>IF(K34=TRUE,M34,C23)</f>
        <v>0</v>
      </c>
      <c r="V4" s="63"/>
      <c r="W4" s="60" t="str">
        <f>_xlfn.CONCAT("T",C15+2,CHOOSE(C17,"",".1",".2",".3",".4"))</f>
        <v>T3</v>
      </c>
      <c r="X4" s="60" t="str">
        <f>IF(C15=2,"T3",_xlfn.CONCAT("T",C15+1,CHOOSE(C17,"",".1",".2",".3",".4")))</f>
        <v>T2</v>
      </c>
    </row>
    <row r="5" spans="1:24" s="26" customFormat="1" ht="15" customHeight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s="26" customFormat="1" ht="15" customHeight="1" x14ac:dyDescent="0.25">
      <c r="A6" s="159" t="s">
        <v>69</v>
      </c>
      <c r="B6" s="160"/>
      <c r="C6" s="160"/>
      <c r="D6" s="160"/>
    </row>
    <row r="7" spans="1:24" s="26" customFormat="1" ht="15" customHeight="1" x14ac:dyDescent="0.25">
      <c r="A7" s="160"/>
      <c r="B7" s="160"/>
      <c r="C7" s="160"/>
      <c r="D7" s="160"/>
    </row>
    <row r="8" spans="1:24" s="26" customFormat="1" ht="15" customHeight="1" x14ac:dyDescent="0.25">
      <c r="A8" s="173"/>
      <c r="B8" s="174"/>
      <c r="C8" s="174"/>
      <c r="D8" s="175"/>
    </row>
    <row r="9" spans="1:24" s="26" customFormat="1" ht="15" customHeight="1" x14ac:dyDescent="0.25">
      <c r="A9" s="176"/>
      <c r="B9" s="177"/>
      <c r="C9" s="177"/>
      <c r="D9" s="178"/>
    </row>
    <row r="10" spans="1:24" s="26" customFormat="1" ht="15" customHeight="1" x14ac:dyDescent="0.25">
      <c r="A10" s="176"/>
      <c r="B10" s="177"/>
      <c r="C10" s="177"/>
      <c r="D10" s="178"/>
    </row>
    <row r="11" spans="1:24" ht="15" customHeight="1" x14ac:dyDescent="0.2">
      <c r="A11" s="176"/>
      <c r="B11" s="177"/>
      <c r="C11" s="177"/>
      <c r="D11" s="178"/>
    </row>
    <row r="12" spans="1:24" ht="15" customHeight="1" x14ac:dyDescent="0.2">
      <c r="A12" s="179"/>
      <c r="B12" s="180"/>
      <c r="C12" s="180"/>
      <c r="D12" s="181"/>
    </row>
    <row r="13" spans="1:24" ht="15" customHeight="1" x14ac:dyDescent="0.2">
      <c r="A13" s="159" t="s">
        <v>0</v>
      </c>
      <c r="B13" s="160"/>
      <c r="C13" s="160"/>
      <c r="D13" s="160"/>
      <c r="G13" s="159" t="s">
        <v>9</v>
      </c>
      <c r="H13" s="160"/>
      <c r="I13" s="160"/>
      <c r="J13" s="160"/>
      <c r="L13" s="159" t="s">
        <v>7</v>
      </c>
      <c r="M13" s="160"/>
      <c r="N13" s="160"/>
      <c r="O13" s="160"/>
      <c r="Q13" s="159" t="s">
        <v>8</v>
      </c>
      <c r="R13" s="160"/>
      <c r="S13" s="160"/>
      <c r="T13" s="160"/>
    </row>
    <row r="14" spans="1:24" ht="15" customHeight="1" x14ac:dyDescent="0.2">
      <c r="A14" s="160"/>
      <c r="B14" s="160"/>
      <c r="C14" s="160"/>
      <c r="D14" s="160"/>
      <c r="G14" s="160"/>
      <c r="H14" s="160"/>
      <c r="I14" s="160"/>
      <c r="J14" s="160"/>
      <c r="L14" s="160"/>
      <c r="M14" s="160"/>
      <c r="N14" s="160"/>
      <c r="O14" s="160"/>
      <c r="Q14" s="160"/>
      <c r="R14" s="160"/>
      <c r="S14" s="160"/>
      <c r="T14" s="160"/>
    </row>
    <row r="15" spans="1:24" ht="15" customHeight="1" x14ac:dyDescent="0.25">
      <c r="A15" s="153" t="s">
        <v>3</v>
      </c>
      <c r="B15" s="153"/>
      <c r="C15" s="158">
        <v>1</v>
      </c>
      <c r="D15" s="158"/>
      <c r="G15" s="153" t="s">
        <v>11</v>
      </c>
      <c r="H15" s="153"/>
      <c r="I15" s="170">
        <f>T2*C19</f>
        <v>0</v>
      </c>
      <c r="J15" s="170"/>
      <c r="L15" s="153" t="str">
        <f>G23</f>
        <v>Minério T3</v>
      </c>
      <c r="M15" s="153"/>
      <c r="N15" s="169">
        <f>IF(C32=TRUE,R4*I23*Configurações!N9,R4*I23)</f>
        <v>0</v>
      </c>
      <c r="O15" s="169"/>
      <c r="Q15" s="153" t="s">
        <v>14</v>
      </c>
      <c r="R15" s="153"/>
      <c r="S15" s="172"/>
      <c r="T15" s="172"/>
    </row>
    <row r="16" spans="1:24" ht="15" customHeight="1" x14ac:dyDescent="0.25">
      <c r="A16" s="153"/>
      <c r="B16" s="153"/>
      <c r="C16" s="158"/>
      <c r="D16" s="158"/>
      <c r="G16" s="153" t="s">
        <v>12</v>
      </c>
      <c r="H16" s="153"/>
      <c r="I16" s="194"/>
      <c r="J16" s="194"/>
      <c r="L16" s="153" t="str">
        <f>G24</f>
        <v>Barra T2</v>
      </c>
      <c r="M16" s="153"/>
      <c r="N16" s="169">
        <f>IF(C34=TRUE,I24*U4*Configurações!N9,I24*U4)</f>
        <v>0</v>
      </c>
      <c r="O16" s="169"/>
      <c r="Q16" s="153" t="s">
        <v>15</v>
      </c>
      <c r="R16" s="153"/>
      <c r="S16" s="169">
        <f>X3-N19</f>
        <v>0</v>
      </c>
      <c r="T16" s="169"/>
    </row>
    <row r="17" spans="1:21" ht="15" customHeight="1" x14ac:dyDescent="0.25">
      <c r="A17" s="153" t="s">
        <v>4</v>
      </c>
      <c r="B17" s="153"/>
      <c r="C17" s="158">
        <v>1</v>
      </c>
      <c r="D17" s="158"/>
      <c r="G17" s="153" t="s">
        <v>13</v>
      </c>
      <c r="H17" s="153"/>
      <c r="I17" s="182">
        <f>IF(T2=0,"Indefinido",IF(I16=0,0,(I16/T2)-1))</f>
        <v>0</v>
      </c>
      <c r="J17" s="182"/>
      <c r="L17" s="153" t="s">
        <v>34</v>
      </c>
      <c r="M17" s="153"/>
      <c r="N17" s="169" cm="1">
        <f t="array" ref="N17">(C25/100)*C19*INDEX(valoresAlbion!J6:O10,C17,C15)</f>
        <v>0</v>
      </c>
      <c r="O17" s="169"/>
      <c r="Q17" s="153" t="s">
        <v>16</v>
      </c>
      <c r="R17" s="153"/>
      <c r="S17" s="165">
        <f>IFERROR(S16/N19,0)</f>
        <v>0</v>
      </c>
      <c r="T17" s="165"/>
    </row>
    <row r="18" spans="1:21" ht="15" customHeight="1" x14ac:dyDescent="0.25">
      <c r="A18" s="153"/>
      <c r="B18" s="153"/>
      <c r="C18" s="158"/>
      <c r="D18" s="158"/>
      <c r="L18" s="153" t="s">
        <v>898</v>
      </c>
      <c r="M18" s="153"/>
      <c r="N18" s="154">
        <f>IF(C36=TRUE,(X3*Configurações!B3)+(X3*Configurações!F9),(X3*Configurações!B3))</f>
        <v>0</v>
      </c>
      <c r="O18" s="154"/>
    </row>
    <row r="19" spans="1:21" ht="15" customHeight="1" x14ac:dyDescent="0.25">
      <c r="A19" s="153" t="s">
        <v>1</v>
      </c>
      <c r="B19" s="153"/>
      <c r="C19" s="183"/>
      <c r="D19" s="183"/>
      <c r="L19" s="153" t="s">
        <v>693</v>
      </c>
      <c r="M19" s="153"/>
      <c r="N19" s="169">
        <f>SUM(N15:O18)</f>
        <v>0</v>
      </c>
      <c r="O19" s="169"/>
    </row>
    <row r="20" spans="1:21" ht="15" customHeight="1" x14ac:dyDescent="0.2">
      <c r="A20" s="153"/>
      <c r="B20" s="153"/>
      <c r="C20" s="183"/>
      <c r="D20" s="183"/>
    </row>
    <row r="21" spans="1:21" ht="15" customHeight="1" x14ac:dyDescent="0.25">
      <c r="A21" s="153" t="s">
        <v>79</v>
      </c>
      <c r="B21" s="153"/>
      <c r="C21" s="167"/>
      <c r="D21" s="167"/>
      <c r="G21" s="184" t="s">
        <v>6</v>
      </c>
      <c r="H21" s="185"/>
      <c r="I21" s="185"/>
      <c r="J21" s="186"/>
      <c r="K21"/>
      <c r="L21"/>
    </row>
    <row r="22" spans="1:21" ht="15" customHeight="1" x14ac:dyDescent="0.25">
      <c r="A22" s="153"/>
      <c r="B22" s="153"/>
      <c r="C22" s="167"/>
      <c r="D22" s="167"/>
      <c r="G22" s="187"/>
      <c r="H22" s="188"/>
      <c r="I22" s="188"/>
      <c r="J22" s="189"/>
      <c r="K22"/>
      <c r="L22"/>
    </row>
    <row r="23" spans="1:21" ht="15" customHeight="1" x14ac:dyDescent="0.25">
      <c r="A23" s="153" t="s">
        <v>80</v>
      </c>
      <c r="B23" s="153"/>
      <c r="C23" s="167"/>
      <c r="D23" s="167"/>
      <c r="G23" s="153" t="str">
        <f>IF(C15=1,_xlfn.CONCAT(K4,L4),_xlfn.CONCAT(K4,L4,H4))</f>
        <v>Minério T3</v>
      </c>
      <c r="H23" s="153"/>
      <c r="I23" s="170">
        <f>ROUNDUP(IF($C$19=1,V1,(V1*$C$19*$V$3)+($C$27*V1)),0)</f>
        <v>0</v>
      </c>
      <c r="J23" s="170"/>
      <c r="K23"/>
      <c r="L23"/>
    </row>
    <row r="24" spans="1:21" ht="15" customHeight="1" x14ac:dyDescent="0.25">
      <c r="A24" s="153"/>
      <c r="B24" s="153"/>
      <c r="C24" s="167"/>
      <c r="D24" s="167"/>
      <c r="G24" s="153" t="str">
        <f>IF(OR(C15=1,C15=2),_xlfn.CONCAT(I4,J4),_xlfn.CONCAT(I4,J4,H4))</f>
        <v>Barra T2</v>
      </c>
      <c r="H24" s="153"/>
      <c r="I24" s="170">
        <f>ROUNDUP(IF($C$19=1,V2,(V2*$C$19*$V$3)+($C$27*V2)),0)</f>
        <v>0</v>
      </c>
      <c r="J24" s="170"/>
      <c r="K24"/>
    </row>
    <row r="25" spans="1:21" ht="15" customHeight="1" x14ac:dyDescent="0.25">
      <c r="A25" s="153" t="s">
        <v>2</v>
      </c>
      <c r="B25" s="153"/>
      <c r="C25" s="167"/>
      <c r="D25" s="167"/>
      <c r="K25"/>
    </row>
    <row r="26" spans="1:21" ht="15" customHeight="1" x14ac:dyDescent="0.2">
      <c r="A26" s="153"/>
      <c r="B26" s="153"/>
      <c r="C26" s="167"/>
      <c r="D26" s="167"/>
    </row>
    <row r="27" spans="1:21" ht="15" customHeight="1" x14ac:dyDescent="0.2">
      <c r="A27" s="153" t="s">
        <v>1014</v>
      </c>
      <c r="B27" s="153"/>
      <c r="C27" s="168"/>
      <c r="D27" s="168"/>
    </row>
    <row r="28" spans="1:21" ht="15" customHeight="1" x14ac:dyDescent="0.2">
      <c r="A28" s="153"/>
      <c r="B28" s="153"/>
      <c r="C28" s="168"/>
      <c r="D28" s="168"/>
    </row>
    <row r="29" spans="1:21" ht="15" customHeight="1" x14ac:dyDescent="0.2">
      <c r="C29" s="27"/>
      <c r="D29" s="27"/>
    </row>
    <row r="30" spans="1:21" ht="15" customHeight="1" x14ac:dyDescent="0.2">
      <c r="A30" s="159" t="s">
        <v>5</v>
      </c>
      <c r="B30" s="160"/>
      <c r="C30" s="160"/>
      <c r="D30" s="160"/>
      <c r="G30" s="159" t="s">
        <v>680</v>
      </c>
      <c r="H30" s="160"/>
      <c r="I30" s="160"/>
      <c r="J30" s="160"/>
      <c r="K30" s="159" t="s">
        <v>386</v>
      </c>
      <c r="L30" s="160"/>
      <c r="M30" s="159" t="s">
        <v>398</v>
      </c>
      <c r="N30" s="160"/>
      <c r="O30" s="159" t="s">
        <v>397</v>
      </c>
      <c r="P30" s="160"/>
      <c r="Q30" s="159" t="s">
        <v>681</v>
      </c>
      <c r="R30" s="160"/>
    </row>
    <row r="31" spans="1:21" ht="15" customHeight="1" x14ac:dyDescent="0.2">
      <c r="A31" s="160"/>
      <c r="B31" s="160"/>
      <c r="C31" s="160"/>
      <c r="D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</row>
    <row r="32" spans="1:21" ht="15" customHeight="1" x14ac:dyDescent="0.25">
      <c r="A32" s="155" t="s">
        <v>81</v>
      </c>
      <c r="B32" s="155"/>
      <c r="C32" s="157"/>
      <c r="D32" s="157"/>
      <c r="G32" s="155" t="str">
        <f>G23</f>
        <v>Minério T3</v>
      </c>
      <c r="H32" s="155"/>
      <c r="I32" s="157">
        <v>1</v>
      </c>
      <c r="J32" s="157"/>
      <c r="K32" s="157" t="b">
        <v>0</v>
      </c>
      <c r="L32" s="157"/>
      <c r="M32" s="161">
        <f>IF(A4=0,"Sem Dados",VLOOKUP(W4,'Ordem 3'!A3:E29,IF(C32=TRUE,4,2)))</f>
        <v>14</v>
      </c>
      <c r="N32" s="162"/>
      <c r="O32" s="191">
        <f>IFERROR(INT(A2 + A3 - (Configurações!A3 / 24)),"Sem Dados")</f>
        <v>45544</v>
      </c>
      <c r="P32" s="191"/>
      <c r="Q32" s="190">
        <f>IFERROR(IF(MOD(A2 + A3 - (Configurações!A3 / 24), 1) = 0, "00:00:00", MOD(A2 + A3 - (Configurações!A3 / 24), 1)), "Sem Dados")</f>
        <v>6.25E-2</v>
      </c>
      <c r="R32" s="190"/>
      <c r="U32"/>
    </row>
    <row r="33" spans="1:21" ht="15" customHeight="1" x14ac:dyDescent="0.25">
      <c r="A33" s="156"/>
      <c r="B33" s="156"/>
      <c r="C33" s="158"/>
      <c r="D33" s="158"/>
      <c r="G33" s="156"/>
      <c r="H33" s="156"/>
      <c r="I33" s="158"/>
      <c r="J33" s="158"/>
      <c r="K33" s="158"/>
      <c r="L33" s="158"/>
      <c r="M33" s="163"/>
      <c r="N33" s="164"/>
      <c r="O33" s="191"/>
      <c r="P33" s="191"/>
      <c r="Q33" s="190"/>
      <c r="R33" s="190"/>
      <c r="S33"/>
      <c r="U33"/>
    </row>
    <row r="34" spans="1:21" ht="15" customHeight="1" x14ac:dyDescent="0.25">
      <c r="A34" s="156" t="s">
        <v>82</v>
      </c>
      <c r="B34" s="156"/>
      <c r="C34" s="158"/>
      <c r="D34" s="158"/>
      <c r="G34" s="155" t="str">
        <f>G24</f>
        <v>Barra T2</v>
      </c>
      <c r="H34" s="155"/>
      <c r="I34" s="157">
        <v>1</v>
      </c>
      <c r="J34" s="157"/>
      <c r="K34" s="157" t="b">
        <v>0</v>
      </c>
      <c r="L34" s="157"/>
      <c r="M34" s="161">
        <f>IF(B4=0,"Sem Dados",(VLOOKUP(X4,'Ordem 3'!J3:N29,IF(C34=TRUE,4,2))))</f>
        <v>13</v>
      </c>
      <c r="N34" s="162"/>
      <c r="O34" s="191">
        <f>IFERROR(INT(B2 + B3 - (Configurações!A3 / 24)),"Sem Dados")</f>
        <v>45544</v>
      </c>
      <c r="P34" s="191"/>
      <c r="Q34" s="190">
        <f>IFERROR(IF(MOD(B2 + B3 - (Configurações!A3 / 24), 1) = 0, "00:00:00", MOD(B2 + B3 - (Configurações!A3 / 24), 1)), "Sem Dados")</f>
        <v>6.25E-2</v>
      </c>
      <c r="R34" s="190"/>
      <c r="U34"/>
    </row>
    <row r="35" spans="1:21" ht="15" customHeight="1" x14ac:dyDescent="0.25">
      <c r="A35" s="156"/>
      <c r="B35" s="156"/>
      <c r="C35" s="158"/>
      <c r="D35" s="158"/>
      <c r="G35" s="156"/>
      <c r="H35" s="156"/>
      <c r="I35" s="158"/>
      <c r="J35" s="158"/>
      <c r="K35" s="158"/>
      <c r="L35" s="158"/>
      <c r="M35" s="163"/>
      <c r="N35" s="164"/>
      <c r="O35" s="191"/>
      <c r="P35" s="191"/>
      <c r="Q35" s="190"/>
      <c r="R35" s="190"/>
      <c r="S35"/>
      <c r="U35"/>
    </row>
    <row r="36" spans="1:21" ht="15" customHeight="1" x14ac:dyDescent="0.25">
      <c r="A36" s="156" t="s">
        <v>10</v>
      </c>
      <c r="B36" s="156"/>
      <c r="C36" s="158" t="b">
        <v>0</v>
      </c>
      <c r="D36" s="158"/>
      <c r="G36" s="155" t="s">
        <v>387</v>
      </c>
      <c r="H36" s="155"/>
      <c r="I36" s="157">
        <v>1</v>
      </c>
      <c r="J36" s="157"/>
      <c r="K36" s="157" t="b">
        <v>0</v>
      </c>
      <c r="L36" s="157"/>
      <c r="M36" s="161" t="str">
        <f>IF(C4=0,"Sem Dados",VLOOKUP(W4,'Ordem 3'!S3:W29,IF(C36=TRUE,2,4)))</f>
        <v>Sem Dados</v>
      </c>
      <c r="N36" s="162"/>
      <c r="O36" s="191" t="str">
        <f>IFERROR(INT(C2 + C3 - (Configurações!A3 / 24)),"Sem Dados")</f>
        <v>Sem Dados</v>
      </c>
      <c r="P36" s="191"/>
      <c r="Q36" s="190" t="str">
        <f>IFERROR(IF(MOD(C2 + C3 - (Configurações!A3 / 24), 1) = 0, "00:00:00", MOD(C2 + C3 - (Configurações!A3 / 24), 1)), "Sem Dados")</f>
        <v>Sem Dados</v>
      </c>
      <c r="R36" s="190"/>
      <c r="U36"/>
    </row>
    <row r="37" spans="1:21" ht="15" customHeight="1" x14ac:dyDescent="0.25">
      <c r="A37" s="156"/>
      <c r="B37" s="156"/>
      <c r="C37" s="158"/>
      <c r="D37" s="158"/>
      <c r="G37" s="156"/>
      <c r="H37" s="156"/>
      <c r="I37" s="158"/>
      <c r="J37" s="158"/>
      <c r="K37" s="158"/>
      <c r="L37" s="158"/>
      <c r="M37" s="163"/>
      <c r="N37" s="164"/>
      <c r="O37" s="191"/>
      <c r="P37" s="191"/>
      <c r="Q37" s="190"/>
      <c r="R37" s="190"/>
      <c r="T37"/>
      <c r="U37"/>
    </row>
    <row r="38" spans="1:21" ht="15" customHeight="1" x14ac:dyDescent="0.2"/>
    <row r="39" spans="1:21" ht="15" customHeight="1" x14ac:dyDescent="0.2"/>
    <row r="40" spans="1:21" ht="15" customHeight="1" x14ac:dyDescent="0.25">
      <c r="A40"/>
      <c r="B40"/>
    </row>
    <row r="41" spans="1:21" ht="15" customHeight="1" x14ac:dyDescent="0.25">
      <c r="A41"/>
      <c r="B41"/>
      <c r="C41"/>
    </row>
    <row r="42" spans="1:21" ht="15" customHeight="1" x14ac:dyDescent="0.25">
      <c r="A42"/>
      <c r="B42"/>
      <c r="C42" s="28"/>
    </row>
    <row r="43" spans="1:21" ht="15" customHeight="1" x14ac:dyDescent="0.25">
      <c r="A43"/>
      <c r="B43"/>
    </row>
    <row r="44" spans="1:21" ht="15" customHeight="1" x14ac:dyDescent="0.25">
      <c r="A44"/>
      <c r="B44"/>
      <c r="C44"/>
    </row>
    <row r="45" spans="1:21" ht="15" customHeight="1" x14ac:dyDescent="0.2"/>
    <row r="46" spans="1:21" ht="15" customHeight="1" x14ac:dyDescent="0.2"/>
    <row r="47" spans="1:21" ht="15" customHeight="1" x14ac:dyDescent="0.2"/>
    <row r="48" spans="1:21" ht="15" customHeight="1" x14ac:dyDescent="0.2"/>
    <row r="49" spans="1:2" ht="15" customHeight="1" x14ac:dyDescent="0.2"/>
    <row r="50" spans="1:2" ht="15" customHeight="1" x14ac:dyDescent="0.2"/>
    <row r="63" spans="1:2" ht="15" hidden="1" customHeight="1" x14ac:dyDescent="0.25">
      <c r="A63" s="26"/>
      <c r="B63" s="26"/>
    </row>
  </sheetData>
  <sheetProtection algorithmName="SHA-512" hashValue="sR7rnIVm8P+LSUdeTsvZPG/tvZMK4ESqQzqoz+RfbquYVo6a+faSeUKV9YHjlU83tg6cQS+fwLJvjFdJPUIZwQ==" saltValue="/ZxqHy+r9Yhbiw9jbkbpww==" spinCount="100000" sheet="1" objects="1" scenarios="1" selectLockedCells="1"/>
  <mergeCells count="77">
    <mergeCell ref="G21:J22"/>
    <mergeCell ref="Q36:R37"/>
    <mergeCell ref="G34:H35"/>
    <mergeCell ref="I34:J35"/>
    <mergeCell ref="K34:L35"/>
    <mergeCell ref="M34:N35"/>
    <mergeCell ref="O34:P35"/>
    <mergeCell ref="Q34:R35"/>
    <mergeCell ref="G36:H37"/>
    <mergeCell ref="I36:J37"/>
    <mergeCell ref="K36:L37"/>
    <mergeCell ref="M36:N37"/>
    <mergeCell ref="O36:P37"/>
    <mergeCell ref="Q30:R31"/>
    <mergeCell ref="O32:P33"/>
    <mergeCell ref="Q32:R33"/>
    <mergeCell ref="A30:D31"/>
    <mergeCell ref="A32:B33"/>
    <mergeCell ref="C32:D33"/>
    <mergeCell ref="G30:J31"/>
    <mergeCell ref="K30:L31"/>
    <mergeCell ref="M30:N31"/>
    <mergeCell ref="O30:P31"/>
    <mergeCell ref="G32:H33"/>
    <mergeCell ref="I32:J33"/>
    <mergeCell ref="K32:L33"/>
    <mergeCell ref="M32:N33"/>
    <mergeCell ref="A36:B37"/>
    <mergeCell ref="C36:D37"/>
    <mergeCell ref="I17:J17"/>
    <mergeCell ref="L17:M17"/>
    <mergeCell ref="N17:O17"/>
    <mergeCell ref="A34:B35"/>
    <mergeCell ref="C34:D35"/>
    <mergeCell ref="A23:B24"/>
    <mergeCell ref="C23:D24"/>
    <mergeCell ref="A25:B26"/>
    <mergeCell ref="C25:D26"/>
    <mergeCell ref="G23:H23"/>
    <mergeCell ref="I23:J23"/>
    <mergeCell ref="G24:H24"/>
    <mergeCell ref="I24:J24"/>
    <mergeCell ref="A27:B28"/>
    <mergeCell ref="C27:D28"/>
    <mergeCell ref="A21:B22"/>
    <mergeCell ref="C21:D22"/>
    <mergeCell ref="A19:B20"/>
    <mergeCell ref="C19:D20"/>
    <mergeCell ref="G17:H17"/>
    <mergeCell ref="Q17:R17"/>
    <mergeCell ref="S17:T17"/>
    <mergeCell ref="L19:M19"/>
    <mergeCell ref="N19:O19"/>
    <mergeCell ref="L18:M18"/>
    <mergeCell ref="N18:O18"/>
    <mergeCell ref="S16:T16"/>
    <mergeCell ref="L13:O14"/>
    <mergeCell ref="Q13:T14"/>
    <mergeCell ref="A17:B18"/>
    <mergeCell ref="C17:D18"/>
    <mergeCell ref="G15:H15"/>
    <mergeCell ref="I15:J15"/>
    <mergeCell ref="L15:M15"/>
    <mergeCell ref="N15:O15"/>
    <mergeCell ref="Q15:R15"/>
    <mergeCell ref="S15:T15"/>
    <mergeCell ref="G13:J14"/>
    <mergeCell ref="G16:H16"/>
    <mergeCell ref="I16:J16"/>
    <mergeCell ref="L16:M16"/>
    <mergeCell ref="N16:O16"/>
    <mergeCell ref="Q16:R16"/>
    <mergeCell ref="A6:D7"/>
    <mergeCell ref="A8:D12"/>
    <mergeCell ref="A13:D14"/>
    <mergeCell ref="A15:B16"/>
    <mergeCell ref="C15:D16"/>
  </mergeCells>
  <conditionalFormatting sqref="A6:D7 A13:D14 A30:D31 G13:J14 L13:O14 Q13:T14 G21">
    <cfRule type="expression" dxfId="77" priority="18">
      <formula>$C$15=6</formula>
    </cfRule>
    <cfRule type="expression" dxfId="76" priority="19">
      <formula>$C$15=5</formula>
    </cfRule>
    <cfRule type="expression" dxfId="75" priority="21">
      <formula>$C$15=3</formula>
    </cfRule>
    <cfRule type="expression" dxfId="74" priority="22">
      <formula>$C$15=2</formula>
    </cfRule>
    <cfRule type="expression" dxfId="73" priority="23">
      <formula>$C$15=1</formula>
    </cfRule>
  </conditionalFormatting>
  <conditionalFormatting sqref="A6:D7 A13:D14 A30:D31 G13:J14 L13:O14 Q13:T14 G21">
    <cfRule type="expression" dxfId="72" priority="20">
      <formula>$C$15=4</formula>
    </cfRule>
  </conditionalFormatting>
  <conditionalFormatting sqref="S16:T17">
    <cfRule type="cellIs" dxfId="71" priority="16" operator="lessThan">
      <formula>0</formula>
    </cfRule>
    <cfRule type="cellIs" dxfId="70" priority="17" operator="greaterThan">
      <formula>0</formula>
    </cfRule>
  </conditionalFormatting>
  <conditionalFormatting sqref="K30:R31">
    <cfRule type="expression" dxfId="69" priority="10">
      <formula>$C$15=6</formula>
    </cfRule>
    <cfRule type="expression" dxfId="68" priority="11">
      <formula>$C$15=5</formula>
    </cfRule>
    <cfRule type="expression" dxfId="67" priority="13">
      <formula>$C$15=3</formula>
    </cfRule>
    <cfRule type="expression" dxfId="66" priority="14">
      <formula>$C$15=2</formula>
    </cfRule>
    <cfRule type="expression" dxfId="65" priority="15">
      <formula>$C$15=1</formula>
    </cfRule>
  </conditionalFormatting>
  <conditionalFormatting sqref="K30:R31">
    <cfRule type="expression" dxfId="64" priority="12">
      <formula>$C$15=4</formula>
    </cfRule>
  </conditionalFormatting>
  <conditionalFormatting sqref="G30:J31">
    <cfRule type="expression" dxfId="63" priority="4">
      <formula>$C$15=6</formula>
    </cfRule>
    <cfRule type="expression" dxfId="62" priority="5">
      <formula>$C$15=5</formula>
    </cfRule>
    <cfRule type="expression" dxfId="61" priority="7">
      <formula>$C$15=3</formula>
    </cfRule>
    <cfRule type="expression" dxfId="60" priority="8">
      <formula>$C$15=2</formula>
    </cfRule>
    <cfRule type="expression" dxfId="59" priority="9">
      <formula>$C$15=1</formula>
    </cfRule>
  </conditionalFormatting>
  <conditionalFormatting sqref="G30:J31">
    <cfRule type="expression" dxfId="58" priority="6">
      <formula>$C$15=4</formula>
    </cfRule>
  </conditionalFormatting>
  <conditionalFormatting sqref="C21:D22">
    <cfRule type="expression" dxfId="57" priority="3">
      <formula>$K$32=TRUE</formula>
    </cfRule>
  </conditionalFormatting>
  <conditionalFormatting sqref="C23:D24">
    <cfRule type="expression" dxfId="56" priority="2">
      <formula>$K$34=TRUE</formula>
    </cfRule>
  </conditionalFormatting>
  <conditionalFormatting sqref="S15:T15">
    <cfRule type="expression" dxfId="55" priority="1">
      <formula>$K$36=TRUE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>
                <anchor moveWithCells="1">
                  <from>
                    <xdr:col>2</xdr:col>
                    <xdr:colOff>85725</xdr:colOff>
                    <xdr:row>14</xdr:row>
                    <xdr:rowOff>85725</xdr:rowOff>
                  </from>
                  <to>
                    <xdr:col>3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rop Down 2">
              <controlPr defaultSize="0" autoLine="0" autoPict="0">
                <anchor moveWithCells="1">
                  <from>
                    <xdr:col>2</xdr:col>
                    <xdr:colOff>85725</xdr:colOff>
                    <xdr:row>16</xdr:row>
                    <xdr:rowOff>85725</xdr:rowOff>
                  </from>
                  <to>
                    <xdr:col>3</xdr:col>
                    <xdr:colOff>523875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76200</xdr:rowOff>
                  </from>
                  <to>
                    <xdr:col>3</xdr:col>
                    <xdr:colOff>161925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76200</xdr:rowOff>
                  </from>
                  <to>
                    <xdr:col>3</xdr:col>
                    <xdr:colOff>161925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76200</xdr:rowOff>
                  </from>
                  <to>
                    <xdr:col>3</xdr:col>
                    <xdr:colOff>161925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10</xdr:col>
                    <xdr:colOff>266700</xdr:colOff>
                    <xdr:row>31</xdr:row>
                    <xdr:rowOff>76200</xdr:rowOff>
                  </from>
                  <to>
                    <xdr:col>11</xdr:col>
                    <xdr:colOff>342900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0" name="Check Box 10">
              <controlPr defaultSize="0" autoFill="0" autoLine="0" autoPict="0">
                <anchor moveWithCells="1">
                  <from>
                    <xdr:col>10</xdr:col>
                    <xdr:colOff>266700</xdr:colOff>
                    <xdr:row>35</xdr:row>
                    <xdr:rowOff>76200</xdr:rowOff>
                  </from>
                  <to>
                    <xdr:col>11</xdr:col>
                    <xdr:colOff>342900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1" name="Check Box 11">
              <controlPr defaultSize="0" autoFill="0" autoLine="0" autoPict="0">
                <anchor moveWithCells="1">
                  <from>
                    <xdr:col>10</xdr:col>
                    <xdr:colOff>266700</xdr:colOff>
                    <xdr:row>33</xdr:row>
                    <xdr:rowOff>76200</xdr:rowOff>
                  </from>
                  <to>
                    <xdr:col>11</xdr:col>
                    <xdr:colOff>342900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Drop Down 12">
              <controlPr defaultSize="0" autoLine="0" autoPict="0">
                <anchor moveWithCells="1">
                  <from>
                    <xdr:col>8</xdr:col>
                    <xdr:colOff>66675</xdr:colOff>
                    <xdr:row>31</xdr:row>
                    <xdr:rowOff>123825</xdr:rowOff>
                  </from>
                  <to>
                    <xdr:col>9</xdr:col>
                    <xdr:colOff>676275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3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33</xdr:row>
                    <xdr:rowOff>123825</xdr:rowOff>
                  </from>
                  <to>
                    <xdr:col>9</xdr:col>
                    <xdr:colOff>676275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4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35</xdr:row>
                    <xdr:rowOff>123825</xdr:rowOff>
                  </from>
                  <to>
                    <xdr:col>9</xdr:col>
                    <xdr:colOff>676275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0B8A-D04C-447D-9FE0-EAE71909002F}">
  <sheetPr codeName="Planilha22">
    <tabColor theme="5"/>
  </sheetPr>
  <dimension ref="A1:Z29"/>
  <sheetViews>
    <sheetView showGridLines="0" showRowColHeaders="0" workbookViewId="0">
      <selection activeCell="F7" sqref="F7:G7"/>
    </sheetView>
  </sheetViews>
  <sheetFormatPr defaultColWidth="0" defaultRowHeight="15" zeroHeight="1" x14ac:dyDescent="0.25"/>
  <cols>
    <col min="1" max="6" width="9.140625" customWidth="1"/>
    <col min="7" max="7" width="10.28515625" customWidth="1"/>
    <col min="8" max="8" width="9.140625" customWidth="1"/>
    <col min="9" max="9" width="3.140625" customWidth="1"/>
    <col min="10" max="15" width="9.140625" customWidth="1"/>
    <col min="16" max="16" width="11.28515625" customWidth="1"/>
    <col min="17" max="17" width="9.140625" customWidth="1"/>
    <col min="18" max="18" width="3.5703125" customWidth="1"/>
    <col min="19" max="24" width="9.140625" customWidth="1"/>
    <col min="25" max="25" width="11" customWidth="1"/>
    <col min="26" max="26" width="9.140625" customWidth="1"/>
    <col min="27" max="16384" width="9.140625" hidden="1"/>
  </cols>
  <sheetData>
    <row r="1" spans="1:26" x14ac:dyDescent="0.25">
      <c r="A1" s="192" t="s">
        <v>402</v>
      </c>
      <c r="B1" s="192"/>
      <c r="C1" s="192"/>
      <c r="D1" s="192"/>
      <c r="E1" s="192"/>
      <c r="F1" s="192"/>
      <c r="G1" s="192"/>
      <c r="H1" s="192"/>
      <c r="I1" s="65"/>
      <c r="J1" s="192" t="s">
        <v>401</v>
      </c>
      <c r="K1" s="192"/>
      <c r="L1" s="192"/>
      <c r="M1" s="192"/>
      <c r="N1" s="192"/>
      <c r="O1" s="192"/>
      <c r="P1" s="192"/>
      <c r="Q1" s="192"/>
      <c r="R1" s="65"/>
      <c r="S1" s="192" t="s">
        <v>401</v>
      </c>
      <c r="T1" s="192"/>
      <c r="U1" s="192"/>
      <c r="V1" s="192"/>
      <c r="W1" s="192"/>
      <c r="X1" s="192"/>
      <c r="Y1" s="192"/>
      <c r="Z1" s="192"/>
    </row>
    <row r="2" spans="1:26" x14ac:dyDescent="0.25">
      <c r="A2" s="66" t="s">
        <v>30</v>
      </c>
      <c r="B2" s="66" t="s">
        <v>390</v>
      </c>
      <c r="C2" s="66" t="s">
        <v>376</v>
      </c>
      <c r="D2" s="66" t="s">
        <v>391</v>
      </c>
      <c r="E2" s="66" t="s">
        <v>376</v>
      </c>
      <c r="F2" s="66" t="s">
        <v>384</v>
      </c>
      <c r="G2" s="66" t="s">
        <v>378</v>
      </c>
      <c r="H2" s="66" t="s">
        <v>365</v>
      </c>
      <c r="I2" s="65"/>
      <c r="J2" s="66" t="s">
        <v>30</v>
      </c>
      <c r="K2" s="66" t="s">
        <v>390</v>
      </c>
      <c r="L2" s="66" t="s">
        <v>376</v>
      </c>
      <c r="M2" s="66" t="s">
        <v>391</v>
      </c>
      <c r="N2" s="66" t="s">
        <v>376</v>
      </c>
      <c r="O2" s="66" t="s">
        <v>384</v>
      </c>
      <c r="P2" s="66" t="s">
        <v>378</v>
      </c>
      <c r="Q2" s="66" t="s">
        <v>365</v>
      </c>
      <c r="R2" s="65"/>
      <c r="S2" s="66" t="s">
        <v>30</v>
      </c>
      <c r="T2" s="66" t="s">
        <v>392</v>
      </c>
      <c r="U2" s="66" t="s">
        <v>376</v>
      </c>
      <c r="V2" s="66" t="s">
        <v>396</v>
      </c>
      <c r="W2" s="66" t="s">
        <v>376</v>
      </c>
      <c r="X2" s="66" t="s">
        <v>384</v>
      </c>
      <c r="Y2" s="66" t="s">
        <v>378</v>
      </c>
      <c r="Z2" s="66" t="s">
        <v>365</v>
      </c>
    </row>
    <row r="3" spans="1:26" x14ac:dyDescent="0.25">
      <c r="A3" s="67" t="s">
        <v>479</v>
      </c>
      <c r="B3" s="68" cm="1">
        <f t="array" ref="B3">INDEX(MINERIO,F3,1)</f>
        <v>19</v>
      </c>
      <c r="C3" s="68" t="str" cm="1">
        <f t="array" ref="C3">INDEX(MINERIO,F3,2)</f>
        <v>2024-09-09T04:30:00</v>
      </c>
      <c r="D3" s="68" cm="1">
        <f t="array" ref="D3">INDEX(MINERIO,F3,3)</f>
        <v>0</v>
      </c>
      <c r="E3" s="68" cm="1">
        <f t="array" ref="E3">INDEX(MINERIO,F3,4)</f>
        <v>0</v>
      </c>
      <c r="F3" s="69">
        <f t="shared" ref="F3" si="0">MATCH(G3,codigo5,0)</f>
        <v>1</v>
      </c>
      <c r="G3" s="69" t="str">
        <f>_xlfn.CONCAT(CHOOSE(Minério!$I$32,"Brecilien","Bridgewatch","Caerleon","Fort Sterling","Lymhurst","Martlock","Thetford"),"B",H3)</f>
        <v>BrecilienB0</v>
      </c>
      <c r="H3" s="70">
        <v>0</v>
      </c>
      <c r="I3" s="65"/>
      <c r="J3" s="67" t="s">
        <v>479</v>
      </c>
      <c r="K3" s="68" cm="1">
        <f t="array" ref="K3">INDEX(BARRA,O3,1)</f>
        <v>13</v>
      </c>
      <c r="L3" s="68" t="str" cm="1">
        <f t="array" ref="L3">INDEX(BARRA,O3,2)</f>
        <v>2024-09-09T04:30:00</v>
      </c>
      <c r="M3" s="68" cm="1">
        <f t="array" ref="M3">INDEX(BARRA,O3,3)</f>
        <v>0</v>
      </c>
      <c r="N3" s="68" cm="1">
        <f t="array" ref="N3">INDEX(BARRA,O3,4)</f>
        <v>0</v>
      </c>
      <c r="O3" s="69">
        <f t="shared" ref="O3" si="1">MATCH(P3,codigo6,0)</f>
        <v>1</v>
      </c>
      <c r="P3" s="69" t="str">
        <f>_xlfn.CONCAT(CHOOSE(Minério!$I$34,"Brecilien","Bridgewatch","Caerleon","Fort Sterling","Lymhurst","Martlock","Thetford"),"R",Q3)</f>
        <v>BrecilienR0</v>
      </c>
      <c r="Q3" s="70">
        <v>0</v>
      </c>
      <c r="R3" s="65"/>
      <c r="S3" s="67" t="s">
        <v>479</v>
      </c>
      <c r="T3" s="68" cm="1">
        <f t="array" ref="T3">INDEX(BARRA,X3,1)</f>
        <v>13</v>
      </c>
      <c r="U3" s="68" t="str" cm="1">
        <f t="array" ref="U3">INDEX(BARRA,X3,2)</f>
        <v>2024-09-09T04:30:00</v>
      </c>
      <c r="V3" s="68" cm="1">
        <f t="array" ref="V3">INDEX(BARRA,X3,3)</f>
        <v>0</v>
      </c>
      <c r="W3" s="68" cm="1">
        <f t="array" ref="W3">INDEX(BARRA,X3,4)</f>
        <v>0</v>
      </c>
      <c r="X3" s="69">
        <f t="shared" ref="X3" si="2">MATCH(Y3,codigo6,0)</f>
        <v>1</v>
      </c>
      <c r="Y3" s="69" t="str">
        <f>_xlfn.CONCAT(CHOOSE(Minério!$I$36,"Brecilien","Bridgewatch","Caerleon","Fort Sterling","Lymhurst","Martlock","Thetford"),"R",Z3)</f>
        <v>BrecilienR0</v>
      </c>
      <c r="Z3" s="70">
        <v>0</v>
      </c>
    </row>
    <row r="4" spans="1:26" x14ac:dyDescent="0.25">
      <c r="A4" s="67" t="s">
        <v>95</v>
      </c>
      <c r="B4" s="68" cm="1">
        <f t="array" ref="B4">INDEX(MINERIO,F4,1)</f>
        <v>14</v>
      </c>
      <c r="C4" s="68" t="str" cm="1">
        <f t="array" ref="C4">INDEX(MINERIO,F4,2)</f>
        <v>2024-09-09T04:30:00</v>
      </c>
      <c r="D4" s="68" cm="1">
        <f t="array" ref="D4">INDEX(MINERIO,F4,3)</f>
        <v>0</v>
      </c>
      <c r="E4" s="68" cm="1">
        <f t="array" ref="E4">INDEX(MINERIO,F4,4)</f>
        <v>0</v>
      </c>
      <c r="F4" s="69">
        <f t="shared" ref="F4:F29" si="3">MATCH(G4,codigo5,0)</f>
        <v>8</v>
      </c>
      <c r="G4" s="69" t="str">
        <f>_xlfn.CONCAT(CHOOSE(Minério!$I$32,"Brecilien","Bridgewatch","Caerleon","Fort Sterling","Lymhurst","Martlock","Thetford"),"B",H4)</f>
        <v>BrecilienB1</v>
      </c>
      <c r="H4" s="70">
        <v>1</v>
      </c>
      <c r="I4" s="65"/>
      <c r="J4" s="67" t="s">
        <v>95</v>
      </c>
      <c r="K4" s="68" cm="1">
        <f t="array" ref="K4">INDEX(BARRA,O4,1)</f>
        <v>150</v>
      </c>
      <c r="L4" s="68" t="str" cm="1">
        <f t="array" ref="L4">INDEX(BARRA,O4,2)</f>
        <v>2024-09-09T04:30:00</v>
      </c>
      <c r="M4" s="68" cm="1">
        <f t="array" ref="M4">INDEX(BARRA,O4,3)</f>
        <v>0</v>
      </c>
      <c r="N4" s="68" cm="1">
        <f t="array" ref="N4">INDEX(BARRA,O4,4)</f>
        <v>0</v>
      </c>
      <c r="O4" s="69">
        <f t="shared" ref="O4:O29" si="4">MATCH(P4,codigo6,0)</f>
        <v>8</v>
      </c>
      <c r="P4" s="69" t="str">
        <f>_xlfn.CONCAT(CHOOSE(Minério!$I$34,"Brecilien","Bridgewatch","Caerleon","Fort Sterling","Lymhurst","Martlock","Thetford"),"R",Q4)</f>
        <v>BrecilienR1</v>
      </c>
      <c r="Q4" s="70">
        <v>1</v>
      </c>
      <c r="R4" s="65"/>
      <c r="S4" s="67" t="s">
        <v>95</v>
      </c>
      <c r="T4" s="68" cm="1">
        <f t="array" ref="T4">INDEX(BARRA,X4,1)</f>
        <v>150</v>
      </c>
      <c r="U4" s="68" t="str" cm="1">
        <f t="array" ref="U4">INDEX(BARRA,X4,2)</f>
        <v>2024-09-09T04:30:00</v>
      </c>
      <c r="V4" s="68" cm="1">
        <f t="array" ref="V4">INDEX(BARRA,X4,3)</f>
        <v>0</v>
      </c>
      <c r="W4" s="68" cm="1">
        <f t="array" ref="W4">INDEX(BARRA,X4,4)</f>
        <v>0</v>
      </c>
      <c r="X4" s="69">
        <f t="shared" ref="X4:X29" si="5">MATCH(Y4,codigo6,0)</f>
        <v>8</v>
      </c>
      <c r="Y4" s="69" t="str">
        <f>_xlfn.CONCAT(CHOOSE(Minério!$I$36,"Brecilien","Bridgewatch","Caerleon","Fort Sterling","Lymhurst","Martlock","Thetford"),"R",Z4)</f>
        <v>BrecilienR1</v>
      </c>
      <c r="Z4" s="70">
        <v>1</v>
      </c>
    </row>
    <row r="5" spans="1:26" x14ac:dyDescent="0.25">
      <c r="A5" s="67" t="s">
        <v>96</v>
      </c>
      <c r="B5" s="68" cm="1">
        <f t="array" ref="B5">INDEX(MINERIO,F5,1)</f>
        <v>63</v>
      </c>
      <c r="C5" s="68" t="str" cm="1">
        <f t="array" ref="C5">INDEX(MINERIO,F5,2)</f>
        <v>2024-09-09T12:20:00</v>
      </c>
      <c r="D5" s="68" cm="1">
        <f t="array" ref="D5">INDEX(MINERIO,F5,3)</f>
        <v>62</v>
      </c>
      <c r="E5" s="68" t="str" cm="1">
        <f t="array" ref="E5">INDEX(MINERIO,F5,4)</f>
        <v>2024-09-09T12:20:00</v>
      </c>
      <c r="F5" s="69">
        <f t="shared" si="3"/>
        <v>15</v>
      </c>
      <c r="G5" s="69" t="str">
        <f>_xlfn.CONCAT(CHOOSE(Minério!$I$32,"Brecilien","Bridgewatch","Caerleon","Fort Sterling","Lymhurst","Martlock","Thetford"),"B",H5)</f>
        <v>BrecilienB2</v>
      </c>
      <c r="H5" s="70">
        <v>2</v>
      </c>
      <c r="I5" s="65"/>
      <c r="J5" s="67" t="s">
        <v>96</v>
      </c>
      <c r="K5" s="68" cm="1">
        <f t="array" ref="K5">INDEX(BARRA,O5,1)</f>
        <v>227</v>
      </c>
      <c r="L5" s="68" t="str" cm="1">
        <f t="array" ref="L5">INDEX(BARRA,O5,2)</f>
        <v>2024-09-09T04:45:00</v>
      </c>
      <c r="M5" s="68" cm="1">
        <f t="array" ref="M5">INDEX(BARRA,O5,3)</f>
        <v>149</v>
      </c>
      <c r="N5" s="68" t="str" cm="1">
        <f t="array" ref="N5">INDEX(BARRA,O5,4)</f>
        <v>2024-09-09T04:45:00</v>
      </c>
      <c r="O5" s="69">
        <f t="shared" si="4"/>
        <v>15</v>
      </c>
      <c r="P5" s="69" t="str">
        <f>_xlfn.CONCAT(CHOOSE(Minério!$I$34,"Brecilien","Bridgewatch","Caerleon","Fort Sterling","Lymhurst","Martlock","Thetford"),"R",Q5)</f>
        <v>BrecilienR2</v>
      </c>
      <c r="Q5" s="70">
        <v>2</v>
      </c>
      <c r="R5" s="65"/>
      <c r="S5" s="67" t="s">
        <v>96</v>
      </c>
      <c r="T5" s="68" cm="1">
        <f t="array" ref="T5">INDEX(BARRA,X5,1)</f>
        <v>227</v>
      </c>
      <c r="U5" s="68" t="str" cm="1">
        <f t="array" ref="U5">INDEX(BARRA,X5,2)</f>
        <v>2024-09-09T04:45:00</v>
      </c>
      <c r="V5" s="68" cm="1">
        <f t="array" ref="V5">INDEX(BARRA,X5,3)</f>
        <v>149</v>
      </c>
      <c r="W5" s="68" t="str" cm="1">
        <f t="array" ref="W5">INDEX(BARRA,X5,4)</f>
        <v>2024-09-09T04:45:00</v>
      </c>
      <c r="X5" s="69">
        <f t="shared" si="5"/>
        <v>15</v>
      </c>
      <c r="Y5" s="69" t="str">
        <f>_xlfn.CONCAT(CHOOSE(Minério!$I$36,"Brecilien","Bridgewatch","Caerleon","Fort Sterling","Lymhurst","Martlock","Thetford"),"R",Z5)</f>
        <v>BrecilienR2</v>
      </c>
      <c r="Z5" s="70">
        <v>2</v>
      </c>
    </row>
    <row r="6" spans="1:26" x14ac:dyDescent="0.25">
      <c r="A6" s="67" t="s">
        <v>97</v>
      </c>
      <c r="B6" s="68" cm="1">
        <f t="array" ref="B6">INDEX(MINERIO,F6,1)</f>
        <v>167</v>
      </c>
      <c r="C6" s="68" t="str" cm="1">
        <f t="array" ref="C6">INDEX(MINERIO,F6,2)</f>
        <v>2024-09-09T12:20:00</v>
      </c>
      <c r="D6" s="68" cm="1">
        <f t="array" ref="D6">INDEX(MINERIO,F6,3)</f>
        <v>157</v>
      </c>
      <c r="E6" s="68" t="str" cm="1">
        <f t="array" ref="E6">INDEX(MINERIO,F6,4)</f>
        <v>2024-09-09T12:20:00</v>
      </c>
      <c r="F6" s="69">
        <f t="shared" si="3"/>
        <v>22</v>
      </c>
      <c r="G6" s="69" t="str">
        <f>_xlfn.CONCAT(CHOOSE(Minério!$I$32,"Brecilien","Bridgewatch","Caerleon","Fort Sterling","Lymhurst","Martlock","Thetford"),"B",H6)</f>
        <v>BrecilienB3</v>
      </c>
      <c r="H6" s="70">
        <v>3</v>
      </c>
      <c r="I6" s="65"/>
      <c r="J6" s="67" t="s">
        <v>97</v>
      </c>
      <c r="K6" s="68" cm="1">
        <f t="array" ref="K6">INDEX(BARRA,O6,1)</f>
        <v>511</v>
      </c>
      <c r="L6" s="68" t="str" cm="1">
        <f t="array" ref="L6">INDEX(BARRA,O6,2)</f>
        <v>2024-09-09T04:30:00</v>
      </c>
      <c r="M6" s="68" cm="1">
        <f t="array" ref="M6">INDEX(BARRA,O6,3)</f>
        <v>0</v>
      </c>
      <c r="N6" s="68" cm="1">
        <f t="array" ref="N6">INDEX(BARRA,O6,4)</f>
        <v>0</v>
      </c>
      <c r="O6" s="69">
        <f t="shared" si="4"/>
        <v>22</v>
      </c>
      <c r="P6" s="69" t="str">
        <f>_xlfn.CONCAT(CHOOSE(Minério!$I$34,"Brecilien","Bridgewatch","Caerleon","Fort Sterling","Lymhurst","Martlock","Thetford"),"R",Q6)</f>
        <v>BrecilienR3</v>
      </c>
      <c r="Q6" s="70">
        <v>3</v>
      </c>
      <c r="R6" s="65"/>
      <c r="S6" s="67" t="s">
        <v>97</v>
      </c>
      <c r="T6" s="68" cm="1">
        <f t="array" ref="T6">INDEX(BARRA,X6,1)</f>
        <v>511</v>
      </c>
      <c r="U6" s="68" t="str" cm="1">
        <f t="array" ref="U6">INDEX(BARRA,X6,2)</f>
        <v>2024-09-09T04:30:00</v>
      </c>
      <c r="V6" s="68" cm="1">
        <f t="array" ref="V6">INDEX(BARRA,X6,3)</f>
        <v>0</v>
      </c>
      <c r="W6" s="68" cm="1">
        <f t="array" ref="W6">INDEX(BARRA,X6,4)</f>
        <v>0</v>
      </c>
      <c r="X6" s="69">
        <f t="shared" si="5"/>
        <v>22</v>
      </c>
      <c r="Y6" s="69" t="str">
        <f>_xlfn.CONCAT(CHOOSE(Minério!$I$36,"Brecilien","Bridgewatch","Caerleon","Fort Sterling","Lymhurst","Martlock","Thetford"),"R",Z6)</f>
        <v>BrecilienR3</v>
      </c>
      <c r="Z6" s="70">
        <v>3</v>
      </c>
    </row>
    <row r="7" spans="1:26" x14ac:dyDescent="0.25">
      <c r="A7" s="67" t="s">
        <v>98</v>
      </c>
      <c r="B7" s="68" cm="1">
        <f t="array" ref="B7">INDEX(MINERIO,F7,1)</f>
        <v>739</v>
      </c>
      <c r="C7" s="68" t="str" cm="1">
        <f t="array" ref="C7">INDEX(MINERIO,F7,2)</f>
        <v>2024-09-09T15:05:00</v>
      </c>
      <c r="D7" s="68" cm="1">
        <f t="array" ref="D7">INDEX(MINERIO,F7,3)</f>
        <v>727</v>
      </c>
      <c r="E7" s="68" t="str" cm="1">
        <f t="array" ref="E7">INDEX(MINERIO,F7,4)</f>
        <v>2024-09-09T12:20:00</v>
      </c>
      <c r="F7" s="69">
        <f t="shared" si="3"/>
        <v>29</v>
      </c>
      <c r="G7" s="69" t="str">
        <f>_xlfn.CONCAT(CHOOSE(Minério!$I$32,"Brecilien","Bridgewatch","Caerleon","Fort Sterling","Lymhurst","Martlock","Thetford"),"B",H7)</f>
        <v>BrecilienB4</v>
      </c>
      <c r="H7" s="70">
        <v>4</v>
      </c>
      <c r="I7" s="65"/>
      <c r="J7" s="67" t="s">
        <v>98</v>
      </c>
      <c r="K7" s="68" cm="1">
        <f t="array" ref="K7">INDEX(BARRA,O7,1)</f>
        <v>0</v>
      </c>
      <c r="L7" s="68" cm="1">
        <f t="array" ref="L7">INDEX(BARRA,O7,2)</f>
        <v>0</v>
      </c>
      <c r="M7" s="68" cm="1">
        <f t="array" ref="M7">INDEX(BARRA,O7,3)</f>
        <v>0</v>
      </c>
      <c r="N7" s="68" cm="1">
        <f t="array" ref="N7">INDEX(BARRA,O7,4)</f>
        <v>0</v>
      </c>
      <c r="O7" s="69">
        <f t="shared" si="4"/>
        <v>29</v>
      </c>
      <c r="P7" s="69" t="str">
        <f>_xlfn.CONCAT(CHOOSE(Minério!$I$34,"Brecilien","Bridgewatch","Caerleon","Fort Sterling","Lymhurst","Martlock","Thetford"),"R",Q7)</f>
        <v>BrecilienR4</v>
      </c>
      <c r="Q7" s="70">
        <v>4</v>
      </c>
      <c r="R7" s="65"/>
      <c r="S7" s="67" t="s">
        <v>98</v>
      </c>
      <c r="T7" s="68" cm="1">
        <f t="array" ref="T7">INDEX(BARRA,X7,1)</f>
        <v>0</v>
      </c>
      <c r="U7" s="68" cm="1">
        <f t="array" ref="U7">INDEX(BARRA,X7,2)</f>
        <v>0</v>
      </c>
      <c r="V7" s="68" cm="1">
        <f t="array" ref="V7">INDEX(BARRA,X7,3)</f>
        <v>0</v>
      </c>
      <c r="W7" s="68" cm="1">
        <f t="array" ref="W7">INDEX(BARRA,X7,4)</f>
        <v>0</v>
      </c>
      <c r="X7" s="69">
        <f t="shared" si="5"/>
        <v>29</v>
      </c>
      <c r="Y7" s="69" t="str">
        <f>_xlfn.CONCAT(CHOOSE(Minério!$I$36,"Brecilien","Bridgewatch","Caerleon","Fort Sterling","Lymhurst","Martlock","Thetford"),"R",Z7)</f>
        <v>BrecilienR4</v>
      </c>
      <c r="Z7" s="70">
        <v>4</v>
      </c>
    </row>
    <row r="8" spans="1:26" x14ac:dyDescent="0.25">
      <c r="A8" s="67" t="s">
        <v>99</v>
      </c>
      <c r="B8" s="68" cm="1">
        <f t="array" ref="B8">INDEX(MINERIO,F8,1)</f>
        <v>6075</v>
      </c>
      <c r="C8" s="68" t="str" cm="1">
        <f t="array" ref="C8">INDEX(MINERIO,F8,2)</f>
        <v>2024-09-08T16:30:00</v>
      </c>
      <c r="D8" s="68" cm="1">
        <f t="array" ref="D8">INDEX(MINERIO,F8,3)</f>
        <v>0</v>
      </c>
      <c r="E8" s="68" cm="1">
        <f t="array" ref="E8">INDEX(MINERIO,F8,4)</f>
        <v>0</v>
      </c>
      <c r="F8" s="69">
        <f t="shared" si="3"/>
        <v>36</v>
      </c>
      <c r="G8" s="69" t="str">
        <f>_xlfn.CONCAT(CHOOSE(Minério!$I$32,"Brecilien","Bridgewatch","Caerleon","Fort Sterling","Lymhurst","Martlock","Thetford"),"B",H8)</f>
        <v>BrecilienB5</v>
      </c>
      <c r="H8" s="70">
        <v>5</v>
      </c>
      <c r="I8" s="65"/>
      <c r="J8" s="67" t="s">
        <v>99</v>
      </c>
      <c r="K8" s="68" cm="1">
        <f t="array" ref="K8">INDEX(BARRA,O8,1)</f>
        <v>0</v>
      </c>
      <c r="L8" s="68" cm="1">
        <f t="array" ref="L8">INDEX(BARRA,O8,2)</f>
        <v>0</v>
      </c>
      <c r="M8" s="68" cm="1">
        <f t="array" ref="M8">INDEX(BARRA,O8,3)</f>
        <v>0</v>
      </c>
      <c r="N8" s="68" cm="1">
        <f t="array" ref="N8">INDEX(BARRA,O8,4)</f>
        <v>0</v>
      </c>
      <c r="O8" s="69">
        <f t="shared" si="4"/>
        <v>36</v>
      </c>
      <c r="P8" s="69" t="str">
        <f>_xlfn.CONCAT(CHOOSE(Minério!$I$34,"Brecilien","Bridgewatch","Caerleon","Fort Sterling","Lymhurst","Martlock","Thetford"),"R",Q8)</f>
        <v>BrecilienR5</v>
      </c>
      <c r="Q8" s="70">
        <v>5</v>
      </c>
      <c r="R8" s="65"/>
      <c r="S8" s="67" t="s">
        <v>99</v>
      </c>
      <c r="T8" s="68" cm="1">
        <f t="array" ref="T8">INDEX(BARRA,X8,1)</f>
        <v>0</v>
      </c>
      <c r="U8" s="68" cm="1">
        <f t="array" ref="U8">INDEX(BARRA,X8,2)</f>
        <v>0</v>
      </c>
      <c r="V8" s="68" cm="1">
        <f t="array" ref="V8">INDEX(BARRA,X8,3)</f>
        <v>0</v>
      </c>
      <c r="W8" s="68" cm="1">
        <f t="array" ref="W8">INDEX(BARRA,X8,4)</f>
        <v>0</v>
      </c>
      <c r="X8" s="69">
        <f t="shared" si="5"/>
        <v>36</v>
      </c>
      <c r="Y8" s="69" t="str">
        <f>_xlfn.CONCAT(CHOOSE(Minério!$I$36,"Brecilien","Bridgewatch","Caerleon","Fort Sterling","Lymhurst","Martlock","Thetford"),"R",Z8)</f>
        <v>BrecilienR5</v>
      </c>
      <c r="Z8" s="70">
        <v>5</v>
      </c>
    </row>
    <row r="9" spans="1:26" x14ac:dyDescent="0.25">
      <c r="A9" s="67" t="s">
        <v>100</v>
      </c>
      <c r="B9" s="68" cm="1">
        <f t="array" ref="B9">INDEX(MINERIO,F9,1)</f>
        <v>0</v>
      </c>
      <c r="C9" s="68" cm="1">
        <f t="array" ref="C9">INDEX(MINERIO,F9,2)</f>
        <v>0</v>
      </c>
      <c r="D9" s="68" cm="1">
        <f t="array" ref="D9">INDEX(MINERIO,F9,3)</f>
        <v>0</v>
      </c>
      <c r="E9" s="68" cm="1">
        <f t="array" ref="E9">INDEX(MINERIO,F9,4)</f>
        <v>0</v>
      </c>
      <c r="F9" s="69">
        <f t="shared" si="3"/>
        <v>43</v>
      </c>
      <c r="G9" s="69" t="str">
        <f>_xlfn.CONCAT(CHOOSE(Minério!$I$32,"Brecilien","Bridgewatch","Caerleon","Fort Sterling","Lymhurst","Martlock","Thetford"),"B",H9)</f>
        <v>BrecilienB6</v>
      </c>
      <c r="H9" s="70">
        <v>6</v>
      </c>
      <c r="I9" s="65"/>
      <c r="J9" s="67" t="s">
        <v>100</v>
      </c>
      <c r="K9" s="68" cm="1">
        <f t="array" ref="K9">INDEX(BARRA,O9,1)</f>
        <v>0</v>
      </c>
      <c r="L9" s="68" cm="1">
        <f t="array" ref="L9">INDEX(BARRA,O9,2)</f>
        <v>0</v>
      </c>
      <c r="M9" s="68" cm="1">
        <f t="array" ref="M9">INDEX(BARRA,O9,3)</f>
        <v>0</v>
      </c>
      <c r="N9" s="68" cm="1">
        <f t="array" ref="N9">INDEX(BARRA,O9,4)</f>
        <v>0</v>
      </c>
      <c r="O9" s="69">
        <f t="shared" si="4"/>
        <v>43</v>
      </c>
      <c r="P9" s="69" t="str">
        <f>_xlfn.CONCAT(CHOOSE(Minério!$I$34,"Brecilien","Bridgewatch","Caerleon","Fort Sterling","Lymhurst","Martlock","Thetford"),"R",Q9)</f>
        <v>BrecilienR6</v>
      </c>
      <c r="Q9" s="70">
        <v>6</v>
      </c>
      <c r="R9" s="65"/>
      <c r="S9" s="67" t="s">
        <v>100</v>
      </c>
      <c r="T9" s="68" cm="1">
        <f t="array" ref="T9">INDEX(BARRA,X9,1)</f>
        <v>0</v>
      </c>
      <c r="U9" s="68" cm="1">
        <f t="array" ref="U9">INDEX(BARRA,X9,2)</f>
        <v>0</v>
      </c>
      <c r="V9" s="68" cm="1">
        <f t="array" ref="V9">INDEX(BARRA,X9,3)</f>
        <v>0</v>
      </c>
      <c r="W9" s="68" cm="1">
        <f t="array" ref="W9">INDEX(BARRA,X9,4)</f>
        <v>0</v>
      </c>
      <c r="X9" s="69">
        <f t="shared" si="5"/>
        <v>43</v>
      </c>
      <c r="Y9" s="69" t="str">
        <f>_xlfn.CONCAT(CHOOSE(Minério!$I$36,"Brecilien","Bridgewatch","Caerleon","Fort Sterling","Lymhurst","Martlock","Thetford"),"R",Z9)</f>
        <v>BrecilienR6</v>
      </c>
      <c r="Z9" s="70">
        <v>6</v>
      </c>
    </row>
    <row r="10" spans="1:26" x14ac:dyDescent="0.25">
      <c r="A10" s="67" t="s">
        <v>101</v>
      </c>
      <c r="B10" s="68" cm="1">
        <f t="array" ref="B10">INDEX(MINERIO,F10,1)</f>
        <v>201</v>
      </c>
      <c r="C10" s="68" t="str" cm="1">
        <f t="array" ref="C10">INDEX(MINERIO,F10,2)</f>
        <v>2024-09-08T22:55:00</v>
      </c>
      <c r="D10" s="68" cm="1">
        <f t="array" ref="D10">INDEX(MINERIO,F10,3)</f>
        <v>196</v>
      </c>
      <c r="E10" s="68" t="str" cm="1">
        <f t="array" ref="E10">INDEX(MINERIO,F10,4)</f>
        <v>2024-09-08T22:55:00</v>
      </c>
      <c r="F10" s="69">
        <f t="shared" si="3"/>
        <v>50</v>
      </c>
      <c r="G10" s="69" t="str">
        <f>_xlfn.CONCAT(CHOOSE(Minério!$I$32,"Brecilien","Bridgewatch","Caerleon","Fort Sterling","Lymhurst","Martlock","Thetford"),"B",H10)</f>
        <v>BrecilienB7</v>
      </c>
      <c r="H10" s="70">
        <v>7</v>
      </c>
      <c r="I10" s="65"/>
      <c r="J10" s="67" t="s">
        <v>101</v>
      </c>
      <c r="K10" s="68" cm="1">
        <f t="array" ref="K10">INDEX(BARRA,O10,1)</f>
        <v>1047</v>
      </c>
      <c r="L10" s="68" t="str" cm="1">
        <f t="array" ref="L10">INDEX(BARRA,O10,2)</f>
        <v>2024-09-09T04:30:00</v>
      </c>
      <c r="M10" s="68" cm="1">
        <f t="array" ref="M10">INDEX(BARRA,O10,3)</f>
        <v>604</v>
      </c>
      <c r="N10" s="68" t="str" cm="1">
        <f t="array" ref="N10">INDEX(BARRA,O10,4)</f>
        <v>2024-09-09T02:30:00</v>
      </c>
      <c r="O10" s="69">
        <f t="shared" si="4"/>
        <v>50</v>
      </c>
      <c r="P10" s="69" t="str">
        <f>_xlfn.CONCAT(CHOOSE(Minério!$I$34,"Brecilien","Bridgewatch","Caerleon","Fort Sterling","Lymhurst","Martlock","Thetford"),"R",Q10)</f>
        <v>BrecilienR7</v>
      </c>
      <c r="Q10" s="70">
        <v>7</v>
      </c>
      <c r="R10" s="65"/>
      <c r="S10" s="67" t="s">
        <v>101</v>
      </c>
      <c r="T10" s="68" cm="1">
        <f t="array" ref="T10">INDEX(BARRA,X10,1)</f>
        <v>1047</v>
      </c>
      <c r="U10" s="68" t="str" cm="1">
        <f t="array" ref="U10">INDEX(BARRA,X10,2)</f>
        <v>2024-09-09T04:30:00</v>
      </c>
      <c r="V10" s="68" cm="1">
        <f t="array" ref="V10">INDEX(BARRA,X10,3)</f>
        <v>604</v>
      </c>
      <c r="W10" s="68" t="str" cm="1">
        <f t="array" ref="W10">INDEX(BARRA,X10,4)</f>
        <v>2024-09-09T02:30:00</v>
      </c>
      <c r="X10" s="69">
        <f t="shared" si="5"/>
        <v>50</v>
      </c>
      <c r="Y10" s="69" t="str">
        <f>_xlfn.CONCAT(CHOOSE(Minério!$I$36,"Brecilien","Bridgewatch","Caerleon","Fort Sterling","Lymhurst","Martlock","Thetford"),"R",Z10)</f>
        <v>BrecilienR7</v>
      </c>
      <c r="Z10" s="70">
        <v>7</v>
      </c>
    </row>
    <row r="11" spans="1:26" x14ac:dyDescent="0.25">
      <c r="A11" s="67" t="s">
        <v>102</v>
      </c>
      <c r="B11" s="68" cm="1">
        <f t="array" ref="B11">INDEX(MINERIO,F11,1)</f>
        <v>397</v>
      </c>
      <c r="C11" s="68" t="str" cm="1">
        <f t="array" ref="C11">INDEX(MINERIO,F11,2)</f>
        <v>2024-09-09T05:20:00</v>
      </c>
      <c r="D11" s="68" cm="1">
        <f t="array" ref="D11">INDEX(MINERIO,F11,3)</f>
        <v>395</v>
      </c>
      <c r="E11" s="68" t="str" cm="1">
        <f t="array" ref="E11">INDEX(MINERIO,F11,4)</f>
        <v>2024-09-09T05:20:00</v>
      </c>
      <c r="F11" s="69">
        <f t="shared" si="3"/>
        <v>57</v>
      </c>
      <c r="G11" s="69" t="str">
        <f>_xlfn.CONCAT(CHOOSE(Minério!$I$32,"Brecilien","Bridgewatch","Caerleon","Fort Sterling","Lymhurst","Martlock","Thetford"),"B",H11)</f>
        <v>BrecilienB8</v>
      </c>
      <c r="H11" s="70">
        <v>8</v>
      </c>
      <c r="I11" s="65"/>
      <c r="J11" s="67" t="s">
        <v>102</v>
      </c>
      <c r="K11" s="68" cm="1">
        <f t="array" ref="K11">INDEX(BARRA,O11,1)</f>
        <v>2192</v>
      </c>
      <c r="L11" s="68" t="str" cm="1">
        <f t="array" ref="L11">INDEX(BARRA,O11,2)</f>
        <v>2024-09-09T02:30:00</v>
      </c>
      <c r="M11" s="68" cm="1">
        <f t="array" ref="M11">INDEX(BARRA,O11,3)</f>
        <v>0</v>
      </c>
      <c r="N11" s="68" cm="1">
        <f t="array" ref="N11">INDEX(BARRA,O11,4)</f>
        <v>0</v>
      </c>
      <c r="O11" s="69">
        <f t="shared" si="4"/>
        <v>57</v>
      </c>
      <c r="P11" s="69" t="str">
        <f>_xlfn.CONCAT(CHOOSE(Minério!$I$34,"Brecilien","Bridgewatch","Caerleon","Fort Sterling","Lymhurst","Martlock","Thetford"),"R",Q11)</f>
        <v>BrecilienR8</v>
      </c>
      <c r="Q11" s="70">
        <v>8</v>
      </c>
      <c r="R11" s="65"/>
      <c r="S11" s="67" t="s">
        <v>102</v>
      </c>
      <c r="T11" s="68" cm="1">
        <f t="array" ref="T11">INDEX(BARRA,X11,1)</f>
        <v>2192</v>
      </c>
      <c r="U11" s="68" t="str" cm="1">
        <f t="array" ref="U11">INDEX(BARRA,X11,2)</f>
        <v>2024-09-09T02:30:00</v>
      </c>
      <c r="V11" s="68" cm="1">
        <f t="array" ref="V11">INDEX(BARRA,X11,3)</f>
        <v>0</v>
      </c>
      <c r="W11" s="68" cm="1">
        <f t="array" ref="W11">INDEX(BARRA,X11,4)</f>
        <v>0</v>
      </c>
      <c r="X11" s="69">
        <f t="shared" si="5"/>
        <v>57</v>
      </c>
      <c r="Y11" s="69" t="str">
        <f>_xlfn.CONCAT(CHOOSE(Minério!$I$36,"Brecilien","Bridgewatch","Caerleon","Fort Sterling","Lymhurst","Martlock","Thetford"),"R",Z11)</f>
        <v>BrecilienR8</v>
      </c>
      <c r="Z11" s="70">
        <v>8</v>
      </c>
    </row>
    <row r="12" spans="1:26" x14ac:dyDescent="0.25">
      <c r="A12" s="67" t="s">
        <v>103</v>
      </c>
      <c r="B12" s="68" cm="1">
        <f t="array" ref="B12">INDEX(MINERIO,F12,1)</f>
        <v>1983</v>
      </c>
      <c r="C12" s="68" t="str" cm="1">
        <f t="array" ref="C12">INDEX(MINERIO,F12,2)</f>
        <v>2024-09-09T15:05:00</v>
      </c>
      <c r="D12" s="68" cm="1">
        <f t="array" ref="D12">INDEX(MINERIO,F12,3)</f>
        <v>1982</v>
      </c>
      <c r="E12" s="68" t="str" cm="1">
        <f t="array" ref="E12">INDEX(MINERIO,F12,4)</f>
        <v>2024-09-09T15:05:00</v>
      </c>
      <c r="F12" s="69">
        <f t="shared" si="3"/>
        <v>64</v>
      </c>
      <c r="G12" s="69" t="str">
        <f>_xlfn.CONCAT(CHOOSE(Minério!$I$32,"Brecilien","Bridgewatch","Caerleon","Fort Sterling","Lymhurst","Martlock","Thetford"),"B",H12)</f>
        <v>BrecilienB9</v>
      </c>
      <c r="H12" s="70">
        <v>9</v>
      </c>
      <c r="I12" s="65"/>
      <c r="J12" s="67" t="s">
        <v>103</v>
      </c>
      <c r="K12" s="68" cm="1">
        <f t="array" ref="K12">INDEX(BARRA,O12,1)</f>
        <v>6887</v>
      </c>
      <c r="L12" s="68" t="str" cm="1">
        <f t="array" ref="L12">INDEX(BARRA,O12,2)</f>
        <v>2024-09-08T17:00:00</v>
      </c>
      <c r="M12" s="68" cm="1">
        <f t="array" ref="M12">INDEX(BARRA,O12,3)</f>
        <v>0</v>
      </c>
      <c r="N12" s="68" cm="1">
        <f t="array" ref="N12">INDEX(BARRA,O12,4)</f>
        <v>0</v>
      </c>
      <c r="O12" s="69">
        <f t="shared" si="4"/>
        <v>64</v>
      </c>
      <c r="P12" s="69" t="str">
        <f>_xlfn.CONCAT(CHOOSE(Minério!$I$34,"Brecilien","Bridgewatch","Caerleon","Fort Sterling","Lymhurst","Martlock","Thetford"),"R",Q12)</f>
        <v>BrecilienR9</v>
      </c>
      <c r="Q12" s="70">
        <v>9</v>
      </c>
      <c r="R12" s="65"/>
      <c r="S12" s="67" t="s">
        <v>103</v>
      </c>
      <c r="T12" s="68" cm="1">
        <f t="array" ref="T12">INDEX(BARRA,X12,1)</f>
        <v>6887</v>
      </c>
      <c r="U12" s="68" t="str" cm="1">
        <f t="array" ref="U12">INDEX(BARRA,X12,2)</f>
        <v>2024-09-08T17:00:00</v>
      </c>
      <c r="V12" s="68" cm="1">
        <f t="array" ref="V12">INDEX(BARRA,X12,3)</f>
        <v>0</v>
      </c>
      <c r="W12" s="68" cm="1">
        <f t="array" ref="W12">INDEX(BARRA,X12,4)</f>
        <v>0</v>
      </c>
      <c r="X12" s="69">
        <f t="shared" si="5"/>
        <v>64</v>
      </c>
      <c r="Y12" s="69" t="str">
        <f>_xlfn.CONCAT(CHOOSE(Minério!$I$36,"Brecilien","Bridgewatch","Caerleon","Fort Sterling","Lymhurst","Martlock","Thetford"),"R",Z12)</f>
        <v>BrecilienR9</v>
      </c>
      <c r="Z12" s="70">
        <v>9</v>
      </c>
    </row>
    <row r="13" spans="1:26" x14ac:dyDescent="0.25">
      <c r="A13" s="67" t="s">
        <v>104</v>
      </c>
      <c r="B13" s="68" cm="1">
        <f t="array" ref="B13">INDEX(MINERIO,F13,1)</f>
        <v>10374</v>
      </c>
      <c r="C13" s="68" t="str" cm="1">
        <f t="array" ref="C13">INDEX(MINERIO,F13,2)</f>
        <v>2024-09-09T15:05:00</v>
      </c>
      <c r="D13" s="68" cm="1">
        <f t="array" ref="D13">INDEX(MINERIO,F13,3)</f>
        <v>9563</v>
      </c>
      <c r="E13" s="68" t="str" cm="1">
        <f t="array" ref="E13">INDEX(MINERIO,F13,4)</f>
        <v>2024-09-09T15:05:00</v>
      </c>
      <c r="F13" s="69">
        <f t="shared" si="3"/>
        <v>71</v>
      </c>
      <c r="G13" s="69" t="str">
        <f>_xlfn.CONCAT(CHOOSE(Minério!$I$32,"Brecilien","Bridgewatch","Caerleon","Fort Sterling","Lymhurst","Martlock","Thetford"),"B",H13)</f>
        <v>BrecilienB10</v>
      </c>
      <c r="H13" s="70">
        <v>10</v>
      </c>
      <c r="I13" s="65"/>
      <c r="J13" s="67" t="s">
        <v>104</v>
      </c>
      <c r="K13" s="68" cm="1">
        <f t="array" ref="K13">INDEX(BARRA,O13,1)</f>
        <v>0</v>
      </c>
      <c r="L13" s="68" cm="1">
        <f t="array" ref="L13">INDEX(BARRA,O13,2)</f>
        <v>0</v>
      </c>
      <c r="M13" s="68" cm="1">
        <f t="array" ref="M13">INDEX(BARRA,O13,3)</f>
        <v>0</v>
      </c>
      <c r="N13" s="68" cm="1">
        <f t="array" ref="N13">INDEX(BARRA,O13,4)</f>
        <v>0</v>
      </c>
      <c r="O13" s="69">
        <f t="shared" si="4"/>
        <v>71</v>
      </c>
      <c r="P13" s="69" t="str">
        <f>_xlfn.CONCAT(CHOOSE(Minério!$I$34,"Brecilien","Bridgewatch","Caerleon","Fort Sterling","Lymhurst","Martlock","Thetford"),"R",Q13)</f>
        <v>BrecilienR10</v>
      </c>
      <c r="Q13" s="70">
        <v>10</v>
      </c>
      <c r="R13" s="65"/>
      <c r="S13" s="67" t="s">
        <v>104</v>
      </c>
      <c r="T13" s="68" cm="1">
        <f t="array" ref="T13">INDEX(BARRA,X13,1)</f>
        <v>0</v>
      </c>
      <c r="U13" s="68" cm="1">
        <f t="array" ref="U13">INDEX(BARRA,X13,2)</f>
        <v>0</v>
      </c>
      <c r="V13" s="68" cm="1">
        <f t="array" ref="V13">INDEX(BARRA,X13,3)</f>
        <v>0</v>
      </c>
      <c r="W13" s="68" cm="1">
        <f t="array" ref="W13">INDEX(BARRA,X13,4)</f>
        <v>0</v>
      </c>
      <c r="X13" s="69">
        <f t="shared" si="5"/>
        <v>71</v>
      </c>
      <c r="Y13" s="69" t="str">
        <f>_xlfn.CONCAT(CHOOSE(Minério!$I$36,"Brecilien","Bridgewatch","Caerleon","Fort Sterling","Lymhurst","Martlock","Thetford"),"R",Z13)</f>
        <v>BrecilienR10</v>
      </c>
      <c r="Z13" s="70">
        <v>10</v>
      </c>
    </row>
    <row r="14" spans="1:26" x14ac:dyDescent="0.25">
      <c r="A14" s="67" t="s">
        <v>105</v>
      </c>
      <c r="B14" s="68" cm="1">
        <f t="array" ref="B14">INDEX(MINERIO,F14,1)</f>
        <v>48981</v>
      </c>
      <c r="C14" s="68" t="str" cm="1">
        <f t="array" ref="C14">INDEX(MINERIO,F14,2)</f>
        <v>2024-09-08T17:10:00</v>
      </c>
      <c r="D14" s="68" cm="1">
        <f t="array" ref="D14">INDEX(MINERIO,F14,3)</f>
        <v>0</v>
      </c>
      <c r="E14" s="68" cm="1">
        <f t="array" ref="E14">INDEX(MINERIO,F14,4)</f>
        <v>0</v>
      </c>
      <c r="F14" s="69">
        <f t="shared" si="3"/>
        <v>78</v>
      </c>
      <c r="G14" s="69" t="str">
        <f>_xlfn.CONCAT(CHOOSE(Minério!$I$32,"Brecilien","Bridgewatch","Caerleon","Fort Sterling","Lymhurst","Martlock","Thetford"),"B",H14)</f>
        <v>BrecilienB11</v>
      </c>
      <c r="H14" s="70">
        <v>11</v>
      </c>
      <c r="I14" s="65"/>
      <c r="J14" s="67" t="s">
        <v>105</v>
      </c>
      <c r="K14" s="68" cm="1">
        <f t="array" ref="K14">INDEX(BARRA,O14,1)</f>
        <v>140000</v>
      </c>
      <c r="L14" s="68" t="str" cm="1">
        <f t="array" ref="L14">INDEX(BARRA,O14,2)</f>
        <v>2024-09-08T17:05:00</v>
      </c>
      <c r="M14" s="68" cm="1">
        <f t="array" ref="M14">INDEX(BARRA,O14,3)</f>
        <v>0</v>
      </c>
      <c r="N14" s="68" cm="1">
        <f t="array" ref="N14">INDEX(BARRA,O14,4)</f>
        <v>0</v>
      </c>
      <c r="O14" s="69">
        <f t="shared" si="4"/>
        <v>78</v>
      </c>
      <c r="P14" s="69" t="str">
        <f>_xlfn.CONCAT(CHOOSE(Minério!$I$34,"Brecilien","Bridgewatch","Caerleon","Fort Sterling","Lymhurst","Martlock","Thetford"),"R",Q14)</f>
        <v>BrecilienR11</v>
      </c>
      <c r="Q14" s="70">
        <v>11</v>
      </c>
      <c r="R14" s="65"/>
      <c r="S14" s="67" t="s">
        <v>105</v>
      </c>
      <c r="T14" s="68" cm="1">
        <f t="array" ref="T14">INDEX(BARRA,X14,1)</f>
        <v>140000</v>
      </c>
      <c r="U14" s="68" t="str" cm="1">
        <f t="array" ref="U14">INDEX(BARRA,X14,2)</f>
        <v>2024-09-08T17:05:00</v>
      </c>
      <c r="V14" s="68" cm="1">
        <f t="array" ref="V14">INDEX(BARRA,X14,3)</f>
        <v>0</v>
      </c>
      <c r="W14" s="68" cm="1">
        <f t="array" ref="W14">INDEX(BARRA,X14,4)</f>
        <v>0</v>
      </c>
      <c r="X14" s="69">
        <f t="shared" si="5"/>
        <v>78</v>
      </c>
      <c r="Y14" s="69" t="str">
        <f>_xlfn.CONCAT(CHOOSE(Minério!$I$36,"Brecilien","Bridgewatch","Caerleon","Fort Sterling","Lymhurst","Martlock","Thetford"),"R",Z14)</f>
        <v>BrecilienR11</v>
      </c>
      <c r="Z14" s="70">
        <v>11</v>
      </c>
    </row>
    <row r="15" spans="1:26" x14ac:dyDescent="0.25">
      <c r="A15" s="67" t="s">
        <v>106</v>
      </c>
      <c r="B15" s="68" cm="1">
        <f t="array" ref="B15">INDEX(MINERIO,F15,1)</f>
        <v>545</v>
      </c>
      <c r="C15" s="68" t="str" cm="1">
        <f t="array" ref="C15">INDEX(MINERIO,F15,2)</f>
        <v>2024-09-09T05:20:00</v>
      </c>
      <c r="D15" s="68" cm="1">
        <f t="array" ref="D15">INDEX(MINERIO,F15,3)</f>
        <v>532</v>
      </c>
      <c r="E15" s="68" t="str" cm="1">
        <f t="array" ref="E15">INDEX(MINERIO,F15,4)</f>
        <v>2024-09-09T05:20:00</v>
      </c>
      <c r="F15" s="69">
        <f t="shared" si="3"/>
        <v>85</v>
      </c>
      <c r="G15" s="69" t="str">
        <f>_xlfn.CONCAT(CHOOSE(Minério!$I$32,"Brecilien","Bridgewatch","Caerleon","Fort Sterling","Lymhurst","Martlock","Thetford"),"B",H15)</f>
        <v>BrecilienB12</v>
      </c>
      <c r="H15" s="70">
        <v>12</v>
      </c>
      <c r="I15" s="65"/>
      <c r="J15" s="67" t="s">
        <v>106</v>
      </c>
      <c r="K15" s="68" cm="1">
        <f t="array" ref="K15">INDEX(BARRA,O15,1)</f>
        <v>0</v>
      </c>
      <c r="L15" s="68" cm="1">
        <f t="array" ref="L15">INDEX(BARRA,O15,2)</f>
        <v>0</v>
      </c>
      <c r="M15" s="68" cm="1">
        <f t="array" ref="M15">INDEX(BARRA,O15,3)</f>
        <v>0</v>
      </c>
      <c r="N15" s="68" cm="1">
        <f t="array" ref="N15">INDEX(BARRA,O15,4)</f>
        <v>0</v>
      </c>
      <c r="O15" s="69">
        <f t="shared" si="4"/>
        <v>85</v>
      </c>
      <c r="P15" s="69" t="str">
        <f>_xlfn.CONCAT(CHOOSE(Minério!$I$34,"Brecilien","Bridgewatch","Caerleon","Fort Sterling","Lymhurst","Martlock","Thetford"),"R",Q15)</f>
        <v>BrecilienR12</v>
      </c>
      <c r="Q15" s="70">
        <v>12</v>
      </c>
      <c r="R15" s="65"/>
      <c r="S15" s="67" t="s">
        <v>106</v>
      </c>
      <c r="T15" s="68" cm="1">
        <f t="array" ref="T15">INDEX(BARRA,X15,1)</f>
        <v>0</v>
      </c>
      <c r="U15" s="68" cm="1">
        <f t="array" ref="U15">INDEX(BARRA,X15,2)</f>
        <v>0</v>
      </c>
      <c r="V15" s="68" cm="1">
        <f t="array" ref="V15">INDEX(BARRA,X15,3)</f>
        <v>0</v>
      </c>
      <c r="W15" s="68" cm="1">
        <f t="array" ref="W15">INDEX(BARRA,X15,4)</f>
        <v>0</v>
      </c>
      <c r="X15" s="69">
        <f t="shared" si="5"/>
        <v>85</v>
      </c>
      <c r="Y15" s="69" t="str">
        <f>_xlfn.CONCAT(CHOOSE(Minério!$I$36,"Brecilien","Bridgewatch","Caerleon","Fort Sterling","Lymhurst","Martlock","Thetford"),"R",Z15)</f>
        <v>BrecilienR12</v>
      </c>
      <c r="Z15" s="70">
        <v>12</v>
      </c>
    </row>
    <row r="16" spans="1:26" x14ac:dyDescent="0.25">
      <c r="A16" s="67" t="s">
        <v>107</v>
      </c>
      <c r="B16" s="68" cm="1">
        <f t="array" ref="B16">INDEX(MINERIO,F16,1)</f>
        <v>1383</v>
      </c>
      <c r="C16" s="68" t="str" cm="1">
        <f t="array" ref="C16">INDEX(MINERIO,F16,2)</f>
        <v>2024-09-09T15:05:00</v>
      </c>
      <c r="D16" s="68" cm="1">
        <f t="array" ref="D16">INDEX(MINERIO,F16,3)</f>
        <v>1306</v>
      </c>
      <c r="E16" s="68" t="str" cm="1">
        <f t="array" ref="E16">INDEX(MINERIO,F16,4)</f>
        <v>2024-09-09T15:05:00</v>
      </c>
      <c r="F16" s="69">
        <f t="shared" si="3"/>
        <v>92</v>
      </c>
      <c r="G16" s="69" t="str">
        <f>_xlfn.CONCAT(CHOOSE(Minério!$I$32,"Brecilien","Bridgewatch","Caerleon","Fort Sterling","Lymhurst","Martlock","Thetford"),"B",H16)</f>
        <v>BrecilienB13</v>
      </c>
      <c r="H16" s="70">
        <v>13</v>
      </c>
      <c r="I16" s="65"/>
      <c r="J16" s="67" t="s">
        <v>107</v>
      </c>
      <c r="K16" s="68" cm="1">
        <f t="array" ref="K16">INDEX(BARRA,O16,1)</f>
        <v>0</v>
      </c>
      <c r="L16" s="68" cm="1">
        <f t="array" ref="L16">INDEX(BARRA,O16,2)</f>
        <v>0</v>
      </c>
      <c r="M16" s="68" cm="1">
        <f t="array" ref="M16">INDEX(BARRA,O16,3)</f>
        <v>0</v>
      </c>
      <c r="N16" s="68" cm="1">
        <f t="array" ref="N16">INDEX(BARRA,O16,4)</f>
        <v>0</v>
      </c>
      <c r="O16" s="69">
        <f t="shared" si="4"/>
        <v>92</v>
      </c>
      <c r="P16" s="69" t="str">
        <f>_xlfn.CONCAT(CHOOSE(Minério!$I$34,"Brecilien","Bridgewatch","Caerleon","Fort Sterling","Lymhurst","Martlock","Thetford"),"R",Q16)</f>
        <v>BrecilienR13</v>
      </c>
      <c r="Q16" s="70">
        <v>13</v>
      </c>
      <c r="R16" s="65"/>
      <c r="S16" s="67" t="s">
        <v>107</v>
      </c>
      <c r="T16" s="68" cm="1">
        <f t="array" ref="T16">INDEX(BARRA,X16,1)</f>
        <v>0</v>
      </c>
      <c r="U16" s="68" cm="1">
        <f t="array" ref="U16">INDEX(BARRA,X16,2)</f>
        <v>0</v>
      </c>
      <c r="V16" s="68" cm="1">
        <f t="array" ref="V16">INDEX(BARRA,X16,3)</f>
        <v>0</v>
      </c>
      <c r="W16" s="68" cm="1">
        <f t="array" ref="W16">INDEX(BARRA,X16,4)</f>
        <v>0</v>
      </c>
      <c r="X16" s="69">
        <f t="shared" si="5"/>
        <v>92</v>
      </c>
      <c r="Y16" s="69" t="str">
        <f>_xlfn.CONCAT(CHOOSE(Minério!$I$36,"Brecilien","Bridgewatch","Caerleon","Fort Sterling","Lymhurst","Martlock","Thetford"),"R",Z16)</f>
        <v>BrecilienR13</v>
      </c>
      <c r="Z16" s="70">
        <v>13</v>
      </c>
    </row>
    <row r="17" spans="1:26" x14ac:dyDescent="0.25">
      <c r="A17" s="67" t="s">
        <v>108</v>
      </c>
      <c r="B17" s="68" cm="1">
        <f t="array" ref="B17">INDEX(MINERIO,F17,1)</f>
        <v>6984</v>
      </c>
      <c r="C17" s="68" t="str" cm="1">
        <f t="array" ref="C17">INDEX(MINERIO,F17,2)</f>
        <v>2024-09-09T15:05:00</v>
      </c>
      <c r="D17" s="68" cm="1">
        <f t="array" ref="D17">INDEX(MINERIO,F17,3)</f>
        <v>6650</v>
      </c>
      <c r="E17" s="68" t="str" cm="1">
        <f t="array" ref="E17">INDEX(MINERIO,F17,4)</f>
        <v>2024-09-09T15:05:00</v>
      </c>
      <c r="F17" s="69">
        <f t="shared" si="3"/>
        <v>99</v>
      </c>
      <c r="G17" s="69" t="str">
        <f>_xlfn.CONCAT(CHOOSE(Minério!$I$32,"Brecilien","Bridgewatch","Caerleon","Fort Sterling","Lymhurst","Martlock","Thetford"),"B",H17)</f>
        <v>BrecilienB14</v>
      </c>
      <c r="H17" s="70">
        <v>14</v>
      </c>
      <c r="I17" s="65"/>
      <c r="J17" s="67" t="s">
        <v>108</v>
      </c>
      <c r="K17" s="68" cm="1">
        <f t="array" ref="K17">INDEX(BARRA,O17,1)</f>
        <v>0</v>
      </c>
      <c r="L17" s="68" cm="1">
        <f t="array" ref="L17">INDEX(BARRA,O17,2)</f>
        <v>0</v>
      </c>
      <c r="M17" s="68" cm="1">
        <f t="array" ref="M17">INDEX(BARRA,O17,3)</f>
        <v>0</v>
      </c>
      <c r="N17" s="68" cm="1">
        <f t="array" ref="N17">INDEX(BARRA,O17,4)</f>
        <v>0</v>
      </c>
      <c r="O17" s="69">
        <f t="shared" si="4"/>
        <v>99</v>
      </c>
      <c r="P17" s="69" t="str">
        <f>_xlfn.CONCAT(CHOOSE(Minério!$I$34,"Brecilien","Bridgewatch","Caerleon","Fort Sterling","Lymhurst","Martlock","Thetford"),"R",Q17)</f>
        <v>BrecilienR14</v>
      </c>
      <c r="Q17" s="70">
        <v>14</v>
      </c>
      <c r="R17" s="65"/>
      <c r="S17" s="67" t="s">
        <v>108</v>
      </c>
      <c r="T17" s="68" cm="1">
        <f t="array" ref="T17">INDEX(BARRA,X17,1)</f>
        <v>0</v>
      </c>
      <c r="U17" s="68" cm="1">
        <f t="array" ref="U17">INDEX(BARRA,X17,2)</f>
        <v>0</v>
      </c>
      <c r="V17" s="68" cm="1">
        <f t="array" ref="V17">INDEX(BARRA,X17,3)</f>
        <v>0</v>
      </c>
      <c r="W17" s="68" cm="1">
        <f t="array" ref="W17">INDEX(BARRA,X17,4)</f>
        <v>0</v>
      </c>
      <c r="X17" s="69">
        <f t="shared" si="5"/>
        <v>99</v>
      </c>
      <c r="Y17" s="69" t="str">
        <f>_xlfn.CONCAT(CHOOSE(Minério!$I$36,"Brecilien","Bridgewatch","Caerleon","Fort Sterling","Lymhurst","Martlock","Thetford"),"R",Z17)</f>
        <v>BrecilienR14</v>
      </c>
      <c r="Z17" s="70">
        <v>14</v>
      </c>
    </row>
    <row r="18" spans="1:26" x14ac:dyDescent="0.25">
      <c r="A18" s="67" t="s">
        <v>109</v>
      </c>
      <c r="B18" s="68" cm="1">
        <f t="array" ref="B18">INDEX(MINERIO,F18,1)</f>
        <v>24981</v>
      </c>
      <c r="C18" s="68" t="str" cm="1">
        <f t="array" ref="C18">INDEX(MINERIO,F18,2)</f>
        <v>2024-09-08T17:10:00</v>
      </c>
      <c r="D18" s="68" cm="1">
        <f t="array" ref="D18">INDEX(MINERIO,F18,3)</f>
        <v>0</v>
      </c>
      <c r="E18" s="68" cm="1">
        <f t="array" ref="E18">INDEX(MINERIO,F18,4)</f>
        <v>0</v>
      </c>
      <c r="F18" s="69">
        <f t="shared" si="3"/>
        <v>106</v>
      </c>
      <c r="G18" s="69" t="str">
        <f>_xlfn.CONCAT(CHOOSE(Minério!$I$32,"Brecilien","Bridgewatch","Caerleon","Fort Sterling","Lymhurst","Martlock","Thetford"),"B",H18)</f>
        <v>BrecilienB15</v>
      </c>
      <c r="H18" s="70">
        <v>15</v>
      </c>
      <c r="I18" s="65"/>
      <c r="J18" s="67" t="s">
        <v>109</v>
      </c>
      <c r="K18" s="68" cm="1">
        <f t="array" ref="K18">INDEX(BARRA,O18,1)</f>
        <v>0</v>
      </c>
      <c r="L18" s="68" cm="1">
        <f t="array" ref="L18">INDEX(BARRA,O18,2)</f>
        <v>0</v>
      </c>
      <c r="M18" s="68" cm="1">
        <f t="array" ref="M18">INDEX(BARRA,O18,3)</f>
        <v>0</v>
      </c>
      <c r="N18" s="68" cm="1">
        <f t="array" ref="N18">INDEX(BARRA,O18,4)</f>
        <v>0</v>
      </c>
      <c r="O18" s="69">
        <f t="shared" si="4"/>
        <v>106</v>
      </c>
      <c r="P18" s="69" t="str">
        <f>_xlfn.CONCAT(CHOOSE(Minério!$I$34,"Brecilien","Bridgewatch","Caerleon","Fort Sterling","Lymhurst","Martlock","Thetford"),"R",Q18)</f>
        <v>BrecilienR15</v>
      </c>
      <c r="Q18" s="70">
        <v>15</v>
      </c>
      <c r="R18" s="65"/>
      <c r="S18" s="67" t="s">
        <v>109</v>
      </c>
      <c r="T18" s="68" cm="1">
        <f t="array" ref="T18">INDEX(BARRA,X18,1)</f>
        <v>0</v>
      </c>
      <c r="U18" s="68" cm="1">
        <f t="array" ref="U18">INDEX(BARRA,X18,2)</f>
        <v>0</v>
      </c>
      <c r="V18" s="68" cm="1">
        <f t="array" ref="V18">INDEX(BARRA,X18,3)</f>
        <v>0</v>
      </c>
      <c r="W18" s="68" cm="1">
        <f t="array" ref="W18">INDEX(BARRA,X18,4)</f>
        <v>0</v>
      </c>
      <c r="X18" s="69">
        <f t="shared" si="5"/>
        <v>106</v>
      </c>
      <c r="Y18" s="69" t="str">
        <f>_xlfn.CONCAT(CHOOSE(Minério!$I$36,"Brecilien","Bridgewatch","Caerleon","Fort Sterling","Lymhurst","Martlock","Thetford"),"R",Z18)</f>
        <v>BrecilienR15</v>
      </c>
      <c r="Z18" s="70">
        <v>15</v>
      </c>
    </row>
    <row r="19" spans="1:26" x14ac:dyDescent="0.25">
      <c r="A19" s="67" t="s">
        <v>110</v>
      </c>
      <c r="B19" s="68" cm="1">
        <f t="array" ref="B19">INDEX(MINERIO,F19,1)</f>
        <v>119998</v>
      </c>
      <c r="C19" s="68" t="str" cm="1">
        <f t="array" ref="C19">INDEX(MINERIO,F19,2)</f>
        <v>2024-09-09T04:45:00</v>
      </c>
      <c r="D19" s="68" cm="1">
        <f t="array" ref="D19">INDEX(MINERIO,F19,3)</f>
        <v>78001</v>
      </c>
      <c r="E19" s="68" t="str" cm="1">
        <f t="array" ref="E19">INDEX(MINERIO,F19,4)</f>
        <v>2024-09-09T03:45:00</v>
      </c>
      <c r="F19" s="69">
        <f t="shared" si="3"/>
        <v>113</v>
      </c>
      <c r="G19" s="69" t="str">
        <f>_xlfn.CONCAT(CHOOSE(Minério!$I$32,"Brecilien","Bridgewatch","Caerleon","Fort Sterling","Lymhurst","Martlock","Thetford"),"B",H19)</f>
        <v>BrecilienB16</v>
      </c>
      <c r="H19" s="70">
        <v>16</v>
      </c>
      <c r="I19" s="65"/>
      <c r="J19" s="67" t="s">
        <v>110</v>
      </c>
      <c r="K19" s="68" cm="1">
        <f t="array" ref="K19">INDEX(BARRA,O19,1)</f>
        <v>270000</v>
      </c>
      <c r="L19" s="68" t="str" cm="1">
        <f t="array" ref="L19">INDEX(BARRA,O19,2)</f>
        <v>2024-09-09T04:45:00</v>
      </c>
      <c r="M19" s="68" cm="1">
        <f t="array" ref="M19">INDEX(BARRA,O19,3)</f>
        <v>0</v>
      </c>
      <c r="N19" s="68" cm="1">
        <f t="array" ref="N19">INDEX(BARRA,O19,4)</f>
        <v>0</v>
      </c>
      <c r="O19" s="69">
        <f t="shared" si="4"/>
        <v>113</v>
      </c>
      <c r="P19" s="69" t="str">
        <f>_xlfn.CONCAT(CHOOSE(Minério!$I$34,"Brecilien","Bridgewatch","Caerleon","Fort Sterling","Lymhurst","Martlock","Thetford"),"R",Q19)</f>
        <v>BrecilienR16</v>
      </c>
      <c r="Q19" s="70">
        <v>16</v>
      </c>
      <c r="R19" s="65"/>
      <c r="S19" s="67" t="s">
        <v>110</v>
      </c>
      <c r="T19" s="68" cm="1">
        <f t="array" ref="T19">INDEX(BARRA,X19,1)</f>
        <v>270000</v>
      </c>
      <c r="U19" s="68" t="str" cm="1">
        <f t="array" ref="U19">INDEX(BARRA,X19,2)</f>
        <v>2024-09-09T04:45:00</v>
      </c>
      <c r="V19" s="68" cm="1">
        <f t="array" ref="V19">INDEX(BARRA,X19,3)</f>
        <v>0</v>
      </c>
      <c r="W19" s="68" cm="1">
        <f t="array" ref="W19">INDEX(BARRA,X19,4)</f>
        <v>0</v>
      </c>
      <c r="X19" s="69">
        <f t="shared" si="5"/>
        <v>113</v>
      </c>
      <c r="Y19" s="69" t="str">
        <f>_xlfn.CONCAT(CHOOSE(Minério!$I$36,"Brecilien","Bridgewatch","Caerleon","Fort Sterling","Lymhurst","Martlock","Thetford"),"R",Z19)</f>
        <v>BrecilienR16</v>
      </c>
      <c r="Z19" s="70">
        <v>16</v>
      </c>
    </row>
    <row r="20" spans="1:26" x14ac:dyDescent="0.25">
      <c r="A20" s="67" t="s">
        <v>111</v>
      </c>
      <c r="B20" s="68" cm="1">
        <f t="array" ref="B20">INDEX(MINERIO,F20,1)</f>
        <v>1001</v>
      </c>
      <c r="C20" s="68" t="str" cm="1">
        <f t="array" ref="C20">INDEX(MINERIO,F20,2)</f>
        <v>2024-09-08T21:55:00</v>
      </c>
      <c r="D20" s="68" cm="1">
        <f t="array" ref="D20">INDEX(MINERIO,F20,3)</f>
        <v>1000</v>
      </c>
      <c r="E20" s="68" t="str" cm="1">
        <f t="array" ref="E20">INDEX(MINERIO,F20,4)</f>
        <v>2024-09-08T21:55:00</v>
      </c>
      <c r="F20" s="69">
        <f t="shared" si="3"/>
        <v>120</v>
      </c>
      <c r="G20" s="69" t="str">
        <f>_xlfn.CONCAT(CHOOSE(Minério!$I$32,"Brecilien","Bridgewatch","Caerleon","Fort Sterling","Lymhurst","Martlock","Thetford"),"B",H20)</f>
        <v>BrecilienB17</v>
      </c>
      <c r="H20" s="70">
        <v>17</v>
      </c>
      <c r="I20" s="65"/>
      <c r="J20" s="67" t="s">
        <v>111</v>
      </c>
      <c r="K20" s="68" cm="1">
        <f t="array" ref="K20">INDEX(BARRA,O20,1)</f>
        <v>0</v>
      </c>
      <c r="L20" s="68" cm="1">
        <f t="array" ref="L20">INDEX(BARRA,O20,2)</f>
        <v>0</v>
      </c>
      <c r="M20" s="68" cm="1">
        <f t="array" ref="M20">INDEX(BARRA,O20,3)</f>
        <v>0</v>
      </c>
      <c r="N20" s="68" cm="1">
        <f t="array" ref="N20">INDEX(BARRA,O20,4)</f>
        <v>0</v>
      </c>
      <c r="O20" s="69">
        <f t="shared" si="4"/>
        <v>120</v>
      </c>
      <c r="P20" s="69" t="str">
        <f>_xlfn.CONCAT(CHOOSE(Minério!$I$34,"Brecilien","Bridgewatch","Caerleon","Fort Sterling","Lymhurst","Martlock","Thetford"),"R",Q20)</f>
        <v>BrecilienR17</v>
      </c>
      <c r="Q20" s="70">
        <v>17</v>
      </c>
      <c r="R20" s="65"/>
      <c r="S20" s="67" t="s">
        <v>111</v>
      </c>
      <c r="T20" s="68" cm="1">
        <f t="array" ref="T20">INDEX(BARRA,X20,1)</f>
        <v>0</v>
      </c>
      <c r="U20" s="68" cm="1">
        <f t="array" ref="U20">INDEX(BARRA,X20,2)</f>
        <v>0</v>
      </c>
      <c r="V20" s="68" cm="1">
        <f t="array" ref="V20">INDEX(BARRA,X20,3)</f>
        <v>0</v>
      </c>
      <c r="W20" s="68" cm="1">
        <f t="array" ref="W20">INDEX(BARRA,X20,4)</f>
        <v>0</v>
      </c>
      <c r="X20" s="69">
        <f t="shared" si="5"/>
        <v>120</v>
      </c>
      <c r="Y20" s="69" t="str">
        <f>_xlfn.CONCAT(CHOOSE(Minério!$I$36,"Brecilien","Bridgewatch","Caerleon","Fort Sterling","Lymhurst","Martlock","Thetford"),"R",Z20)</f>
        <v>BrecilienR17</v>
      </c>
      <c r="Z20" s="70">
        <v>17</v>
      </c>
    </row>
    <row r="21" spans="1:26" x14ac:dyDescent="0.25">
      <c r="A21" s="67" t="s">
        <v>112</v>
      </c>
      <c r="B21" s="68" cm="1">
        <f t="array" ref="B21">INDEX(MINERIO,F21,1)</f>
        <v>4163</v>
      </c>
      <c r="C21" s="68" t="str" cm="1">
        <f t="array" ref="C21">INDEX(MINERIO,F21,2)</f>
        <v>2024-09-08T17:05:00</v>
      </c>
      <c r="D21" s="68" cm="1">
        <f t="array" ref="D21">INDEX(MINERIO,F21,3)</f>
        <v>0</v>
      </c>
      <c r="E21" s="68" cm="1">
        <f t="array" ref="E21">INDEX(MINERIO,F21,4)</f>
        <v>0</v>
      </c>
      <c r="F21" s="69">
        <f t="shared" si="3"/>
        <v>127</v>
      </c>
      <c r="G21" s="69" t="str">
        <f>_xlfn.CONCAT(CHOOSE(Minério!$I$32,"Brecilien","Bridgewatch","Caerleon","Fort Sterling","Lymhurst","Martlock","Thetford"),"B",H21)</f>
        <v>BrecilienB18</v>
      </c>
      <c r="H21" s="70">
        <v>18</v>
      </c>
      <c r="I21" s="65"/>
      <c r="J21" s="67" t="s">
        <v>112</v>
      </c>
      <c r="K21" s="68" cm="1">
        <f t="array" ref="K21">INDEX(BARRA,O21,1)</f>
        <v>0</v>
      </c>
      <c r="L21" s="68" cm="1">
        <f t="array" ref="L21">INDEX(BARRA,O21,2)</f>
        <v>0</v>
      </c>
      <c r="M21" s="68" cm="1">
        <f t="array" ref="M21">INDEX(BARRA,O21,3)</f>
        <v>0</v>
      </c>
      <c r="N21" s="68" cm="1">
        <f t="array" ref="N21">INDEX(BARRA,O21,4)</f>
        <v>0</v>
      </c>
      <c r="O21" s="69">
        <f t="shared" si="4"/>
        <v>127</v>
      </c>
      <c r="P21" s="69" t="str">
        <f>_xlfn.CONCAT(CHOOSE(Minério!$I$34,"Brecilien","Bridgewatch","Caerleon","Fort Sterling","Lymhurst","Martlock","Thetford"),"R",Q21)</f>
        <v>BrecilienR18</v>
      </c>
      <c r="Q21" s="70">
        <v>18</v>
      </c>
      <c r="R21" s="65"/>
      <c r="S21" s="67" t="s">
        <v>112</v>
      </c>
      <c r="T21" s="68" cm="1">
        <f t="array" ref="T21">INDEX(BARRA,X21,1)</f>
        <v>0</v>
      </c>
      <c r="U21" s="68" cm="1">
        <f t="array" ref="U21">INDEX(BARRA,X21,2)</f>
        <v>0</v>
      </c>
      <c r="V21" s="68" cm="1">
        <f t="array" ref="V21">INDEX(BARRA,X21,3)</f>
        <v>0</v>
      </c>
      <c r="W21" s="68" cm="1">
        <f t="array" ref="W21">INDEX(BARRA,X21,4)</f>
        <v>0</v>
      </c>
      <c r="X21" s="69">
        <f t="shared" si="5"/>
        <v>127</v>
      </c>
      <c r="Y21" s="69" t="str">
        <f>_xlfn.CONCAT(CHOOSE(Minério!$I$36,"Brecilien","Bridgewatch","Caerleon","Fort Sterling","Lymhurst","Martlock","Thetford"),"R",Z21)</f>
        <v>BrecilienR18</v>
      </c>
      <c r="Z21" s="70">
        <v>18</v>
      </c>
    </row>
    <row r="22" spans="1:26" x14ac:dyDescent="0.25">
      <c r="A22" s="67" t="s">
        <v>113</v>
      </c>
      <c r="B22" s="68" cm="1">
        <f t="array" ref="B22">INDEX(MINERIO,F22,1)</f>
        <v>13638</v>
      </c>
      <c r="C22" s="68" t="str" cm="1">
        <f t="array" ref="C22">INDEX(MINERIO,F22,2)</f>
        <v>2024-09-08T17:05:00</v>
      </c>
      <c r="D22" s="68" cm="1">
        <f t="array" ref="D22">INDEX(MINERIO,F22,3)</f>
        <v>0</v>
      </c>
      <c r="E22" s="68" cm="1">
        <f t="array" ref="E22">INDEX(MINERIO,F22,4)</f>
        <v>0</v>
      </c>
      <c r="F22" s="69">
        <f t="shared" si="3"/>
        <v>134</v>
      </c>
      <c r="G22" s="69" t="str">
        <f>_xlfn.CONCAT(CHOOSE(Minério!$I$32,"Brecilien","Bridgewatch","Caerleon","Fort Sterling","Lymhurst","Martlock","Thetford"),"B",H22)</f>
        <v>BrecilienB19</v>
      </c>
      <c r="H22" s="70">
        <v>19</v>
      </c>
      <c r="I22" s="65"/>
      <c r="J22" s="67" t="s">
        <v>113</v>
      </c>
      <c r="K22" s="68" cm="1">
        <f t="array" ref="K22">INDEX(BARRA,O22,1)</f>
        <v>62217</v>
      </c>
      <c r="L22" s="68" t="str" cm="1">
        <f t="array" ref="L22">INDEX(BARRA,O22,2)</f>
        <v>2024-09-08T17:00:00</v>
      </c>
      <c r="M22" s="68" cm="1">
        <f t="array" ref="M22">INDEX(BARRA,O22,3)</f>
        <v>0</v>
      </c>
      <c r="N22" s="68" cm="1">
        <f t="array" ref="N22">INDEX(BARRA,O22,4)</f>
        <v>0</v>
      </c>
      <c r="O22" s="69">
        <f t="shared" si="4"/>
        <v>134</v>
      </c>
      <c r="P22" s="69" t="str">
        <f>_xlfn.CONCAT(CHOOSE(Minério!$I$34,"Brecilien","Bridgewatch","Caerleon","Fort Sterling","Lymhurst","Martlock","Thetford"),"R",Q22)</f>
        <v>BrecilienR19</v>
      </c>
      <c r="Q22" s="70">
        <v>19</v>
      </c>
      <c r="R22" s="65"/>
      <c r="S22" s="67" t="s">
        <v>113</v>
      </c>
      <c r="T22" s="68" cm="1">
        <f t="array" ref="T22">INDEX(BARRA,X22,1)</f>
        <v>62217</v>
      </c>
      <c r="U22" s="68" t="str" cm="1">
        <f t="array" ref="U22">INDEX(BARRA,X22,2)</f>
        <v>2024-09-08T17:00:00</v>
      </c>
      <c r="V22" s="68" cm="1">
        <f t="array" ref="V22">INDEX(BARRA,X22,3)</f>
        <v>0</v>
      </c>
      <c r="W22" s="68" cm="1">
        <f t="array" ref="W22">INDEX(BARRA,X22,4)</f>
        <v>0</v>
      </c>
      <c r="X22" s="69">
        <f t="shared" si="5"/>
        <v>134</v>
      </c>
      <c r="Y22" s="69" t="str">
        <f>_xlfn.CONCAT(CHOOSE(Minério!$I$36,"Brecilien","Bridgewatch","Caerleon","Fort Sterling","Lymhurst","Martlock","Thetford"),"R",Z22)</f>
        <v>BrecilienR19</v>
      </c>
      <c r="Z22" s="70">
        <v>19</v>
      </c>
    </row>
    <row r="23" spans="1:26" x14ac:dyDescent="0.25">
      <c r="A23" s="67" t="s">
        <v>114</v>
      </c>
      <c r="B23" s="68" cm="1">
        <f t="array" ref="B23">INDEX(MINERIO,F23,1)</f>
        <v>63673</v>
      </c>
      <c r="C23" s="68" t="str" cm="1">
        <f t="array" ref="C23">INDEX(MINERIO,F23,2)</f>
        <v>2024-09-08T17:10:00</v>
      </c>
      <c r="D23" s="68" cm="1">
        <f t="array" ref="D23">INDEX(MINERIO,F23,3)</f>
        <v>0</v>
      </c>
      <c r="E23" s="68" cm="1">
        <f t="array" ref="E23">INDEX(MINERIO,F23,4)</f>
        <v>0</v>
      </c>
      <c r="F23" s="69">
        <f t="shared" si="3"/>
        <v>141</v>
      </c>
      <c r="G23" s="69" t="str">
        <f>_xlfn.CONCAT(CHOOSE(Minério!$I$32,"Brecilien","Bridgewatch","Caerleon","Fort Sterling","Lymhurst","Martlock","Thetford"),"B",H23)</f>
        <v>BrecilienB20</v>
      </c>
      <c r="H23" s="70">
        <v>20</v>
      </c>
      <c r="I23" s="65"/>
      <c r="J23" s="67" t="s">
        <v>114</v>
      </c>
      <c r="K23" s="68" cm="1">
        <f t="array" ref="K23">INDEX(BARRA,O23,1)</f>
        <v>249998</v>
      </c>
      <c r="L23" s="68" t="str" cm="1">
        <f t="array" ref="L23">INDEX(BARRA,O23,2)</f>
        <v>2024-09-08T17:10:00</v>
      </c>
      <c r="M23" s="68" cm="1">
        <f t="array" ref="M23">INDEX(BARRA,O23,3)</f>
        <v>0</v>
      </c>
      <c r="N23" s="68" cm="1">
        <f t="array" ref="N23">INDEX(BARRA,O23,4)</f>
        <v>0</v>
      </c>
      <c r="O23" s="69">
        <f t="shared" si="4"/>
        <v>141</v>
      </c>
      <c r="P23" s="69" t="str">
        <f>_xlfn.CONCAT(CHOOSE(Minério!$I$34,"Brecilien","Bridgewatch","Caerleon","Fort Sterling","Lymhurst","Martlock","Thetford"),"R",Q23)</f>
        <v>BrecilienR20</v>
      </c>
      <c r="Q23" s="70">
        <v>20</v>
      </c>
      <c r="R23" s="65"/>
      <c r="S23" s="67" t="s">
        <v>114</v>
      </c>
      <c r="T23" s="68" cm="1">
        <f t="array" ref="T23">INDEX(BARRA,X23,1)</f>
        <v>249998</v>
      </c>
      <c r="U23" s="68" t="str" cm="1">
        <f t="array" ref="U23">INDEX(BARRA,X23,2)</f>
        <v>2024-09-08T17:10:00</v>
      </c>
      <c r="V23" s="68" cm="1">
        <f t="array" ref="V23">INDEX(BARRA,X23,3)</f>
        <v>0</v>
      </c>
      <c r="W23" s="68" cm="1">
        <f t="array" ref="W23">INDEX(BARRA,X23,4)</f>
        <v>0</v>
      </c>
      <c r="X23" s="69">
        <f t="shared" si="5"/>
        <v>141</v>
      </c>
      <c r="Y23" s="69" t="str">
        <f>_xlfn.CONCAT(CHOOSE(Minério!$I$36,"Brecilien","Bridgewatch","Caerleon","Fort Sterling","Lymhurst","Martlock","Thetford"),"R",Z23)</f>
        <v>BrecilienR20</v>
      </c>
      <c r="Z23" s="70">
        <v>20</v>
      </c>
    </row>
    <row r="24" spans="1:26" x14ac:dyDescent="0.25">
      <c r="A24" s="67" t="s">
        <v>115</v>
      </c>
      <c r="B24" s="68" cm="1">
        <f t="array" ref="B24">INDEX(MINERIO,F24,1)</f>
        <v>0</v>
      </c>
      <c r="C24" s="68" cm="1">
        <f t="array" ref="C24">INDEX(MINERIO,F24,2)</f>
        <v>0</v>
      </c>
      <c r="D24" s="68" cm="1">
        <f t="array" ref="D24">INDEX(MINERIO,F24,3)</f>
        <v>0</v>
      </c>
      <c r="E24" s="68" cm="1">
        <f t="array" ref="E24">INDEX(MINERIO,F24,4)</f>
        <v>0</v>
      </c>
      <c r="F24" s="69">
        <f t="shared" si="3"/>
        <v>148</v>
      </c>
      <c r="G24" s="69" t="str">
        <f>_xlfn.CONCAT(CHOOSE(Minério!$I$32,"Brecilien","Bridgewatch","Caerleon","Fort Sterling","Lymhurst","Martlock","Thetford"),"B",H24)</f>
        <v>BrecilienB21</v>
      </c>
      <c r="H24" s="70">
        <v>21</v>
      </c>
      <c r="I24" s="65"/>
      <c r="J24" s="67" t="s">
        <v>115</v>
      </c>
      <c r="K24" s="68" cm="1">
        <f t="array" ref="K24">INDEX(BARRA,O24,1)</f>
        <v>0</v>
      </c>
      <c r="L24" s="68" cm="1">
        <f t="array" ref="L24">INDEX(BARRA,O24,2)</f>
        <v>0</v>
      </c>
      <c r="M24" s="68" cm="1">
        <f t="array" ref="M24">INDEX(BARRA,O24,3)</f>
        <v>0</v>
      </c>
      <c r="N24" s="68" cm="1">
        <f t="array" ref="N24">INDEX(BARRA,O24,4)</f>
        <v>0</v>
      </c>
      <c r="O24" s="69">
        <f t="shared" si="4"/>
        <v>148</v>
      </c>
      <c r="P24" s="69" t="str">
        <f>_xlfn.CONCAT(CHOOSE(Minério!$I$34,"Brecilien","Bridgewatch","Caerleon","Fort Sterling","Lymhurst","Martlock","Thetford"),"R",Q24)</f>
        <v>BrecilienR21</v>
      </c>
      <c r="Q24" s="70">
        <v>21</v>
      </c>
      <c r="R24" s="65"/>
      <c r="S24" s="67" t="s">
        <v>115</v>
      </c>
      <c r="T24" s="68" cm="1">
        <f t="array" ref="T24">INDEX(BARRA,X24,1)</f>
        <v>0</v>
      </c>
      <c r="U24" s="68" cm="1">
        <f t="array" ref="U24">INDEX(BARRA,X24,2)</f>
        <v>0</v>
      </c>
      <c r="V24" s="68" cm="1">
        <f t="array" ref="V24">INDEX(BARRA,X24,3)</f>
        <v>0</v>
      </c>
      <c r="W24" s="68" cm="1">
        <f t="array" ref="W24">INDEX(BARRA,X24,4)</f>
        <v>0</v>
      </c>
      <c r="X24" s="69">
        <f t="shared" si="5"/>
        <v>148</v>
      </c>
      <c r="Y24" s="69" t="str">
        <f>_xlfn.CONCAT(CHOOSE(Minério!$I$36,"Brecilien","Bridgewatch","Caerleon","Fort Sterling","Lymhurst","Martlock","Thetford"),"R",Z24)</f>
        <v>BrecilienR21</v>
      </c>
      <c r="Z24" s="70">
        <v>21</v>
      </c>
    </row>
    <row r="25" spans="1:26" x14ac:dyDescent="0.25">
      <c r="A25" s="67" t="s">
        <v>116</v>
      </c>
      <c r="B25" s="68" cm="1">
        <f t="array" ref="B25">INDEX(MINERIO,F25,1)</f>
        <v>6156</v>
      </c>
      <c r="C25" s="68" t="str" cm="1">
        <f t="array" ref="C25">INDEX(MINERIO,F25,2)</f>
        <v>2024-09-08T17:00:00</v>
      </c>
      <c r="D25" s="68" cm="1">
        <f t="array" ref="D25">INDEX(MINERIO,F25,3)</f>
        <v>0</v>
      </c>
      <c r="E25" s="68" cm="1">
        <f t="array" ref="E25">INDEX(MINERIO,F25,4)</f>
        <v>0</v>
      </c>
      <c r="F25" s="69">
        <f t="shared" si="3"/>
        <v>155</v>
      </c>
      <c r="G25" s="69" t="str">
        <f>_xlfn.CONCAT(CHOOSE(Minério!$I$32,"Brecilien","Bridgewatch","Caerleon","Fort Sterling","Lymhurst","Martlock","Thetford"),"B",H25)</f>
        <v>BrecilienB22</v>
      </c>
      <c r="H25" s="70">
        <v>22</v>
      </c>
      <c r="I25" s="65"/>
      <c r="J25" s="67" t="s">
        <v>116</v>
      </c>
      <c r="K25" s="68" cm="1">
        <f t="array" ref="K25">INDEX(BARRA,O25,1)</f>
        <v>0</v>
      </c>
      <c r="L25" s="68" cm="1">
        <f t="array" ref="L25">INDEX(BARRA,O25,2)</f>
        <v>0</v>
      </c>
      <c r="M25" s="68" cm="1">
        <f t="array" ref="M25">INDEX(BARRA,O25,3)</f>
        <v>0</v>
      </c>
      <c r="N25" s="68" cm="1">
        <f t="array" ref="N25">INDEX(BARRA,O25,4)</f>
        <v>0</v>
      </c>
      <c r="O25" s="69">
        <f t="shared" si="4"/>
        <v>155</v>
      </c>
      <c r="P25" s="69" t="str">
        <f>_xlfn.CONCAT(CHOOSE(Minério!$I$34,"Brecilien","Bridgewatch","Caerleon","Fort Sterling","Lymhurst","Martlock","Thetford"),"R",Q25)</f>
        <v>BrecilienR22</v>
      </c>
      <c r="Q25" s="70">
        <v>22</v>
      </c>
      <c r="R25" s="65"/>
      <c r="S25" s="67" t="s">
        <v>116</v>
      </c>
      <c r="T25" s="68" cm="1">
        <f t="array" ref="T25">INDEX(BARRA,X25,1)</f>
        <v>0</v>
      </c>
      <c r="U25" s="68" cm="1">
        <f t="array" ref="U25">INDEX(BARRA,X25,2)</f>
        <v>0</v>
      </c>
      <c r="V25" s="68" cm="1">
        <f t="array" ref="V25">INDEX(BARRA,X25,3)</f>
        <v>0</v>
      </c>
      <c r="W25" s="68" cm="1">
        <f t="array" ref="W25">INDEX(BARRA,X25,4)</f>
        <v>0</v>
      </c>
      <c r="X25" s="69">
        <f t="shared" si="5"/>
        <v>155</v>
      </c>
      <c r="Y25" s="69" t="str">
        <f>_xlfn.CONCAT(CHOOSE(Minério!$I$36,"Brecilien","Bridgewatch","Caerleon","Fort Sterling","Lymhurst","Martlock","Thetford"),"R",Z25)</f>
        <v>BrecilienR22</v>
      </c>
      <c r="Z25" s="70">
        <v>22</v>
      </c>
    </row>
    <row r="26" spans="1:26" x14ac:dyDescent="0.25">
      <c r="A26" s="67" t="s">
        <v>117</v>
      </c>
      <c r="B26" s="68" cm="1">
        <f t="array" ref="B26">INDEX(MINERIO,F26,1)</f>
        <v>13797</v>
      </c>
      <c r="C26" s="68" t="str" cm="1">
        <f t="array" ref="C26">INDEX(MINERIO,F26,2)</f>
        <v>2024-09-08T17:05:00</v>
      </c>
      <c r="D26" s="68" cm="1">
        <f t="array" ref="D26">INDEX(MINERIO,F26,3)</f>
        <v>0</v>
      </c>
      <c r="E26" s="68" cm="1">
        <f t="array" ref="E26">INDEX(MINERIO,F26,4)</f>
        <v>0</v>
      </c>
      <c r="F26" s="69">
        <f t="shared" si="3"/>
        <v>162</v>
      </c>
      <c r="G26" s="69" t="str">
        <f>_xlfn.CONCAT(CHOOSE(Minério!$I$32,"Brecilien","Bridgewatch","Caerleon","Fort Sterling","Lymhurst","Martlock","Thetford"),"B",H26)</f>
        <v>BrecilienB23</v>
      </c>
      <c r="H26" s="70">
        <v>23</v>
      </c>
      <c r="I26" s="65"/>
      <c r="J26" s="67" t="s">
        <v>117</v>
      </c>
      <c r="K26" s="68" cm="1">
        <f t="array" ref="K26">INDEX(BARRA,O26,1)</f>
        <v>0</v>
      </c>
      <c r="L26" s="68" cm="1">
        <f t="array" ref="L26">INDEX(BARRA,O26,2)</f>
        <v>0</v>
      </c>
      <c r="M26" s="68" cm="1">
        <f t="array" ref="M26">INDEX(BARRA,O26,3)</f>
        <v>0</v>
      </c>
      <c r="N26" s="68" cm="1">
        <f t="array" ref="N26">INDEX(BARRA,O26,4)</f>
        <v>0</v>
      </c>
      <c r="O26" s="69">
        <f t="shared" si="4"/>
        <v>162</v>
      </c>
      <c r="P26" s="69" t="str">
        <f>_xlfn.CONCAT(CHOOSE(Minério!$I$34,"Brecilien","Bridgewatch","Caerleon","Fort Sterling","Lymhurst","Martlock","Thetford"),"R",Q26)</f>
        <v>BrecilienR23</v>
      </c>
      <c r="Q26" s="70">
        <v>23</v>
      </c>
      <c r="R26" s="65"/>
      <c r="S26" s="67" t="s">
        <v>117</v>
      </c>
      <c r="T26" s="68" cm="1">
        <f t="array" ref="T26">INDEX(BARRA,X26,1)</f>
        <v>0</v>
      </c>
      <c r="U26" s="68" cm="1">
        <f t="array" ref="U26">INDEX(BARRA,X26,2)</f>
        <v>0</v>
      </c>
      <c r="V26" s="68" cm="1">
        <f t="array" ref="V26">INDEX(BARRA,X26,3)</f>
        <v>0</v>
      </c>
      <c r="W26" s="68" cm="1">
        <f t="array" ref="W26">INDEX(BARRA,X26,4)</f>
        <v>0</v>
      </c>
      <c r="X26" s="69">
        <f t="shared" si="5"/>
        <v>162</v>
      </c>
      <c r="Y26" s="69" t="str">
        <f>_xlfn.CONCAT(CHOOSE(Minério!$I$36,"Brecilien","Bridgewatch","Caerleon","Fort Sterling","Lymhurst","Martlock","Thetford"),"R",Z26)</f>
        <v>BrecilienR23</v>
      </c>
      <c r="Z26" s="70">
        <v>23</v>
      </c>
    </row>
    <row r="27" spans="1:26" x14ac:dyDescent="0.25">
      <c r="A27" s="67" t="s">
        <v>118</v>
      </c>
      <c r="B27" s="68" cm="1">
        <f t="array" ref="B27">INDEX(MINERIO,F27,1)</f>
        <v>41096</v>
      </c>
      <c r="C27" s="68" t="str" cm="1">
        <f t="array" ref="C27">INDEX(MINERIO,F27,2)</f>
        <v>2024-09-08T20:10:00</v>
      </c>
      <c r="D27" s="68" cm="1">
        <f t="array" ref="D27">INDEX(MINERIO,F27,3)</f>
        <v>0</v>
      </c>
      <c r="E27" s="68" cm="1">
        <f t="array" ref="E27">INDEX(MINERIO,F27,4)</f>
        <v>0</v>
      </c>
      <c r="F27" s="69">
        <f t="shared" si="3"/>
        <v>169</v>
      </c>
      <c r="G27" s="69" t="str">
        <f>_xlfn.CONCAT(CHOOSE(Minério!$I$32,"Brecilien","Bridgewatch","Caerleon","Fort Sterling","Lymhurst","Martlock","Thetford"),"B",H27)</f>
        <v>BrecilienB24</v>
      </c>
      <c r="H27" s="70">
        <v>24</v>
      </c>
      <c r="I27" s="65"/>
      <c r="J27" s="67" t="s">
        <v>118</v>
      </c>
      <c r="K27" s="68" cm="1">
        <f t="array" ref="K27">INDEX(BARRA,O27,1)</f>
        <v>210000</v>
      </c>
      <c r="L27" s="68" t="str" cm="1">
        <f t="array" ref="L27">INDEX(BARRA,O27,2)</f>
        <v>2024-09-08T17:10:00</v>
      </c>
      <c r="M27" s="68" cm="1">
        <f t="array" ref="M27">INDEX(BARRA,O27,3)</f>
        <v>0</v>
      </c>
      <c r="N27" s="68" cm="1">
        <f t="array" ref="N27">INDEX(BARRA,O27,4)</f>
        <v>0</v>
      </c>
      <c r="O27" s="69">
        <f t="shared" si="4"/>
        <v>169</v>
      </c>
      <c r="P27" s="69" t="str">
        <f>_xlfn.CONCAT(CHOOSE(Minério!$I$34,"Brecilien","Bridgewatch","Caerleon","Fort Sterling","Lymhurst","Martlock","Thetford"),"R",Q27)</f>
        <v>BrecilienR24</v>
      </c>
      <c r="Q27" s="70">
        <v>24</v>
      </c>
      <c r="R27" s="65"/>
      <c r="S27" s="67" t="s">
        <v>118</v>
      </c>
      <c r="T27" s="68" cm="1">
        <f t="array" ref="T27">INDEX(BARRA,X27,1)</f>
        <v>210000</v>
      </c>
      <c r="U27" s="68" t="str" cm="1">
        <f t="array" ref="U27">INDEX(BARRA,X27,2)</f>
        <v>2024-09-08T17:10:00</v>
      </c>
      <c r="V27" s="68" cm="1">
        <f t="array" ref="V27">INDEX(BARRA,X27,3)</f>
        <v>0</v>
      </c>
      <c r="W27" s="68" cm="1">
        <f t="array" ref="W27">INDEX(BARRA,X27,4)</f>
        <v>0</v>
      </c>
      <c r="X27" s="69">
        <f t="shared" si="5"/>
        <v>169</v>
      </c>
      <c r="Y27" s="69" t="str">
        <f>_xlfn.CONCAT(CHOOSE(Minério!$I$36,"Brecilien","Bridgewatch","Caerleon","Fort Sterling","Lymhurst","Martlock","Thetford"),"R",Z27)</f>
        <v>BrecilienR24</v>
      </c>
      <c r="Z27" s="70">
        <v>24</v>
      </c>
    </row>
    <row r="28" spans="1:26" x14ac:dyDescent="0.25">
      <c r="A28" s="67" t="s">
        <v>119</v>
      </c>
      <c r="B28" s="68" cm="1">
        <f t="array" ref="B28">INDEX(MINERIO,F28,1)</f>
        <v>271106</v>
      </c>
      <c r="C28" s="68" t="str" cm="1">
        <f t="array" ref="C28">INDEX(MINERIO,F28,2)</f>
        <v>2024-09-08T16:55:00</v>
      </c>
      <c r="D28" s="68" cm="1">
        <f t="array" ref="D28">INDEX(MINERIO,F28,3)</f>
        <v>0</v>
      </c>
      <c r="E28" s="68" cm="1">
        <f t="array" ref="E28">INDEX(MINERIO,F28,4)</f>
        <v>0</v>
      </c>
      <c r="F28" s="69">
        <f t="shared" si="3"/>
        <v>176</v>
      </c>
      <c r="G28" s="69" t="str">
        <f>_xlfn.CONCAT(CHOOSE(Minério!$I$32,"Brecilien","Bridgewatch","Caerleon","Fort Sterling","Lymhurst","Martlock","Thetford"),"B",H28)</f>
        <v>BrecilienB25</v>
      </c>
      <c r="H28" s="70">
        <v>25</v>
      </c>
      <c r="I28" s="65"/>
      <c r="J28" s="67" t="s">
        <v>119</v>
      </c>
      <c r="K28" s="68" cm="1">
        <f t="array" ref="K28">INDEX(BARRA,O28,1)</f>
        <v>999999</v>
      </c>
      <c r="L28" s="68" t="str" cm="1">
        <f t="array" ref="L28">INDEX(BARRA,O28,2)</f>
        <v>2024-09-08T16:55:00</v>
      </c>
      <c r="M28" s="68" cm="1">
        <f t="array" ref="M28">INDEX(BARRA,O28,3)</f>
        <v>0</v>
      </c>
      <c r="N28" s="68" cm="1">
        <f t="array" ref="N28">INDEX(BARRA,O28,4)</f>
        <v>0</v>
      </c>
      <c r="O28" s="69">
        <f t="shared" si="4"/>
        <v>176</v>
      </c>
      <c r="P28" s="69" t="str">
        <f>_xlfn.CONCAT(CHOOSE(Minério!$I$34,"Brecilien","Bridgewatch","Caerleon","Fort Sterling","Lymhurst","Martlock","Thetford"),"R",Q28)</f>
        <v>BrecilienR25</v>
      </c>
      <c r="Q28" s="70">
        <v>25</v>
      </c>
      <c r="R28" s="65"/>
      <c r="S28" s="67" t="s">
        <v>119</v>
      </c>
      <c r="T28" s="68" cm="1">
        <f t="array" ref="T28">INDEX(BARRA,X28,1)</f>
        <v>999999</v>
      </c>
      <c r="U28" s="68" t="str" cm="1">
        <f t="array" ref="U28">INDEX(BARRA,X28,2)</f>
        <v>2024-09-08T16:55:00</v>
      </c>
      <c r="V28" s="68" cm="1">
        <f t="array" ref="V28">INDEX(BARRA,X28,3)</f>
        <v>0</v>
      </c>
      <c r="W28" s="68" cm="1">
        <f t="array" ref="W28">INDEX(BARRA,X28,4)</f>
        <v>0</v>
      </c>
      <c r="X28" s="69">
        <f t="shared" si="5"/>
        <v>176</v>
      </c>
      <c r="Y28" s="69" t="str">
        <f>_xlfn.CONCAT(CHOOSE(Minério!$I$36,"Brecilien","Bridgewatch","Caerleon","Fort Sterling","Lymhurst","Martlock","Thetford"),"R",Z28)</f>
        <v>BrecilienR25</v>
      </c>
      <c r="Z28" s="70">
        <v>25</v>
      </c>
    </row>
    <row r="29" spans="1:26" x14ac:dyDescent="0.25">
      <c r="A29" s="67" t="s">
        <v>120</v>
      </c>
      <c r="B29" s="68" cm="1">
        <f t="array" ref="B29">INDEX(MINERIO,F29,1)</f>
        <v>0</v>
      </c>
      <c r="C29" s="68" cm="1">
        <f t="array" ref="C29">INDEX(MINERIO,F29,2)</f>
        <v>0</v>
      </c>
      <c r="D29" s="68" cm="1">
        <f t="array" ref="D29">INDEX(MINERIO,F29,3)</f>
        <v>0</v>
      </c>
      <c r="E29" s="68" cm="1">
        <f t="array" ref="E29">INDEX(MINERIO,F29,4)</f>
        <v>0</v>
      </c>
      <c r="F29" s="69">
        <f t="shared" si="3"/>
        <v>183</v>
      </c>
      <c r="G29" s="69" t="str">
        <f>_xlfn.CONCAT(CHOOSE(Minério!$I$32,"Brecilien","Bridgewatch","Caerleon","Fort Sterling","Lymhurst","Martlock","Thetford"),"B",H29)</f>
        <v>BrecilienB26</v>
      </c>
      <c r="H29" s="70">
        <v>26</v>
      </c>
      <c r="I29" s="65"/>
      <c r="J29" s="67" t="s">
        <v>120</v>
      </c>
      <c r="K29" s="68" cm="1">
        <f t="array" ref="K29">INDEX(BARRA,O29,1)</f>
        <v>0</v>
      </c>
      <c r="L29" s="68" cm="1">
        <f t="array" ref="L29">INDEX(BARRA,O29,2)</f>
        <v>0</v>
      </c>
      <c r="M29" s="68" cm="1">
        <f t="array" ref="M29">INDEX(BARRA,O29,3)</f>
        <v>0</v>
      </c>
      <c r="N29" s="68" cm="1">
        <f t="array" ref="N29">INDEX(BARRA,O29,4)</f>
        <v>0</v>
      </c>
      <c r="O29" s="69">
        <f t="shared" si="4"/>
        <v>183</v>
      </c>
      <c r="P29" s="69" t="str">
        <f>_xlfn.CONCAT(CHOOSE(Minério!$I$34,"Brecilien","Bridgewatch","Caerleon","Fort Sterling","Lymhurst","Martlock","Thetford"),"R",Q29)</f>
        <v>BrecilienR26</v>
      </c>
      <c r="Q29" s="70">
        <v>26</v>
      </c>
      <c r="R29" s="65"/>
      <c r="S29" s="67" t="s">
        <v>120</v>
      </c>
      <c r="T29" s="68" cm="1">
        <f t="array" ref="T29">INDEX(BARRA,X29,1)</f>
        <v>0</v>
      </c>
      <c r="U29" s="68" cm="1">
        <f t="array" ref="U29">INDEX(BARRA,X29,2)</f>
        <v>0</v>
      </c>
      <c r="V29" s="68" cm="1">
        <f t="array" ref="V29">INDEX(BARRA,X29,3)</f>
        <v>0</v>
      </c>
      <c r="W29" s="68" cm="1">
        <f t="array" ref="W29">INDEX(BARRA,X29,4)</f>
        <v>0</v>
      </c>
      <c r="X29" s="69">
        <f t="shared" si="5"/>
        <v>183</v>
      </c>
      <c r="Y29" s="69" t="str">
        <f>_xlfn.CONCAT(CHOOSE(Minério!$I$36,"Brecilien","Bridgewatch","Caerleon","Fort Sterling","Lymhurst","Martlock","Thetford"),"R",Z29)</f>
        <v>BrecilienR26</v>
      </c>
      <c r="Z29" s="70">
        <v>26</v>
      </c>
    </row>
  </sheetData>
  <sheetProtection selectLockedCells="1"/>
  <mergeCells count="3">
    <mergeCell ref="A1:H1"/>
    <mergeCell ref="J1:Q1"/>
    <mergeCell ref="S1:Z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9374D-4E05-427E-8A5E-582AE59A4DB8}">
  <sheetPr codeName="Planilha5">
    <tabColor rgb="FF0097CC"/>
  </sheetPr>
  <dimension ref="A1:X63"/>
  <sheetViews>
    <sheetView showGridLines="0" showRowColHeaders="0" showZeros="0" zoomScale="107" zoomScaleNormal="107" workbookViewId="0">
      <selection activeCell="C15" sqref="C15:D16"/>
    </sheetView>
  </sheetViews>
  <sheetFormatPr defaultColWidth="0" defaultRowHeight="15" customHeight="1" zeroHeight="1" x14ac:dyDescent="0.2"/>
  <cols>
    <col min="1" max="24" width="10.7109375" style="25" customWidth="1"/>
    <col min="25" max="16384" width="10.7109375" style="25" hidden="1"/>
  </cols>
  <sheetData>
    <row r="1" spans="1:24" s="138" customFormat="1" ht="15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47"/>
      <c r="T1" s="47"/>
      <c r="U1" s="47" t="s">
        <v>38</v>
      </c>
      <c r="V1" s="47">
        <f>IF(C15=1, 2, IF(C15=2, 2, IF(C15=3, 3, IF(C15=4, 4, IF(C15=5, 5, 5)))))</f>
        <v>2</v>
      </c>
      <c r="W1" s="47" t="s">
        <v>41</v>
      </c>
      <c r="X1" s="47" cm="1">
        <f t="array" ref="X1">INDEX(espec!P21:P26,C15,1)</f>
        <v>0</v>
      </c>
    </row>
    <row r="2" spans="1:24" s="138" customFormat="1" ht="15" customHeight="1" x14ac:dyDescent="0.25">
      <c r="A2" s="61" t="str">
        <f>IF(A4=0,"Sem Dados",_xlfn.CONCAT(RIGHT(LEFT(A4,10),2),"/",LEFT(RIGHT(LEFT(A4,10),5),2),"/",LEFT(LEFT(A4,10),4)))</f>
        <v>Sem Dados</v>
      </c>
      <c r="B2" s="61" t="str">
        <f>IF(B4=0,"Sem Dados",_xlfn.CONCAT(RIGHT(LEFT(B4,10),2),"/",LEFT(RIGHT(LEFT(B4,10),5),2),"/",LEFT(LEFT(B4,10),4)))</f>
        <v>08/01/2025</v>
      </c>
      <c r="C2" s="61" t="str">
        <f>IF(C4=0,"Sem Dados",_xlfn.CONCAT(RIGHT(LEFT(C4,10),2),"/",LEFT(RIGHT(LEFT(C4,10),5),2),"/",LEFT(LEFT(C4,10),4)))</f>
        <v>Sem Dados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47" t="s">
        <v>90</v>
      </c>
      <c r="T2" s="48" cm="1">
        <f t="array" ref="T2">(INDEX(valoresAlbion!B23:F28,C15,C17))/(POWER(2,X1))</f>
        <v>31</v>
      </c>
      <c r="U2" s="47" t="s">
        <v>39</v>
      </c>
      <c r="V2" s="47">
        <v>1</v>
      </c>
      <c r="W2" s="47" t="s">
        <v>40</v>
      </c>
      <c r="X2" s="47">
        <f>C15+C17+1</f>
        <v>3</v>
      </c>
    </row>
    <row r="3" spans="1:24" s="138" customFormat="1" ht="15" customHeight="1" x14ac:dyDescent="0.25">
      <c r="A3" s="61" t="str">
        <f>IF(A4=0,"Sem Dados",RIGHT(A4,8))</f>
        <v>Sem Dados</v>
      </c>
      <c r="B3" s="61" t="str">
        <f>IF(B4=0,"Sem Dados",RIGHT(B4,8))</f>
        <v>17:35:00</v>
      </c>
      <c r="C3" s="61" t="str">
        <f>IF(C4=0,"Sem Dados",RIGHT(C4,8))</f>
        <v>Sem Dados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47" t="s">
        <v>89</v>
      </c>
      <c r="T3" s="48" cm="1">
        <f t="array" ref="T3">INDEX(valoresAlbion!B6:G10,C17,C15)</f>
        <v>8</v>
      </c>
      <c r="U3" s="47" t="s">
        <v>37</v>
      </c>
      <c r="V3" s="49">
        <f>1-C27</f>
        <v>1</v>
      </c>
      <c r="W3" s="47" t="s">
        <v>47</v>
      </c>
      <c r="X3" s="47">
        <f>IFERROR(C19*O4,0)</f>
        <v>0</v>
      </c>
    </row>
    <row r="4" spans="1:24" s="137" customFormat="1" ht="18" customHeight="1" x14ac:dyDescent="0.25">
      <c r="A4" s="64">
        <f>VLOOKUP(W4,'Ordem 4'!A3:E29,IF(C32=TRUE,5,3))</f>
        <v>0</v>
      </c>
      <c r="B4" s="64" t="str">
        <f>IFERROR(VLOOKUP(X4,'Ordem 4'!J3:N29,IF(C34=TRUE,5,3)),0)</f>
        <v>2025-01-08T17:35:00</v>
      </c>
      <c r="C4" s="64">
        <f>VLOOKUP(W4,'Ordem 4'!S3:W29,IF(C36=TRUE,3,5))</f>
        <v>0</v>
      </c>
      <c r="D4" s="62"/>
      <c r="E4" s="63"/>
      <c r="F4" s="63"/>
      <c r="G4" s="63" t="s">
        <v>689</v>
      </c>
      <c r="H4" s="63" t="str">
        <f>CHOOSE(C17,"",".1",".2",".3",".4")</f>
        <v/>
      </c>
      <c r="I4" s="63" t="s">
        <v>688</v>
      </c>
      <c r="J4" s="63" t="str">
        <f>CHOOSE(C15,"T2","T3","T4","T5","T6","T7")</f>
        <v>T2</v>
      </c>
      <c r="K4" s="63" t="s">
        <v>687</v>
      </c>
      <c r="L4" s="63" t="str">
        <f>CHOOSE(C15,"T3","T4","T5","T6","T7","T8")</f>
        <v>T3</v>
      </c>
      <c r="M4" s="63"/>
      <c r="N4" s="62" t="s">
        <v>395</v>
      </c>
      <c r="O4" s="62">
        <f>IF(K36=TRUE,M36,S15)</f>
        <v>0</v>
      </c>
      <c r="P4" s="63"/>
      <c r="Q4" s="62" t="s">
        <v>393</v>
      </c>
      <c r="R4" s="62">
        <f>IF(K32=TRUE,M32,C21)</f>
        <v>0</v>
      </c>
      <c r="S4" s="63"/>
      <c r="T4" s="62" t="s">
        <v>394</v>
      </c>
      <c r="U4" s="62">
        <f>IF(K34=TRUE,M34,C23)</f>
        <v>0</v>
      </c>
      <c r="V4" s="63"/>
      <c r="W4" s="60" t="str">
        <f>_xlfn.CONCAT("T",C15+2,CHOOSE(C17,"",".1",".2",".3",".4"))</f>
        <v>T3</v>
      </c>
      <c r="X4" s="60" t="str">
        <f>IF(C15=2,"T3",_xlfn.CONCAT("T",C15+1,CHOOSE(C17,"",".1",".2",".3",".4")))</f>
        <v>T2</v>
      </c>
    </row>
    <row r="5" spans="1:24" s="26" customFormat="1" ht="15" customHeight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s="26" customFormat="1" ht="15" customHeight="1" x14ac:dyDescent="0.25">
      <c r="A6" s="159" t="s">
        <v>70</v>
      </c>
      <c r="B6" s="160"/>
      <c r="C6" s="160"/>
      <c r="D6" s="160"/>
    </row>
    <row r="7" spans="1:24" s="26" customFormat="1" ht="15" customHeight="1" x14ac:dyDescent="0.25">
      <c r="A7" s="160"/>
      <c r="B7" s="160"/>
      <c r="C7" s="160"/>
      <c r="D7" s="160"/>
    </row>
    <row r="8" spans="1:24" s="26" customFormat="1" ht="15" customHeight="1" x14ac:dyDescent="0.25">
      <c r="A8" s="173"/>
      <c r="B8" s="174"/>
      <c r="C8" s="174"/>
      <c r="D8" s="175"/>
    </row>
    <row r="9" spans="1:24" s="26" customFormat="1" ht="15" customHeight="1" x14ac:dyDescent="0.25">
      <c r="A9" s="176"/>
      <c r="B9" s="177"/>
      <c r="C9" s="177"/>
      <c r="D9" s="178"/>
    </row>
    <row r="10" spans="1:24" s="26" customFormat="1" ht="15" customHeight="1" x14ac:dyDescent="0.25">
      <c r="A10" s="176"/>
      <c r="B10" s="177"/>
      <c r="C10" s="177"/>
      <c r="D10" s="178"/>
    </row>
    <row r="11" spans="1:24" ht="15" customHeight="1" x14ac:dyDescent="0.2">
      <c r="A11" s="176"/>
      <c r="B11" s="177"/>
      <c r="C11" s="177"/>
      <c r="D11" s="178"/>
    </row>
    <row r="12" spans="1:24" ht="15" customHeight="1" x14ac:dyDescent="0.2">
      <c r="A12" s="179"/>
      <c r="B12" s="180"/>
      <c r="C12" s="180"/>
      <c r="D12" s="181"/>
    </row>
    <row r="13" spans="1:24" ht="15" customHeight="1" x14ac:dyDescent="0.2">
      <c r="A13" s="159" t="s">
        <v>0</v>
      </c>
      <c r="B13" s="160"/>
      <c r="C13" s="160"/>
      <c r="D13" s="160"/>
      <c r="G13" s="159" t="s">
        <v>9</v>
      </c>
      <c r="H13" s="160"/>
      <c r="I13" s="160"/>
      <c r="J13" s="160"/>
      <c r="L13" s="159" t="s">
        <v>7</v>
      </c>
      <c r="M13" s="160"/>
      <c r="N13" s="160"/>
      <c r="O13" s="160"/>
      <c r="Q13" s="159" t="s">
        <v>8</v>
      </c>
      <c r="R13" s="160"/>
      <c r="S13" s="160"/>
      <c r="T13" s="160"/>
    </row>
    <row r="14" spans="1:24" ht="15" customHeight="1" x14ac:dyDescent="0.2">
      <c r="A14" s="160"/>
      <c r="B14" s="160"/>
      <c r="C14" s="160"/>
      <c r="D14" s="160"/>
      <c r="G14" s="160"/>
      <c r="H14" s="160"/>
      <c r="I14" s="160"/>
      <c r="J14" s="160"/>
      <c r="L14" s="160"/>
      <c r="M14" s="160"/>
      <c r="N14" s="160"/>
      <c r="O14" s="160"/>
      <c r="Q14" s="160"/>
      <c r="R14" s="160"/>
      <c r="S14" s="160"/>
      <c r="T14" s="160"/>
    </row>
    <row r="15" spans="1:24" ht="15" customHeight="1" x14ac:dyDescent="0.25">
      <c r="A15" s="153" t="s">
        <v>3</v>
      </c>
      <c r="B15" s="153"/>
      <c r="C15" s="158">
        <v>1</v>
      </c>
      <c r="D15" s="158"/>
      <c r="G15" s="153" t="s">
        <v>11</v>
      </c>
      <c r="H15" s="153"/>
      <c r="I15" s="193">
        <f>T2*C19</f>
        <v>0</v>
      </c>
      <c r="J15" s="193"/>
      <c r="L15" s="153" t="str">
        <f>G23</f>
        <v>Madeira T3</v>
      </c>
      <c r="M15" s="153"/>
      <c r="N15" s="169">
        <f>IF(C32=TRUE,R4*I23*Configurações!N9,R4*I23)</f>
        <v>0</v>
      </c>
      <c r="O15" s="169"/>
      <c r="Q15" s="153" t="s">
        <v>14</v>
      </c>
      <c r="R15" s="153"/>
      <c r="S15" s="172"/>
      <c r="T15" s="172"/>
    </row>
    <row r="16" spans="1:24" ht="15" customHeight="1" x14ac:dyDescent="0.25">
      <c r="A16" s="153"/>
      <c r="B16" s="153"/>
      <c r="C16" s="158"/>
      <c r="D16" s="158"/>
      <c r="G16" s="153" t="s">
        <v>12</v>
      </c>
      <c r="H16" s="153"/>
      <c r="I16" s="194"/>
      <c r="J16" s="194"/>
      <c r="L16" s="153" t="str">
        <f>G24</f>
        <v>Tábua T2</v>
      </c>
      <c r="M16" s="153"/>
      <c r="N16" s="169">
        <f>IF(C34=TRUE,I24*U4*Configurações!N9,I24*U4)</f>
        <v>0</v>
      </c>
      <c r="O16" s="169"/>
      <c r="Q16" s="153" t="s">
        <v>15</v>
      </c>
      <c r="R16" s="153"/>
      <c r="S16" s="169">
        <f>X3-N19</f>
        <v>0</v>
      </c>
      <c r="T16" s="169"/>
    </row>
    <row r="17" spans="1:21" ht="15" customHeight="1" x14ac:dyDescent="0.25">
      <c r="A17" s="153" t="s">
        <v>4</v>
      </c>
      <c r="B17" s="153"/>
      <c r="C17" s="158">
        <v>1</v>
      </c>
      <c r="D17" s="158"/>
      <c r="G17" s="153" t="s">
        <v>13</v>
      </c>
      <c r="H17" s="153"/>
      <c r="I17" s="182">
        <f>IF(T2=0,"Indefinido",IF(I16=0,0,(I16/T2)-1))</f>
        <v>0</v>
      </c>
      <c r="J17" s="182"/>
      <c r="L17" s="153" t="s">
        <v>34</v>
      </c>
      <c r="M17" s="153"/>
      <c r="N17" s="169" cm="1">
        <f t="array" ref="N17">(C25/100)*C19*INDEX(valoresAlbion!J6:O10,C17,C15)</f>
        <v>0</v>
      </c>
      <c r="O17" s="169"/>
      <c r="Q17" s="153" t="s">
        <v>16</v>
      </c>
      <c r="R17" s="153"/>
      <c r="S17" s="165">
        <f>IFERROR(S16/N19,0)</f>
        <v>0</v>
      </c>
      <c r="T17" s="165"/>
    </row>
    <row r="18" spans="1:21" ht="15" customHeight="1" x14ac:dyDescent="0.25">
      <c r="A18" s="153"/>
      <c r="B18" s="153"/>
      <c r="C18" s="158"/>
      <c r="D18" s="158"/>
      <c r="L18" s="153" t="s">
        <v>898</v>
      </c>
      <c r="M18" s="153"/>
      <c r="N18" s="154">
        <f>IF(C36=TRUE,(X3*Configurações!B3)+(X3*Configurações!F9),(X3*Configurações!B3))</f>
        <v>0</v>
      </c>
      <c r="O18" s="154"/>
    </row>
    <row r="19" spans="1:21" ht="15" customHeight="1" x14ac:dyDescent="0.25">
      <c r="A19" s="153" t="s">
        <v>1</v>
      </c>
      <c r="B19" s="153"/>
      <c r="C19" s="183"/>
      <c r="D19" s="183"/>
      <c r="L19" s="153" t="s">
        <v>693</v>
      </c>
      <c r="M19" s="153"/>
      <c r="N19" s="169">
        <f>SUM(N15:O18)</f>
        <v>0</v>
      </c>
      <c r="O19" s="169"/>
    </row>
    <row r="20" spans="1:21" ht="15" customHeight="1" x14ac:dyDescent="0.2">
      <c r="A20" s="153"/>
      <c r="B20" s="153"/>
      <c r="C20" s="183"/>
      <c r="D20" s="183"/>
    </row>
    <row r="21" spans="1:21" ht="15" customHeight="1" x14ac:dyDescent="0.25">
      <c r="A21" s="153" t="s">
        <v>85</v>
      </c>
      <c r="B21" s="153"/>
      <c r="C21" s="167"/>
      <c r="D21" s="167"/>
      <c r="G21" s="184" t="s">
        <v>6</v>
      </c>
      <c r="H21" s="185"/>
      <c r="I21" s="185"/>
      <c r="J21" s="186"/>
      <c r="K21"/>
      <c r="L21"/>
    </row>
    <row r="22" spans="1:21" ht="15" customHeight="1" x14ac:dyDescent="0.25">
      <c r="A22" s="153"/>
      <c r="B22" s="153"/>
      <c r="C22" s="167"/>
      <c r="D22" s="167"/>
      <c r="G22" s="187"/>
      <c r="H22" s="188"/>
      <c r="I22" s="188"/>
      <c r="J22" s="189"/>
      <c r="K22"/>
      <c r="L22"/>
    </row>
    <row r="23" spans="1:21" ht="15" customHeight="1" x14ac:dyDescent="0.25">
      <c r="A23" s="153" t="s">
        <v>86</v>
      </c>
      <c r="B23" s="153"/>
      <c r="C23" s="167"/>
      <c r="D23" s="167"/>
      <c r="G23" s="153" t="str">
        <f>IF(C15=1,_xlfn.CONCAT(K4,L4),_xlfn.CONCAT(K4,L4,H4))</f>
        <v>Madeira T3</v>
      </c>
      <c r="H23" s="153"/>
      <c r="I23" s="170">
        <f>ROUNDUP(IF($C$19=1,V1,(V1*$C$19*$V$3)+($C$27*V1)),0)</f>
        <v>0</v>
      </c>
      <c r="J23" s="170"/>
      <c r="K23"/>
      <c r="L23"/>
    </row>
    <row r="24" spans="1:21" ht="15" customHeight="1" x14ac:dyDescent="0.25">
      <c r="A24" s="153"/>
      <c r="B24" s="153"/>
      <c r="C24" s="167"/>
      <c r="D24" s="167"/>
      <c r="G24" s="153" t="str">
        <f>IF(OR(C15=1,C15=2),_xlfn.CONCAT(I4,J4),_xlfn.CONCAT(I4,J4,H4))</f>
        <v>Tábua T2</v>
      </c>
      <c r="H24" s="153"/>
      <c r="I24" s="170">
        <f>ROUNDUP(IF($C$19=1,V2,(V2*$C$19*$V$3)+($C$27*V2)),0)</f>
        <v>0</v>
      </c>
      <c r="J24" s="170"/>
      <c r="K24"/>
    </row>
    <row r="25" spans="1:21" ht="15" customHeight="1" x14ac:dyDescent="0.25">
      <c r="A25" s="153" t="s">
        <v>2</v>
      </c>
      <c r="B25" s="153"/>
      <c r="C25" s="167"/>
      <c r="D25" s="167"/>
      <c r="K25"/>
    </row>
    <row r="26" spans="1:21" ht="15" customHeight="1" x14ac:dyDescent="0.2">
      <c r="A26" s="153"/>
      <c r="B26" s="153"/>
      <c r="C26" s="167"/>
      <c r="D26" s="167"/>
    </row>
    <row r="27" spans="1:21" ht="15" customHeight="1" x14ac:dyDescent="0.2">
      <c r="A27" s="153" t="s">
        <v>1014</v>
      </c>
      <c r="B27" s="153"/>
      <c r="C27" s="168"/>
      <c r="D27" s="168"/>
    </row>
    <row r="28" spans="1:21" ht="15" customHeight="1" x14ac:dyDescent="0.2">
      <c r="A28" s="153"/>
      <c r="B28" s="153"/>
      <c r="C28" s="168"/>
      <c r="D28" s="168"/>
    </row>
    <row r="29" spans="1:21" ht="15" customHeight="1" x14ac:dyDescent="0.2">
      <c r="C29" s="27"/>
      <c r="D29" s="27"/>
    </row>
    <row r="30" spans="1:21" ht="15" customHeight="1" x14ac:dyDescent="0.2">
      <c r="A30" s="159" t="s">
        <v>5</v>
      </c>
      <c r="B30" s="160"/>
      <c r="C30" s="160"/>
      <c r="D30" s="160"/>
      <c r="G30" s="159" t="s">
        <v>680</v>
      </c>
      <c r="H30" s="160"/>
      <c r="I30" s="160"/>
      <c r="J30" s="160"/>
      <c r="K30" s="159" t="s">
        <v>386</v>
      </c>
      <c r="L30" s="160"/>
      <c r="M30" s="159" t="s">
        <v>398</v>
      </c>
      <c r="N30" s="160"/>
      <c r="O30" s="159" t="s">
        <v>397</v>
      </c>
      <c r="P30" s="160"/>
      <c r="Q30" s="159" t="s">
        <v>681</v>
      </c>
      <c r="R30" s="160"/>
    </row>
    <row r="31" spans="1:21" ht="15" customHeight="1" x14ac:dyDescent="0.2">
      <c r="A31" s="160"/>
      <c r="B31" s="160"/>
      <c r="C31" s="160"/>
      <c r="D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</row>
    <row r="32" spans="1:21" ht="15" customHeight="1" x14ac:dyDescent="0.25">
      <c r="A32" s="155" t="s">
        <v>87</v>
      </c>
      <c r="B32" s="155"/>
      <c r="C32" s="157" t="b">
        <v>0</v>
      </c>
      <c r="D32" s="157"/>
      <c r="G32" s="155" t="str">
        <f>G23</f>
        <v>Madeira T3</v>
      </c>
      <c r="H32" s="155"/>
      <c r="I32" s="157">
        <v>1</v>
      </c>
      <c r="J32" s="157"/>
      <c r="K32" s="157" t="b">
        <v>0</v>
      </c>
      <c r="L32" s="157"/>
      <c r="M32" s="161" t="str">
        <f>IF(A4=0,"Sem Dados",VLOOKUP(W4,'Ordem 4'!A3:E29,IF(C32=TRUE,4,2)))</f>
        <v>Sem Dados</v>
      </c>
      <c r="N32" s="162"/>
      <c r="O32" s="191" t="str">
        <f>IFERROR(INT(A2 + A3 - (Configurações!A3 / 24)),"Sem Dados")</f>
        <v>Sem Dados</v>
      </c>
      <c r="P32" s="191"/>
      <c r="Q32" s="190" t="str">
        <f>IFERROR(IF(MOD(A2 + A3 - (Configurações!A3 / 24), 1) = 0, "00:00:00", MOD(A2 + A3 - (Configurações!A3 / 24), 1)), "Sem Dados")</f>
        <v>Sem Dados</v>
      </c>
      <c r="R32" s="190"/>
      <c r="U32"/>
    </row>
    <row r="33" spans="1:21" ht="15" customHeight="1" x14ac:dyDescent="0.25">
      <c r="A33" s="156"/>
      <c r="B33" s="156"/>
      <c r="C33" s="158"/>
      <c r="D33" s="158"/>
      <c r="G33" s="156"/>
      <c r="H33" s="156"/>
      <c r="I33" s="158"/>
      <c r="J33" s="158"/>
      <c r="K33" s="158"/>
      <c r="L33" s="158"/>
      <c r="M33" s="163"/>
      <c r="N33" s="164"/>
      <c r="O33" s="191"/>
      <c r="P33" s="191"/>
      <c r="Q33" s="190"/>
      <c r="R33" s="190"/>
      <c r="S33"/>
      <c r="U33"/>
    </row>
    <row r="34" spans="1:21" ht="15" customHeight="1" x14ac:dyDescent="0.25">
      <c r="A34" s="156" t="s">
        <v>88</v>
      </c>
      <c r="B34" s="156"/>
      <c r="C34" s="158" t="b">
        <v>0</v>
      </c>
      <c r="D34" s="158"/>
      <c r="G34" s="155" t="str">
        <f>G24</f>
        <v>Tábua T2</v>
      </c>
      <c r="H34" s="155"/>
      <c r="I34" s="157">
        <v>1</v>
      </c>
      <c r="J34" s="157"/>
      <c r="K34" s="157" t="b">
        <v>0</v>
      </c>
      <c r="L34" s="157"/>
      <c r="M34" s="161">
        <f>IF(B4=0,"Sem Dados",(VLOOKUP(X4,'Ordem 4'!J3:N29,IF(C34=TRUE,4,2))))</f>
        <v>38</v>
      </c>
      <c r="N34" s="162"/>
      <c r="O34" s="191">
        <f>IFERROR(INT(B2 + B3 - (Configurações!A3 / 24)),"Sem Dados")</f>
        <v>45665</v>
      </c>
      <c r="P34" s="191"/>
      <c r="Q34" s="190">
        <f>IFERROR(IF(MOD(B2 + B3 - (Configurações!A3 / 24), 1) = 0, "00:00:00", MOD(B2 + B3 - (Configurações!A3 / 24), 1)), "Sem Dados")</f>
        <v>0.60763888889050577</v>
      </c>
      <c r="R34" s="190"/>
      <c r="U34"/>
    </row>
    <row r="35" spans="1:21" ht="15" customHeight="1" x14ac:dyDescent="0.25">
      <c r="A35" s="156"/>
      <c r="B35" s="156"/>
      <c r="C35" s="158"/>
      <c r="D35" s="158"/>
      <c r="G35" s="156"/>
      <c r="H35" s="156"/>
      <c r="I35" s="158"/>
      <c r="J35" s="158"/>
      <c r="K35" s="158"/>
      <c r="L35" s="158"/>
      <c r="M35" s="163"/>
      <c r="N35" s="164"/>
      <c r="O35" s="191"/>
      <c r="P35" s="191"/>
      <c r="Q35" s="190"/>
      <c r="R35" s="190"/>
      <c r="S35"/>
      <c r="U35"/>
    </row>
    <row r="36" spans="1:21" ht="15" customHeight="1" x14ac:dyDescent="0.25">
      <c r="A36" s="156" t="s">
        <v>10</v>
      </c>
      <c r="B36" s="156"/>
      <c r="C36" s="158" t="b">
        <v>0</v>
      </c>
      <c r="D36" s="158"/>
      <c r="G36" s="155" t="s">
        <v>387</v>
      </c>
      <c r="H36" s="155"/>
      <c r="I36" s="157">
        <v>1</v>
      </c>
      <c r="J36" s="157"/>
      <c r="K36" s="157" t="b">
        <v>0</v>
      </c>
      <c r="L36" s="157"/>
      <c r="M36" s="161" t="str">
        <f>IF(C4=0,"Sem Dados",VLOOKUP(W4,'Ordem 4'!S3:W29,IF(C36=TRUE,2,4)))</f>
        <v>Sem Dados</v>
      </c>
      <c r="N36" s="162"/>
      <c r="O36" s="191" t="str">
        <f>IFERROR(INT(C2 + C3 - (Configurações!A3 / 24)),"Sem Dados")</f>
        <v>Sem Dados</v>
      </c>
      <c r="P36" s="191"/>
      <c r="Q36" s="190" t="str">
        <f>IFERROR(IF(MOD(C2 + C3 - (Configurações!A3 / 24), 1) = 0, "00:00:00", MOD(C2 + C3 - (Configurações!A3 / 24), 1)), "Sem Dados")</f>
        <v>Sem Dados</v>
      </c>
      <c r="R36" s="190"/>
      <c r="U36"/>
    </row>
    <row r="37" spans="1:21" ht="15" customHeight="1" x14ac:dyDescent="0.25">
      <c r="A37" s="156"/>
      <c r="B37" s="156"/>
      <c r="C37" s="158"/>
      <c r="D37" s="158"/>
      <c r="G37" s="156"/>
      <c r="H37" s="156"/>
      <c r="I37" s="158"/>
      <c r="J37" s="158"/>
      <c r="K37" s="158"/>
      <c r="L37" s="158"/>
      <c r="M37" s="163"/>
      <c r="N37" s="164"/>
      <c r="O37" s="191"/>
      <c r="P37" s="191"/>
      <c r="Q37" s="190"/>
      <c r="R37" s="190"/>
      <c r="T37"/>
      <c r="U37"/>
    </row>
    <row r="38" spans="1:21" ht="15" customHeight="1" x14ac:dyDescent="0.2"/>
    <row r="39" spans="1:21" ht="15" customHeight="1" x14ac:dyDescent="0.2"/>
    <row r="40" spans="1:21" ht="15" customHeight="1" x14ac:dyDescent="0.25">
      <c r="A40"/>
      <c r="B40"/>
    </row>
    <row r="41" spans="1:21" ht="15" customHeight="1" x14ac:dyDescent="0.25">
      <c r="A41"/>
      <c r="B41"/>
      <c r="C41"/>
    </row>
    <row r="42" spans="1:21" ht="15" customHeight="1" x14ac:dyDescent="0.25">
      <c r="A42"/>
      <c r="B42"/>
      <c r="C42" s="28"/>
    </row>
    <row r="43" spans="1:21" ht="15" customHeight="1" x14ac:dyDescent="0.25">
      <c r="A43"/>
      <c r="B43"/>
    </row>
    <row r="44" spans="1:21" ht="15" customHeight="1" x14ac:dyDescent="0.25">
      <c r="A44"/>
      <c r="B44"/>
      <c r="C44"/>
    </row>
    <row r="45" spans="1:21" ht="15" customHeight="1" x14ac:dyDescent="0.2"/>
    <row r="46" spans="1:21" ht="15" customHeight="1" x14ac:dyDescent="0.2"/>
    <row r="47" spans="1:21" ht="15" customHeight="1" x14ac:dyDescent="0.2"/>
    <row r="48" spans="1:21" ht="15" customHeight="1" x14ac:dyDescent="0.2"/>
    <row r="49" spans="1:2" ht="15" customHeight="1" x14ac:dyDescent="0.2"/>
    <row r="50" spans="1:2" ht="15" customHeight="1" x14ac:dyDescent="0.2"/>
    <row r="63" spans="1:2" ht="15" hidden="1" customHeight="1" x14ac:dyDescent="0.25">
      <c r="A63" s="26"/>
      <c r="B63" s="26"/>
    </row>
  </sheetData>
  <sheetProtection algorithmName="SHA-512" hashValue="OOovy8aEpyJP6YCX9szEoeslhUR40Y7n+CQd4Mud+17WxDSo+1VGuMab7ALvkOhm+GYFLRu7XyDSSkBCcW8Eig==" saltValue="IdX92lAHPSihjsdpCqnEAw==" spinCount="100000" sheet="1" objects="1" scenarios="1" selectLockedCells="1"/>
  <mergeCells count="77">
    <mergeCell ref="G21:J22"/>
    <mergeCell ref="Q36:R37"/>
    <mergeCell ref="G34:H35"/>
    <mergeCell ref="I34:J35"/>
    <mergeCell ref="K34:L35"/>
    <mergeCell ref="M34:N35"/>
    <mergeCell ref="O34:P35"/>
    <mergeCell ref="Q34:R35"/>
    <mergeCell ref="G36:H37"/>
    <mergeCell ref="I36:J37"/>
    <mergeCell ref="K36:L37"/>
    <mergeCell ref="M36:N37"/>
    <mergeCell ref="O36:P37"/>
    <mergeCell ref="Q30:R31"/>
    <mergeCell ref="O32:P33"/>
    <mergeCell ref="Q32:R33"/>
    <mergeCell ref="A30:D31"/>
    <mergeCell ref="A32:B33"/>
    <mergeCell ref="C32:D33"/>
    <mergeCell ref="G30:J31"/>
    <mergeCell ref="K30:L31"/>
    <mergeCell ref="M30:N31"/>
    <mergeCell ref="O30:P31"/>
    <mergeCell ref="G32:H33"/>
    <mergeCell ref="I32:J33"/>
    <mergeCell ref="K32:L33"/>
    <mergeCell ref="M32:N33"/>
    <mergeCell ref="A36:B37"/>
    <mergeCell ref="C36:D37"/>
    <mergeCell ref="I17:J17"/>
    <mergeCell ref="L17:M17"/>
    <mergeCell ref="N17:O17"/>
    <mergeCell ref="A34:B35"/>
    <mergeCell ref="C34:D35"/>
    <mergeCell ref="A23:B24"/>
    <mergeCell ref="C23:D24"/>
    <mergeCell ref="A25:B26"/>
    <mergeCell ref="C25:D26"/>
    <mergeCell ref="G23:H23"/>
    <mergeCell ref="I23:J23"/>
    <mergeCell ref="G24:H24"/>
    <mergeCell ref="I24:J24"/>
    <mergeCell ref="A27:B28"/>
    <mergeCell ref="C27:D28"/>
    <mergeCell ref="A21:B22"/>
    <mergeCell ref="C21:D22"/>
    <mergeCell ref="A19:B20"/>
    <mergeCell ref="C19:D20"/>
    <mergeCell ref="G17:H17"/>
    <mergeCell ref="Q17:R17"/>
    <mergeCell ref="S17:T17"/>
    <mergeCell ref="L19:M19"/>
    <mergeCell ref="N19:O19"/>
    <mergeCell ref="L18:M18"/>
    <mergeCell ref="N18:O18"/>
    <mergeCell ref="S16:T16"/>
    <mergeCell ref="L13:O14"/>
    <mergeCell ref="Q13:T14"/>
    <mergeCell ref="A17:B18"/>
    <mergeCell ref="C17:D18"/>
    <mergeCell ref="G15:H15"/>
    <mergeCell ref="I15:J15"/>
    <mergeCell ref="L15:M15"/>
    <mergeCell ref="N15:O15"/>
    <mergeCell ref="Q15:R15"/>
    <mergeCell ref="S15:T15"/>
    <mergeCell ref="G13:J14"/>
    <mergeCell ref="G16:H16"/>
    <mergeCell ref="I16:J16"/>
    <mergeCell ref="L16:M16"/>
    <mergeCell ref="N16:O16"/>
    <mergeCell ref="Q16:R16"/>
    <mergeCell ref="A6:D7"/>
    <mergeCell ref="A8:D12"/>
    <mergeCell ref="A13:D14"/>
    <mergeCell ref="A15:B16"/>
    <mergeCell ref="C15:D16"/>
  </mergeCells>
  <conditionalFormatting sqref="A6:D7 A13:D14 A30:D31 G13:J14 L13:O14 Q13:T14 G21">
    <cfRule type="expression" dxfId="54" priority="18">
      <formula>$C$15=6</formula>
    </cfRule>
    <cfRule type="expression" dxfId="53" priority="19">
      <formula>$C$15=5</formula>
    </cfRule>
    <cfRule type="expression" dxfId="52" priority="21">
      <formula>$C$15=3</formula>
    </cfRule>
    <cfRule type="expression" dxfId="51" priority="22">
      <formula>$C$15=2</formula>
    </cfRule>
    <cfRule type="expression" dxfId="50" priority="23">
      <formula>$C$15=1</formula>
    </cfRule>
  </conditionalFormatting>
  <conditionalFormatting sqref="A6:D7 A13:D14 A30:D31 G13:J14 L13:O14 Q13:T14 G21">
    <cfRule type="expression" dxfId="49" priority="20">
      <formula>$C$15=4</formula>
    </cfRule>
  </conditionalFormatting>
  <conditionalFormatting sqref="S16:T17">
    <cfRule type="cellIs" dxfId="48" priority="16" operator="lessThan">
      <formula>0</formula>
    </cfRule>
    <cfRule type="cellIs" dxfId="47" priority="17" operator="greaterThan">
      <formula>0</formula>
    </cfRule>
  </conditionalFormatting>
  <conditionalFormatting sqref="K30:R31">
    <cfRule type="expression" dxfId="46" priority="10">
      <formula>$C$15=6</formula>
    </cfRule>
    <cfRule type="expression" dxfId="45" priority="11">
      <formula>$C$15=5</formula>
    </cfRule>
    <cfRule type="expression" dxfId="44" priority="13">
      <formula>$C$15=3</formula>
    </cfRule>
    <cfRule type="expression" dxfId="43" priority="14">
      <formula>$C$15=2</formula>
    </cfRule>
    <cfRule type="expression" dxfId="42" priority="15">
      <formula>$C$15=1</formula>
    </cfRule>
  </conditionalFormatting>
  <conditionalFormatting sqref="K30:R31">
    <cfRule type="expression" dxfId="41" priority="12">
      <formula>$C$15=4</formula>
    </cfRule>
  </conditionalFormatting>
  <conditionalFormatting sqref="G30:J31">
    <cfRule type="expression" dxfId="40" priority="4">
      <formula>$C$15=6</formula>
    </cfRule>
    <cfRule type="expression" dxfId="39" priority="5">
      <formula>$C$15=5</formula>
    </cfRule>
    <cfRule type="expression" dxfId="38" priority="7">
      <formula>$C$15=3</formula>
    </cfRule>
    <cfRule type="expression" dxfId="37" priority="8">
      <formula>$C$15=2</formula>
    </cfRule>
    <cfRule type="expression" dxfId="36" priority="9">
      <formula>$C$15=1</formula>
    </cfRule>
  </conditionalFormatting>
  <conditionalFormatting sqref="G30:J31">
    <cfRule type="expression" dxfId="35" priority="6">
      <formula>$C$15=4</formula>
    </cfRule>
  </conditionalFormatting>
  <conditionalFormatting sqref="C21:D22">
    <cfRule type="expression" dxfId="34" priority="3">
      <formula>$K$32=TRUE</formula>
    </cfRule>
  </conditionalFormatting>
  <conditionalFormatting sqref="C23:D24">
    <cfRule type="expression" dxfId="33" priority="2">
      <formula>$K$34=TRUE</formula>
    </cfRule>
  </conditionalFormatting>
  <conditionalFormatting sqref="S15:T15">
    <cfRule type="expression" dxfId="32" priority="1">
      <formula>$K$36=TRUE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2</xdr:col>
                    <xdr:colOff>85725</xdr:colOff>
                    <xdr:row>14</xdr:row>
                    <xdr:rowOff>85725</xdr:rowOff>
                  </from>
                  <to>
                    <xdr:col>3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Drop Down 2">
              <controlPr defaultSize="0" autoLine="0" autoPict="0">
                <anchor moveWithCells="1">
                  <from>
                    <xdr:col>2</xdr:col>
                    <xdr:colOff>85725</xdr:colOff>
                    <xdr:row>16</xdr:row>
                    <xdr:rowOff>85725</xdr:rowOff>
                  </from>
                  <to>
                    <xdr:col>3</xdr:col>
                    <xdr:colOff>523875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76200</xdr:rowOff>
                  </from>
                  <to>
                    <xdr:col>3</xdr:col>
                    <xdr:colOff>161925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76200</xdr:rowOff>
                  </from>
                  <to>
                    <xdr:col>3</xdr:col>
                    <xdr:colOff>161925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76200</xdr:rowOff>
                  </from>
                  <to>
                    <xdr:col>3</xdr:col>
                    <xdr:colOff>161925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Check Box 6">
              <controlPr defaultSize="0" autoFill="0" autoLine="0" autoPict="0">
                <anchor moveWithCells="1">
                  <from>
                    <xdr:col>10</xdr:col>
                    <xdr:colOff>266700</xdr:colOff>
                    <xdr:row>31</xdr:row>
                    <xdr:rowOff>76200</xdr:rowOff>
                  </from>
                  <to>
                    <xdr:col>11</xdr:col>
                    <xdr:colOff>342900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0" name="Check Box 10">
              <controlPr defaultSize="0" autoFill="0" autoLine="0" autoPict="0">
                <anchor moveWithCells="1">
                  <from>
                    <xdr:col>10</xdr:col>
                    <xdr:colOff>266700</xdr:colOff>
                    <xdr:row>35</xdr:row>
                    <xdr:rowOff>76200</xdr:rowOff>
                  </from>
                  <to>
                    <xdr:col>11</xdr:col>
                    <xdr:colOff>342900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1" name="Check Box 11">
              <controlPr defaultSize="0" autoFill="0" autoLine="0" autoPict="0">
                <anchor moveWithCells="1">
                  <from>
                    <xdr:col>10</xdr:col>
                    <xdr:colOff>266700</xdr:colOff>
                    <xdr:row>33</xdr:row>
                    <xdr:rowOff>76200</xdr:rowOff>
                  </from>
                  <to>
                    <xdr:col>11</xdr:col>
                    <xdr:colOff>342900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2" name="Drop Down 12">
              <controlPr defaultSize="0" autoLine="0" autoPict="0">
                <anchor moveWithCells="1">
                  <from>
                    <xdr:col>8</xdr:col>
                    <xdr:colOff>66675</xdr:colOff>
                    <xdr:row>31</xdr:row>
                    <xdr:rowOff>123825</xdr:rowOff>
                  </from>
                  <to>
                    <xdr:col>9</xdr:col>
                    <xdr:colOff>676275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3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33</xdr:row>
                    <xdr:rowOff>123825</xdr:rowOff>
                  </from>
                  <to>
                    <xdr:col>9</xdr:col>
                    <xdr:colOff>676275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4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35</xdr:row>
                    <xdr:rowOff>123825</xdr:rowOff>
                  </from>
                  <to>
                    <xdr:col>9</xdr:col>
                    <xdr:colOff>676275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1F24E-66B5-4590-8BF2-0D1396954C5C}">
  <sheetPr codeName="Planilha23">
    <tabColor rgb="FF0097CC"/>
  </sheetPr>
  <dimension ref="A1:Z29"/>
  <sheetViews>
    <sheetView showGridLines="0" showRowColHeaders="0" workbookViewId="0">
      <selection activeCell="F7" sqref="F7:G7"/>
    </sheetView>
  </sheetViews>
  <sheetFormatPr defaultColWidth="0" defaultRowHeight="15" zeroHeight="1" x14ac:dyDescent="0.25"/>
  <cols>
    <col min="1" max="6" width="9.140625" customWidth="1"/>
    <col min="7" max="7" width="10.28515625" customWidth="1"/>
    <col min="8" max="8" width="9.140625" customWidth="1"/>
    <col min="9" max="9" width="3.140625" customWidth="1"/>
    <col min="10" max="15" width="9.140625" customWidth="1"/>
    <col min="16" max="16" width="11.28515625" customWidth="1"/>
    <col min="17" max="17" width="9.140625" customWidth="1"/>
    <col min="18" max="18" width="2.85546875" customWidth="1"/>
    <col min="19" max="24" width="9.140625" customWidth="1"/>
    <col min="25" max="25" width="11" customWidth="1"/>
    <col min="26" max="26" width="9.140625" customWidth="1"/>
    <col min="27" max="16384" width="9.140625" hidden="1"/>
  </cols>
  <sheetData>
    <row r="1" spans="1:26" x14ac:dyDescent="0.25">
      <c r="A1" s="192" t="s">
        <v>405</v>
      </c>
      <c r="B1" s="192"/>
      <c r="C1" s="192"/>
      <c r="D1" s="192"/>
      <c r="E1" s="192"/>
      <c r="F1" s="192"/>
      <c r="G1" s="192"/>
      <c r="H1" s="192"/>
      <c r="I1" s="65"/>
      <c r="J1" s="192" t="s">
        <v>406</v>
      </c>
      <c r="K1" s="192"/>
      <c r="L1" s="192"/>
      <c r="M1" s="192"/>
      <c r="N1" s="192"/>
      <c r="O1" s="192"/>
      <c r="P1" s="192"/>
      <c r="Q1" s="192"/>
      <c r="R1" s="65"/>
      <c r="S1" s="192" t="s">
        <v>406</v>
      </c>
      <c r="T1" s="192"/>
      <c r="U1" s="192"/>
      <c r="V1" s="192"/>
      <c r="W1" s="192"/>
      <c r="X1" s="192"/>
      <c r="Y1" s="192"/>
      <c r="Z1" s="192"/>
    </row>
    <row r="2" spans="1:26" x14ac:dyDescent="0.25">
      <c r="A2" s="66" t="s">
        <v>30</v>
      </c>
      <c r="B2" s="66" t="s">
        <v>390</v>
      </c>
      <c r="C2" s="66" t="s">
        <v>376</v>
      </c>
      <c r="D2" s="66" t="s">
        <v>391</v>
      </c>
      <c r="E2" s="66" t="s">
        <v>376</v>
      </c>
      <c r="F2" s="66" t="s">
        <v>384</v>
      </c>
      <c r="G2" s="66" t="s">
        <v>378</v>
      </c>
      <c r="H2" s="66" t="s">
        <v>365</v>
      </c>
      <c r="I2" s="65"/>
      <c r="J2" s="66" t="s">
        <v>30</v>
      </c>
      <c r="K2" s="66" t="s">
        <v>390</v>
      </c>
      <c r="L2" s="66" t="s">
        <v>376</v>
      </c>
      <c r="M2" s="66" t="s">
        <v>391</v>
      </c>
      <c r="N2" s="66" t="s">
        <v>376</v>
      </c>
      <c r="O2" s="66" t="s">
        <v>384</v>
      </c>
      <c r="P2" s="66" t="s">
        <v>378</v>
      </c>
      <c r="Q2" s="66" t="s">
        <v>365</v>
      </c>
      <c r="R2" s="65"/>
      <c r="S2" s="66" t="s">
        <v>30</v>
      </c>
      <c r="T2" s="66" t="s">
        <v>392</v>
      </c>
      <c r="U2" s="66" t="s">
        <v>376</v>
      </c>
      <c r="V2" s="66" t="s">
        <v>396</v>
      </c>
      <c r="W2" s="66" t="s">
        <v>376</v>
      </c>
      <c r="X2" s="66" t="s">
        <v>384</v>
      </c>
      <c r="Y2" s="66" t="s">
        <v>378</v>
      </c>
      <c r="Z2" s="66" t="s">
        <v>365</v>
      </c>
    </row>
    <row r="3" spans="1:26" x14ac:dyDescent="0.25">
      <c r="A3" s="67" t="s">
        <v>479</v>
      </c>
      <c r="B3" s="68" cm="1">
        <f t="array" ref="B3">INDEX(MADEIRA,F3,1)</f>
        <v>198</v>
      </c>
      <c r="C3" s="68" t="str" cm="1">
        <f t="array" ref="C3">INDEX(MADEIRA,F3,2)</f>
        <v>2025-01-08T16:50:00</v>
      </c>
      <c r="D3" s="68" cm="1">
        <f t="array" ref="D3">INDEX(MADEIRA,F3,3)</f>
        <v>0</v>
      </c>
      <c r="E3" s="68" cm="1">
        <f t="array" ref="E3">INDEX(MADEIRA,F3,4)</f>
        <v>0</v>
      </c>
      <c r="F3" s="69">
        <f t="shared" ref="F3" si="0">MATCH(G3,codigo7,0)</f>
        <v>1</v>
      </c>
      <c r="G3" s="69" t="str">
        <f>_xlfn.CONCAT(CHOOSE(Madeira!$I$32,"Brecilien","Bridgewatch","Caerleon","Fort Sterling","Lymhurst","Martlock","Thetford"),"B",H3)</f>
        <v>BrecilienB0</v>
      </c>
      <c r="H3" s="70">
        <v>0</v>
      </c>
      <c r="I3" s="65"/>
      <c r="J3" s="67" t="s">
        <v>479</v>
      </c>
      <c r="K3" s="68" cm="1">
        <f t="array" ref="K3">INDEX(TABUA,O3,1)</f>
        <v>38</v>
      </c>
      <c r="L3" s="68" t="str" cm="1">
        <f t="array" ref="L3">INDEX(TABUA,O3,2)</f>
        <v>2025-01-08T17:35:00</v>
      </c>
      <c r="M3" s="68" cm="1">
        <f t="array" ref="M3">INDEX(TABUA,O3,3)</f>
        <v>0</v>
      </c>
      <c r="N3" s="68" cm="1">
        <f t="array" ref="N3">INDEX(TABUA,O3,4)</f>
        <v>0</v>
      </c>
      <c r="O3" s="69">
        <f t="shared" ref="O3" si="1">MATCH(P3,codigo8,0)</f>
        <v>1</v>
      </c>
      <c r="P3" s="69" t="str">
        <f>_xlfn.CONCAT(CHOOSE(Madeira!$I$34,"Brecilien","Bridgewatch","Caerleon","Fort Sterling","Lymhurst","Martlock","Thetford"),"R",Q3)</f>
        <v>BrecilienR0</v>
      </c>
      <c r="Q3" s="70">
        <v>0</v>
      </c>
      <c r="R3" s="65"/>
      <c r="S3" s="67" t="s">
        <v>479</v>
      </c>
      <c r="T3" s="68" cm="1">
        <f t="array" ref="T3">INDEX(TABUA,X3,1)</f>
        <v>38</v>
      </c>
      <c r="U3" s="68" t="str" cm="1">
        <f t="array" ref="U3">INDEX(TABUA,X3,2)</f>
        <v>2025-01-08T17:35:00</v>
      </c>
      <c r="V3" s="68" cm="1">
        <f t="array" ref="V3">INDEX(TABUA,X3,3)</f>
        <v>0</v>
      </c>
      <c r="W3" s="68" cm="1">
        <f t="array" ref="W3">INDEX(TABUA,X3,4)</f>
        <v>0</v>
      </c>
      <c r="X3" s="69">
        <f t="shared" ref="X3" si="2">MATCH(Y3,codigo8,0)</f>
        <v>1</v>
      </c>
      <c r="Y3" s="69" t="str">
        <f>_xlfn.CONCAT(CHOOSE(Madeira!$I$36,"Brecilien","Bridgewatch","Caerleon","Fort Sterling","Lymhurst","Martlock","Thetford"),"R",Z3)</f>
        <v>BrecilienR0</v>
      </c>
      <c r="Z3" s="70">
        <v>0</v>
      </c>
    </row>
    <row r="4" spans="1:26" x14ac:dyDescent="0.25">
      <c r="A4" s="67" t="s">
        <v>95</v>
      </c>
      <c r="B4" s="68" cm="1">
        <f t="array" ref="B4">INDEX(MADEIRA,F4,1)</f>
        <v>0</v>
      </c>
      <c r="C4" s="68" cm="1">
        <f t="array" ref="C4">INDEX(MADEIRA,F4,2)</f>
        <v>0</v>
      </c>
      <c r="D4" s="68" cm="1">
        <f t="array" ref="D4">INDEX(MADEIRA,F4,3)</f>
        <v>0</v>
      </c>
      <c r="E4" s="68" cm="1">
        <f t="array" ref="E4">INDEX(MADEIRA,F4,4)</f>
        <v>0</v>
      </c>
      <c r="F4" s="69">
        <f t="shared" ref="F4:F29" si="3">MATCH(G4,codigo7,0)</f>
        <v>8</v>
      </c>
      <c r="G4" s="69" t="str">
        <f>_xlfn.CONCAT(CHOOSE(Madeira!$I$32,"Brecilien","Bridgewatch","Caerleon","Fort Sterling","Lymhurst","Martlock","Thetford"),"B",H4)</f>
        <v>BrecilienB1</v>
      </c>
      <c r="H4" s="70">
        <v>1</v>
      </c>
      <c r="I4" s="65"/>
      <c r="J4" s="67" t="s">
        <v>95</v>
      </c>
      <c r="K4" s="68" cm="1">
        <f t="array" ref="K4">INDEX(TABUA,O4,1)</f>
        <v>0</v>
      </c>
      <c r="L4" s="68" cm="1">
        <f t="array" ref="L4">INDEX(TABUA,O4,2)</f>
        <v>0</v>
      </c>
      <c r="M4" s="68" cm="1">
        <f t="array" ref="M4">INDEX(TABUA,O4,3)</f>
        <v>0</v>
      </c>
      <c r="N4" s="68" cm="1">
        <f t="array" ref="N4">INDEX(TABUA,O4,4)</f>
        <v>0</v>
      </c>
      <c r="O4" s="69">
        <f t="shared" ref="O4:O29" si="4">MATCH(P4,codigo8,0)</f>
        <v>8</v>
      </c>
      <c r="P4" s="69" t="str">
        <f>_xlfn.CONCAT(CHOOSE(Madeira!$I$34,"Brecilien","Bridgewatch","Caerleon","Fort Sterling","Lymhurst","Martlock","Thetford"),"R",Q4)</f>
        <v>BrecilienR1</v>
      </c>
      <c r="Q4" s="70">
        <v>1</v>
      </c>
      <c r="R4" s="65"/>
      <c r="S4" s="67" t="s">
        <v>95</v>
      </c>
      <c r="T4" s="68" cm="1">
        <f t="array" ref="T4">INDEX(TABUA,X4,1)</f>
        <v>0</v>
      </c>
      <c r="U4" s="68" cm="1">
        <f t="array" ref="U4">INDEX(TABUA,X4,2)</f>
        <v>0</v>
      </c>
      <c r="V4" s="68" cm="1">
        <f t="array" ref="V4">INDEX(TABUA,X4,3)</f>
        <v>0</v>
      </c>
      <c r="W4" s="68" cm="1">
        <f t="array" ref="W4">INDEX(TABUA,X4,4)</f>
        <v>0</v>
      </c>
      <c r="X4" s="69">
        <f t="shared" ref="X4:X29" si="5">MATCH(Y4,codigo8,0)</f>
        <v>8</v>
      </c>
      <c r="Y4" s="69" t="str">
        <f>_xlfn.CONCAT(CHOOSE(Madeira!$I$36,"Brecilien","Bridgewatch","Caerleon","Fort Sterling","Lymhurst","Martlock","Thetford"),"R",Z4)</f>
        <v>BrecilienR1</v>
      </c>
      <c r="Z4" s="70">
        <v>1</v>
      </c>
    </row>
    <row r="5" spans="1:26" x14ac:dyDescent="0.25">
      <c r="A5" s="67" t="s">
        <v>96</v>
      </c>
      <c r="B5" s="68" cm="1">
        <f t="array" ref="B5">INDEX(MADEIRA,F5,1)</f>
        <v>69</v>
      </c>
      <c r="C5" s="68" t="str" cm="1">
        <f t="array" ref="C5">INDEX(MADEIRA,F5,2)</f>
        <v>2025-01-08T01:30:00</v>
      </c>
      <c r="D5" s="68" cm="1">
        <f t="array" ref="D5">INDEX(MADEIRA,F5,3)</f>
        <v>68</v>
      </c>
      <c r="E5" s="68" t="str" cm="1">
        <f t="array" ref="E5">INDEX(MADEIRA,F5,4)</f>
        <v>2025-01-08T01:35:00</v>
      </c>
      <c r="F5" s="69">
        <f t="shared" si="3"/>
        <v>15</v>
      </c>
      <c r="G5" s="69" t="str">
        <f>_xlfn.CONCAT(CHOOSE(Madeira!$I$32,"Brecilien","Bridgewatch","Caerleon","Fort Sterling","Lymhurst","Martlock","Thetford"),"B",H5)</f>
        <v>BrecilienB2</v>
      </c>
      <c r="H5" s="70">
        <v>2</v>
      </c>
      <c r="I5" s="65"/>
      <c r="J5" s="67" t="s">
        <v>96</v>
      </c>
      <c r="K5" s="68" cm="1">
        <f t="array" ref="K5">INDEX(TABUA,O5,1)</f>
        <v>0</v>
      </c>
      <c r="L5" s="68" cm="1">
        <f t="array" ref="L5">INDEX(TABUA,O5,2)</f>
        <v>0</v>
      </c>
      <c r="M5" s="68" cm="1">
        <f t="array" ref="M5">INDEX(TABUA,O5,3)</f>
        <v>0</v>
      </c>
      <c r="N5" s="68" cm="1">
        <f t="array" ref="N5">INDEX(TABUA,O5,4)</f>
        <v>0</v>
      </c>
      <c r="O5" s="69">
        <f t="shared" si="4"/>
        <v>15</v>
      </c>
      <c r="P5" s="69" t="str">
        <f>_xlfn.CONCAT(CHOOSE(Madeira!$I$34,"Brecilien","Bridgewatch","Caerleon","Fort Sterling","Lymhurst","Martlock","Thetford"),"R",Q5)</f>
        <v>BrecilienR2</v>
      </c>
      <c r="Q5" s="70">
        <v>2</v>
      </c>
      <c r="R5" s="65"/>
      <c r="S5" s="67" t="s">
        <v>96</v>
      </c>
      <c r="T5" s="68" cm="1">
        <f t="array" ref="T5">INDEX(TABUA,X5,1)</f>
        <v>0</v>
      </c>
      <c r="U5" s="68" cm="1">
        <f t="array" ref="U5">INDEX(TABUA,X5,2)</f>
        <v>0</v>
      </c>
      <c r="V5" s="68" cm="1">
        <f t="array" ref="V5">INDEX(TABUA,X5,3)</f>
        <v>0</v>
      </c>
      <c r="W5" s="68" cm="1">
        <f t="array" ref="W5">INDEX(TABUA,X5,4)</f>
        <v>0</v>
      </c>
      <c r="X5" s="69">
        <f t="shared" si="5"/>
        <v>15</v>
      </c>
      <c r="Y5" s="69" t="str">
        <f>_xlfn.CONCAT(CHOOSE(Madeira!$I$36,"Brecilien","Bridgewatch","Caerleon","Fort Sterling","Lymhurst","Martlock","Thetford"),"R",Z5)</f>
        <v>BrecilienR2</v>
      </c>
      <c r="Z5" s="70">
        <v>2</v>
      </c>
    </row>
    <row r="6" spans="1:26" x14ac:dyDescent="0.25">
      <c r="A6" s="67" t="s">
        <v>97</v>
      </c>
      <c r="B6" s="68" cm="1">
        <f t="array" ref="B6">INDEX(MADEIRA,F6,1)</f>
        <v>66</v>
      </c>
      <c r="C6" s="68" t="str" cm="1">
        <f t="array" ref="C6">INDEX(MADEIRA,F6,2)</f>
        <v>2025-01-08T08:00:00</v>
      </c>
      <c r="D6" s="68" cm="1">
        <f t="array" ref="D6">INDEX(MADEIRA,F6,3)</f>
        <v>67</v>
      </c>
      <c r="E6" s="68" t="str" cm="1">
        <f t="array" ref="E6">INDEX(MADEIRA,F6,4)</f>
        <v>2025-01-08T02:10:00</v>
      </c>
      <c r="F6" s="69">
        <f t="shared" si="3"/>
        <v>22</v>
      </c>
      <c r="G6" s="69" t="str">
        <f>_xlfn.CONCAT(CHOOSE(Madeira!$I$32,"Brecilien","Bridgewatch","Caerleon","Fort Sterling","Lymhurst","Martlock","Thetford"),"B",H6)</f>
        <v>BrecilienB3</v>
      </c>
      <c r="H6" s="70">
        <v>3</v>
      </c>
      <c r="I6" s="65"/>
      <c r="J6" s="67" t="s">
        <v>97</v>
      </c>
      <c r="K6" s="68" cm="1">
        <f t="array" ref="K6">INDEX(TABUA,O6,1)</f>
        <v>0</v>
      </c>
      <c r="L6" s="68" cm="1">
        <f t="array" ref="L6">INDEX(TABUA,O6,2)</f>
        <v>0</v>
      </c>
      <c r="M6" s="68" cm="1">
        <f t="array" ref="M6">INDEX(TABUA,O6,3)</f>
        <v>0</v>
      </c>
      <c r="N6" s="68" cm="1">
        <f t="array" ref="N6">INDEX(TABUA,O6,4)</f>
        <v>0</v>
      </c>
      <c r="O6" s="69">
        <f t="shared" si="4"/>
        <v>22</v>
      </c>
      <c r="P6" s="69" t="str">
        <f>_xlfn.CONCAT(CHOOSE(Madeira!$I$34,"Brecilien","Bridgewatch","Caerleon","Fort Sterling","Lymhurst","Martlock","Thetford"),"R",Q6)</f>
        <v>BrecilienR3</v>
      </c>
      <c r="Q6" s="70">
        <v>3</v>
      </c>
      <c r="R6" s="65"/>
      <c r="S6" s="67" t="s">
        <v>97</v>
      </c>
      <c r="T6" s="68" cm="1">
        <f t="array" ref="T6">INDEX(TABUA,X6,1)</f>
        <v>0</v>
      </c>
      <c r="U6" s="68" cm="1">
        <f t="array" ref="U6">INDEX(TABUA,X6,2)</f>
        <v>0</v>
      </c>
      <c r="V6" s="68" cm="1">
        <f t="array" ref="V6">INDEX(TABUA,X6,3)</f>
        <v>0</v>
      </c>
      <c r="W6" s="68" cm="1">
        <f t="array" ref="W6">INDEX(TABUA,X6,4)</f>
        <v>0</v>
      </c>
      <c r="X6" s="69">
        <f t="shared" si="5"/>
        <v>22</v>
      </c>
      <c r="Y6" s="69" t="str">
        <f>_xlfn.CONCAT(CHOOSE(Madeira!$I$36,"Brecilien","Bridgewatch","Caerleon","Fort Sterling","Lymhurst","Martlock","Thetford"),"R",Z6)</f>
        <v>BrecilienR3</v>
      </c>
      <c r="Z6" s="70">
        <v>3</v>
      </c>
    </row>
    <row r="7" spans="1:26" x14ac:dyDescent="0.25">
      <c r="A7" s="67" t="s">
        <v>98</v>
      </c>
      <c r="B7" s="68" cm="1">
        <f t="array" ref="B7">INDEX(MADEIRA,F7,1)</f>
        <v>371</v>
      </c>
      <c r="C7" s="68" t="str" cm="1">
        <f t="array" ref="C7">INDEX(MADEIRA,F7,2)</f>
        <v>2025-01-08T06:05:00</v>
      </c>
      <c r="D7" s="68" cm="1">
        <f t="array" ref="D7">INDEX(MADEIRA,F7,3)</f>
        <v>0</v>
      </c>
      <c r="E7" s="68" cm="1">
        <f t="array" ref="E7">INDEX(MADEIRA,F7,4)</f>
        <v>0</v>
      </c>
      <c r="F7" s="69">
        <f t="shared" si="3"/>
        <v>29</v>
      </c>
      <c r="G7" s="69" t="str">
        <f>_xlfn.CONCAT(CHOOSE(Madeira!$I$32,"Brecilien","Bridgewatch","Caerleon","Fort Sterling","Lymhurst","Martlock","Thetford"),"B",H7)</f>
        <v>BrecilienB4</v>
      </c>
      <c r="H7" s="70">
        <v>4</v>
      </c>
      <c r="I7" s="65"/>
      <c r="J7" s="67" t="s">
        <v>98</v>
      </c>
      <c r="K7" s="68" cm="1">
        <f t="array" ref="K7">INDEX(TABUA,O7,1)</f>
        <v>0</v>
      </c>
      <c r="L7" s="68" cm="1">
        <f t="array" ref="L7">INDEX(TABUA,O7,2)</f>
        <v>0</v>
      </c>
      <c r="M7" s="68" cm="1">
        <f t="array" ref="M7">INDEX(TABUA,O7,3)</f>
        <v>0</v>
      </c>
      <c r="N7" s="68" cm="1">
        <f t="array" ref="N7">INDEX(TABUA,O7,4)</f>
        <v>0</v>
      </c>
      <c r="O7" s="69">
        <f t="shared" si="4"/>
        <v>29</v>
      </c>
      <c r="P7" s="69" t="str">
        <f>_xlfn.CONCAT(CHOOSE(Madeira!$I$34,"Brecilien","Bridgewatch","Caerleon","Fort Sterling","Lymhurst","Martlock","Thetford"),"R",Q7)</f>
        <v>BrecilienR4</v>
      </c>
      <c r="Q7" s="70">
        <v>4</v>
      </c>
      <c r="R7" s="65"/>
      <c r="S7" s="67" t="s">
        <v>98</v>
      </c>
      <c r="T7" s="68" cm="1">
        <f t="array" ref="T7">INDEX(TABUA,X7,1)</f>
        <v>0</v>
      </c>
      <c r="U7" s="68" cm="1">
        <f t="array" ref="U7">INDEX(TABUA,X7,2)</f>
        <v>0</v>
      </c>
      <c r="V7" s="68" cm="1">
        <f t="array" ref="V7">INDEX(TABUA,X7,3)</f>
        <v>0</v>
      </c>
      <c r="W7" s="68" cm="1">
        <f t="array" ref="W7">INDEX(TABUA,X7,4)</f>
        <v>0</v>
      </c>
      <c r="X7" s="69">
        <f t="shared" si="5"/>
        <v>29</v>
      </c>
      <c r="Y7" s="69" t="str">
        <f>_xlfn.CONCAT(CHOOSE(Madeira!$I$36,"Brecilien","Bridgewatch","Caerleon","Fort Sterling","Lymhurst","Martlock","Thetford"),"R",Z7)</f>
        <v>BrecilienR4</v>
      </c>
      <c r="Z7" s="70">
        <v>4</v>
      </c>
    </row>
    <row r="8" spans="1:26" x14ac:dyDescent="0.25">
      <c r="A8" s="67" t="s">
        <v>99</v>
      </c>
      <c r="B8" s="68" cm="1">
        <f t="array" ref="B8">INDEX(MADEIRA,F8,1)</f>
        <v>5592</v>
      </c>
      <c r="C8" s="68" t="str" cm="1">
        <f t="array" ref="C8">INDEX(MADEIRA,F8,2)</f>
        <v>2025-01-08T06:00:00</v>
      </c>
      <c r="D8" s="68" cm="1">
        <f t="array" ref="D8">INDEX(MADEIRA,F8,3)</f>
        <v>0</v>
      </c>
      <c r="E8" s="68" cm="1">
        <f t="array" ref="E8">INDEX(MADEIRA,F8,4)</f>
        <v>0</v>
      </c>
      <c r="F8" s="69">
        <f t="shared" si="3"/>
        <v>36</v>
      </c>
      <c r="G8" s="69" t="str">
        <f>_xlfn.CONCAT(CHOOSE(Madeira!$I$32,"Brecilien","Bridgewatch","Caerleon","Fort Sterling","Lymhurst","Martlock","Thetford"),"B",H8)</f>
        <v>BrecilienB5</v>
      </c>
      <c r="H8" s="70">
        <v>5</v>
      </c>
      <c r="I8" s="65"/>
      <c r="J8" s="67" t="s">
        <v>99</v>
      </c>
      <c r="K8" s="68" cm="1">
        <f t="array" ref="K8">INDEX(TABUA,O8,1)</f>
        <v>0</v>
      </c>
      <c r="L8" s="68" cm="1">
        <f t="array" ref="L8">INDEX(TABUA,O8,2)</f>
        <v>0</v>
      </c>
      <c r="M8" s="68" cm="1">
        <f t="array" ref="M8">INDEX(TABUA,O8,3)</f>
        <v>0</v>
      </c>
      <c r="N8" s="68" cm="1">
        <f t="array" ref="N8">INDEX(TABUA,O8,4)</f>
        <v>0</v>
      </c>
      <c r="O8" s="69">
        <f t="shared" si="4"/>
        <v>36</v>
      </c>
      <c r="P8" s="69" t="str">
        <f>_xlfn.CONCAT(CHOOSE(Madeira!$I$34,"Brecilien","Bridgewatch","Caerleon","Fort Sterling","Lymhurst","Martlock","Thetford"),"R",Q8)</f>
        <v>BrecilienR5</v>
      </c>
      <c r="Q8" s="70">
        <v>5</v>
      </c>
      <c r="R8" s="65"/>
      <c r="S8" s="67" t="s">
        <v>99</v>
      </c>
      <c r="T8" s="68" cm="1">
        <f t="array" ref="T8">INDEX(TABUA,X8,1)</f>
        <v>0</v>
      </c>
      <c r="U8" s="68" cm="1">
        <f t="array" ref="U8">INDEX(TABUA,X8,2)</f>
        <v>0</v>
      </c>
      <c r="V8" s="68" cm="1">
        <f t="array" ref="V8">INDEX(TABUA,X8,3)</f>
        <v>0</v>
      </c>
      <c r="W8" s="68" cm="1">
        <f t="array" ref="W8">INDEX(TABUA,X8,4)</f>
        <v>0</v>
      </c>
      <c r="X8" s="69">
        <f t="shared" si="5"/>
        <v>36</v>
      </c>
      <c r="Y8" s="69" t="str">
        <f>_xlfn.CONCAT(CHOOSE(Madeira!$I$36,"Brecilien","Bridgewatch","Caerleon","Fort Sterling","Lymhurst","Martlock","Thetford"),"R",Z8)</f>
        <v>BrecilienR5</v>
      </c>
      <c r="Z8" s="70">
        <v>5</v>
      </c>
    </row>
    <row r="9" spans="1:26" x14ac:dyDescent="0.25">
      <c r="A9" s="67" t="s">
        <v>100</v>
      </c>
      <c r="B9" s="68" cm="1">
        <f t="array" ref="B9">INDEX(MADEIRA,F9,1)</f>
        <v>39999</v>
      </c>
      <c r="C9" s="68" t="str" cm="1">
        <f t="array" ref="C9">INDEX(MADEIRA,F9,2)</f>
        <v>2025-01-07T23:55:00</v>
      </c>
      <c r="D9" s="68" cm="1">
        <f t="array" ref="D9">INDEX(MADEIRA,F9,3)</f>
        <v>0</v>
      </c>
      <c r="E9" s="68" cm="1">
        <f t="array" ref="E9">INDEX(MADEIRA,F9,4)</f>
        <v>0</v>
      </c>
      <c r="F9" s="69">
        <f t="shared" si="3"/>
        <v>43</v>
      </c>
      <c r="G9" s="69" t="str">
        <f>_xlfn.CONCAT(CHOOSE(Madeira!$I$32,"Brecilien","Bridgewatch","Caerleon","Fort Sterling","Lymhurst","Martlock","Thetford"),"B",H9)</f>
        <v>BrecilienB6</v>
      </c>
      <c r="H9" s="70">
        <v>6</v>
      </c>
      <c r="I9" s="65"/>
      <c r="J9" s="67" t="s">
        <v>100</v>
      </c>
      <c r="K9" s="68" cm="1">
        <f t="array" ref="K9">INDEX(TABUA,O9,1)</f>
        <v>0</v>
      </c>
      <c r="L9" s="68" cm="1">
        <f t="array" ref="L9">INDEX(TABUA,O9,2)</f>
        <v>0</v>
      </c>
      <c r="M9" s="68" cm="1">
        <f t="array" ref="M9">INDEX(TABUA,O9,3)</f>
        <v>0</v>
      </c>
      <c r="N9" s="68" cm="1">
        <f t="array" ref="N9">INDEX(TABUA,O9,4)</f>
        <v>0</v>
      </c>
      <c r="O9" s="69">
        <f t="shared" si="4"/>
        <v>43</v>
      </c>
      <c r="P9" s="69" t="str">
        <f>_xlfn.CONCAT(CHOOSE(Madeira!$I$34,"Brecilien","Bridgewatch","Caerleon","Fort Sterling","Lymhurst","Martlock","Thetford"),"R",Q9)</f>
        <v>BrecilienR6</v>
      </c>
      <c r="Q9" s="70">
        <v>6</v>
      </c>
      <c r="R9" s="65"/>
      <c r="S9" s="67" t="s">
        <v>100</v>
      </c>
      <c r="T9" s="68" cm="1">
        <f t="array" ref="T9">INDEX(TABUA,X9,1)</f>
        <v>0</v>
      </c>
      <c r="U9" s="68" cm="1">
        <f t="array" ref="U9">INDEX(TABUA,X9,2)</f>
        <v>0</v>
      </c>
      <c r="V9" s="68" cm="1">
        <f t="array" ref="V9">INDEX(TABUA,X9,3)</f>
        <v>0</v>
      </c>
      <c r="W9" s="68" cm="1">
        <f t="array" ref="W9">INDEX(TABUA,X9,4)</f>
        <v>0</v>
      </c>
      <c r="X9" s="69">
        <f t="shared" si="5"/>
        <v>43</v>
      </c>
      <c r="Y9" s="69" t="str">
        <f>_xlfn.CONCAT(CHOOSE(Madeira!$I$36,"Brecilien","Bridgewatch","Caerleon","Fort Sterling","Lymhurst","Martlock","Thetford"),"R",Z9)</f>
        <v>BrecilienR6</v>
      </c>
      <c r="Z9" s="70">
        <v>6</v>
      </c>
    </row>
    <row r="10" spans="1:26" x14ac:dyDescent="0.25">
      <c r="A10" s="67" t="s">
        <v>101</v>
      </c>
      <c r="B10" s="68" cm="1">
        <f t="array" ref="B10">INDEX(MADEIRA,F10,1)</f>
        <v>248</v>
      </c>
      <c r="C10" s="68" t="str" cm="1">
        <f t="array" ref="C10">INDEX(MADEIRA,F10,2)</f>
        <v>2025-01-08T10:00:00</v>
      </c>
      <c r="D10" s="68" cm="1">
        <f t="array" ref="D10">INDEX(MADEIRA,F10,3)</f>
        <v>245</v>
      </c>
      <c r="E10" s="68" t="str" cm="1">
        <f t="array" ref="E10">INDEX(MADEIRA,F10,4)</f>
        <v>2025-01-08T10:00:00</v>
      </c>
      <c r="F10" s="69">
        <f t="shared" si="3"/>
        <v>50</v>
      </c>
      <c r="G10" s="69" t="str">
        <f>_xlfn.CONCAT(CHOOSE(Madeira!$I$32,"Brecilien","Bridgewatch","Caerleon","Fort Sterling","Lymhurst","Martlock","Thetford"),"B",H10)</f>
        <v>BrecilienB7</v>
      </c>
      <c r="H10" s="70">
        <v>7</v>
      </c>
      <c r="I10" s="65"/>
      <c r="J10" s="67" t="s">
        <v>101</v>
      </c>
      <c r="K10" s="68" cm="1">
        <f t="array" ref="K10">INDEX(TABUA,O10,1)</f>
        <v>0</v>
      </c>
      <c r="L10" s="68" cm="1">
        <f t="array" ref="L10">INDEX(TABUA,O10,2)</f>
        <v>0</v>
      </c>
      <c r="M10" s="68" cm="1">
        <f t="array" ref="M10">INDEX(TABUA,O10,3)</f>
        <v>0</v>
      </c>
      <c r="N10" s="68" cm="1">
        <f t="array" ref="N10">INDEX(TABUA,O10,4)</f>
        <v>0</v>
      </c>
      <c r="O10" s="69">
        <f t="shared" si="4"/>
        <v>50</v>
      </c>
      <c r="P10" s="69" t="str">
        <f>_xlfn.CONCAT(CHOOSE(Madeira!$I$34,"Brecilien","Bridgewatch","Caerleon","Fort Sterling","Lymhurst","Martlock","Thetford"),"R",Q10)</f>
        <v>BrecilienR7</v>
      </c>
      <c r="Q10" s="70">
        <v>7</v>
      </c>
      <c r="R10" s="65"/>
      <c r="S10" s="67" t="s">
        <v>101</v>
      </c>
      <c r="T10" s="68" cm="1">
        <f t="array" ref="T10">INDEX(TABUA,X10,1)</f>
        <v>0</v>
      </c>
      <c r="U10" s="68" cm="1">
        <f t="array" ref="U10">INDEX(TABUA,X10,2)</f>
        <v>0</v>
      </c>
      <c r="V10" s="68" cm="1">
        <f t="array" ref="V10">INDEX(TABUA,X10,3)</f>
        <v>0</v>
      </c>
      <c r="W10" s="68" cm="1">
        <f t="array" ref="W10">INDEX(TABUA,X10,4)</f>
        <v>0</v>
      </c>
      <c r="X10" s="69">
        <f t="shared" si="5"/>
        <v>50</v>
      </c>
      <c r="Y10" s="69" t="str">
        <f>_xlfn.CONCAT(CHOOSE(Madeira!$I$36,"Brecilien","Bridgewatch","Caerleon","Fort Sterling","Lymhurst","Martlock","Thetford"),"R",Z10)</f>
        <v>BrecilienR7</v>
      </c>
      <c r="Z10" s="70">
        <v>7</v>
      </c>
    </row>
    <row r="11" spans="1:26" x14ac:dyDescent="0.25">
      <c r="A11" s="67" t="s">
        <v>102</v>
      </c>
      <c r="B11" s="68" cm="1">
        <f t="array" ref="B11">INDEX(MADEIRA,F11,1)</f>
        <v>319</v>
      </c>
      <c r="C11" s="68" t="str" cm="1">
        <f t="array" ref="C11">INDEX(MADEIRA,F11,2)</f>
        <v>2025-01-08T06:00:00</v>
      </c>
      <c r="D11" s="68" cm="1">
        <f t="array" ref="D11">INDEX(MADEIRA,F11,3)</f>
        <v>0</v>
      </c>
      <c r="E11" s="68" cm="1">
        <f t="array" ref="E11">INDEX(MADEIRA,F11,4)</f>
        <v>0</v>
      </c>
      <c r="F11" s="69">
        <f t="shared" si="3"/>
        <v>57</v>
      </c>
      <c r="G11" s="69" t="str">
        <f>_xlfn.CONCAT(CHOOSE(Madeira!$I$32,"Brecilien","Bridgewatch","Caerleon","Fort Sterling","Lymhurst","Martlock","Thetford"),"B",H11)</f>
        <v>BrecilienB8</v>
      </c>
      <c r="H11" s="70">
        <v>8</v>
      </c>
      <c r="I11" s="65"/>
      <c r="J11" s="67" t="s">
        <v>102</v>
      </c>
      <c r="K11" s="68" cm="1">
        <f t="array" ref="K11">INDEX(TABUA,O11,1)</f>
        <v>0</v>
      </c>
      <c r="L11" s="68" cm="1">
        <f t="array" ref="L11">INDEX(TABUA,O11,2)</f>
        <v>0</v>
      </c>
      <c r="M11" s="68" cm="1">
        <f t="array" ref="M11">INDEX(TABUA,O11,3)</f>
        <v>0</v>
      </c>
      <c r="N11" s="68" cm="1">
        <f t="array" ref="N11">INDEX(TABUA,O11,4)</f>
        <v>0</v>
      </c>
      <c r="O11" s="69">
        <f t="shared" si="4"/>
        <v>57</v>
      </c>
      <c r="P11" s="69" t="str">
        <f>_xlfn.CONCAT(CHOOSE(Madeira!$I$34,"Brecilien","Bridgewatch","Caerleon","Fort Sterling","Lymhurst","Martlock","Thetford"),"R",Q11)</f>
        <v>BrecilienR8</v>
      </c>
      <c r="Q11" s="70">
        <v>8</v>
      </c>
      <c r="R11" s="65"/>
      <c r="S11" s="67" t="s">
        <v>102</v>
      </c>
      <c r="T11" s="68" cm="1">
        <f t="array" ref="T11">INDEX(TABUA,X11,1)</f>
        <v>0</v>
      </c>
      <c r="U11" s="68" cm="1">
        <f t="array" ref="U11">INDEX(TABUA,X11,2)</f>
        <v>0</v>
      </c>
      <c r="V11" s="68" cm="1">
        <f t="array" ref="V11">INDEX(TABUA,X11,3)</f>
        <v>0</v>
      </c>
      <c r="W11" s="68" cm="1">
        <f t="array" ref="W11">INDEX(TABUA,X11,4)</f>
        <v>0</v>
      </c>
      <c r="X11" s="69">
        <f t="shared" si="5"/>
        <v>57</v>
      </c>
      <c r="Y11" s="69" t="str">
        <f>_xlfn.CONCAT(CHOOSE(Madeira!$I$36,"Brecilien","Bridgewatch","Caerleon","Fort Sterling","Lymhurst","Martlock","Thetford"),"R",Z11)</f>
        <v>BrecilienR8</v>
      </c>
      <c r="Z11" s="70">
        <v>8</v>
      </c>
    </row>
    <row r="12" spans="1:26" x14ac:dyDescent="0.25">
      <c r="A12" s="67" t="s">
        <v>103</v>
      </c>
      <c r="B12" s="68" cm="1">
        <f t="array" ref="B12">INDEX(MADEIRA,F12,1)</f>
        <v>0</v>
      </c>
      <c r="C12" s="68" cm="1">
        <f t="array" ref="C12">INDEX(MADEIRA,F12,2)</f>
        <v>0</v>
      </c>
      <c r="D12" s="68" cm="1">
        <f t="array" ref="D12">INDEX(MADEIRA,F12,3)</f>
        <v>0</v>
      </c>
      <c r="E12" s="68" cm="1">
        <f t="array" ref="E12">INDEX(MADEIRA,F12,4)</f>
        <v>0</v>
      </c>
      <c r="F12" s="69">
        <f t="shared" si="3"/>
        <v>64</v>
      </c>
      <c r="G12" s="69" t="str">
        <f>_xlfn.CONCAT(CHOOSE(Madeira!$I$32,"Brecilien","Bridgewatch","Caerleon","Fort Sterling","Lymhurst","Martlock","Thetford"),"B",H12)</f>
        <v>BrecilienB9</v>
      </c>
      <c r="H12" s="70">
        <v>9</v>
      </c>
      <c r="I12" s="65"/>
      <c r="J12" s="67" t="s">
        <v>103</v>
      </c>
      <c r="K12" s="68" cm="1">
        <f t="array" ref="K12">INDEX(TABUA,O12,1)</f>
        <v>0</v>
      </c>
      <c r="L12" s="68" cm="1">
        <f t="array" ref="L12">INDEX(TABUA,O12,2)</f>
        <v>0</v>
      </c>
      <c r="M12" s="68" cm="1">
        <f t="array" ref="M12">INDEX(TABUA,O12,3)</f>
        <v>0</v>
      </c>
      <c r="N12" s="68" cm="1">
        <f t="array" ref="N12">INDEX(TABUA,O12,4)</f>
        <v>0</v>
      </c>
      <c r="O12" s="69">
        <f t="shared" si="4"/>
        <v>64</v>
      </c>
      <c r="P12" s="69" t="str">
        <f>_xlfn.CONCAT(CHOOSE(Madeira!$I$34,"Brecilien","Bridgewatch","Caerleon","Fort Sterling","Lymhurst","Martlock","Thetford"),"R",Q12)</f>
        <v>BrecilienR9</v>
      </c>
      <c r="Q12" s="70">
        <v>9</v>
      </c>
      <c r="R12" s="65"/>
      <c r="S12" s="67" t="s">
        <v>103</v>
      </c>
      <c r="T12" s="68" cm="1">
        <f t="array" ref="T12">INDEX(TABUA,X12,1)</f>
        <v>0</v>
      </c>
      <c r="U12" s="68" cm="1">
        <f t="array" ref="U12">INDEX(TABUA,X12,2)</f>
        <v>0</v>
      </c>
      <c r="V12" s="68" cm="1">
        <f t="array" ref="V12">INDEX(TABUA,X12,3)</f>
        <v>0</v>
      </c>
      <c r="W12" s="68" cm="1">
        <f t="array" ref="W12">INDEX(TABUA,X12,4)</f>
        <v>0</v>
      </c>
      <c r="X12" s="69">
        <f t="shared" si="5"/>
        <v>64</v>
      </c>
      <c r="Y12" s="69" t="str">
        <f>_xlfn.CONCAT(CHOOSE(Madeira!$I$36,"Brecilien","Bridgewatch","Caerleon","Fort Sterling","Lymhurst","Martlock","Thetford"),"R",Z12)</f>
        <v>BrecilienR9</v>
      </c>
      <c r="Z12" s="70">
        <v>9</v>
      </c>
    </row>
    <row r="13" spans="1:26" x14ac:dyDescent="0.25">
      <c r="A13" s="67" t="s">
        <v>104</v>
      </c>
      <c r="B13" s="68" cm="1">
        <f t="array" ref="B13">INDEX(MADEIRA,F13,1)</f>
        <v>0</v>
      </c>
      <c r="C13" s="68" cm="1">
        <f t="array" ref="C13">INDEX(MADEIRA,F13,2)</f>
        <v>0</v>
      </c>
      <c r="D13" s="68" cm="1">
        <f t="array" ref="D13">INDEX(MADEIRA,F13,3)</f>
        <v>0</v>
      </c>
      <c r="E13" s="68" cm="1">
        <f t="array" ref="E13">INDEX(MADEIRA,F13,4)</f>
        <v>0</v>
      </c>
      <c r="F13" s="69">
        <f t="shared" si="3"/>
        <v>71</v>
      </c>
      <c r="G13" s="69" t="str">
        <f>_xlfn.CONCAT(CHOOSE(Madeira!$I$32,"Brecilien","Bridgewatch","Caerleon","Fort Sterling","Lymhurst","Martlock","Thetford"),"B",H13)</f>
        <v>BrecilienB10</v>
      </c>
      <c r="H13" s="70">
        <v>10</v>
      </c>
      <c r="I13" s="65"/>
      <c r="J13" s="67" t="s">
        <v>104</v>
      </c>
      <c r="K13" s="68" cm="1">
        <f t="array" ref="K13">INDEX(TABUA,O13,1)</f>
        <v>0</v>
      </c>
      <c r="L13" s="68" cm="1">
        <f t="array" ref="L13">INDEX(TABUA,O13,2)</f>
        <v>0</v>
      </c>
      <c r="M13" s="68" cm="1">
        <f t="array" ref="M13">INDEX(TABUA,O13,3)</f>
        <v>0</v>
      </c>
      <c r="N13" s="68" cm="1">
        <f t="array" ref="N13">INDEX(TABUA,O13,4)</f>
        <v>0</v>
      </c>
      <c r="O13" s="69">
        <f t="shared" si="4"/>
        <v>71</v>
      </c>
      <c r="P13" s="69" t="str">
        <f>_xlfn.CONCAT(CHOOSE(Madeira!$I$34,"Brecilien","Bridgewatch","Caerleon","Fort Sterling","Lymhurst","Martlock","Thetford"),"R",Q13)</f>
        <v>BrecilienR10</v>
      </c>
      <c r="Q13" s="70">
        <v>10</v>
      </c>
      <c r="R13" s="65"/>
      <c r="S13" s="67" t="s">
        <v>104</v>
      </c>
      <c r="T13" s="68" cm="1">
        <f t="array" ref="T13">INDEX(TABUA,X13,1)</f>
        <v>0</v>
      </c>
      <c r="U13" s="68" cm="1">
        <f t="array" ref="U13">INDEX(TABUA,X13,2)</f>
        <v>0</v>
      </c>
      <c r="V13" s="68" cm="1">
        <f t="array" ref="V13">INDEX(TABUA,X13,3)</f>
        <v>0</v>
      </c>
      <c r="W13" s="68" cm="1">
        <f t="array" ref="W13">INDEX(TABUA,X13,4)</f>
        <v>0</v>
      </c>
      <c r="X13" s="69">
        <f t="shared" si="5"/>
        <v>71</v>
      </c>
      <c r="Y13" s="69" t="str">
        <f>_xlfn.CONCAT(CHOOSE(Madeira!$I$36,"Brecilien","Bridgewatch","Caerleon","Fort Sterling","Lymhurst","Martlock","Thetford"),"R",Z13)</f>
        <v>BrecilienR10</v>
      </c>
      <c r="Z13" s="70">
        <v>10</v>
      </c>
    </row>
    <row r="14" spans="1:26" x14ac:dyDescent="0.25">
      <c r="A14" s="67" t="s">
        <v>105</v>
      </c>
      <c r="B14" s="68" cm="1">
        <f t="array" ref="B14">INDEX(MADEIRA,F14,1)</f>
        <v>0</v>
      </c>
      <c r="C14" s="68" cm="1">
        <f t="array" ref="C14">INDEX(MADEIRA,F14,2)</f>
        <v>0</v>
      </c>
      <c r="D14" s="68" cm="1">
        <f t="array" ref="D14">INDEX(MADEIRA,F14,3)</f>
        <v>0</v>
      </c>
      <c r="E14" s="68" cm="1">
        <f t="array" ref="E14">INDEX(MADEIRA,F14,4)</f>
        <v>0</v>
      </c>
      <c r="F14" s="69">
        <f t="shared" si="3"/>
        <v>78</v>
      </c>
      <c r="G14" s="69" t="str">
        <f>_xlfn.CONCAT(CHOOSE(Madeira!$I$32,"Brecilien","Bridgewatch","Caerleon","Fort Sterling","Lymhurst","Martlock","Thetford"),"B",H14)</f>
        <v>BrecilienB11</v>
      </c>
      <c r="H14" s="70">
        <v>11</v>
      </c>
      <c r="I14" s="65"/>
      <c r="J14" s="67" t="s">
        <v>105</v>
      </c>
      <c r="K14" s="68" cm="1">
        <f t="array" ref="K14">INDEX(TABUA,O14,1)</f>
        <v>0</v>
      </c>
      <c r="L14" s="68" cm="1">
        <f t="array" ref="L14">INDEX(TABUA,O14,2)</f>
        <v>0</v>
      </c>
      <c r="M14" s="68" cm="1">
        <f t="array" ref="M14">INDEX(TABUA,O14,3)</f>
        <v>0</v>
      </c>
      <c r="N14" s="68" cm="1">
        <f t="array" ref="N14">INDEX(TABUA,O14,4)</f>
        <v>0</v>
      </c>
      <c r="O14" s="69">
        <f t="shared" si="4"/>
        <v>78</v>
      </c>
      <c r="P14" s="69" t="str">
        <f>_xlfn.CONCAT(CHOOSE(Madeira!$I$34,"Brecilien","Bridgewatch","Caerleon","Fort Sterling","Lymhurst","Martlock","Thetford"),"R",Q14)</f>
        <v>BrecilienR11</v>
      </c>
      <c r="Q14" s="70">
        <v>11</v>
      </c>
      <c r="R14" s="65"/>
      <c r="S14" s="67" t="s">
        <v>105</v>
      </c>
      <c r="T14" s="68" cm="1">
        <f t="array" ref="T14">INDEX(TABUA,X14,1)</f>
        <v>0</v>
      </c>
      <c r="U14" s="68" cm="1">
        <f t="array" ref="U14">INDEX(TABUA,X14,2)</f>
        <v>0</v>
      </c>
      <c r="V14" s="68" cm="1">
        <f t="array" ref="V14">INDEX(TABUA,X14,3)</f>
        <v>0</v>
      </c>
      <c r="W14" s="68" cm="1">
        <f t="array" ref="W14">INDEX(TABUA,X14,4)</f>
        <v>0</v>
      </c>
      <c r="X14" s="69">
        <f t="shared" si="5"/>
        <v>78</v>
      </c>
      <c r="Y14" s="69" t="str">
        <f>_xlfn.CONCAT(CHOOSE(Madeira!$I$36,"Brecilien","Bridgewatch","Caerleon","Fort Sterling","Lymhurst","Martlock","Thetford"),"R",Z14)</f>
        <v>BrecilienR11</v>
      </c>
      <c r="Z14" s="70">
        <v>11</v>
      </c>
    </row>
    <row r="15" spans="1:26" x14ac:dyDescent="0.25">
      <c r="A15" s="67" t="s">
        <v>106</v>
      </c>
      <c r="B15" s="68" cm="1">
        <f t="array" ref="B15">INDEX(MADEIRA,F15,1)</f>
        <v>546</v>
      </c>
      <c r="C15" s="68" t="str" cm="1">
        <f t="array" ref="C15">INDEX(MADEIRA,F15,2)</f>
        <v>2025-01-08T16:15:00</v>
      </c>
      <c r="D15" s="68" cm="1">
        <f t="array" ref="D15">INDEX(MADEIRA,F15,3)</f>
        <v>561</v>
      </c>
      <c r="E15" s="68" t="str" cm="1">
        <f t="array" ref="E15">INDEX(MADEIRA,F15,4)</f>
        <v>2025-01-08T02:10:00</v>
      </c>
      <c r="F15" s="69">
        <f t="shared" si="3"/>
        <v>85</v>
      </c>
      <c r="G15" s="69" t="str">
        <f>_xlfn.CONCAT(CHOOSE(Madeira!$I$32,"Brecilien","Bridgewatch","Caerleon","Fort Sterling","Lymhurst","Martlock","Thetford"),"B",H15)</f>
        <v>BrecilienB12</v>
      </c>
      <c r="H15" s="70">
        <v>12</v>
      </c>
      <c r="I15" s="65"/>
      <c r="J15" s="67" t="s">
        <v>106</v>
      </c>
      <c r="K15" s="68" cm="1">
        <f t="array" ref="K15">INDEX(TABUA,O15,1)</f>
        <v>2562</v>
      </c>
      <c r="L15" s="68" t="str" cm="1">
        <f t="array" ref="L15">INDEX(TABUA,O15,2)</f>
        <v>2025-01-08T09:15:00</v>
      </c>
      <c r="M15" s="68" cm="1">
        <f t="array" ref="M15">INDEX(TABUA,O15,3)</f>
        <v>0</v>
      </c>
      <c r="N15" s="68" cm="1">
        <f t="array" ref="N15">INDEX(TABUA,O15,4)</f>
        <v>0</v>
      </c>
      <c r="O15" s="69">
        <f t="shared" si="4"/>
        <v>85</v>
      </c>
      <c r="P15" s="69" t="str">
        <f>_xlfn.CONCAT(CHOOSE(Madeira!$I$34,"Brecilien","Bridgewatch","Caerleon","Fort Sterling","Lymhurst","Martlock","Thetford"),"R",Q15)</f>
        <v>BrecilienR12</v>
      </c>
      <c r="Q15" s="70">
        <v>12</v>
      </c>
      <c r="R15" s="65"/>
      <c r="S15" s="67" t="s">
        <v>106</v>
      </c>
      <c r="T15" s="68" cm="1">
        <f t="array" ref="T15">INDEX(TABUA,X15,1)</f>
        <v>2562</v>
      </c>
      <c r="U15" s="68" t="str" cm="1">
        <f t="array" ref="U15">INDEX(TABUA,X15,2)</f>
        <v>2025-01-08T09:15:00</v>
      </c>
      <c r="V15" s="68" cm="1">
        <f t="array" ref="V15">INDEX(TABUA,X15,3)</f>
        <v>0</v>
      </c>
      <c r="W15" s="68" cm="1">
        <f t="array" ref="W15">INDEX(TABUA,X15,4)</f>
        <v>0</v>
      </c>
      <c r="X15" s="69">
        <f t="shared" si="5"/>
        <v>85</v>
      </c>
      <c r="Y15" s="69" t="str">
        <f>_xlfn.CONCAT(CHOOSE(Madeira!$I$36,"Brecilien","Bridgewatch","Caerleon","Fort Sterling","Lymhurst","Martlock","Thetford"),"R",Z15)</f>
        <v>BrecilienR12</v>
      </c>
      <c r="Z15" s="70">
        <v>12</v>
      </c>
    </row>
    <row r="16" spans="1:26" x14ac:dyDescent="0.25">
      <c r="A16" s="67" t="s">
        <v>107</v>
      </c>
      <c r="B16" s="68" cm="1">
        <f t="array" ref="B16">INDEX(MADEIRA,F16,1)</f>
        <v>978</v>
      </c>
      <c r="C16" s="68" t="str" cm="1">
        <f t="array" ref="C16">INDEX(MADEIRA,F16,2)</f>
        <v>2025-01-08T21:10:00</v>
      </c>
      <c r="D16" s="68" cm="1">
        <f t="array" ref="D16">INDEX(MADEIRA,F16,3)</f>
        <v>977</v>
      </c>
      <c r="E16" s="68" t="str" cm="1">
        <f t="array" ref="E16">INDEX(MADEIRA,F16,4)</f>
        <v>2025-01-08T21:10:00</v>
      </c>
      <c r="F16" s="69">
        <f t="shared" si="3"/>
        <v>92</v>
      </c>
      <c r="G16" s="69" t="str">
        <f>_xlfn.CONCAT(CHOOSE(Madeira!$I$32,"Brecilien","Bridgewatch","Caerleon","Fort Sterling","Lymhurst","Martlock","Thetford"),"B",H16)</f>
        <v>BrecilienB13</v>
      </c>
      <c r="H16" s="70">
        <v>13</v>
      </c>
      <c r="I16" s="65"/>
      <c r="J16" s="67" t="s">
        <v>107</v>
      </c>
      <c r="K16" s="68" cm="1">
        <f t="array" ref="K16">INDEX(TABUA,O16,1)</f>
        <v>0</v>
      </c>
      <c r="L16" s="68" cm="1">
        <f t="array" ref="L16">INDEX(TABUA,O16,2)</f>
        <v>0</v>
      </c>
      <c r="M16" s="68" cm="1">
        <f t="array" ref="M16">INDEX(TABUA,O16,3)</f>
        <v>0</v>
      </c>
      <c r="N16" s="68" cm="1">
        <f t="array" ref="N16">INDEX(TABUA,O16,4)</f>
        <v>0</v>
      </c>
      <c r="O16" s="69">
        <f t="shared" si="4"/>
        <v>92</v>
      </c>
      <c r="P16" s="69" t="str">
        <f>_xlfn.CONCAT(CHOOSE(Madeira!$I$34,"Brecilien","Bridgewatch","Caerleon","Fort Sterling","Lymhurst","Martlock","Thetford"),"R",Q16)</f>
        <v>BrecilienR13</v>
      </c>
      <c r="Q16" s="70">
        <v>13</v>
      </c>
      <c r="R16" s="65"/>
      <c r="S16" s="67" t="s">
        <v>107</v>
      </c>
      <c r="T16" s="68" cm="1">
        <f t="array" ref="T16">INDEX(TABUA,X16,1)</f>
        <v>0</v>
      </c>
      <c r="U16" s="68" cm="1">
        <f t="array" ref="U16">INDEX(TABUA,X16,2)</f>
        <v>0</v>
      </c>
      <c r="V16" s="68" cm="1">
        <f t="array" ref="V16">INDEX(TABUA,X16,3)</f>
        <v>0</v>
      </c>
      <c r="W16" s="68" cm="1">
        <f t="array" ref="W16">INDEX(TABUA,X16,4)</f>
        <v>0</v>
      </c>
      <c r="X16" s="69">
        <f t="shared" si="5"/>
        <v>92</v>
      </c>
      <c r="Y16" s="69" t="str">
        <f>_xlfn.CONCAT(CHOOSE(Madeira!$I$36,"Brecilien","Bridgewatch","Caerleon","Fort Sterling","Lymhurst","Martlock","Thetford"),"R",Z16)</f>
        <v>BrecilienR13</v>
      </c>
      <c r="Z16" s="70">
        <v>13</v>
      </c>
    </row>
    <row r="17" spans="1:26" x14ac:dyDescent="0.25">
      <c r="A17" s="67" t="s">
        <v>108</v>
      </c>
      <c r="B17" s="68" cm="1">
        <f t="array" ref="B17">INDEX(MADEIRA,F17,1)</f>
        <v>6290</v>
      </c>
      <c r="C17" s="68" t="str" cm="1">
        <f t="array" ref="C17">INDEX(MADEIRA,F17,2)</f>
        <v>2025-01-08T21:10:00</v>
      </c>
      <c r="D17" s="68" cm="1">
        <f t="array" ref="D17">INDEX(MADEIRA,F17,3)</f>
        <v>5801</v>
      </c>
      <c r="E17" s="68" t="str" cm="1">
        <f t="array" ref="E17">INDEX(MADEIRA,F17,4)</f>
        <v>2025-01-08T21:10:00</v>
      </c>
      <c r="F17" s="69">
        <f t="shared" si="3"/>
        <v>99</v>
      </c>
      <c r="G17" s="69" t="str">
        <f>_xlfn.CONCAT(CHOOSE(Madeira!$I$32,"Brecilien","Bridgewatch","Caerleon","Fort Sterling","Lymhurst","Martlock","Thetford"),"B",H17)</f>
        <v>BrecilienB14</v>
      </c>
      <c r="H17" s="70">
        <v>14</v>
      </c>
      <c r="I17" s="65"/>
      <c r="J17" s="67" t="s">
        <v>108</v>
      </c>
      <c r="K17" s="68" cm="1">
        <f t="array" ref="K17">INDEX(TABUA,O17,1)</f>
        <v>0</v>
      </c>
      <c r="L17" s="68" cm="1">
        <f t="array" ref="L17">INDEX(TABUA,O17,2)</f>
        <v>0</v>
      </c>
      <c r="M17" s="68" cm="1">
        <f t="array" ref="M17">INDEX(TABUA,O17,3)</f>
        <v>0</v>
      </c>
      <c r="N17" s="68" cm="1">
        <f t="array" ref="N17">INDEX(TABUA,O17,4)</f>
        <v>0</v>
      </c>
      <c r="O17" s="69">
        <f t="shared" si="4"/>
        <v>99</v>
      </c>
      <c r="P17" s="69" t="str">
        <f>_xlfn.CONCAT(CHOOSE(Madeira!$I$34,"Brecilien","Bridgewatch","Caerleon","Fort Sterling","Lymhurst","Martlock","Thetford"),"R",Q17)</f>
        <v>BrecilienR14</v>
      </c>
      <c r="Q17" s="70">
        <v>14</v>
      </c>
      <c r="R17" s="65"/>
      <c r="S17" s="67" t="s">
        <v>108</v>
      </c>
      <c r="T17" s="68" cm="1">
        <f t="array" ref="T17">INDEX(TABUA,X17,1)</f>
        <v>0</v>
      </c>
      <c r="U17" s="68" cm="1">
        <f t="array" ref="U17">INDEX(TABUA,X17,2)</f>
        <v>0</v>
      </c>
      <c r="V17" s="68" cm="1">
        <f t="array" ref="V17">INDEX(TABUA,X17,3)</f>
        <v>0</v>
      </c>
      <c r="W17" s="68" cm="1">
        <f t="array" ref="W17">INDEX(TABUA,X17,4)</f>
        <v>0</v>
      </c>
      <c r="X17" s="69">
        <f t="shared" si="5"/>
        <v>99</v>
      </c>
      <c r="Y17" s="69" t="str">
        <f>_xlfn.CONCAT(CHOOSE(Madeira!$I$36,"Brecilien","Bridgewatch","Caerleon","Fort Sterling","Lymhurst","Martlock","Thetford"),"R",Z17)</f>
        <v>BrecilienR14</v>
      </c>
      <c r="Z17" s="70">
        <v>14</v>
      </c>
    </row>
    <row r="18" spans="1:26" x14ac:dyDescent="0.25">
      <c r="A18" s="67" t="s">
        <v>109</v>
      </c>
      <c r="B18" s="68" cm="1">
        <f t="array" ref="B18">INDEX(MADEIRA,F18,1)</f>
        <v>18888</v>
      </c>
      <c r="C18" s="68" t="str" cm="1">
        <f t="array" ref="C18">INDEX(MADEIRA,F18,2)</f>
        <v>2025-01-07T23:20:00</v>
      </c>
      <c r="D18" s="68" cm="1">
        <f t="array" ref="D18">INDEX(MADEIRA,F18,3)</f>
        <v>0</v>
      </c>
      <c r="E18" s="68" cm="1">
        <f t="array" ref="E18">INDEX(MADEIRA,F18,4)</f>
        <v>0</v>
      </c>
      <c r="F18" s="69">
        <f t="shared" si="3"/>
        <v>106</v>
      </c>
      <c r="G18" s="69" t="str">
        <f>_xlfn.CONCAT(CHOOSE(Madeira!$I$32,"Brecilien","Bridgewatch","Caerleon","Fort Sterling","Lymhurst","Martlock","Thetford"),"B",H18)</f>
        <v>BrecilienB15</v>
      </c>
      <c r="H18" s="70">
        <v>15</v>
      </c>
      <c r="I18" s="65"/>
      <c r="J18" s="67" t="s">
        <v>109</v>
      </c>
      <c r="K18" s="68" cm="1">
        <f t="array" ref="K18">INDEX(TABUA,O18,1)</f>
        <v>64079</v>
      </c>
      <c r="L18" s="68" t="str" cm="1">
        <f t="array" ref="L18">INDEX(TABUA,O18,2)</f>
        <v>2025-01-08T09:15:00</v>
      </c>
      <c r="M18" s="68" cm="1">
        <f t="array" ref="M18">INDEX(TABUA,O18,3)</f>
        <v>0</v>
      </c>
      <c r="N18" s="68" cm="1">
        <f t="array" ref="N18">INDEX(TABUA,O18,4)</f>
        <v>0</v>
      </c>
      <c r="O18" s="69">
        <f t="shared" si="4"/>
        <v>106</v>
      </c>
      <c r="P18" s="69" t="str">
        <f>_xlfn.CONCAT(CHOOSE(Madeira!$I$34,"Brecilien","Bridgewatch","Caerleon","Fort Sterling","Lymhurst","Martlock","Thetford"),"R",Q18)</f>
        <v>BrecilienR15</v>
      </c>
      <c r="Q18" s="70">
        <v>15</v>
      </c>
      <c r="R18" s="65"/>
      <c r="S18" s="67" t="s">
        <v>109</v>
      </c>
      <c r="T18" s="68" cm="1">
        <f t="array" ref="T18">INDEX(TABUA,X18,1)</f>
        <v>64079</v>
      </c>
      <c r="U18" s="68" t="str" cm="1">
        <f t="array" ref="U18">INDEX(TABUA,X18,2)</f>
        <v>2025-01-08T09:15:00</v>
      </c>
      <c r="V18" s="68" cm="1">
        <f t="array" ref="V18">INDEX(TABUA,X18,3)</f>
        <v>0</v>
      </c>
      <c r="W18" s="68" cm="1">
        <f t="array" ref="W18">INDEX(TABUA,X18,4)</f>
        <v>0</v>
      </c>
      <c r="X18" s="69">
        <f t="shared" si="5"/>
        <v>106</v>
      </c>
      <c r="Y18" s="69" t="str">
        <f>_xlfn.CONCAT(CHOOSE(Madeira!$I$36,"Brecilien","Bridgewatch","Caerleon","Fort Sterling","Lymhurst","Martlock","Thetford"),"R",Z18)</f>
        <v>BrecilienR15</v>
      </c>
      <c r="Z18" s="70">
        <v>15</v>
      </c>
    </row>
    <row r="19" spans="1:26" x14ac:dyDescent="0.25">
      <c r="A19" s="67" t="s">
        <v>110</v>
      </c>
      <c r="B19" s="68" cm="1">
        <f t="array" ref="B19">INDEX(MADEIRA,F19,1)</f>
        <v>93998</v>
      </c>
      <c r="C19" s="68" t="str" cm="1">
        <f t="array" ref="C19">INDEX(MADEIRA,F19,2)</f>
        <v>2025-01-08T09:15:00</v>
      </c>
      <c r="D19" s="68" cm="1">
        <f t="array" ref="D19">INDEX(MADEIRA,F19,3)</f>
        <v>0</v>
      </c>
      <c r="E19" s="68" cm="1">
        <f t="array" ref="E19">INDEX(MADEIRA,F19,4)</f>
        <v>0</v>
      </c>
      <c r="F19" s="69">
        <f t="shared" si="3"/>
        <v>113</v>
      </c>
      <c r="G19" s="69" t="str">
        <f>_xlfn.CONCAT(CHOOSE(Madeira!$I$32,"Brecilien","Bridgewatch","Caerleon","Fort Sterling","Lymhurst","Martlock","Thetford"),"B",H19)</f>
        <v>BrecilienB16</v>
      </c>
      <c r="H19" s="70">
        <v>16</v>
      </c>
      <c r="I19" s="65"/>
      <c r="J19" s="67" t="s">
        <v>110</v>
      </c>
      <c r="K19" s="68" cm="1">
        <f t="array" ref="K19">INDEX(TABUA,O19,1)</f>
        <v>287000</v>
      </c>
      <c r="L19" s="68" t="str" cm="1">
        <f t="array" ref="L19">INDEX(TABUA,O19,2)</f>
        <v>2025-01-08T09:15:00</v>
      </c>
      <c r="M19" s="68" cm="1">
        <f t="array" ref="M19">INDEX(TABUA,O19,3)</f>
        <v>0</v>
      </c>
      <c r="N19" s="68" cm="1">
        <f t="array" ref="N19">INDEX(TABUA,O19,4)</f>
        <v>0</v>
      </c>
      <c r="O19" s="69">
        <f t="shared" si="4"/>
        <v>113</v>
      </c>
      <c r="P19" s="69" t="str">
        <f>_xlfn.CONCAT(CHOOSE(Madeira!$I$34,"Brecilien","Bridgewatch","Caerleon","Fort Sterling","Lymhurst","Martlock","Thetford"),"R",Q19)</f>
        <v>BrecilienR16</v>
      </c>
      <c r="Q19" s="70">
        <v>16</v>
      </c>
      <c r="R19" s="65"/>
      <c r="S19" s="67" t="s">
        <v>110</v>
      </c>
      <c r="T19" s="68" cm="1">
        <f t="array" ref="T19">INDEX(TABUA,X19,1)</f>
        <v>287000</v>
      </c>
      <c r="U19" s="68" t="str" cm="1">
        <f t="array" ref="U19">INDEX(TABUA,X19,2)</f>
        <v>2025-01-08T09:15:00</v>
      </c>
      <c r="V19" s="68" cm="1">
        <f t="array" ref="V19">INDEX(TABUA,X19,3)</f>
        <v>0</v>
      </c>
      <c r="W19" s="68" cm="1">
        <f t="array" ref="W19">INDEX(TABUA,X19,4)</f>
        <v>0</v>
      </c>
      <c r="X19" s="69">
        <f t="shared" si="5"/>
        <v>113</v>
      </c>
      <c r="Y19" s="69" t="str">
        <f>_xlfn.CONCAT(CHOOSE(Madeira!$I$36,"Brecilien","Bridgewatch","Caerleon","Fort Sterling","Lymhurst","Martlock","Thetford"),"R",Z19)</f>
        <v>BrecilienR16</v>
      </c>
      <c r="Z19" s="70">
        <v>16</v>
      </c>
    </row>
    <row r="20" spans="1:26" x14ac:dyDescent="0.25">
      <c r="A20" s="67" t="s">
        <v>111</v>
      </c>
      <c r="B20" s="68" cm="1">
        <f t="array" ref="B20">INDEX(MADEIRA,F20,1)</f>
        <v>1717</v>
      </c>
      <c r="C20" s="68" t="str" cm="1">
        <f t="array" ref="C20">INDEX(MADEIRA,F20,2)</f>
        <v>2025-01-08T21:10:00</v>
      </c>
      <c r="D20" s="68" cm="1">
        <f t="array" ref="D20">INDEX(MADEIRA,F20,3)</f>
        <v>1612</v>
      </c>
      <c r="E20" s="68" t="str" cm="1">
        <f t="array" ref="E20">INDEX(MADEIRA,F20,4)</f>
        <v>2025-01-08T21:10:00</v>
      </c>
      <c r="F20" s="69">
        <f t="shared" si="3"/>
        <v>120</v>
      </c>
      <c r="G20" s="69" t="str">
        <f>_xlfn.CONCAT(CHOOSE(Madeira!$I$32,"Brecilien","Bridgewatch","Caerleon","Fort Sterling","Lymhurst","Martlock","Thetford"),"B",H20)</f>
        <v>BrecilienB17</v>
      </c>
      <c r="H20" s="70">
        <v>17</v>
      </c>
      <c r="I20" s="65"/>
      <c r="J20" s="67" t="s">
        <v>111</v>
      </c>
      <c r="K20" s="68" cm="1">
        <f t="array" ref="K20">INDEX(TABUA,O20,1)</f>
        <v>9996</v>
      </c>
      <c r="L20" s="68" t="str" cm="1">
        <f t="array" ref="L20">INDEX(TABUA,O20,2)</f>
        <v>2025-01-08T21:20:00</v>
      </c>
      <c r="M20" s="68" cm="1">
        <f t="array" ref="M20">INDEX(TABUA,O20,3)</f>
        <v>3001</v>
      </c>
      <c r="N20" s="68" t="str" cm="1">
        <f t="array" ref="N20">INDEX(TABUA,O20,4)</f>
        <v>2025-01-08T21:15:00</v>
      </c>
      <c r="O20" s="69">
        <f t="shared" si="4"/>
        <v>120</v>
      </c>
      <c r="P20" s="69" t="str">
        <f>_xlfn.CONCAT(CHOOSE(Madeira!$I$34,"Brecilien","Bridgewatch","Caerleon","Fort Sterling","Lymhurst","Martlock","Thetford"),"R",Q20)</f>
        <v>BrecilienR17</v>
      </c>
      <c r="Q20" s="70">
        <v>17</v>
      </c>
      <c r="R20" s="65"/>
      <c r="S20" s="67" t="s">
        <v>111</v>
      </c>
      <c r="T20" s="68" cm="1">
        <f t="array" ref="T20">INDEX(TABUA,X20,1)</f>
        <v>9996</v>
      </c>
      <c r="U20" s="68" t="str" cm="1">
        <f t="array" ref="U20">INDEX(TABUA,X20,2)</f>
        <v>2025-01-08T21:20:00</v>
      </c>
      <c r="V20" s="68" cm="1">
        <f t="array" ref="V20">INDEX(TABUA,X20,3)</f>
        <v>3001</v>
      </c>
      <c r="W20" s="68" t="str" cm="1">
        <f t="array" ref="W20">INDEX(TABUA,X20,4)</f>
        <v>2025-01-08T21:15:00</v>
      </c>
      <c r="X20" s="69">
        <f t="shared" si="5"/>
        <v>120</v>
      </c>
      <c r="Y20" s="69" t="str">
        <f>_xlfn.CONCAT(CHOOSE(Madeira!$I$36,"Brecilien","Bridgewatch","Caerleon","Fort Sterling","Lymhurst","Martlock","Thetford"),"R",Z20)</f>
        <v>BrecilienR17</v>
      </c>
      <c r="Z20" s="70">
        <v>17</v>
      </c>
    </row>
    <row r="21" spans="1:26" x14ac:dyDescent="0.25">
      <c r="A21" s="67" t="s">
        <v>112</v>
      </c>
      <c r="B21" s="68" cm="1">
        <f t="array" ref="B21">INDEX(MADEIRA,F21,1)</f>
        <v>3737</v>
      </c>
      <c r="C21" s="68" t="str" cm="1">
        <f t="array" ref="C21">INDEX(MADEIRA,F21,2)</f>
        <v>2025-01-08T21:10:00</v>
      </c>
      <c r="D21" s="68" cm="1">
        <f t="array" ref="D21">INDEX(MADEIRA,F21,3)</f>
        <v>3153</v>
      </c>
      <c r="E21" s="68" t="str" cm="1">
        <f t="array" ref="E21">INDEX(MADEIRA,F21,4)</f>
        <v>2025-01-08T21:10:00</v>
      </c>
      <c r="F21" s="69">
        <f t="shared" si="3"/>
        <v>127</v>
      </c>
      <c r="G21" s="69" t="str">
        <f>_xlfn.CONCAT(CHOOSE(Madeira!$I$32,"Brecilien","Bridgewatch","Caerleon","Fort Sterling","Lymhurst","Martlock","Thetford"),"B",H21)</f>
        <v>BrecilienB18</v>
      </c>
      <c r="H21" s="70">
        <v>18</v>
      </c>
      <c r="I21" s="65"/>
      <c r="J21" s="67" t="s">
        <v>112</v>
      </c>
      <c r="K21" s="68" cm="1">
        <f t="array" ref="K21">INDEX(TABUA,O21,1)</f>
        <v>19995</v>
      </c>
      <c r="L21" s="68" t="str" cm="1">
        <f t="array" ref="L21">INDEX(TABUA,O21,2)</f>
        <v>2025-01-08T21:15:00</v>
      </c>
      <c r="M21" s="68" cm="1">
        <f t="array" ref="M21">INDEX(TABUA,O21,3)</f>
        <v>0</v>
      </c>
      <c r="N21" s="68" cm="1">
        <f t="array" ref="N21">INDEX(TABUA,O21,4)</f>
        <v>0</v>
      </c>
      <c r="O21" s="69">
        <f t="shared" si="4"/>
        <v>127</v>
      </c>
      <c r="P21" s="69" t="str">
        <f>_xlfn.CONCAT(CHOOSE(Madeira!$I$34,"Brecilien","Bridgewatch","Caerleon","Fort Sterling","Lymhurst","Martlock","Thetford"),"R",Q21)</f>
        <v>BrecilienR18</v>
      </c>
      <c r="Q21" s="70">
        <v>18</v>
      </c>
      <c r="R21" s="65"/>
      <c r="S21" s="67" t="s">
        <v>112</v>
      </c>
      <c r="T21" s="68" cm="1">
        <f t="array" ref="T21">INDEX(TABUA,X21,1)</f>
        <v>19995</v>
      </c>
      <c r="U21" s="68" t="str" cm="1">
        <f t="array" ref="U21">INDEX(TABUA,X21,2)</f>
        <v>2025-01-08T21:15:00</v>
      </c>
      <c r="V21" s="68" cm="1">
        <f t="array" ref="V21">INDEX(TABUA,X21,3)</f>
        <v>0</v>
      </c>
      <c r="W21" s="68" cm="1">
        <f t="array" ref="W21">INDEX(TABUA,X21,4)</f>
        <v>0</v>
      </c>
      <c r="X21" s="69">
        <f t="shared" si="5"/>
        <v>127</v>
      </c>
      <c r="Y21" s="69" t="str">
        <f>_xlfn.CONCAT(CHOOSE(Madeira!$I$36,"Brecilien","Bridgewatch","Caerleon","Fort Sterling","Lymhurst","Martlock","Thetford"),"R",Z21)</f>
        <v>BrecilienR18</v>
      </c>
      <c r="Z21" s="70">
        <v>18</v>
      </c>
    </row>
    <row r="22" spans="1:26" x14ac:dyDescent="0.25">
      <c r="A22" s="67" t="s">
        <v>113</v>
      </c>
      <c r="B22" s="68" cm="1">
        <f t="array" ref="B22">INDEX(MADEIRA,F22,1)</f>
        <v>9000</v>
      </c>
      <c r="C22" s="68" t="str" cm="1">
        <f t="array" ref="C22">INDEX(MADEIRA,F22,2)</f>
        <v>2025-01-08T09:15:00</v>
      </c>
      <c r="D22" s="68" cm="1">
        <f t="array" ref="D22">INDEX(MADEIRA,F22,3)</f>
        <v>0</v>
      </c>
      <c r="E22" s="68" cm="1">
        <f t="array" ref="E22">INDEX(MADEIRA,F22,4)</f>
        <v>0</v>
      </c>
      <c r="F22" s="69">
        <f t="shared" si="3"/>
        <v>134</v>
      </c>
      <c r="G22" s="69" t="str">
        <f>_xlfn.CONCAT(CHOOSE(Madeira!$I$32,"Brecilien","Bridgewatch","Caerleon","Fort Sterling","Lymhurst","Martlock","Thetford"),"B",H22)</f>
        <v>BrecilienB19</v>
      </c>
      <c r="H22" s="70">
        <v>19</v>
      </c>
      <c r="I22" s="65"/>
      <c r="J22" s="67" t="s">
        <v>113</v>
      </c>
      <c r="K22" s="68" cm="1">
        <f t="array" ref="K22">INDEX(TABUA,O22,1)</f>
        <v>45000</v>
      </c>
      <c r="L22" s="68" t="str" cm="1">
        <f t="array" ref="L22">INDEX(TABUA,O22,2)</f>
        <v>2025-01-08T21:15:00</v>
      </c>
      <c r="M22" s="68" cm="1">
        <f t="array" ref="M22">INDEX(TABUA,O22,3)</f>
        <v>0</v>
      </c>
      <c r="N22" s="68" cm="1">
        <f t="array" ref="N22">INDEX(TABUA,O22,4)</f>
        <v>0</v>
      </c>
      <c r="O22" s="69">
        <f t="shared" si="4"/>
        <v>134</v>
      </c>
      <c r="P22" s="69" t="str">
        <f>_xlfn.CONCAT(CHOOSE(Madeira!$I$34,"Brecilien","Bridgewatch","Caerleon","Fort Sterling","Lymhurst","Martlock","Thetford"),"R",Q22)</f>
        <v>BrecilienR19</v>
      </c>
      <c r="Q22" s="70">
        <v>19</v>
      </c>
      <c r="R22" s="65"/>
      <c r="S22" s="67" t="s">
        <v>113</v>
      </c>
      <c r="T22" s="68" cm="1">
        <f t="array" ref="T22">INDEX(TABUA,X22,1)</f>
        <v>45000</v>
      </c>
      <c r="U22" s="68" t="str" cm="1">
        <f t="array" ref="U22">INDEX(TABUA,X22,2)</f>
        <v>2025-01-08T21:15:00</v>
      </c>
      <c r="V22" s="68" cm="1">
        <f t="array" ref="V22">INDEX(TABUA,X22,3)</f>
        <v>0</v>
      </c>
      <c r="W22" s="68" cm="1">
        <f t="array" ref="W22">INDEX(TABUA,X22,4)</f>
        <v>0</v>
      </c>
      <c r="X22" s="69">
        <f t="shared" si="5"/>
        <v>134</v>
      </c>
      <c r="Y22" s="69" t="str">
        <f>_xlfn.CONCAT(CHOOSE(Madeira!$I$36,"Brecilien","Bridgewatch","Caerleon","Fort Sterling","Lymhurst","Martlock","Thetford"),"R",Z22)</f>
        <v>BrecilienR19</v>
      </c>
      <c r="Z22" s="70">
        <v>19</v>
      </c>
    </row>
    <row r="23" spans="1:26" x14ac:dyDescent="0.25">
      <c r="A23" s="67" t="s">
        <v>114</v>
      </c>
      <c r="B23" s="68" cm="1">
        <f t="array" ref="B23">INDEX(MADEIRA,F23,1)</f>
        <v>57987</v>
      </c>
      <c r="C23" s="68" t="str" cm="1">
        <f t="array" ref="C23">INDEX(MADEIRA,F23,2)</f>
        <v>2025-01-08T13:25:00</v>
      </c>
      <c r="D23" s="68" cm="1">
        <f t="array" ref="D23">INDEX(MADEIRA,F23,3)</f>
        <v>0</v>
      </c>
      <c r="E23" s="68" cm="1">
        <f t="array" ref="E23">INDEX(MADEIRA,F23,4)</f>
        <v>0</v>
      </c>
      <c r="F23" s="69">
        <f t="shared" si="3"/>
        <v>141</v>
      </c>
      <c r="G23" s="69" t="str">
        <f>_xlfn.CONCAT(CHOOSE(Madeira!$I$32,"Brecilien","Bridgewatch","Caerleon","Fort Sterling","Lymhurst","Martlock","Thetford"),"B",H23)</f>
        <v>BrecilienB20</v>
      </c>
      <c r="H23" s="70">
        <v>20</v>
      </c>
      <c r="I23" s="65"/>
      <c r="J23" s="67" t="s">
        <v>114</v>
      </c>
      <c r="K23" s="68" cm="1">
        <f t="array" ref="K23">INDEX(TABUA,O23,1)</f>
        <v>209970</v>
      </c>
      <c r="L23" s="68" t="str" cm="1">
        <f t="array" ref="L23">INDEX(TABUA,O23,2)</f>
        <v>2025-01-08T21:15:00</v>
      </c>
      <c r="M23" s="68" cm="1">
        <f t="array" ref="M23">INDEX(TABUA,O23,3)</f>
        <v>0</v>
      </c>
      <c r="N23" s="68" cm="1">
        <f t="array" ref="N23">INDEX(TABUA,O23,4)</f>
        <v>0</v>
      </c>
      <c r="O23" s="69">
        <f t="shared" si="4"/>
        <v>141</v>
      </c>
      <c r="P23" s="69" t="str">
        <f>_xlfn.CONCAT(CHOOSE(Madeira!$I$34,"Brecilien","Bridgewatch","Caerleon","Fort Sterling","Lymhurst","Martlock","Thetford"),"R",Q23)</f>
        <v>BrecilienR20</v>
      </c>
      <c r="Q23" s="70">
        <v>20</v>
      </c>
      <c r="R23" s="65"/>
      <c r="S23" s="67" t="s">
        <v>114</v>
      </c>
      <c r="T23" s="68" cm="1">
        <f t="array" ref="T23">INDEX(TABUA,X23,1)</f>
        <v>209970</v>
      </c>
      <c r="U23" s="68" t="str" cm="1">
        <f t="array" ref="U23">INDEX(TABUA,X23,2)</f>
        <v>2025-01-08T21:15:00</v>
      </c>
      <c r="V23" s="68" cm="1">
        <f t="array" ref="V23">INDEX(TABUA,X23,3)</f>
        <v>0</v>
      </c>
      <c r="W23" s="68" cm="1">
        <f t="array" ref="W23">INDEX(TABUA,X23,4)</f>
        <v>0</v>
      </c>
      <c r="X23" s="69">
        <f t="shared" si="5"/>
        <v>141</v>
      </c>
      <c r="Y23" s="69" t="str">
        <f>_xlfn.CONCAT(CHOOSE(Madeira!$I$36,"Brecilien","Bridgewatch","Caerleon","Fort Sterling","Lymhurst","Martlock","Thetford"),"R",Z23)</f>
        <v>BrecilienR20</v>
      </c>
      <c r="Z23" s="70">
        <v>20</v>
      </c>
    </row>
    <row r="24" spans="1:26" x14ac:dyDescent="0.25">
      <c r="A24" s="67" t="s">
        <v>115</v>
      </c>
      <c r="B24" s="68" cm="1">
        <f t="array" ref="B24">INDEX(MADEIRA,F24,1)</f>
        <v>0</v>
      </c>
      <c r="C24" s="68" cm="1">
        <f t="array" ref="C24">INDEX(MADEIRA,F24,2)</f>
        <v>0</v>
      </c>
      <c r="D24" s="68" cm="1">
        <f t="array" ref="D24">INDEX(MADEIRA,F24,3)</f>
        <v>0</v>
      </c>
      <c r="E24" s="68" cm="1">
        <f t="array" ref="E24">INDEX(MADEIRA,F24,4)</f>
        <v>0</v>
      </c>
      <c r="F24" s="69">
        <f t="shared" si="3"/>
        <v>148</v>
      </c>
      <c r="G24" s="69" t="str">
        <f>_xlfn.CONCAT(CHOOSE(Madeira!$I$32,"Brecilien","Bridgewatch","Caerleon","Fort Sterling","Lymhurst","Martlock","Thetford"),"B",H24)</f>
        <v>BrecilienB21</v>
      </c>
      <c r="H24" s="70">
        <v>21</v>
      </c>
      <c r="I24" s="65"/>
      <c r="J24" s="67" t="s">
        <v>115</v>
      </c>
      <c r="K24" s="68" cm="1">
        <f t="array" ref="K24">INDEX(TABUA,O24,1)</f>
        <v>0</v>
      </c>
      <c r="L24" s="68" cm="1">
        <f t="array" ref="L24">INDEX(TABUA,O24,2)</f>
        <v>0</v>
      </c>
      <c r="M24" s="68" cm="1">
        <f t="array" ref="M24">INDEX(TABUA,O24,3)</f>
        <v>0</v>
      </c>
      <c r="N24" s="68" cm="1">
        <f t="array" ref="N24">INDEX(TABUA,O24,4)</f>
        <v>0</v>
      </c>
      <c r="O24" s="69">
        <f t="shared" si="4"/>
        <v>148</v>
      </c>
      <c r="P24" s="69" t="str">
        <f>_xlfn.CONCAT(CHOOSE(Madeira!$I$34,"Brecilien","Bridgewatch","Caerleon","Fort Sterling","Lymhurst","Martlock","Thetford"),"R",Q24)</f>
        <v>BrecilienR21</v>
      </c>
      <c r="Q24" s="70">
        <v>21</v>
      </c>
      <c r="R24" s="65"/>
      <c r="S24" s="67" t="s">
        <v>115</v>
      </c>
      <c r="T24" s="68" cm="1">
        <f t="array" ref="T24">INDEX(TABUA,X24,1)</f>
        <v>0</v>
      </c>
      <c r="U24" s="68" cm="1">
        <f t="array" ref="U24">INDEX(TABUA,X24,2)</f>
        <v>0</v>
      </c>
      <c r="V24" s="68" cm="1">
        <f t="array" ref="V24">INDEX(TABUA,X24,3)</f>
        <v>0</v>
      </c>
      <c r="W24" s="68" cm="1">
        <f t="array" ref="W24">INDEX(TABUA,X24,4)</f>
        <v>0</v>
      </c>
      <c r="X24" s="69">
        <f t="shared" si="5"/>
        <v>148</v>
      </c>
      <c r="Y24" s="69" t="str">
        <f>_xlfn.CONCAT(CHOOSE(Madeira!$I$36,"Brecilien","Bridgewatch","Caerleon","Fort Sterling","Lymhurst","Martlock","Thetford"),"R",Z24)</f>
        <v>BrecilienR21</v>
      </c>
      <c r="Z24" s="70">
        <v>21</v>
      </c>
    </row>
    <row r="25" spans="1:26" x14ac:dyDescent="0.25">
      <c r="A25" s="67" t="s">
        <v>116</v>
      </c>
      <c r="B25" s="68" cm="1">
        <f t="array" ref="B25">INDEX(MADEIRA,F25,1)</f>
        <v>7218</v>
      </c>
      <c r="C25" s="68" t="str" cm="1">
        <f t="array" ref="C25">INDEX(MADEIRA,F25,2)</f>
        <v>2025-01-08T21:10:00</v>
      </c>
      <c r="D25" s="68" cm="1">
        <f t="array" ref="D25">INDEX(MADEIRA,F25,3)</f>
        <v>6386</v>
      </c>
      <c r="E25" s="68" t="str" cm="1">
        <f t="array" ref="E25">INDEX(MADEIRA,F25,4)</f>
        <v>2025-01-08T21:10:00</v>
      </c>
      <c r="F25" s="69">
        <f t="shared" si="3"/>
        <v>155</v>
      </c>
      <c r="G25" s="69" t="str">
        <f>_xlfn.CONCAT(CHOOSE(Madeira!$I$32,"Brecilien","Bridgewatch","Caerleon","Fort Sterling","Lymhurst","Martlock","Thetford"),"B",H25)</f>
        <v>BrecilienB22</v>
      </c>
      <c r="H25" s="70">
        <v>22</v>
      </c>
      <c r="I25" s="65"/>
      <c r="J25" s="67" t="s">
        <v>116</v>
      </c>
      <c r="K25" s="68" cm="1">
        <f t="array" ref="K25">INDEX(TABUA,O25,1)</f>
        <v>31488</v>
      </c>
      <c r="L25" s="68" t="str" cm="1">
        <f t="array" ref="L25">INDEX(TABUA,O25,2)</f>
        <v>2025-01-07T22:10:00</v>
      </c>
      <c r="M25" s="68" cm="1">
        <f t="array" ref="M25">INDEX(TABUA,O25,3)</f>
        <v>0</v>
      </c>
      <c r="N25" s="68" cm="1">
        <f t="array" ref="N25">INDEX(TABUA,O25,4)</f>
        <v>0</v>
      </c>
      <c r="O25" s="69">
        <f t="shared" si="4"/>
        <v>155</v>
      </c>
      <c r="P25" s="69" t="str">
        <f>_xlfn.CONCAT(CHOOSE(Madeira!$I$34,"Brecilien","Bridgewatch","Caerleon","Fort Sterling","Lymhurst","Martlock","Thetford"),"R",Q25)</f>
        <v>BrecilienR22</v>
      </c>
      <c r="Q25" s="70">
        <v>22</v>
      </c>
      <c r="R25" s="65"/>
      <c r="S25" s="67" t="s">
        <v>116</v>
      </c>
      <c r="T25" s="68" cm="1">
        <f t="array" ref="T25">INDEX(TABUA,X25,1)</f>
        <v>31488</v>
      </c>
      <c r="U25" s="68" t="str" cm="1">
        <f t="array" ref="U25">INDEX(TABUA,X25,2)</f>
        <v>2025-01-07T22:10:00</v>
      </c>
      <c r="V25" s="68" cm="1">
        <f t="array" ref="V25">INDEX(TABUA,X25,3)</f>
        <v>0</v>
      </c>
      <c r="W25" s="68" cm="1">
        <f t="array" ref="W25">INDEX(TABUA,X25,4)</f>
        <v>0</v>
      </c>
      <c r="X25" s="69">
        <f t="shared" si="5"/>
        <v>155</v>
      </c>
      <c r="Y25" s="69" t="str">
        <f>_xlfn.CONCAT(CHOOSE(Madeira!$I$36,"Brecilien","Bridgewatch","Caerleon","Fort Sterling","Lymhurst","Martlock","Thetford"),"R",Z25)</f>
        <v>BrecilienR22</v>
      </c>
      <c r="Z25" s="70">
        <v>22</v>
      </c>
    </row>
    <row r="26" spans="1:26" x14ac:dyDescent="0.25">
      <c r="A26" s="67" t="s">
        <v>117</v>
      </c>
      <c r="B26" s="68" cm="1">
        <f t="array" ref="B26">INDEX(MADEIRA,F26,1)</f>
        <v>14489</v>
      </c>
      <c r="C26" s="68" t="str" cm="1">
        <f t="array" ref="C26">INDEX(MADEIRA,F26,2)</f>
        <v>2025-01-08T21:10:00</v>
      </c>
      <c r="D26" s="68" cm="1">
        <f t="array" ref="D26">INDEX(MADEIRA,F26,3)</f>
        <v>7240</v>
      </c>
      <c r="E26" s="68" t="str" cm="1">
        <f t="array" ref="E26">INDEX(MADEIRA,F26,4)</f>
        <v>2025-01-08T21:10:00</v>
      </c>
      <c r="F26" s="69">
        <f t="shared" si="3"/>
        <v>162</v>
      </c>
      <c r="G26" s="69" t="str">
        <f>_xlfn.CONCAT(CHOOSE(Madeira!$I$32,"Brecilien","Bridgewatch","Caerleon","Fort Sterling","Lymhurst","Martlock","Thetford"),"B",H26)</f>
        <v>BrecilienB23</v>
      </c>
      <c r="H26" s="70">
        <v>23</v>
      </c>
      <c r="I26" s="65"/>
      <c r="J26" s="67" t="s">
        <v>117</v>
      </c>
      <c r="K26" s="68" cm="1">
        <f t="array" ref="K26">INDEX(TABUA,O26,1)</f>
        <v>39995</v>
      </c>
      <c r="L26" s="68" t="str" cm="1">
        <f t="array" ref="L26">INDEX(TABUA,O26,2)</f>
        <v>2025-01-08T10:30:00</v>
      </c>
      <c r="M26" s="68" cm="1">
        <f t="array" ref="M26">INDEX(TABUA,O26,3)</f>
        <v>0</v>
      </c>
      <c r="N26" s="68" cm="1">
        <f t="array" ref="N26">INDEX(TABUA,O26,4)</f>
        <v>0</v>
      </c>
      <c r="O26" s="69">
        <f t="shared" si="4"/>
        <v>162</v>
      </c>
      <c r="P26" s="69" t="str">
        <f>_xlfn.CONCAT(CHOOSE(Madeira!$I$34,"Brecilien","Bridgewatch","Caerleon","Fort Sterling","Lymhurst","Martlock","Thetford"),"R",Q26)</f>
        <v>BrecilienR23</v>
      </c>
      <c r="Q26" s="70">
        <v>23</v>
      </c>
      <c r="R26" s="65"/>
      <c r="S26" s="67" t="s">
        <v>117</v>
      </c>
      <c r="T26" s="68" cm="1">
        <f t="array" ref="T26">INDEX(TABUA,X26,1)</f>
        <v>39995</v>
      </c>
      <c r="U26" s="68" t="str" cm="1">
        <f t="array" ref="U26">INDEX(TABUA,X26,2)</f>
        <v>2025-01-08T10:30:00</v>
      </c>
      <c r="V26" s="68" cm="1">
        <f t="array" ref="V26">INDEX(TABUA,X26,3)</f>
        <v>0</v>
      </c>
      <c r="W26" s="68" cm="1">
        <f t="array" ref="W26">INDEX(TABUA,X26,4)</f>
        <v>0</v>
      </c>
      <c r="X26" s="69">
        <f t="shared" si="5"/>
        <v>162</v>
      </c>
      <c r="Y26" s="69" t="str">
        <f>_xlfn.CONCAT(CHOOSE(Madeira!$I$36,"Brecilien","Bridgewatch","Caerleon","Fort Sterling","Lymhurst","Martlock","Thetford"),"R",Z26)</f>
        <v>BrecilienR23</v>
      </c>
      <c r="Z26" s="70">
        <v>23</v>
      </c>
    </row>
    <row r="27" spans="1:26" x14ac:dyDescent="0.25">
      <c r="A27" s="67" t="s">
        <v>118</v>
      </c>
      <c r="B27" s="68" cm="1">
        <f t="array" ref="B27">INDEX(MADEIRA,F27,1)</f>
        <v>53890</v>
      </c>
      <c r="C27" s="68" t="str" cm="1">
        <f t="array" ref="C27">INDEX(MADEIRA,F27,2)</f>
        <v>2025-01-08T09:15:00</v>
      </c>
      <c r="D27" s="68" cm="1">
        <f t="array" ref="D27">INDEX(MADEIRA,F27,3)</f>
        <v>0</v>
      </c>
      <c r="E27" s="68" cm="1">
        <f t="array" ref="E27">INDEX(MADEIRA,F27,4)</f>
        <v>0</v>
      </c>
      <c r="F27" s="69">
        <f t="shared" si="3"/>
        <v>169</v>
      </c>
      <c r="G27" s="69" t="str">
        <f>_xlfn.CONCAT(CHOOSE(Madeira!$I$32,"Brecilien","Bridgewatch","Caerleon","Fort Sterling","Lymhurst","Martlock","Thetford"),"B",H27)</f>
        <v>BrecilienB24</v>
      </c>
      <c r="H27" s="70">
        <v>24</v>
      </c>
      <c r="I27" s="65"/>
      <c r="J27" s="67" t="s">
        <v>118</v>
      </c>
      <c r="K27" s="68" cm="1">
        <f t="array" ref="K27">INDEX(TABUA,O27,1)</f>
        <v>0</v>
      </c>
      <c r="L27" s="68" cm="1">
        <f t="array" ref="L27">INDEX(TABUA,O27,2)</f>
        <v>0</v>
      </c>
      <c r="M27" s="68" cm="1">
        <f t="array" ref="M27">INDEX(TABUA,O27,3)</f>
        <v>0</v>
      </c>
      <c r="N27" s="68" cm="1">
        <f t="array" ref="N27">INDEX(TABUA,O27,4)</f>
        <v>0</v>
      </c>
      <c r="O27" s="69">
        <f t="shared" si="4"/>
        <v>169</v>
      </c>
      <c r="P27" s="69" t="str">
        <f>_xlfn.CONCAT(CHOOSE(Madeira!$I$34,"Brecilien","Bridgewatch","Caerleon","Fort Sterling","Lymhurst","Martlock","Thetford"),"R",Q27)</f>
        <v>BrecilienR24</v>
      </c>
      <c r="Q27" s="70">
        <v>24</v>
      </c>
      <c r="R27" s="65"/>
      <c r="S27" s="67" t="s">
        <v>118</v>
      </c>
      <c r="T27" s="68" cm="1">
        <f t="array" ref="T27">INDEX(TABUA,X27,1)</f>
        <v>0</v>
      </c>
      <c r="U27" s="68" cm="1">
        <f t="array" ref="U27">INDEX(TABUA,X27,2)</f>
        <v>0</v>
      </c>
      <c r="V27" s="68" cm="1">
        <f t="array" ref="V27">INDEX(TABUA,X27,3)</f>
        <v>0</v>
      </c>
      <c r="W27" s="68" cm="1">
        <f t="array" ref="W27">INDEX(TABUA,X27,4)</f>
        <v>0</v>
      </c>
      <c r="X27" s="69">
        <f t="shared" si="5"/>
        <v>169</v>
      </c>
      <c r="Y27" s="69" t="str">
        <f>_xlfn.CONCAT(CHOOSE(Madeira!$I$36,"Brecilien","Bridgewatch","Caerleon","Fort Sterling","Lymhurst","Martlock","Thetford"),"R",Z27)</f>
        <v>BrecilienR24</v>
      </c>
      <c r="Z27" s="70">
        <v>24</v>
      </c>
    </row>
    <row r="28" spans="1:26" x14ac:dyDescent="0.25">
      <c r="A28" s="67" t="s">
        <v>119</v>
      </c>
      <c r="B28" s="68" cm="1">
        <f t="array" ref="B28">INDEX(MADEIRA,F28,1)</f>
        <v>178000</v>
      </c>
      <c r="C28" s="68" t="str" cm="1">
        <f t="array" ref="C28">INDEX(MADEIRA,F28,2)</f>
        <v>2025-01-08T12:45:00</v>
      </c>
      <c r="D28" s="68" cm="1">
        <f t="array" ref="D28">INDEX(MADEIRA,F28,3)</f>
        <v>0</v>
      </c>
      <c r="E28" s="68" cm="1">
        <f t="array" ref="E28">INDEX(MADEIRA,F28,4)</f>
        <v>0</v>
      </c>
      <c r="F28" s="69">
        <f t="shared" si="3"/>
        <v>176</v>
      </c>
      <c r="G28" s="69" t="str">
        <f>_xlfn.CONCAT(CHOOSE(Madeira!$I$32,"Brecilien","Bridgewatch","Caerleon","Fort Sterling","Lymhurst","Martlock","Thetford"),"B",H28)</f>
        <v>BrecilienB25</v>
      </c>
      <c r="H28" s="70">
        <v>25</v>
      </c>
      <c r="I28" s="65"/>
      <c r="J28" s="67" t="s">
        <v>119</v>
      </c>
      <c r="K28" s="68" cm="1">
        <f t="array" ref="K28">INDEX(TABUA,O28,1)</f>
        <v>630000</v>
      </c>
      <c r="L28" s="68" t="str" cm="1">
        <f t="array" ref="L28">INDEX(TABUA,O28,2)</f>
        <v>2025-01-08T09:15:00</v>
      </c>
      <c r="M28" s="68" cm="1">
        <f t="array" ref="M28">INDEX(TABUA,O28,3)</f>
        <v>0</v>
      </c>
      <c r="N28" s="68" cm="1">
        <f t="array" ref="N28">INDEX(TABUA,O28,4)</f>
        <v>0</v>
      </c>
      <c r="O28" s="69">
        <f t="shared" si="4"/>
        <v>176</v>
      </c>
      <c r="P28" s="69" t="str">
        <f>_xlfn.CONCAT(CHOOSE(Madeira!$I$34,"Brecilien","Bridgewatch","Caerleon","Fort Sterling","Lymhurst","Martlock","Thetford"),"R",Q28)</f>
        <v>BrecilienR25</v>
      </c>
      <c r="Q28" s="70">
        <v>25</v>
      </c>
      <c r="R28" s="65"/>
      <c r="S28" s="67" t="s">
        <v>119</v>
      </c>
      <c r="T28" s="68" cm="1">
        <f t="array" ref="T28">INDEX(TABUA,X28,1)</f>
        <v>630000</v>
      </c>
      <c r="U28" s="68" t="str" cm="1">
        <f t="array" ref="U28">INDEX(TABUA,X28,2)</f>
        <v>2025-01-08T09:15:00</v>
      </c>
      <c r="V28" s="68" cm="1">
        <f t="array" ref="V28">INDEX(TABUA,X28,3)</f>
        <v>0</v>
      </c>
      <c r="W28" s="68" cm="1">
        <f t="array" ref="W28">INDEX(TABUA,X28,4)</f>
        <v>0</v>
      </c>
      <c r="X28" s="69">
        <f t="shared" si="5"/>
        <v>176</v>
      </c>
      <c r="Y28" s="69" t="str">
        <f>_xlfn.CONCAT(CHOOSE(Madeira!$I$36,"Brecilien","Bridgewatch","Caerleon","Fort Sterling","Lymhurst","Martlock","Thetford"),"R",Z28)</f>
        <v>BrecilienR25</v>
      </c>
      <c r="Z28" s="70">
        <v>25</v>
      </c>
    </row>
    <row r="29" spans="1:26" x14ac:dyDescent="0.25">
      <c r="A29" s="67" t="s">
        <v>120</v>
      </c>
      <c r="B29" s="68" cm="1">
        <f t="array" ref="B29">INDEX(MADEIRA,F29,1)</f>
        <v>850000</v>
      </c>
      <c r="C29" s="68" t="str" cm="1">
        <f t="array" ref="C29">INDEX(MADEIRA,F29,2)</f>
        <v>2025-01-08T09:15:00</v>
      </c>
      <c r="D29" s="68" cm="1">
        <f t="array" ref="D29">INDEX(MADEIRA,F29,3)</f>
        <v>0</v>
      </c>
      <c r="E29" s="68" cm="1">
        <f t="array" ref="E29">INDEX(MADEIRA,F29,4)</f>
        <v>0</v>
      </c>
      <c r="F29" s="69">
        <f t="shared" si="3"/>
        <v>183</v>
      </c>
      <c r="G29" s="69" t="str">
        <f>_xlfn.CONCAT(CHOOSE(Madeira!$I$32,"Brecilien","Bridgewatch","Caerleon","Fort Sterling","Lymhurst","Martlock","Thetford"),"B",H29)</f>
        <v>BrecilienB26</v>
      </c>
      <c r="H29" s="70">
        <v>26</v>
      </c>
      <c r="I29" s="65"/>
      <c r="J29" s="67" t="s">
        <v>120</v>
      </c>
      <c r="K29" s="68" cm="1">
        <f t="array" ref="K29">INDEX(TABUA,O29,1)</f>
        <v>0</v>
      </c>
      <c r="L29" s="68" cm="1">
        <f t="array" ref="L29">INDEX(TABUA,O29,2)</f>
        <v>0</v>
      </c>
      <c r="M29" s="68" cm="1">
        <f t="array" ref="M29">INDEX(TABUA,O29,3)</f>
        <v>0</v>
      </c>
      <c r="N29" s="68" cm="1">
        <f t="array" ref="N29">INDEX(TABUA,O29,4)</f>
        <v>0</v>
      </c>
      <c r="O29" s="69">
        <f t="shared" si="4"/>
        <v>183</v>
      </c>
      <c r="P29" s="69" t="str">
        <f>_xlfn.CONCAT(CHOOSE(Madeira!$I$34,"Brecilien","Bridgewatch","Caerleon","Fort Sterling","Lymhurst","Martlock","Thetford"),"R",Q29)</f>
        <v>BrecilienR26</v>
      </c>
      <c r="Q29" s="70">
        <v>26</v>
      </c>
      <c r="R29" s="65"/>
      <c r="S29" s="67" t="s">
        <v>120</v>
      </c>
      <c r="T29" s="68" cm="1">
        <f t="array" ref="T29">INDEX(TABUA,X29,1)</f>
        <v>0</v>
      </c>
      <c r="U29" s="68" cm="1">
        <f t="array" ref="U29">INDEX(TABUA,X29,2)</f>
        <v>0</v>
      </c>
      <c r="V29" s="68" cm="1">
        <f t="array" ref="V29">INDEX(TABUA,X29,3)</f>
        <v>0</v>
      </c>
      <c r="W29" s="68" cm="1">
        <f t="array" ref="W29">INDEX(TABUA,X29,4)</f>
        <v>0</v>
      </c>
      <c r="X29" s="69">
        <f t="shared" si="5"/>
        <v>183</v>
      </c>
      <c r="Y29" s="69" t="str">
        <f>_xlfn.CONCAT(CHOOSE(Madeira!$I$36,"Brecilien","Bridgewatch","Caerleon","Fort Sterling","Lymhurst","Martlock","Thetford"),"R",Z29)</f>
        <v>BrecilienR26</v>
      </c>
      <c r="Z29" s="70">
        <v>26</v>
      </c>
    </row>
  </sheetData>
  <sheetProtection selectLockedCells="1"/>
  <mergeCells count="3">
    <mergeCell ref="A1:H1"/>
    <mergeCell ref="J1:Q1"/>
    <mergeCell ref="S1:Z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E911E-FB37-4438-84CC-6B753E3C3B1F}">
  <sheetPr codeName="Planilha6">
    <tabColor rgb="FF7030A0"/>
  </sheetPr>
  <dimension ref="A1:X63"/>
  <sheetViews>
    <sheetView showGridLines="0" showRowColHeaders="0" showZeros="0" zoomScale="107" zoomScaleNormal="107" workbookViewId="0">
      <selection activeCell="C15" sqref="C15:D16"/>
    </sheetView>
  </sheetViews>
  <sheetFormatPr defaultColWidth="0" defaultRowHeight="15" customHeight="1" zeroHeight="1" x14ac:dyDescent="0.2"/>
  <cols>
    <col min="1" max="24" width="10.7109375" style="25" customWidth="1"/>
    <col min="25" max="16384" width="10.7109375" style="25" hidden="1"/>
  </cols>
  <sheetData>
    <row r="1" spans="1:24" s="138" customFormat="1" ht="15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47"/>
      <c r="T1" s="47"/>
      <c r="U1" s="47" t="s">
        <v>38</v>
      </c>
      <c r="V1" s="47">
        <f>CHOOSE(C15,2,2,3,4,5,5)</f>
        <v>2</v>
      </c>
      <c r="W1" s="47" t="s">
        <v>41</v>
      </c>
      <c r="X1" s="47" cm="1">
        <f t="array" ref="X1">INDEX(espec!T21:T26,C15,1)</f>
        <v>0</v>
      </c>
    </row>
    <row r="2" spans="1:24" s="138" customFormat="1" ht="15" customHeight="1" x14ac:dyDescent="0.25">
      <c r="A2" s="61" t="str">
        <f>IF(A4=0,"Sem Dados",_xlfn.CONCAT(RIGHT(LEFT(A4,10),2),"/",LEFT(RIGHT(LEFT(A4,10),5),2),"/",LEFT(LEFT(A4,10),4)))</f>
        <v>08/09/2024</v>
      </c>
      <c r="B2" s="61" t="str">
        <f>IF(B4=0,"Sem Dados",_xlfn.CONCAT(RIGHT(LEFT(B4,10),2),"/",LEFT(RIGHT(LEFT(B4,10),5),2),"/",LEFT(LEFT(B4,10),4)))</f>
        <v>Sem Dados</v>
      </c>
      <c r="C2" s="61" t="str">
        <f>IF(C4=0,"Sem Dados",_xlfn.CONCAT(RIGHT(LEFT(C4,10),2),"/",LEFT(RIGHT(LEFT(C4,10),5),2),"/",LEFT(LEFT(C4,10),4)))</f>
        <v>Sem Dados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47" t="s">
        <v>90</v>
      </c>
      <c r="T2" s="48" cm="1">
        <f t="array" ref="T2">(INDEX(valoresAlbion!J23:N28,C15,C17))/(POWER(2,X1))</f>
        <v>31</v>
      </c>
      <c r="U2" s="47" t="s">
        <v>39</v>
      </c>
      <c r="V2" s="47">
        <f>CHOOSE(C17,1,2,4,8)</f>
        <v>1</v>
      </c>
      <c r="W2" s="47" t="s">
        <v>40</v>
      </c>
      <c r="X2" s="47">
        <f>C15+C17+1</f>
        <v>3</v>
      </c>
    </row>
    <row r="3" spans="1:24" s="138" customFormat="1" ht="15" customHeight="1" x14ac:dyDescent="0.25">
      <c r="A3" s="61" t="str">
        <f>IF(A4=0,"Sem Dados",RIGHT(A4,8))</f>
        <v>17:10:00</v>
      </c>
      <c r="B3" s="61" t="str">
        <f>IF(B4=0,"Sem Dados",RIGHT(B4,8))</f>
        <v>Sem Dados</v>
      </c>
      <c r="C3" s="61" t="str">
        <f>IF(C4=0,"Sem Dados",RIGHT(C4,8))</f>
        <v>Sem Dados</v>
      </c>
      <c r="D3" s="61"/>
      <c r="E3" s="61"/>
      <c r="F3" s="61" t="s">
        <v>689</v>
      </c>
      <c r="G3" s="61" t="str">
        <f>CHOOSE(C17,"",".1",".2",".3",".4")</f>
        <v/>
      </c>
      <c r="H3" s="61" t="s">
        <v>691</v>
      </c>
      <c r="I3" s="61" t="str">
        <f>CHOOSE(C15,"T2","T3","T4","T5","T6","T7")</f>
        <v>T2</v>
      </c>
      <c r="J3" s="61" t="s">
        <v>690</v>
      </c>
      <c r="K3" s="61" t="str">
        <f>CHOOSE(C15,"T3","T4","T5","T6","T7","T8")</f>
        <v>T3</v>
      </c>
      <c r="L3" s="61"/>
      <c r="M3" s="61"/>
      <c r="N3" s="61"/>
      <c r="O3" s="61"/>
      <c r="P3" s="61"/>
      <c r="Q3" s="61"/>
      <c r="R3" s="61"/>
      <c r="S3" s="47" t="s">
        <v>89</v>
      </c>
      <c r="T3" s="48" cm="1">
        <f t="array" ref="T3">INDEX(valoresAlbion!B14:G17,C17,C15)</f>
        <v>2</v>
      </c>
      <c r="U3" s="47" t="s">
        <v>37</v>
      </c>
      <c r="V3" s="49">
        <f>1-C27</f>
        <v>1</v>
      </c>
      <c r="W3" s="47" t="s">
        <v>47</v>
      </c>
      <c r="X3" s="47">
        <f>IFERROR(L23*G4,0)</f>
        <v>0</v>
      </c>
    </row>
    <row r="4" spans="1:24" s="137" customFormat="1" ht="18" customHeight="1" x14ac:dyDescent="0.25">
      <c r="A4" s="64" t="str">
        <f>VLOOKUP(O4,'Ordem 6'!A3:E29,IF(C32=TRUE,5,3))</f>
        <v>2024-09-08T17:10:00</v>
      </c>
      <c r="B4" s="64">
        <f>IFERROR(VLOOKUP(P4,'Ordem 6'!J3:N29,IF(C34=TRUE,5,3)),0)</f>
        <v>0</v>
      </c>
      <c r="C4" s="64">
        <f>VLOOKUP(Q4,'Ordem 6'!S3:W29,IF(C36=TRUE,3,5))</f>
        <v>0</v>
      </c>
      <c r="D4" s="62"/>
      <c r="E4" s="63"/>
      <c r="F4" s="62" t="s">
        <v>395</v>
      </c>
      <c r="G4" s="62">
        <f>IF(K36=TRUE,M36,S15)</f>
        <v>0</v>
      </c>
      <c r="H4" s="63"/>
      <c r="I4" s="62" t="s">
        <v>393</v>
      </c>
      <c r="J4" s="62">
        <f>IF(K32=TRUE,M32,C21)</f>
        <v>0</v>
      </c>
      <c r="K4" s="63"/>
      <c r="L4" s="62" t="s">
        <v>394</v>
      </c>
      <c r="M4" s="62">
        <f>IF(K34=TRUE,M34,C23)</f>
        <v>0</v>
      </c>
      <c r="N4" s="63"/>
      <c r="O4" s="60" t="str">
        <f>_xlfn.CONCAT("T",C15+2,IF(C15=1,"",CHOOSE(C17,"",".1",".2",".3",".4")))</f>
        <v>T3</v>
      </c>
      <c r="P4" s="60" t="str">
        <f>IF(C15=2,"T3",_xlfn.CONCAT("T",C15+1))</f>
        <v>T2</v>
      </c>
      <c r="Q4" s="60" t="str">
        <f>IF(C15=2,"T3",_xlfn.CONCAT("T",C15+2))</f>
        <v>T3</v>
      </c>
      <c r="R4" s="60"/>
      <c r="S4" s="60"/>
      <c r="T4" s="60"/>
      <c r="U4" s="60"/>
      <c r="V4" s="60"/>
      <c r="W4" s="60"/>
      <c r="X4" s="60"/>
    </row>
    <row r="5" spans="1:24" s="26" customFormat="1" ht="15" customHeight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s="26" customFormat="1" ht="15" customHeight="1" x14ac:dyDescent="0.25">
      <c r="A6" s="159" t="s">
        <v>54</v>
      </c>
      <c r="B6" s="160"/>
      <c r="C6" s="160"/>
      <c r="D6" s="160"/>
    </row>
    <row r="7" spans="1:24" s="26" customFormat="1" ht="15" customHeight="1" x14ac:dyDescent="0.25">
      <c r="A7" s="160"/>
      <c r="B7" s="160"/>
      <c r="C7" s="160"/>
      <c r="D7" s="160"/>
    </row>
    <row r="8" spans="1:24" s="26" customFormat="1" ht="15" customHeight="1" x14ac:dyDescent="0.25">
      <c r="A8" s="173"/>
      <c r="B8" s="174"/>
      <c r="C8" s="174"/>
      <c r="D8" s="175"/>
    </row>
    <row r="9" spans="1:24" s="26" customFormat="1" ht="15" customHeight="1" x14ac:dyDescent="0.25">
      <c r="A9" s="176"/>
      <c r="B9" s="177"/>
      <c r="C9" s="177"/>
      <c r="D9" s="178"/>
      <c r="P9" s="136"/>
    </row>
    <row r="10" spans="1:24" s="26" customFormat="1" ht="15" customHeight="1" x14ac:dyDescent="0.25">
      <c r="A10" s="176"/>
      <c r="B10" s="177"/>
      <c r="C10" s="177"/>
      <c r="D10" s="178"/>
      <c r="P10" s="136"/>
    </row>
    <row r="11" spans="1:24" ht="15" customHeight="1" x14ac:dyDescent="0.2">
      <c r="A11" s="176"/>
      <c r="B11" s="177"/>
      <c r="C11" s="177"/>
      <c r="D11" s="178"/>
    </row>
    <row r="12" spans="1:24" ht="15" customHeight="1" x14ac:dyDescent="0.2">
      <c r="A12" s="179"/>
      <c r="B12" s="180"/>
      <c r="C12" s="180"/>
      <c r="D12" s="181"/>
    </row>
    <row r="13" spans="1:24" ht="15" customHeight="1" x14ac:dyDescent="0.2">
      <c r="A13" s="159" t="s">
        <v>0</v>
      </c>
      <c r="B13" s="160"/>
      <c r="C13" s="160"/>
      <c r="D13" s="160"/>
      <c r="G13" s="159" t="s">
        <v>9</v>
      </c>
      <c r="H13" s="160"/>
      <c r="I13" s="160"/>
      <c r="J13" s="160"/>
      <c r="L13" s="159" t="s">
        <v>7</v>
      </c>
      <c r="M13" s="160"/>
      <c r="N13" s="160"/>
      <c r="O13" s="160"/>
      <c r="Q13" s="159" t="s">
        <v>8</v>
      </c>
      <c r="R13" s="160"/>
      <c r="S13" s="160"/>
      <c r="T13" s="160"/>
    </row>
    <row r="14" spans="1:24" ht="15" customHeight="1" x14ac:dyDescent="0.2">
      <c r="A14" s="160"/>
      <c r="B14" s="160"/>
      <c r="C14" s="160"/>
      <c r="D14" s="160"/>
      <c r="G14" s="160"/>
      <c r="H14" s="160"/>
      <c r="I14" s="160"/>
      <c r="J14" s="160"/>
      <c r="L14" s="160"/>
      <c r="M14" s="160"/>
      <c r="N14" s="160"/>
      <c r="O14" s="160"/>
      <c r="Q14" s="160"/>
      <c r="R14" s="160"/>
      <c r="S14" s="160"/>
      <c r="T14" s="160"/>
    </row>
    <row r="15" spans="1:24" ht="15" customHeight="1" x14ac:dyDescent="0.25">
      <c r="A15" s="153" t="s">
        <v>3</v>
      </c>
      <c r="B15" s="153"/>
      <c r="C15" s="196">
        <v>1</v>
      </c>
      <c r="D15" s="158"/>
      <c r="G15" s="153" t="s">
        <v>11</v>
      </c>
      <c r="H15" s="153"/>
      <c r="I15" s="193">
        <f>T2*C19</f>
        <v>0</v>
      </c>
      <c r="J15" s="193"/>
      <c r="L15" s="153" t="str">
        <f>G23</f>
        <v>Rocha T3</v>
      </c>
      <c r="M15" s="153"/>
      <c r="N15" s="169">
        <f>IF(C32=TRUE,J4*I23*Configurações!N9,J4*I23)</f>
        <v>0</v>
      </c>
      <c r="O15" s="169"/>
      <c r="Q15" s="195" t="s">
        <v>14</v>
      </c>
      <c r="R15" s="195"/>
      <c r="S15" s="172"/>
      <c r="T15" s="172"/>
    </row>
    <row r="16" spans="1:24" ht="15" customHeight="1" x14ac:dyDescent="0.25">
      <c r="A16" s="153"/>
      <c r="B16" s="153"/>
      <c r="C16" s="158"/>
      <c r="D16" s="158"/>
      <c r="G16" s="153" t="s">
        <v>12</v>
      </c>
      <c r="H16" s="153"/>
      <c r="I16" s="194"/>
      <c r="J16" s="194"/>
      <c r="L16" s="153" t="str">
        <f>G24</f>
        <v>Bloco T2</v>
      </c>
      <c r="M16" s="153"/>
      <c r="N16" s="169">
        <f>IF(C34=TRUE,I24*M4*Configurações!N9,I24*M4)</f>
        <v>0</v>
      </c>
      <c r="O16" s="169"/>
      <c r="Q16" s="195" t="s">
        <v>15</v>
      </c>
      <c r="R16" s="195"/>
      <c r="S16" s="169">
        <f>X3-N19</f>
        <v>0</v>
      </c>
      <c r="T16" s="169"/>
    </row>
    <row r="17" spans="1:21" ht="15" customHeight="1" x14ac:dyDescent="0.25">
      <c r="A17" s="153" t="s">
        <v>4</v>
      </c>
      <c r="B17" s="153"/>
      <c r="C17" s="158">
        <v>1</v>
      </c>
      <c r="D17" s="158"/>
      <c r="G17" s="153" t="s">
        <v>13</v>
      </c>
      <c r="H17" s="153"/>
      <c r="I17" s="182">
        <f>IF(T2=0,"Indefinido",IF(I16=0,0,(I16/T2)-1))</f>
        <v>0</v>
      </c>
      <c r="J17" s="182"/>
      <c r="L17" s="153" t="s">
        <v>34</v>
      </c>
      <c r="M17" s="153"/>
      <c r="N17" s="169" cm="1">
        <f t="array" ref="N17">(C25/100)*C19*INDEX(valoresAlbion!J14:O18,C17,C15)</f>
        <v>0</v>
      </c>
      <c r="O17" s="169"/>
      <c r="Q17" s="195" t="s">
        <v>16</v>
      </c>
      <c r="R17" s="195"/>
      <c r="S17" s="165">
        <f>IFERROR(S16/N19,0)</f>
        <v>0</v>
      </c>
      <c r="T17" s="165"/>
    </row>
    <row r="18" spans="1:21" ht="15" customHeight="1" x14ac:dyDescent="0.25">
      <c r="A18" s="153"/>
      <c r="B18" s="153"/>
      <c r="C18" s="158"/>
      <c r="D18" s="158"/>
      <c r="L18" s="153" t="s">
        <v>898</v>
      </c>
      <c r="M18" s="153"/>
      <c r="N18" s="154">
        <f>IF(C36=TRUE,(X3*Configurações!B3)+(X3*Configurações!F9),(X3*Configurações!B3))</f>
        <v>0</v>
      </c>
      <c r="O18" s="154"/>
    </row>
    <row r="19" spans="1:21" ht="15" customHeight="1" x14ac:dyDescent="0.25">
      <c r="A19" s="153" t="str">
        <f>_xlfn.CONCAT("Quantidade (x",V2,")")</f>
        <v>Quantidade (x1)</v>
      </c>
      <c r="B19" s="153"/>
      <c r="C19" s="183"/>
      <c r="D19" s="183"/>
      <c r="L19" s="153" t="s">
        <v>693</v>
      </c>
      <c r="M19" s="153"/>
      <c r="N19" s="169">
        <f>SUM(N15:O18)</f>
        <v>0</v>
      </c>
      <c r="O19" s="169"/>
    </row>
    <row r="20" spans="1:21" ht="15" customHeight="1" x14ac:dyDescent="0.2">
      <c r="A20" s="153"/>
      <c r="B20" s="153"/>
      <c r="C20" s="183"/>
      <c r="D20" s="183"/>
    </row>
    <row r="21" spans="1:21" ht="15" customHeight="1" x14ac:dyDescent="0.25">
      <c r="A21" s="153" t="s">
        <v>55</v>
      </c>
      <c r="B21" s="153"/>
      <c r="C21" s="167"/>
      <c r="D21" s="167"/>
      <c r="G21" s="184" t="s">
        <v>6</v>
      </c>
      <c r="H21" s="185"/>
      <c r="I21" s="185"/>
      <c r="J21" s="186"/>
      <c r="K21"/>
      <c r="L21" s="184" t="s">
        <v>692</v>
      </c>
      <c r="M21" s="185"/>
      <c r="N21" s="185"/>
      <c r="O21" s="186"/>
    </row>
    <row r="22" spans="1:21" ht="15" customHeight="1" x14ac:dyDescent="0.25">
      <c r="A22" s="153"/>
      <c r="B22" s="153"/>
      <c r="C22" s="167"/>
      <c r="D22" s="167"/>
      <c r="G22" s="187"/>
      <c r="H22" s="188"/>
      <c r="I22" s="188"/>
      <c r="J22" s="189"/>
      <c r="K22"/>
      <c r="L22" s="187"/>
      <c r="M22" s="188"/>
      <c r="N22" s="188"/>
      <c r="O22" s="189"/>
    </row>
    <row r="23" spans="1:21" ht="15" customHeight="1" x14ac:dyDescent="0.25">
      <c r="A23" s="153" t="s">
        <v>56</v>
      </c>
      <c r="B23" s="153"/>
      <c r="C23" s="167"/>
      <c r="D23" s="167"/>
      <c r="G23" s="153" t="str">
        <f>_xlfn.CONCAT("Rocha ",O4)</f>
        <v>Rocha T3</v>
      </c>
      <c r="H23" s="153"/>
      <c r="I23" s="170">
        <f>ROUNDUP(IF($C$19=1,V1,(V1*$C$19*$V$3)+($C$27*V1)),0)</f>
        <v>0</v>
      </c>
      <c r="J23" s="170"/>
      <c r="K23"/>
      <c r="L23" s="197">
        <f>C19*V2</f>
        <v>0</v>
      </c>
      <c r="M23" s="197"/>
      <c r="N23" s="197"/>
      <c r="O23" s="197"/>
    </row>
    <row r="24" spans="1:21" ht="15" customHeight="1" x14ac:dyDescent="0.25">
      <c r="A24" s="153"/>
      <c r="B24" s="153"/>
      <c r="C24" s="167"/>
      <c r="D24" s="167"/>
      <c r="G24" s="153" t="str">
        <f>_xlfn.CONCAT("Bloco ",P4)</f>
        <v>Bloco T2</v>
      </c>
      <c r="H24" s="153"/>
      <c r="I24" s="170">
        <f>ROUNDUP(IF($C$19=1,V2,(V2*$C$19*$V$3)+($C$27*V2)),0)</f>
        <v>0</v>
      </c>
      <c r="J24" s="170"/>
      <c r="K24"/>
      <c r="L24" s="197"/>
      <c r="M24" s="197"/>
      <c r="N24" s="197"/>
      <c r="O24" s="197"/>
    </row>
    <row r="25" spans="1:21" ht="15" customHeight="1" x14ac:dyDescent="0.25">
      <c r="A25" s="153" t="s">
        <v>2</v>
      </c>
      <c r="B25" s="153"/>
      <c r="C25" s="167"/>
      <c r="D25" s="167"/>
      <c r="K25"/>
      <c r="L25"/>
    </row>
    <row r="26" spans="1:21" ht="15" customHeight="1" x14ac:dyDescent="0.2">
      <c r="A26" s="153"/>
      <c r="B26" s="153"/>
      <c r="C26" s="167"/>
      <c r="D26" s="167"/>
    </row>
    <row r="27" spans="1:21" ht="15" customHeight="1" x14ac:dyDescent="0.2">
      <c r="A27" s="153" t="s">
        <v>1014</v>
      </c>
      <c r="B27" s="153"/>
      <c r="C27" s="168"/>
      <c r="D27" s="168"/>
    </row>
    <row r="28" spans="1:21" ht="15" customHeight="1" x14ac:dyDescent="0.2">
      <c r="A28" s="153"/>
      <c r="B28" s="153"/>
      <c r="C28" s="168"/>
      <c r="D28" s="168"/>
    </row>
    <row r="29" spans="1:21" ht="15" customHeight="1" x14ac:dyDescent="0.2">
      <c r="C29" s="27"/>
      <c r="D29" s="27"/>
    </row>
    <row r="30" spans="1:21" ht="15" customHeight="1" x14ac:dyDescent="0.2">
      <c r="A30" s="159" t="s">
        <v>5</v>
      </c>
      <c r="B30" s="160"/>
      <c r="C30" s="160"/>
      <c r="D30" s="160"/>
      <c r="G30" s="159" t="s">
        <v>680</v>
      </c>
      <c r="H30" s="160"/>
      <c r="I30" s="160"/>
      <c r="J30" s="160"/>
      <c r="K30" s="159" t="s">
        <v>386</v>
      </c>
      <c r="L30" s="160"/>
      <c r="M30" s="159" t="s">
        <v>398</v>
      </c>
      <c r="N30" s="160"/>
      <c r="O30" s="159" t="s">
        <v>397</v>
      </c>
      <c r="P30" s="160"/>
      <c r="Q30" s="159" t="s">
        <v>681</v>
      </c>
      <c r="R30" s="160"/>
    </row>
    <row r="31" spans="1:21" ht="15" customHeight="1" x14ac:dyDescent="0.2">
      <c r="A31" s="160"/>
      <c r="B31" s="160"/>
      <c r="C31" s="160"/>
      <c r="D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</row>
    <row r="32" spans="1:21" ht="15" customHeight="1" x14ac:dyDescent="0.25">
      <c r="A32" s="199" t="s">
        <v>57</v>
      </c>
      <c r="B32" s="199"/>
      <c r="C32" s="157" t="b">
        <v>0</v>
      </c>
      <c r="D32" s="157"/>
      <c r="G32" s="155" t="str">
        <f>G23</f>
        <v>Rocha T3</v>
      </c>
      <c r="H32" s="155"/>
      <c r="I32" s="157">
        <v>1</v>
      </c>
      <c r="J32" s="157"/>
      <c r="K32" s="157" t="b">
        <v>0</v>
      </c>
      <c r="L32" s="157"/>
      <c r="M32" s="161">
        <f>IF(A4=0,"Sem Dados",VLOOKUP(O4,'Ordem 6'!A3:E29,IF(C32=TRUE,4,2)))</f>
        <v>41</v>
      </c>
      <c r="N32" s="162"/>
      <c r="O32" s="191">
        <f>IFERROR(INT(A2 + A3 - (Configurações!A3 / 24)),"Sem Dados")</f>
        <v>45543</v>
      </c>
      <c r="P32" s="191"/>
      <c r="Q32" s="190">
        <f>IFERROR(IF(MOD(A2 + A3 - (Configurações!A3 / 24), 1) = 0, "00:00:00", MOD(A2 + A3 - (Configurações!A3 / 24), 1)), "Sem Dados")</f>
        <v>0.59027777778101154</v>
      </c>
      <c r="R32" s="190"/>
      <c r="U32"/>
    </row>
    <row r="33" spans="1:21" ht="15" customHeight="1" x14ac:dyDescent="0.25">
      <c r="A33" s="198"/>
      <c r="B33" s="198"/>
      <c r="C33" s="158"/>
      <c r="D33" s="158"/>
      <c r="G33" s="156"/>
      <c r="H33" s="156"/>
      <c r="I33" s="158"/>
      <c r="J33" s="158"/>
      <c r="K33" s="158"/>
      <c r="L33" s="158"/>
      <c r="M33" s="163"/>
      <c r="N33" s="164"/>
      <c r="O33" s="191"/>
      <c r="P33" s="191"/>
      <c r="Q33" s="190"/>
      <c r="R33" s="190"/>
      <c r="S33"/>
      <c r="U33"/>
    </row>
    <row r="34" spans="1:21" ht="15" customHeight="1" x14ac:dyDescent="0.25">
      <c r="A34" s="198" t="s">
        <v>58</v>
      </c>
      <c r="B34" s="198"/>
      <c r="C34" s="158" t="b">
        <v>0</v>
      </c>
      <c r="D34" s="158"/>
      <c r="G34" s="155" t="str">
        <f>G24</f>
        <v>Bloco T2</v>
      </c>
      <c r="H34" s="155"/>
      <c r="I34" s="157">
        <v>1</v>
      </c>
      <c r="J34" s="157"/>
      <c r="K34" s="157" t="b">
        <v>0</v>
      </c>
      <c r="L34" s="157"/>
      <c r="M34" s="161" t="str">
        <f>IF(B4=0,"Sem Dados",(VLOOKUP(P4,'Ordem 6'!J3:N29,IF(C34=TRUE,4,2))))</f>
        <v>Sem Dados</v>
      </c>
      <c r="N34" s="162"/>
      <c r="O34" s="191" t="str">
        <f>IFERROR(INT(B2 + B3 - (Configurações!A3 / 24)),"Sem Dados")</f>
        <v>Sem Dados</v>
      </c>
      <c r="P34" s="191"/>
      <c r="Q34" s="190" t="str">
        <f>IFERROR(IF(MOD(B2 + B3 - (Configurações!A3 / 24), 1) = 0, "00:00:00", MOD(B2 + B3 - (Configurações!A3 / 24), 1)), "Sem Dados")</f>
        <v>Sem Dados</v>
      </c>
      <c r="R34" s="190"/>
      <c r="U34"/>
    </row>
    <row r="35" spans="1:21" ht="15" customHeight="1" x14ac:dyDescent="0.25">
      <c r="A35" s="198"/>
      <c r="B35" s="198"/>
      <c r="C35" s="158"/>
      <c r="D35" s="158"/>
      <c r="G35" s="156"/>
      <c r="H35" s="156"/>
      <c r="I35" s="158"/>
      <c r="J35" s="158"/>
      <c r="K35" s="158"/>
      <c r="L35" s="158"/>
      <c r="M35" s="163"/>
      <c r="N35" s="164"/>
      <c r="O35" s="191"/>
      <c r="P35" s="191"/>
      <c r="Q35" s="190"/>
      <c r="R35" s="190"/>
      <c r="S35"/>
      <c r="U35"/>
    </row>
    <row r="36" spans="1:21" ht="15" customHeight="1" x14ac:dyDescent="0.25">
      <c r="A36" s="198" t="s">
        <v>10</v>
      </c>
      <c r="B36" s="198"/>
      <c r="C36" s="158" t="b">
        <v>0</v>
      </c>
      <c r="D36" s="158"/>
      <c r="G36" s="155" t="s">
        <v>387</v>
      </c>
      <c r="H36" s="155"/>
      <c r="I36" s="157">
        <v>1</v>
      </c>
      <c r="J36" s="157"/>
      <c r="K36" s="157" t="b">
        <v>0</v>
      </c>
      <c r="L36" s="157"/>
      <c r="M36" s="161" t="str">
        <f>IF(C4=0,"Sem Dados",VLOOKUP(Q4,'Ordem 6'!S3:W29,IF(C36=TRUE,2,4)))</f>
        <v>Sem Dados</v>
      </c>
      <c r="N36" s="162"/>
      <c r="O36" s="191" t="str">
        <f>IFERROR(INT(C2 + C3 - (Configurações!A3 / 24)),"Sem Dados")</f>
        <v>Sem Dados</v>
      </c>
      <c r="P36" s="191"/>
      <c r="Q36" s="190" t="str">
        <f>IFERROR(IF(MOD(C2 + C3 - (Configurações!A3 / 24), 1) = 0, "00:00:00", MOD(C2 + C3 - (Configurações!A3 / 24), 1)), "Sem Dados")</f>
        <v>Sem Dados</v>
      </c>
      <c r="R36" s="190"/>
      <c r="U36"/>
    </row>
    <row r="37" spans="1:21" ht="15" customHeight="1" x14ac:dyDescent="0.25">
      <c r="A37" s="198"/>
      <c r="B37" s="198"/>
      <c r="C37" s="158"/>
      <c r="D37" s="158"/>
      <c r="G37" s="156"/>
      <c r="H37" s="156"/>
      <c r="I37" s="158"/>
      <c r="J37" s="158"/>
      <c r="K37" s="158"/>
      <c r="L37" s="158"/>
      <c r="M37" s="163"/>
      <c r="N37" s="164"/>
      <c r="O37" s="191"/>
      <c r="P37" s="191"/>
      <c r="Q37" s="190"/>
      <c r="R37" s="190"/>
      <c r="T37"/>
      <c r="U37"/>
    </row>
    <row r="38" spans="1:21" ht="15" customHeight="1" x14ac:dyDescent="0.2"/>
    <row r="39" spans="1:21" ht="15" customHeight="1" x14ac:dyDescent="0.2"/>
    <row r="40" spans="1:21" ht="15" customHeight="1" x14ac:dyDescent="0.25">
      <c r="A40"/>
      <c r="B40"/>
    </row>
    <row r="41" spans="1:21" ht="15" customHeight="1" x14ac:dyDescent="0.25">
      <c r="A41"/>
      <c r="B41"/>
      <c r="C41"/>
    </row>
    <row r="42" spans="1:21" ht="15" customHeight="1" x14ac:dyDescent="0.25">
      <c r="A42"/>
      <c r="B42"/>
      <c r="C42" s="28"/>
    </row>
    <row r="43" spans="1:21" ht="15" customHeight="1" x14ac:dyDescent="0.25">
      <c r="A43"/>
      <c r="B43"/>
    </row>
    <row r="44" spans="1:21" ht="15" customHeight="1" x14ac:dyDescent="0.25">
      <c r="A44"/>
      <c r="B44"/>
      <c r="C44"/>
    </row>
    <row r="45" spans="1:21" ht="15" customHeight="1" x14ac:dyDescent="0.2"/>
    <row r="46" spans="1:21" ht="15" customHeight="1" x14ac:dyDescent="0.2"/>
    <row r="47" spans="1:21" ht="15" customHeight="1" x14ac:dyDescent="0.2"/>
    <row r="48" spans="1:21" ht="15" customHeight="1" x14ac:dyDescent="0.2"/>
    <row r="49" spans="1:2" ht="15" customHeight="1" x14ac:dyDescent="0.2"/>
    <row r="50" spans="1:2" ht="15" customHeight="1" x14ac:dyDescent="0.2"/>
    <row r="63" spans="1:2" ht="15" hidden="1" customHeight="1" x14ac:dyDescent="0.25">
      <c r="A63" s="26"/>
      <c r="B63" s="26"/>
    </row>
  </sheetData>
  <sheetProtection algorithmName="SHA-512" hashValue="DL9RwCvlzyyPProtY0jPOoNGn12/nRSC83ya100CCM+HwSOZXJeJmRCrv/o7oM+rwd4vwEQjOR03hF4e2b9PYQ==" saltValue="xjoAQzpAGlEQWIOK/AAygg==" spinCount="100000" sheet="1" objects="1" scenarios="1" selectLockedCells="1"/>
  <mergeCells count="79">
    <mergeCell ref="Q30:R31"/>
    <mergeCell ref="Q32:R33"/>
    <mergeCell ref="M30:N31"/>
    <mergeCell ref="Q36:R37"/>
    <mergeCell ref="G34:H35"/>
    <mergeCell ref="I34:J35"/>
    <mergeCell ref="K34:L35"/>
    <mergeCell ref="M34:N35"/>
    <mergeCell ref="O34:P35"/>
    <mergeCell ref="Q34:R35"/>
    <mergeCell ref="G36:H37"/>
    <mergeCell ref="I36:J37"/>
    <mergeCell ref="K36:L37"/>
    <mergeCell ref="M36:N37"/>
    <mergeCell ref="O36:P37"/>
    <mergeCell ref="O30:P31"/>
    <mergeCell ref="A32:B33"/>
    <mergeCell ref="C32:D33"/>
    <mergeCell ref="G30:J31"/>
    <mergeCell ref="K30:L31"/>
    <mergeCell ref="G32:H33"/>
    <mergeCell ref="I32:J33"/>
    <mergeCell ref="K32:L33"/>
    <mergeCell ref="A36:B37"/>
    <mergeCell ref="C36:D37"/>
    <mergeCell ref="I17:J17"/>
    <mergeCell ref="L17:M17"/>
    <mergeCell ref="N17:O17"/>
    <mergeCell ref="A34:B35"/>
    <mergeCell ref="C34:D35"/>
    <mergeCell ref="A23:B24"/>
    <mergeCell ref="C23:D24"/>
    <mergeCell ref="A25:B26"/>
    <mergeCell ref="C25:D26"/>
    <mergeCell ref="G23:H23"/>
    <mergeCell ref="I23:J23"/>
    <mergeCell ref="G24:H24"/>
    <mergeCell ref="I24:J24"/>
    <mergeCell ref="A30:D31"/>
    <mergeCell ref="O32:P33"/>
    <mergeCell ref="S17:T17"/>
    <mergeCell ref="L19:M19"/>
    <mergeCell ref="N19:O19"/>
    <mergeCell ref="A27:B28"/>
    <mergeCell ref="C27:D28"/>
    <mergeCell ref="A21:B22"/>
    <mergeCell ref="C21:D22"/>
    <mergeCell ref="A19:B20"/>
    <mergeCell ref="C19:D20"/>
    <mergeCell ref="L21:O22"/>
    <mergeCell ref="L23:O24"/>
    <mergeCell ref="G17:H17"/>
    <mergeCell ref="Q17:R17"/>
    <mergeCell ref="G21:J22"/>
    <mergeCell ref="M32:N33"/>
    <mergeCell ref="S16:T16"/>
    <mergeCell ref="L13:O14"/>
    <mergeCell ref="Q13:T14"/>
    <mergeCell ref="A17:B18"/>
    <mergeCell ref="C17:D18"/>
    <mergeCell ref="G15:H15"/>
    <mergeCell ref="I15:J15"/>
    <mergeCell ref="L15:M15"/>
    <mergeCell ref="N15:O15"/>
    <mergeCell ref="Q15:R15"/>
    <mergeCell ref="S15:T15"/>
    <mergeCell ref="G13:J14"/>
    <mergeCell ref="G16:H16"/>
    <mergeCell ref="I16:J16"/>
    <mergeCell ref="L16:M16"/>
    <mergeCell ref="N16:O16"/>
    <mergeCell ref="L18:M18"/>
    <mergeCell ref="N18:O18"/>
    <mergeCell ref="Q16:R16"/>
    <mergeCell ref="A6:D7"/>
    <mergeCell ref="A8:D12"/>
    <mergeCell ref="A13:D14"/>
    <mergeCell ref="A15:B16"/>
    <mergeCell ref="C15:D16"/>
  </mergeCells>
  <conditionalFormatting sqref="A6:D7 A13:D14 A30:D31 G13:J14 L13:O14 Q13:T14 G21">
    <cfRule type="expression" dxfId="31" priority="42">
      <formula>$C$15=6</formula>
    </cfRule>
    <cfRule type="expression" dxfId="30" priority="43">
      <formula>$C$15=5</formula>
    </cfRule>
    <cfRule type="expression" dxfId="29" priority="45">
      <formula>$C$15=3</formula>
    </cfRule>
    <cfRule type="expression" dxfId="28" priority="46">
      <formula>$C$15=2</formula>
    </cfRule>
    <cfRule type="expression" dxfId="27" priority="47">
      <formula>$C$15=1</formula>
    </cfRule>
  </conditionalFormatting>
  <conditionalFormatting sqref="A6:D7 A13:D14 A30:D31 G13:J14 L13:O14 Q13:T14 G21">
    <cfRule type="expression" dxfId="26" priority="44">
      <formula>$C$15=4</formula>
    </cfRule>
  </conditionalFormatting>
  <conditionalFormatting sqref="S16:T17">
    <cfRule type="cellIs" dxfId="25" priority="40" operator="lessThan">
      <formula>0</formula>
    </cfRule>
    <cfRule type="cellIs" dxfId="24" priority="41" operator="greaterThan">
      <formula>0</formula>
    </cfRule>
  </conditionalFormatting>
  <conditionalFormatting sqref="K30:R31">
    <cfRule type="expression" dxfId="23" priority="34">
      <formula>$C$15=6</formula>
    </cfRule>
    <cfRule type="expression" dxfId="22" priority="35">
      <formula>$C$15=5</formula>
    </cfRule>
    <cfRule type="expression" dxfId="21" priority="37">
      <formula>$C$15=3</formula>
    </cfRule>
    <cfRule type="expression" dxfId="20" priority="38">
      <formula>$C$15=2</formula>
    </cfRule>
    <cfRule type="expression" dxfId="19" priority="39">
      <formula>$C$15=1</formula>
    </cfRule>
  </conditionalFormatting>
  <conditionalFormatting sqref="K30:R31">
    <cfRule type="expression" dxfId="18" priority="36">
      <formula>$C$15=4</formula>
    </cfRule>
  </conditionalFormatting>
  <conditionalFormatting sqref="G30:J31">
    <cfRule type="expression" dxfId="17" priority="28">
      <formula>$C$15=6</formula>
    </cfRule>
    <cfRule type="expression" dxfId="16" priority="29">
      <formula>$C$15=5</formula>
    </cfRule>
    <cfRule type="expression" dxfId="15" priority="31">
      <formula>$C$15=3</formula>
    </cfRule>
    <cfRule type="expression" dxfId="14" priority="32">
      <formula>$C$15=2</formula>
    </cfRule>
    <cfRule type="expression" dxfId="13" priority="33">
      <formula>$C$15=1</formula>
    </cfRule>
  </conditionalFormatting>
  <conditionalFormatting sqref="G30:J31">
    <cfRule type="expression" dxfId="12" priority="30">
      <formula>$C$15=4</formula>
    </cfRule>
  </conditionalFormatting>
  <conditionalFormatting sqref="C21:D22">
    <cfRule type="expression" dxfId="11" priority="27">
      <formula>$K$32=TRUE</formula>
    </cfRule>
  </conditionalFormatting>
  <conditionalFormatting sqref="C23:D24">
    <cfRule type="expression" dxfId="10" priority="26">
      <formula>$K$34=TRUE</formula>
    </cfRule>
  </conditionalFormatting>
  <conditionalFormatting sqref="S15:T15">
    <cfRule type="expression" dxfId="9" priority="25">
      <formula>$K$36=TRUE</formula>
    </cfRule>
  </conditionalFormatting>
  <conditionalFormatting sqref="L21">
    <cfRule type="expression" dxfId="8" priority="7">
      <formula>$C$15=6</formula>
    </cfRule>
    <cfRule type="expression" dxfId="7" priority="8">
      <formula>$C$15=5</formula>
    </cfRule>
    <cfRule type="expression" dxfId="6" priority="10">
      <formula>$C$15=3</formula>
    </cfRule>
    <cfRule type="expression" dxfId="5" priority="11">
      <formula>$C$15=2</formula>
    </cfRule>
    <cfRule type="expression" dxfId="4" priority="12">
      <formula>$C$15=1</formula>
    </cfRule>
  </conditionalFormatting>
  <conditionalFormatting sqref="L21">
    <cfRule type="expression" dxfId="3" priority="9">
      <formula>$C$15=4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2</xdr:col>
                    <xdr:colOff>85725</xdr:colOff>
                    <xdr:row>14</xdr:row>
                    <xdr:rowOff>85725</xdr:rowOff>
                  </from>
                  <to>
                    <xdr:col>3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2</xdr:col>
                    <xdr:colOff>85725</xdr:colOff>
                    <xdr:row>16</xdr:row>
                    <xdr:rowOff>85725</xdr:rowOff>
                  </from>
                  <to>
                    <xdr:col>3</xdr:col>
                    <xdr:colOff>523875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76200</xdr:rowOff>
                  </from>
                  <to>
                    <xdr:col>3</xdr:col>
                    <xdr:colOff>161925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76200</xdr:rowOff>
                  </from>
                  <to>
                    <xdr:col>3</xdr:col>
                    <xdr:colOff>161925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76200</xdr:rowOff>
                  </from>
                  <to>
                    <xdr:col>3</xdr:col>
                    <xdr:colOff>161925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10</xdr:col>
                    <xdr:colOff>266700</xdr:colOff>
                    <xdr:row>31</xdr:row>
                    <xdr:rowOff>76200</xdr:rowOff>
                  </from>
                  <to>
                    <xdr:col>11</xdr:col>
                    <xdr:colOff>342900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Drop Down 7">
              <controlPr defaultSize="0" autoLine="0" autoPict="0">
                <anchor moveWithCells="1">
                  <from>
                    <xdr:col>8</xdr:col>
                    <xdr:colOff>66675</xdr:colOff>
                    <xdr:row>31</xdr:row>
                    <xdr:rowOff>123825</xdr:rowOff>
                  </from>
                  <to>
                    <xdr:col>9</xdr:col>
                    <xdr:colOff>676275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Drop Down 8">
              <controlPr defaultSize="0" autoLine="0" autoPict="0">
                <anchor moveWithCells="1">
                  <from>
                    <xdr:col>8</xdr:col>
                    <xdr:colOff>66675</xdr:colOff>
                    <xdr:row>33</xdr:row>
                    <xdr:rowOff>123825</xdr:rowOff>
                  </from>
                  <to>
                    <xdr:col>9</xdr:col>
                    <xdr:colOff>676275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Drop Down 9">
              <controlPr defaultSize="0" autoLine="0" autoPict="0">
                <anchor moveWithCells="1">
                  <from>
                    <xdr:col>8</xdr:col>
                    <xdr:colOff>66675</xdr:colOff>
                    <xdr:row>35</xdr:row>
                    <xdr:rowOff>123825</xdr:rowOff>
                  </from>
                  <to>
                    <xdr:col>9</xdr:col>
                    <xdr:colOff>676275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10</xdr:col>
                    <xdr:colOff>266700</xdr:colOff>
                    <xdr:row>35</xdr:row>
                    <xdr:rowOff>76200</xdr:rowOff>
                  </from>
                  <to>
                    <xdr:col>11</xdr:col>
                    <xdr:colOff>342900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10</xdr:col>
                    <xdr:colOff>266700</xdr:colOff>
                    <xdr:row>33</xdr:row>
                    <xdr:rowOff>76200</xdr:rowOff>
                  </from>
                  <to>
                    <xdr:col>11</xdr:col>
                    <xdr:colOff>342900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026CF-3C88-4EB2-8A51-EE46642E97C5}">
  <sheetPr codeName="Planilha24">
    <tabColor rgb="FF7030A0"/>
  </sheetPr>
  <dimension ref="A1:Z29"/>
  <sheetViews>
    <sheetView showGridLines="0" showRowColHeaders="0" workbookViewId="0">
      <selection activeCell="F7" sqref="F7:G7"/>
    </sheetView>
  </sheetViews>
  <sheetFormatPr defaultColWidth="0" defaultRowHeight="15" zeroHeight="1" x14ac:dyDescent="0.25"/>
  <cols>
    <col min="1" max="1" width="9.140625" customWidth="1"/>
    <col min="2" max="2" width="15.140625" customWidth="1"/>
    <col min="3" max="3" width="21" customWidth="1"/>
    <col min="4" max="6" width="9.140625" customWidth="1"/>
    <col min="7" max="7" width="14" customWidth="1"/>
    <col min="8" max="11" width="9.140625" customWidth="1"/>
    <col min="12" max="12" width="21.85546875" customWidth="1"/>
    <col min="13" max="13" width="18.5703125" customWidth="1"/>
    <col min="14" max="15" width="9.140625" customWidth="1"/>
    <col min="16" max="16" width="10.42578125" customWidth="1"/>
    <col min="17" max="21" width="9.140625" customWidth="1"/>
    <col min="22" max="22" width="14.140625" customWidth="1"/>
    <col min="23" max="26" width="9.140625" customWidth="1"/>
    <col min="27" max="16384" width="9.140625" hidden="1"/>
  </cols>
  <sheetData>
    <row r="1" spans="1:26" x14ac:dyDescent="0.25">
      <c r="A1" s="192" t="s">
        <v>403</v>
      </c>
      <c r="B1" s="192"/>
      <c r="C1" s="192"/>
      <c r="D1" s="192"/>
      <c r="E1" s="192"/>
      <c r="F1" s="192"/>
      <c r="G1" s="192"/>
      <c r="H1" s="192"/>
      <c r="I1" s="65"/>
      <c r="J1" s="192" t="s">
        <v>404</v>
      </c>
      <c r="K1" s="192"/>
      <c r="L1" s="192"/>
      <c r="M1" s="192"/>
      <c r="N1" s="192"/>
      <c r="O1" s="192"/>
      <c r="P1" s="192"/>
      <c r="Q1" s="192"/>
      <c r="R1" s="65"/>
      <c r="S1" s="192" t="s">
        <v>404</v>
      </c>
      <c r="T1" s="192"/>
      <c r="U1" s="192"/>
      <c r="V1" s="192"/>
      <c r="W1" s="192"/>
      <c r="X1" s="192"/>
      <c r="Y1" s="192"/>
      <c r="Z1" s="192"/>
    </row>
    <row r="2" spans="1:26" x14ac:dyDescent="0.25">
      <c r="A2" s="66" t="s">
        <v>30</v>
      </c>
      <c r="B2" s="66" t="s">
        <v>390</v>
      </c>
      <c r="C2" s="66" t="s">
        <v>376</v>
      </c>
      <c r="D2" s="66" t="s">
        <v>391</v>
      </c>
      <c r="E2" s="66" t="s">
        <v>376</v>
      </c>
      <c r="F2" s="66" t="s">
        <v>384</v>
      </c>
      <c r="G2" s="66" t="s">
        <v>378</v>
      </c>
      <c r="H2" s="66" t="s">
        <v>365</v>
      </c>
      <c r="I2" s="65"/>
      <c r="J2" s="66" t="s">
        <v>30</v>
      </c>
      <c r="K2" s="66" t="s">
        <v>390</v>
      </c>
      <c r="L2" s="66" t="s">
        <v>376</v>
      </c>
      <c r="M2" s="66" t="s">
        <v>391</v>
      </c>
      <c r="N2" s="66" t="s">
        <v>376</v>
      </c>
      <c r="O2" s="66" t="s">
        <v>384</v>
      </c>
      <c r="P2" s="66" t="s">
        <v>378</v>
      </c>
      <c r="Q2" s="66" t="s">
        <v>365</v>
      </c>
      <c r="R2" s="65"/>
      <c r="S2" s="66" t="s">
        <v>30</v>
      </c>
      <c r="T2" s="66" t="s">
        <v>392</v>
      </c>
      <c r="U2" s="66" t="s">
        <v>376</v>
      </c>
      <c r="V2" s="66" t="s">
        <v>396</v>
      </c>
      <c r="W2" s="66" t="s">
        <v>376</v>
      </c>
      <c r="X2" s="66" t="s">
        <v>384</v>
      </c>
      <c r="Y2" s="66" t="s">
        <v>378</v>
      </c>
      <c r="Z2" s="66" t="s">
        <v>365</v>
      </c>
    </row>
    <row r="3" spans="1:26" x14ac:dyDescent="0.25">
      <c r="A3" s="67" t="s">
        <v>479</v>
      </c>
      <c r="B3" s="68" cm="1">
        <f t="array" ref="B3">INDEX(ROCHA,F3,1)</f>
        <v>0</v>
      </c>
      <c r="C3" s="68" cm="1">
        <f t="array" ref="C3">INDEX(ROCHA,F3,2)</f>
        <v>0</v>
      </c>
      <c r="D3" s="68" cm="1">
        <f t="array" ref="D3">INDEX(ROCHA,F3,3)</f>
        <v>0</v>
      </c>
      <c r="E3" s="68" cm="1">
        <f t="array" ref="E3">INDEX(ROCHA,F3,4)</f>
        <v>0</v>
      </c>
      <c r="F3" s="69">
        <f t="shared" ref="F3" si="0">MATCH(G3,codigo9,0)</f>
        <v>1</v>
      </c>
      <c r="G3" s="69" t="str">
        <f>_xlfn.CONCAT(CHOOSE(Rochas!$I$32,"Brecilien","Bridgewatch","Caerleon","Fort Sterling","Lymhurst","Martlock","Thetford"),"B",H3)</f>
        <v>BrecilienB0</v>
      </c>
      <c r="H3" s="70">
        <v>0</v>
      </c>
      <c r="I3" s="65"/>
      <c r="J3" s="67" t="s">
        <v>479</v>
      </c>
      <c r="K3" s="68" cm="1">
        <f t="array" ref="K3">INDEX(BLOCO,O3,1)</f>
        <v>0</v>
      </c>
      <c r="L3" s="68" cm="1">
        <f t="array" ref="L3">INDEX(BLOCO,O3,2)</f>
        <v>0</v>
      </c>
      <c r="M3" s="68" cm="1">
        <f t="array" ref="M3">INDEX(BLOCO,O3,3)</f>
        <v>0</v>
      </c>
      <c r="N3" s="68" cm="1">
        <f t="array" ref="N3">INDEX(BLOCO,O3,4)</f>
        <v>0</v>
      </c>
      <c r="O3" s="69">
        <f t="shared" ref="O3" si="1">MATCH(P3,codigo10,0)</f>
        <v>1</v>
      </c>
      <c r="P3" s="69" t="str">
        <f>_xlfn.CONCAT(CHOOSE(Rochas!$I$34,"Brecilien","Bridgewatch","Caerleon","Fort Sterling","Lymhurst","Martlock","Thetford"),"R",Q3)</f>
        <v>BrecilienR0</v>
      </c>
      <c r="Q3" s="70">
        <v>0</v>
      </c>
      <c r="R3" s="65"/>
      <c r="S3" s="67" t="s">
        <v>479</v>
      </c>
      <c r="T3" s="68" cm="1">
        <f t="array" ref="T3">INDEX(BLOCO,X3,1)</f>
        <v>0</v>
      </c>
      <c r="U3" s="68" cm="1">
        <f t="array" ref="U3">INDEX(BLOCO,X3,2)</f>
        <v>0</v>
      </c>
      <c r="V3" s="68" cm="1">
        <f t="array" ref="V3">INDEX(BLOCO,X3,3)</f>
        <v>0</v>
      </c>
      <c r="W3" s="68" cm="1">
        <f t="array" ref="W3">INDEX(BLOCO,X3,4)</f>
        <v>0</v>
      </c>
      <c r="X3" s="69">
        <f t="shared" ref="X3" si="2">MATCH(Y3,codigo10,0)</f>
        <v>1</v>
      </c>
      <c r="Y3" s="69" t="str">
        <f>_xlfn.CONCAT(CHOOSE(Rochas!$I$36,"Brecilien","Bridgewatch","Caerleon","Fort Sterling","Lymhurst","Martlock","Thetford"),"R",Z3)</f>
        <v>BrecilienR0</v>
      </c>
      <c r="Z3" s="70">
        <v>0</v>
      </c>
    </row>
    <row r="4" spans="1:26" x14ac:dyDescent="0.25">
      <c r="A4" s="67" t="s">
        <v>95</v>
      </c>
      <c r="B4" s="68" cm="1">
        <f t="array" ref="B4">INDEX(ROCHA,F4,1)</f>
        <v>41</v>
      </c>
      <c r="C4" s="68" t="str" cm="1">
        <f t="array" ref="C4">INDEX(ROCHA,F4,2)</f>
        <v>2024-09-08T17:10:00</v>
      </c>
      <c r="D4" s="68" cm="1">
        <f t="array" ref="D4">INDEX(ROCHA,F4,3)</f>
        <v>0</v>
      </c>
      <c r="E4" s="68" cm="1">
        <f t="array" ref="E4">INDEX(ROCHA,F4,4)</f>
        <v>0</v>
      </c>
      <c r="F4" s="69">
        <f t="shared" ref="F4:F8" si="3">MATCH(G4,codigo9,0)</f>
        <v>8</v>
      </c>
      <c r="G4" s="69" t="str">
        <f>_xlfn.CONCAT(CHOOSE(Rochas!$I$32,"Brecilien","Bridgewatch","Caerleon","Fort Sterling","Lymhurst","Martlock","Thetford"),"B",H4)</f>
        <v>BrecilienB1</v>
      </c>
      <c r="H4" s="70">
        <v>1</v>
      </c>
      <c r="I4" s="65"/>
      <c r="J4" s="67" t="s">
        <v>95</v>
      </c>
      <c r="K4" s="68" cm="1">
        <f t="array" ref="K4">INDEX(BLOCO,O4,1)</f>
        <v>0</v>
      </c>
      <c r="L4" s="68" cm="1">
        <f t="array" ref="L4">INDEX(BLOCO,O4,2)</f>
        <v>0</v>
      </c>
      <c r="M4" s="68" cm="1">
        <f t="array" ref="M4">INDEX(BLOCO,O4,3)</f>
        <v>0</v>
      </c>
      <c r="N4" s="68" cm="1">
        <f t="array" ref="N4">INDEX(BLOCO,O4,4)</f>
        <v>0</v>
      </c>
      <c r="O4" s="69">
        <f t="shared" ref="O4:O5" si="4">MATCH(P4,codigo10,0)</f>
        <v>8</v>
      </c>
      <c r="P4" s="69" t="str">
        <f>_xlfn.CONCAT(CHOOSE(Rochas!$I$34,"Brecilien","Bridgewatch","Caerleon","Fort Sterling","Lymhurst","Martlock","Thetford"),"R",Q4)</f>
        <v>BrecilienR1</v>
      </c>
      <c r="Q4" s="70">
        <v>1</v>
      </c>
      <c r="R4" s="65"/>
      <c r="S4" s="67" t="s">
        <v>95</v>
      </c>
      <c r="T4" s="68" cm="1">
        <f t="array" ref="T4">INDEX(BLOCO,X4,1)</f>
        <v>0</v>
      </c>
      <c r="U4" s="68" cm="1">
        <f t="array" ref="U4">INDEX(BLOCO,X4,2)</f>
        <v>0</v>
      </c>
      <c r="V4" s="68" cm="1">
        <f t="array" ref="V4">INDEX(BLOCO,X4,3)</f>
        <v>0</v>
      </c>
      <c r="W4" s="68" cm="1">
        <f t="array" ref="W4">INDEX(BLOCO,X4,4)</f>
        <v>0</v>
      </c>
      <c r="X4" s="69">
        <f t="shared" ref="X4:X5" si="5">MATCH(Y4,codigo10,0)</f>
        <v>8</v>
      </c>
      <c r="Y4" s="69" t="str">
        <f>_xlfn.CONCAT(CHOOSE(Rochas!$I$36,"Brecilien","Bridgewatch","Caerleon","Fort Sterling","Lymhurst","Martlock","Thetford"),"R",Z4)</f>
        <v>BrecilienR1</v>
      </c>
      <c r="Z4" s="70">
        <v>1</v>
      </c>
    </row>
    <row r="5" spans="1:26" x14ac:dyDescent="0.25">
      <c r="A5" s="67" t="s">
        <v>96</v>
      </c>
      <c r="B5" s="68" cm="1">
        <f t="array" ref="B5">INDEX(ROCHA,F5,1)</f>
        <v>8</v>
      </c>
      <c r="C5" s="68" t="str" cm="1">
        <f t="array" ref="C5">INDEX(ROCHA,F5,2)</f>
        <v>2024-09-08T19:00:00</v>
      </c>
      <c r="D5" s="68" cm="1">
        <f t="array" ref="D5">INDEX(ROCHA,F5,3)</f>
        <v>0</v>
      </c>
      <c r="E5" s="68" cm="1">
        <f t="array" ref="E5">INDEX(ROCHA,F5,4)</f>
        <v>0</v>
      </c>
      <c r="F5" s="69">
        <f t="shared" si="3"/>
        <v>15</v>
      </c>
      <c r="G5" s="69" t="str">
        <f>_xlfn.CONCAT(CHOOSE(Rochas!$I$32,"Brecilien","Bridgewatch","Caerleon","Fort Sterling","Lymhurst","Martlock","Thetford"),"B",H5)</f>
        <v>BrecilienB2</v>
      </c>
      <c r="H5" s="70">
        <v>2</v>
      </c>
      <c r="I5" s="65"/>
      <c r="J5" s="67" t="s">
        <v>96</v>
      </c>
      <c r="K5" s="68" cm="1">
        <f t="array" ref="K5">INDEX(BLOCO,O5,1)</f>
        <v>0</v>
      </c>
      <c r="L5" s="68" cm="1">
        <f t="array" ref="L5">INDEX(BLOCO,O5,2)</f>
        <v>0</v>
      </c>
      <c r="M5" s="68" cm="1">
        <f t="array" ref="M5">INDEX(BLOCO,O5,3)</f>
        <v>0</v>
      </c>
      <c r="N5" s="68" cm="1">
        <f t="array" ref="N5">INDEX(BLOCO,O5,4)</f>
        <v>0</v>
      </c>
      <c r="O5" s="69">
        <f t="shared" si="4"/>
        <v>15</v>
      </c>
      <c r="P5" s="69" t="str">
        <f>_xlfn.CONCAT(CHOOSE(Rochas!$I$34,"Brecilien","Bridgewatch","Caerleon","Fort Sterling","Lymhurst","Martlock","Thetford"),"R",Q5)</f>
        <v>BrecilienR2</v>
      </c>
      <c r="Q5" s="70">
        <v>2</v>
      </c>
      <c r="R5" s="65"/>
      <c r="S5" s="67" t="s">
        <v>96</v>
      </c>
      <c r="T5" s="68" cm="1">
        <f t="array" ref="T5">INDEX(BLOCO,X5,1)</f>
        <v>0</v>
      </c>
      <c r="U5" s="68" cm="1">
        <f t="array" ref="U5">INDEX(BLOCO,X5,2)</f>
        <v>0</v>
      </c>
      <c r="V5" s="68" cm="1">
        <f t="array" ref="V5">INDEX(BLOCO,X5,3)</f>
        <v>0</v>
      </c>
      <c r="W5" s="68" cm="1">
        <f t="array" ref="W5">INDEX(BLOCO,X5,4)</f>
        <v>0</v>
      </c>
      <c r="X5" s="69">
        <f t="shared" si="5"/>
        <v>15</v>
      </c>
      <c r="Y5" s="69" t="str">
        <f>_xlfn.CONCAT(CHOOSE(Rochas!$I$36,"Brecilien","Bridgewatch","Caerleon","Fort Sterling","Lymhurst","Martlock","Thetford"),"R",Z5)</f>
        <v>BrecilienR2</v>
      </c>
      <c r="Z5" s="70">
        <v>2</v>
      </c>
    </row>
    <row r="6" spans="1:26" x14ac:dyDescent="0.25">
      <c r="A6" s="67" t="s">
        <v>97</v>
      </c>
      <c r="B6" s="68" cm="1">
        <f t="array" ref="B6">INDEX(ROCHA,F6,1)</f>
        <v>9</v>
      </c>
      <c r="C6" s="68" t="str" cm="1">
        <f t="array" ref="C6">INDEX(ROCHA,F6,2)</f>
        <v>2024-09-08T18:30:00</v>
      </c>
      <c r="D6" s="68" cm="1">
        <f t="array" ref="D6">INDEX(ROCHA,F6,3)</f>
        <v>0</v>
      </c>
      <c r="E6" s="68" cm="1">
        <f t="array" ref="E6">INDEX(ROCHA,F6,4)</f>
        <v>0</v>
      </c>
      <c r="F6" s="69">
        <f t="shared" si="3"/>
        <v>22</v>
      </c>
      <c r="G6" s="69" t="str">
        <f>_xlfn.CONCAT(CHOOSE(Rochas!$I$32,"Brecilien","Bridgewatch","Caerleon","Fort Sterling","Lymhurst","Martlock","Thetford"),"B",H6)</f>
        <v>BrecilienB3</v>
      </c>
      <c r="H6" s="70">
        <v>3</v>
      </c>
      <c r="I6" s="65"/>
      <c r="J6" s="67" t="s">
        <v>97</v>
      </c>
      <c r="K6" s="74"/>
      <c r="L6" s="74"/>
      <c r="M6" s="74"/>
      <c r="N6" s="74"/>
      <c r="O6" s="74"/>
      <c r="P6" s="74"/>
      <c r="Q6" s="74"/>
      <c r="R6" s="65"/>
      <c r="S6" s="67" t="s">
        <v>97</v>
      </c>
      <c r="T6" s="2"/>
      <c r="U6" s="2"/>
      <c r="V6" s="2"/>
      <c r="W6" s="2"/>
      <c r="X6" s="2"/>
      <c r="Y6" s="2"/>
      <c r="Z6" s="2"/>
    </row>
    <row r="7" spans="1:26" x14ac:dyDescent="0.25">
      <c r="A7" s="67" t="s">
        <v>98</v>
      </c>
      <c r="B7" s="68" cm="1">
        <f t="array" ref="B7">INDEX(ROCHA,F7,1)</f>
        <v>47</v>
      </c>
      <c r="C7" s="68" t="str" cm="1">
        <f t="array" ref="C7">INDEX(ROCHA,F7,2)</f>
        <v>2024-09-08T18:40:00</v>
      </c>
      <c r="D7" s="68" cm="1">
        <f t="array" ref="D7">INDEX(ROCHA,F7,3)</f>
        <v>0</v>
      </c>
      <c r="E7" s="68" cm="1">
        <f t="array" ref="E7">INDEX(ROCHA,F7,4)</f>
        <v>0</v>
      </c>
      <c r="F7" s="69">
        <f t="shared" si="3"/>
        <v>29</v>
      </c>
      <c r="G7" s="69" t="str">
        <f>_xlfn.CONCAT(CHOOSE(Rochas!$I$32,"Brecilien","Bridgewatch","Caerleon","Fort Sterling","Lymhurst","Martlock","Thetford"),"B",H7)</f>
        <v>BrecilienB4</v>
      </c>
      <c r="H7" s="70">
        <v>4</v>
      </c>
      <c r="I7" s="65"/>
      <c r="J7" s="67" t="s">
        <v>98</v>
      </c>
      <c r="K7" s="74"/>
      <c r="L7" s="74"/>
      <c r="M7" s="74"/>
      <c r="N7" s="74"/>
      <c r="O7" s="74"/>
      <c r="P7" s="74"/>
      <c r="Q7" s="74"/>
      <c r="R7" s="65"/>
      <c r="S7" s="67" t="s">
        <v>98</v>
      </c>
      <c r="T7" s="2"/>
      <c r="U7" s="2"/>
      <c r="V7" s="2"/>
      <c r="W7" s="2"/>
      <c r="X7" s="2"/>
      <c r="Y7" s="2"/>
      <c r="Z7" s="2"/>
    </row>
    <row r="8" spans="1:26" x14ac:dyDescent="0.25">
      <c r="A8" s="67" t="s">
        <v>99</v>
      </c>
      <c r="B8" s="68" cm="1">
        <f t="array" ref="B8">INDEX(ROCHA,F8,1)</f>
        <v>42</v>
      </c>
      <c r="C8" s="68" t="str" cm="1">
        <f t="array" ref="C8">INDEX(ROCHA,F8,2)</f>
        <v>2024-09-08T08:25:00</v>
      </c>
      <c r="D8" s="68" cm="1">
        <f t="array" ref="D8">INDEX(ROCHA,F8,3)</f>
        <v>0</v>
      </c>
      <c r="E8" s="68" cm="1">
        <f t="array" ref="E8">INDEX(ROCHA,F8,4)</f>
        <v>0</v>
      </c>
      <c r="F8" s="69">
        <f t="shared" si="3"/>
        <v>36</v>
      </c>
      <c r="G8" s="69" t="str">
        <f>_xlfn.CONCAT(CHOOSE(Rochas!$I$32,"Brecilien","Bridgewatch","Caerleon","Fort Sterling","Lymhurst","Martlock","Thetford"),"B",H8)</f>
        <v>BrecilienB5</v>
      </c>
      <c r="H8" s="70">
        <v>5</v>
      </c>
      <c r="I8" s="65"/>
      <c r="J8" s="67" t="s">
        <v>99</v>
      </c>
      <c r="K8" s="74"/>
      <c r="L8" s="74"/>
      <c r="M8" s="74"/>
      <c r="N8" s="74"/>
      <c r="O8" s="74"/>
      <c r="P8" s="74"/>
      <c r="Q8" s="74"/>
      <c r="R8" s="65"/>
      <c r="S8" s="67" t="s">
        <v>99</v>
      </c>
      <c r="T8" s="2"/>
      <c r="U8" s="2"/>
      <c r="V8" s="2"/>
      <c r="W8" s="2"/>
      <c r="X8" s="2"/>
      <c r="Y8" s="2"/>
      <c r="Z8" s="2"/>
    </row>
    <row r="9" spans="1:26" x14ac:dyDescent="0.25">
      <c r="A9" s="67" t="s">
        <v>100</v>
      </c>
      <c r="B9" s="72"/>
      <c r="C9" s="72"/>
      <c r="D9" s="72"/>
      <c r="E9" s="72"/>
      <c r="F9" s="2"/>
      <c r="G9" s="2"/>
      <c r="H9" s="2"/>
      <c r="I9" s="65"/>
      <c r="J9" s="67" t="s">
        <v>100</v>
      </c>
      <c r="K9" s="74"/>
      <c r="L9" s="74"/>
      <c r="M9" s="74"/>
      <c r="N9" s="74"/>
      <c r="O9" s="74"/>
      <c r="P9" s="74"/>
      <c r="Q9" s="74"/>
      <c r="R9" s="65"/>
      <c r="S9" s="67" t="s">
        <v>100</v>
      </c>
      <c r="T9" s="2"/>
      <c r="U9" s="2"/>
      <c r="V9" s="2"/>
      <c r="W9" s="2"/>
      <c r="X9" s="2"/>
      <c r="Y9" s="2"/>
      <c r="Z9" s="2"/>
    </row>
    <row r="10" spans="1:26" x14ac:dyDescent="0.25">
      <c r="A10" s="67" t="s">
        <v>101</v>
      </c>
      <c r="B10" s="68" cm="1">
        <f t="array" ref="B10">INDEX(ROCHA,F10,1)</f>
        <v>84</v>
      </c>
      <c r="C10" s="68" t="str" cm="1">
        <f t="array" ref="C10">INDEX(ROCHA,F10,2)</f>
        <v>2024-09-08T19:00:00</v>
      </c>
      <c r="D10" s="68" cm="1">
        <f t="array" ref="D10">INDEX(ROCHA,F10,3)</f>
        <v>47</v>
      </c>
      <c r="E10" s="68" t="str" cm="1">
        <f t="array" ref="E10">INDEX(ROCHA,F10,4)</f>
        <v>2024-09-08T17:45:00</v>
      </c>
      <c r="F10" s="69">
        <f>MATCH(G10,codigo9,0)</f>
        <v>43</v>
      </c>
      <c r="G10" s="69" t="str">
        <f>_xlfn.CONCAT(CHOOSE(Rochas!$I$32,"Brecilien","Bridgewatch","Caerleon","Fort Sterling","Lymhurst","Martlock","Thetford"),"B",H10)</f>
        <v>BrecilienB6</v>
      </c>
      <c r="H10" s="70">
        <v>6</v>
      </c>
      <c r="I10" s="65"/>
      <c r="J10" s="67" t="s">
        <v>101</v>
      </c>
      <c r="K10" s="68" cm="1">
        <f t="array" ref="K10">INDEX(BLOCO,O10,1)</f>
        <v>0</v>
      </c>
      <c r="L10" s="68" cm="1">
        <f t="array" ref="L10">INDEX(BLOCO,O10,2)</f>
        <v>0</v>
      </c>
      <c r="M10" s="68" cm="1">
        <f t="array" ref="M10">INDEX(BLOCO,O10,3)</f>
        <v>0</v>
      </c>
      <c r="N10" s="68" cm="1">
        <f t="array" ref="N10">INDEX(BLOCO,O10,4)</f>
        <v>0</v>
      </c>
      <c r="O10" s="69">
        <f>MATCH(P10,codigo10,0)</f>
        <v>22</v>
      </c>
      <c r="P10" s="69" t="str">
        <f>_xlfn.CONCAT(CHOOSE(Rochas!$I$34,"Brecilien","Bridgewatch","Caerleon","Fort Sterling","Lymhurst","Martlock","Thetford"),"R",Q10)</f>
        <v>BrecilienR3</v>
      </c>
      <c r="Q10" s="70">
        <v>3</v>
      </c>
      <c r="R10" s="65"/>
      <c r="S10" s="67" t="s">
        <v>101</v>
      </c>
      <c r="T10" s="68" cm="1">
        <f t="array" ref="T10">INDEX(BLOCO,X10,1)</f>
        <v>0</v>
      </c>
      <c r="U10" s="68" cm="1">
        <f t="array" ref="U10">INDEX(BLOCO,X10,2)</f>
        <v>0</v>
      </c>
      <c r="V10" s="68" cm="1">
        <f t="array" ref="V10">INDEX(BLOCO,X10,3)</f>
        <v>0</v>
      </c>
      <c r="W10" s="68" cm="1">
        <f t="array" ref="W10">INDEX(BLOCO,X10,4)</f>
        <v>0</v>
      </c>
      <c r="X10" s="69">
        <f>MATCH(Y10,codigo10,0)</f>
        <v>22</v>
      </c>
      <c r="Y10" s="69" t="str">
        <f>_xlfn.CONCAT(CHOOSE(Rochas!$I$36,"Brecilien","Bridgewatch","Caerleon","Fort Sterling","Lymhurst","Martlock","Thetford"),"R",Z10)</f>
        <v>BrecilienR3</v>
      </c>
      <c r="Z10" s="70">
        <v>3</v>
      </c>
    </row>
    <row r="11" spans="1:26" x14ac:dyDescent="0.25">
      <c r="A11" s="67" t="s">
        <v>102</v>
      </c>
      <c r="B11" s="68" cm="1">
        <f t="array" ref="B11">INDEX(ROCHA,F11,1)</f>
        <v>104</v>
      </c>
      <c r="C11" s="68" t="str" cm="1">
        <f t="array" ref="C11">INDEX(ROCHA,F11,2)</f>
        <v>2024-09-08T14:15:00</v>
      </c>
      <c r="D11" s="68" cm="1">
        <f t="array" ref="D11">INDEX(ROCHA,F11,3)</f>
        <v>0</v>
      </c>
      <c r="E11" s="68" cm="1">
        <f t="array" ref="E11">INDEX(ROCHA,F11,4)</f>
        <v>0</v>
      </c>
      <c r="F11" s="69">
        <f>MATCH(G11,codigo9,0)</f>
        <v>50</v>
      </c>
      <c r="G11" s="69" t="str">
        <f>_xlfn.CONCAT(CHOOSE(Rochas!$I$32,"Brecilien","Bridgewatch","Caerleon","Fort Sterling","Lymhurst","Martlock","Thetford"),"B",H11)</f>
        <v>BrecilienB7</v>
      </c>
      <c r="H11" s="70">
        <v>7</v>
      </c>
      <c r="I11" s="65"/>
      <c r="J11" s="67" t="s">
        <v>102</v>
      </c>
      <c r="K11" s="72"/>
      <c r="L11" s="72"/>
      <c r="M11" s="72"/>
      <c r="N11" s="72"/>
      <c r="O11" s="73"/>
      <c r="P11" s="73"/>
      <c r="Q11" s="72"/>
      <c r="R11" s="65"/>
      <c r="S11" s="67" t="s">
        <v>102</v>
      </c>
      <c r="T11" s="72"/>
      <c r="U11" s="72"/>
      <c r="V11" s="72"/>
      <c r="W11" s="72"/>
      <c r="X11" s="73"/>
      <c r="Y11" s="73"/>
      <c r="Z11" s="72"/>
    </row>
    <row r="12" spans="1:26" x14ac:dyDescent="0.25">
      <c r="A12" s="67" t="s">
        <v>103</v>
      </c>
      <c r="B12" s="68" cm="1">
        <f t="array" ref="B12">INDEX(ROCHA,F12,1)</f>
        <v>193</v>
      </c>
      <c r="C12" s="68" t="str" cm="1">
        <f t="array" ref="C12">INDEX(ROCHA,F12,2)</f>
        <v>2024-09-08T18:40:00</v>
      </c>
      <c r="D12" s="68" cm="1">
        <f t="array" ref="D12">INDEX(ROCHA,F12,3)</f>
        <v>0</v>
      </c>
      <c r="E12" s="68" cm="1">
        <f t="array" ref="E12">INDEX(ROCHA,F12,4)</f>
        <v>0</v>
      </c>
      <c r="F12" s="69">
        <f>MATCH(G12,codigo9,0)</f>
        <v>57</v>
      </c>
      <c r="G12" s="69" t="str">
        <f>_xlfn.CONCAT(CHOOSE(Rochas!$I$32,"Brecilien","Bridgewatch","Caerleon","Fort Sterling","Lymhurst","Martlock","Thetford"),"B",H12)</f>
        <v>BrecilienB8</v>
      </c>
      <c r="H12" s="70">
        <v>8</v>
      </c>
      <c r="I12" s="65"/>
      <c r="J12" s="67" t="s">
        <v>103</v>
      </c>
      <c r="K12" s="72"/>
      <c r="L12" s="72"/>
      <c r="M12" s="72"/>
      <c r="N12" s="72"/>
      <c r="O12" s="73"/>
      <c r="P12" s="73"/>
      <c r="Q12" s="72"/>
      <c r="R12" s="65"/>
      <c r="S12" s="67" t="s">
        <v>103</v>
      </c>
      <c r="T12" s="72"/>
      <c r="U12" s="72"/>
      <c r="V12" s="72"/>
      <c r="W12" s="72"/>
      <c r="X12" s="73"/>
      <c r="Y12" s="73"/>
      <c r="Z12" s="72"/>
    </row>
    <row r="13" spans="1:26" x14ac:dyDescent="0.25">
      <c r="A13" s="67" t="s">
        <v>104</v>
      </c>
      <c r="B13" s="68" cm="1">
        <f t="array" ref="B13">INDEX(ROCHA,F13,1)</f>
        <v>426</v>
      </c>
      <c r="C13" s="68" t="str" cm="1">
        <f t="array" ref="C13">INDEX(ROCHA,F13,2)</f>
        <v>2024-09-08T17:05:00</v>
      </c>
      <c r="D13" s="68" cm="1">
        <f t="array" ref="D13">INDEX(ROCHA,F13,3)</f>
        <v>0</v>
      </c>
      <c r="E13" s="68" cm="1">
        <f t="array" ref="E13">INDEX(ROCHA,F13,4)</f>
        <v>0</v>
      </c>
      <c r="F13" s="69">
        <f>MATCH(G13,codigo9,0)</f>
        <v>64</v>
      </c>
      <c r="G13" s="69" t="str">
        <f>_xlfn.CONCAT(CHOOSE(Rochas!$I$32,"Brecilien","Bridgewatch","Caerleon","Fort Sterling","Lymhurst","Martlock","Thetford"),"B",H13)</f>
        <v>BrecilienB9</v>
      </c>
      <c r="H13" s="70">
        <v>9</v>
      </c>
      <c r="I13" s="65"/>
      <c r="J13" s="67" t="s">
        <v>104</v>
      </c>
      <c r="K13" s="72"/>
      <c r="L13" s="72"/>
      <c r="M13" s="72"/>
      <c r="N13" s="72"/>
      <c r="O13" s="73"/>
      <c r="P13" s="73"/>
      <c r="Q13" s="72"/>
      <c r="R13" s="65"/>
      <c r="S13" s="67" t="s">
        <v>104</v>
      </c>
      <c r="T13" s="72"/>
      <c r="U13" s="72"/>
      <c r="V13" s="72"/>
      <c r="W13" s="72"/>
      <c r="X13" s="73"/>
      <c r="Y13" s="73"/>
      <c r="Z13" s="72"/>
    </row>
    <row r="14" spans="1:26" x14ac:dyDescent="0.25">
      <c r="A14" s="67" t="s">
        <v>105</v>
      </c>
      <c r="B14" s="72"/>
      <c r="C14" s="72"/>
      <c r="D14" s="72"/>
      <c r="E14" s="72"/>
      <c r="F14" s="2"/>
      <c r="G14" s="2"/>
      <c r="H14" s="2"/>
      <c r="I14" s="65"/>
      <c r="J14" s="67" t="s">
        <v>105</v>
      </c>
      <c r="K14" s="72"/>
      <c r="L14" s="72"/>
      <c r="M14" s="72"/>
      <c r="N14" s="72"/>
      <c r="O14" s="73"/>
      <c r="P14" s="73"/>
      <c r="Q14" s="72"/>
      <c r="R14" s="65"/>
      <c r="S14" s="67" t="s">
        <v>105</v>
      </c>
      <c r="T14" s="72"/>
      <c r="U14" s="72"/>
      <c r="V14" s="72"/>
      <c r="W14" s="72"/>
      <c r="X14" s="73"/>
      <c r="Y14" s="73"/>
      <c r="Z14" s="72"/>
    </row>
    <row r="15" spans="1:26" x14ac:dyDescent="0.25">
      <c r="A15" s="67" t="s">
        <v>106</v>
      </c>
      <c r="B15" s="68" cm="1">
        <f t="array" ref="B15">INDEX(ROCHA,F15,1)</f>
        <v>272</v>
      </c>
      <c r="C15" s="68" t="str" cm="1">
        <f t="array" ref="C15">INDEX(ROCHA,F15,2)</f>
        <v>2024-09-08T17:05:00</v>
      </c>
      <c r="D15" s="68" cm="1">
        <f t="array" ref="D15">INDEX(ROCHA,F15,3)</f>
        <v>0</v>
      </c>
      <c r="E15" s="68" cm="1">
        <f t="array" ref="E15">INDEX(ROCHA,F15,4)</f>
        <v>0</v>
      </c>
      <c r="F15" s="69">
        <f>MATCH(G15,codigo9,0)</f>
        <v>71</v>
      </c>
      <c r="G15" s="69" t="str">
        <f>_xlfn.CONCAT(CHOOSE(Rochas!$I$32,"Brecilien","Bridgewatch","Caerleon","Fort Sterling","Lymhurst","Martlock","Thetford"),"B",H15)</f>
        <v>BrecilienB10</v>
      </c>
      <c r="H15" s="70">
        <v>10</v>
      </c>
      <c r="I15" s="65"/>
      <c r="J15" s="67" t="s">
        <v>106</v>
      </c>
      <c r="K15" s="68" cm="1">
        <f t="array" ref="K15">INDEX(BLOCO,O15,1)</f>
        <v>0</v>
      </c>
      <c r="L15" s="68" cm="1">
        <f t="array" ref="L15">INDEX(BLOCO,O15,2)</f>
        <v>0</v>
      </c>
      <c r="M15" s="68" cm="1">
        <f t="array" ref="M15">INDEX(BLOCO,O15,3)</f>
        <v>0</v>
      </c>
      <c r="N15" s="68" cm="1">
        <f t="array" ref="N15">INDEX(BLOCO,O15,4)</f>
        <v>0</v>
      </c>
      <c r="O15" s="69">
        <f>MATCH(P15,codigo10,0)</f>
        <v>29</v>
      </c>
      <c r="P15" s="69" t="str">
        <f>_xlfn.CONCAT(CHOOSE(Rochas!$I$34,"Brecilien","Bridgewatch","Caerleon","Fort Sterling","Lymhurst","Martlock","Thetford"),"R",Q15)</f>
        <v>BrecilienR4</v>
      </c>
      <c r="Q15" s="70">
        <v>4</v>
      </c>
      <c r="R15" s="65"/>
      <c r="S15" s="67" t="s">
        <v>106</v>
      </c>
      <c r="T15" s="68" cm="1">
        <f t="array" ref="T15">INDEX(BLOCO,X15,1)</f>
        <v>0</v>
      </c>
      <c r="U15" s="68" cm="1">
        <f t="array" ref="U15">INDEX(BLOCO,X15,2)</f>
        <v>0</v>
      </c>
      <c r="V15" s="68" cm="1">
        <f t="array" ref="V15">INDEX(BLOCO,X15,3)</f>
        <v>0</v>
      </c>
      <c r="W15" s="68" cm="1">
        <f t="array" ref="W15">INDEX(BLOCO,X15,4)</f>
        <v>0</v>
      </c>
      <c r="X15" s="69">
        <f>MATCH(Y15,codigo10,0)</f>
        <v>29</v>
      </c>
      <c r="Y15" s="69" t="str">
        <f>_xlfn.CONCAT(CHOOSE(Rochas!$I$36,"Brecilien","Bridgewatch","Caerleon","Fort Sterling","Lymhurst","Martlock","Thetford"),"R",Z15)</f>
        <v>BrecilienR4</v>
      </c>
      <c r="Z15" s="70">
        <v>4</v>
      </c>
    </row>
    <row r="16" spans="1:26" x14ac:dyDescent="0.25">
      <c r="A16" s="67" t="s">
        <v>107</v>
      </c>
      <c r="B16" s="68" cm="1">
        <f t="array" ref="B16">INDEX(ROCHA,F16,1)</f>
        <v>489</v>
      </c>
      <c r="C16" s="68" t="str" cm="1">
        <f t="array" ref="C16">INDEX(ROCHA,F16,2)</f>
        <v>2024-09-08T18:25:00</v>
      </c>
      <c r="D16" s="68" cm="1">
        <f t="array" ref="D16">INDEX(ROCHA,F16,3)</f>
        <v>0</v>
      </c>
      <c r="E16" s="68" cm="1">
        <f t="array" ref="E16">INDEX(ROCHA,F16,4)</f>
        <v>0</v>
      </c>
      <c r="F16" s="69">
        <f>MATCH(G16,codigo9,0)</f>
        <v>78</v>
      </c>
      <c r="G16" s="69" t="str">
        <f>_xlfn.CONCAT(CHOOSE(Rochas!$I$32,"Brecilien","Bridgewatch","Caerleon","Fort Sterling","Lymhurst","Martlock","Thetford"),"B",H16)</f>
        <v>BrecilienB11</v>
      </c>
      <c r="H16" s="70">
        <v>11</v>
      </c>
      <c r="I16" s="65"/>
      <c r="J16" s="67" t="s">
        <v>107</v>
      </c>
      <c r="K16" s="72"/>
      <c r="L16" s="72"/>
      <c r="M16" s="72"/>
      <c r="N16" s="72"/>
      <c r="O16" s="73"/>
      <c r="P16" s="73"/>
      <c r="Q16" s="72"/>
      <c r="R16" s="65"/>
      <c r="S16" s="67" t="s">
        <v>107</v>
      </c>
      <c r="T16" s="72"/>
      <c r="U16" s="72"/>
      <c r="V16" s="72"/>
      <c r="W16" s="72"/>
      <c r="X16" s="73"/>
      <c r="Y16" s="73"/>
      <c r="Z16" s="72"/>
    </row>
    <row r="17" spans="1:26" x14ac:dyDescent="0.25">
      <c r="A17" s="67" t="s">
        <v>108</v>
      </c>
      <c r="B17" s="68" cm="1">
        <f t="array" ref="B17">INDEX(ROCHA,F17,1)</f>
        <v>1974</v>
      </c>
      <c r="C17" s="68" t="str" cm="1">
        <f t="array" ref="C17">INDEX(ROCHA,F17,2)</f>
        <v>2024-09-08T18:25:00</v>
      </c>
      <c r="D17" s="68" cm="1">
        <f t="array" ref="D17">INDEX(ROCHA,F17,3)</f>
        <v>0</v>
      </c>
      <c r="E17" s="68" cm="1">
        <f t="array" ref="E17">INDEX(ROCHA,F17,4)</f>
        <v>0</v>
      </c>
      <c r="F17" s="69">
        <f>MATCH(G17,codigo9,0)</f>
        <v>85</v>
      </c>
      <c r="G17" s="69" t="str">
        <f>_xlfn.CONCAT(CHOOSE(Rochas!$I$32,"Brecilien","Bridgewatch","Caerleon","Fort Sterling","Lymhurst","Martlock","Thetford"),"B",H17)</f>
        <v>BrecilienB12</v>
      </c>
      <c r="H17" s="70">
        <v>12</v>
      </c>
      <c r="I17" s="65"/>
      <c r="J17" s="67" t="s">
        <v>108</v>
      </c>
      <c r="K17" s="72"/>
      <c r="L17" s="72"/>
      <c r="M17" s="72"/>
      <c r="N17" s="72"/>
      <c r="O17" s="73"/>
      <c r="P17" s="73"/>
      <c r="Q17" s="72"/>
      <c r="R17" s="65"/>
      <c r="S17" s="67" t="s">
        <v>108</v>
      </c>
      <c r="T17" s="72"/>
      <c r="U17" s="72"/>
      <c r="V17" s="72"/>
      <c r="W17" s="72"/>
      <c r="X17" s="73"/>
      <c r="Y17" s="73"/>
      <c r="Z17" s="72"/>
    </row>
    <row r="18" spans="1:26" x14ac:dyDescent="0.25">
      <c r="A18" s="67" t="s">
        <v>109</v>
      </c>
      <c r="B18" s="68" cm="1">
        <f t="array" ref="B18">INDEX(ROCHA,F18,1)</f>
        <v>2047</v>
      </c>
      <c r="C18" s="68" t="str" cm="1">
        <f t="array" ref="C18">INDEX(ROCHA,F18,2)</f>
        <v>2024-09-08T17:05:00</v>
      </c>
      <c r="D18" s="68" cm="1">
        <f t="array" ref="D18">INDEX(ROCHA,F18,3)</f>
        <v>0</v>
      </c>
      <c r="E18" s="68" cm="1">
        <f t="array" ref="E18">INDEX(ROCHA,F18,4)</f>
        <v>0</v>
      </c>
      <c r="F18" s="69">
        <f>MATCH(G18,codigo9,0)</f>
        <v>92</v>
      </c>
      <c r="G18" s="69" t="str">
        <f>_xlfn.CONCAT(CHOOSE(Rochas!$I$32,"Brecilien","Bridgewatch","Caerleon","Fort Sterling","Lymhurst","Martlock","Thetford"),"B",H18)</f>
        <v>BrecilienB13</v>
      </c>
      <c r="H18" s="70">
        <v>13</v>
      </c>
      <c r="I18" s="65"/>
      <c r="J18" s="67" t="s">
        <v>109</v>
      </c>
      <c r="K18" s="72"/>
      <c r="L18" s="72"/>
      <c r="M18" s="72"/>
      <c r="N18" s="72"/>
      <c r="O18" s="73"/>
      <c r="P18" s="73"/>
      <c r="Q18" s="72"/>
      <c r="R18" s="65"/>
      <c r="S18" s="67" t="s">
        <v>109</v>
      </c>
      <c r="T18" s="72"/>
      <c r="U18" s="72"/>
      <c r="V18" s="72"/>
      <c r="W18" s="72"/>
      <c r="X18" s="73"/>
      <c r="Y18" s="73"/>
      <c r="Z18" s="72"/>
    </row>
    <row r="19" spans="1:26" x14ac:dyDescent="0.25">
      <c r="A19" s="67" t="s">
        <v>110</v>
      </c>
      <c r="B19" s="72"/>
      <c r="C19" s="72"/>
      <c r="D19" s="72"/>
      <c r="E19" s="72"/>
      <c r="F19" s="2"/>
      <c r="G19" s="2"/>
      <c r="H19" s="2"/>
      <c r="I19" s="65"/>
      <c r="J19" s="67" t="s">
        <v>110</v>
      </c>
      <c r="K19" s="72"/>
      <c r="L19" s="72"/>
      <c r="M19" s="72"/>
      <c r="N19" s="72"/>
      <c r="O19" s="73"/>
      <c r="P19" s="73"/>
      <c r="Q19" s="72"/>
      <c r="R19" s="65"/>
      <c r="S19" s="67" t="s">
        <v>110</v>
      </c>
      <c r="T19" s="72"/>
      <c r="U19" s="72"/>
      <c r="V19" s="72"/>
      <c r="W19" s="72"/>
      <c r="X19" s="73"/>
      <c r="Y19" s="73"/>
      <c r="Z19" s="72"/>
    </row>
    <row r="20" spans="1:26" x14ac:dyDescent="0.25">
      <c r="A20" s="67" t="s">
        <v>111</v>
      </c>
      <c r="B20" s="68" cm="1">
        <f t="array" ref="B20">INDEX(ROCHA,F20,1)</f>
        <v>1149</v>
      </c>
      <c r="C20" s="68" t="str" cm="1">
        <f t="array" ref="C20">INDEX(ROCHA,F20,2)</f>
        <v>2024-09-08T17:10:00</v>
      </c>
      <c r="D20" s="68" cm="1">
        <f t="array" ref="D20">INDEX(ROCHA,F20,3)</f>
        <v>0</v>
      </c>
      <c r="E20" s="68" cm="1">
        <f t="array" ref="E20">INDEX(ROCHA,F20,4)</f>
        <v>0</v>
      </c>
      <c r="F20" s="69">
        <f>MATCH(G20,codigo9,0)</f>
        <v>99</v>
      </c>
      <c r="G20" s="69" t="str">
        <f>_xlfn.CONCAT(CHOOSE(Rochas!$I$32,"Brecilien","Bridgewatch","Caerleon","Fort Sterling","Lymhurst","Martlock","Thetford"),"B",H20)</f>
        <v>BrecilienB14</v>
      </c>
      <c r="H20" s="70">
        <v>14</v>
      </c>
      <c r="I20" s="65"/>
      <c r="J20" s="67" t="s">
        <v>111</v>
      </c>
      <c r="K20" s="68" cm="1">
        <f t="array" ref="K20">INDEX(BLOCO,O20,1)</f>
        <v>7400</v>
      </c>
      <c r="L20" s="68" t="str" cm="1">
        <f t="array" ref="L20">INDEX(BLOCO,O20,2)</f>
        <v>2024-09-08T05:00:00</v>
      </c>
      <c r="M20" s="68" cm="1">
        <f t="array" ref="M20">INDEX(BLOCO,O20,3)</f>
        <v>4301</v>
      </c>
      <c r="N20" s="68" t="str" cm="1">
        <f t="array" ref="N20">INDEX(BLOCO,O20,4)</f>
        <v>2024-09-08T05:00:00</v>
      </c>
      <c r="O20" s="69">
        <f>MATCH(P20,codigo10,0)</f>
        <v>36</v>
      </c>
      <c r="P20" s="69" t="str">
        <f>_xlfn.CONCAT(CHOOSE(Rochas!$I$34,"Brecilien","Bridgewatch","Caerleon","Fort Sterling","Lymhurst","Martlock","Thetford"),"R",Q20)</f>
        <v>BrecilienR5</v>
      </c>
      <c r="Q20" s="70">
        <v>5</v>
      </c>
      <c r="R20" s="65"/>
      <c r="S20" s="67" t="s">
        <v>111</v>
      </c>
      <c r="T20" s="68" cm="1">
        <f t="array" ref="T20">INDEX(BLOCO,X20,1)</f>
        <v>7400</v>
      </c>
      <c r="U20" s="68" t="str" cm="1">
        <f t="array" ref="U20">INDEX(BLOCO,X20,2)</f>
        <v>2024-09-08T05:00:00</v>
      </c>
      <c r="V20" s="68" cm="1">
        <f t="array" ref="V20">INDEX(BLOCO,X20,3)</f>
        <v>4301</v>
      </c>
      <c r="W20" s="68" t="str" cm="1">
        <f t="array" ref="W20">INDEX(BLOCO,X20,4)</f>
        <v>2024-09-08T05:00:00</v>
      </c>
      <c r="X20" s="69">
        <f>MATCH(Y20,codigo10,0)</f>
        <v>36</v>
      </c>
      <c r="Y20" s="69" t="str">
        <f>_xlfn.CONCAT(CHOOSE(Rochas!$I$36,"Brecilien","Bridgewatch","Caerleon","Fort Sterling","Lymhurst","Martlock","Thetford"),"R",Z20)</f>
        <v>BrecilienR5</v>
      </c>
      <c r="Z20" s="70">
        <v>5</v>
      </c>
    </row>
    <row r="21" spans="1:26" x14ac:dyDescent="0.25">
      <c r="A21" s="67" t="s">
        <v>112</v>
      </c>
      <c r="B21" s="68" cm="1">
        <f t="array" ref="B21">INDEX(ROCHA,F21,1)</f>
        <v>3509</v>
      </c>
      <c r="C21" s="68" t="str" cm="1">
        <f t="array" ref="C21">INDEX(ROCHA,F21,2)</f>
        <v>2024-09-08T17:05:00</v>
      </c>
      <c r="D21" s="68" cm="1">
        <f t="array" ref="D21">INDEX(ROCHA,F21,3)</f>
        <v>0</v>
      </c>
      <c r="E21" s="68" cm="1">
        <f t="array" ref="E21">INDEX(ROCHA,F21,4)</f>
        <v>0</v>
      </c>
      <c r="F21" s="69">
        <f>MATCH(G21,codigo9,0)</f>
        <v>106</v>
      </c>
      <c r="G21" s="69" t="str">
        <f>_xlfn.CONCAT(CHOOSE(Rochas!$I$32,"Brecilien","Bridgewatch","Caerleon","Fort Sterling","Lymhurst","Martlock","Thetford"),"B",H21)</f>
        <v>BrecilienB15</v>
      </c>
      <c r="H21" s="70">
        <v>15</v>
      </c>
      <c r="I21" s="65"/>
      <c r="J21" s="67" t="s">
        <v>112</v>
      </c>
      <c r="K21" s="72"/>
      <c r="L21" s="72"/>
      <c r="M21" s="72"/>
      <c r="N21" s="72"/>
      <c r="O21" s="73"/>
      <c r="P21" s="73"/>
      <c r="Q21" s="72"/>
      <c r="R21" s="65"/>
      <c r="S21" s="67" t="s">
        <v>112</v>
      </c>
      <c r="T21" s="72"/>
      <c r="U21" s="72"/>
      <c r="V21" s="72"/>
      <c r="W21" s="72"/>
      <c r="X21" s="73"/>
      <c r="Y21" s="73"/>
      <c r="Z21" s="72"/>
    </row>
    <row r="22" spans="1:26" x14ac:dyDescent="0.25">
      <c r="A22" s="67" t="s">
        <v>113</v>
      </c>
      <c r="B22" s="68" cm="1">
        <f t="array" ref="B22">INDEX(ROCHA,F22,1)</f>
        <v>4749</v>
      </c>
      <c r="C22" s="68" t="str" cm="1">
        <f t="array" ref="C22">INDEX(ROCHA,F22,2)</f>
        <v>2024-09-08T17:05:00</v>
      </c>
      <c r="D22" s="68" cm="1">
        <f t="array" ref="D22">INDEX(ROCHA,F22,3)</f>
        <v>0</v>
      </c>
      <c r="E22" s="68" cm="1">
        <f t="array" ref="E22">INDEX(ROCHA,F22,4)</f>
        <v>0</v>
      </c>
      <c r="F22" s="69">
        <f>MATCH(G22,codigo9,0)</f>
        <v>113</v>
      </c>
      <c r="G22" s="69" t="str">
        <f>_xlfn.CONCAT(CHOOSE(Rochas!$I$32,"Brecilien","Bridgewatch","Caerleon","Fort Sterling","Lymhurst","Martlock","Thetford"),"B",H22)</f>
        <v>BrecilienB16</v>
      </c>
      <c r="H22" s="70">
        <v>16</v>
      </c>
      <c r="I22" s="65"/>
      <c r="J22" s="67" t="s">
        <v>113</v>
      </c>
      <c r="K22" s="72"/>
      <c r="L22" s="72"/>
      <c r="M22" s="72"/>
      <c r="N22" s="72"/>
      <c r="O22" s="73"/>
      <c r="P22" s="73"/>
      <c r="Q22" s="72"/>
      <c r="R22" s="65"/>
      <c r="S22" s="67" t="s">
        <v>113</v>
      </c>
      <c r="T22" s="72"/>
      <c r="U22" s="72"/>
      <c r="V22" s="72"/>
      <c r="W22" s="72"/>
      <c r="X22" s="73"/>
      <c r="Y22" s="73"/>
      <c r="Z22" s="72"/>
    </row>
    <row r="23" spans="1:26" x14ac:dyDescent="0.25">
      <c r="A23" s="67" t="s">
        <v>114</v>
      </c>
      <c r="B23" s="68" cm="1">
        <f t="array" ref="B23">INDEX(ROCHA,F23,1)</f>
        <v>9759</v>
      </c>
      <c r="C23" s="68" t="str" cm="1">
        <f t="array" ref="C23">INDEX(ROCHA,F23,2)</f>
        <v>2024-09-08T17:00:00</v>
      </c>
      <c r="D23" s="68" cm="1">
        <f t="array" ref="D23">INDEX(ROCHA,F23,3)</f>
        <v>0</v>
      </c>
      <c r="E23" s="68" cm="1">
        <f t="array" ref="E23">INDEX(ROCHA,F23,4)</f>
        <v>0</v>
      </c>
      <c r="F23" s="69">
        <f>MATCH(G23,codigo9,0)</f>
        <v>120</v>
      </c>
      <c r="G23" s="69" t="str">
        <f>_xlfn.CONCAT(CHOOSE(Rochas!$I$32,"Brecilien","Bridgewatch","Caerleon","Fort Sterling","Lymhurst","Martlock","Thetford"),"B",H23)</f>
        <v>BrecilienB17</v>
      </c>
      <c r="H23" s="70">
        <v>17</v>
      </c>
      <c r="I23" s="65"/>
      <c r="J23" s="67" t="s">
        <v>114</v>
      </c>
      <c r="K23" s="72"/>
      <c r="L23" s="72"/>
      <c r="M23" s="72"/>
      <c r="N23" s="72"/>
      <c r="O23" s="73"/>
      <c r="P23" s="73"/>
      <c r="Q23" s="72"/>
      <c r="R23" s="65"/>
      <c r="S23" s="67" t="s">
        <v>114</v>
      </c>
      <c r="T23" s="72"/>
      <c r="U23" s="72"/>
      <c r="V23" s="72"/>
      <c r="W23" s="72"/>
      <c r="X23" s="73"/>
      <c r="Y23" s="73"/>
      <c r="Z23" s="72"/>
    </row>
    <row r="24" spans="1:26" x14ac:dyDescent="0.25">
      <c r="A24" s="67" t="s">
        <v>115</v>
      </c>
      <c r="B24" s="72"/>
      <c r="C24" s="72"/>
      <c r="D24" s="72"/>
      <c r="E24" s="72"/>
      <c r="F24" s="2"/>
      <c r="G24" s="2"/>
      <c r="H24" s="2"/>
      <c r="I24" s="65"/>
      <c r="J24" s="67" t="s">
        <v>115</v>
      </c>
      <c r="K24" s="72"/>
      <c r="L24" s="72"/>
      <c r="M24" s="72"/>
      <c r="N24" s="72"/>
      <c r="O24" s="73"/>
      <c r="P24" s="73"/>
      <c r="Q24" s="72"/>
      <c r="R24" s="65"/>
      <c r="S24" s="67" t="s">
        <v>115</v>
      </c>
      <c r="T24" s="72"/>
      <c r="U24" s="72"/>
      <c r="V24" s="72"/>
      <c r="W24" s="72"/>
      <c r="X24" s="73"/>
      <c r="Y24" s="73"/>
      <c r="Z24" s="72"/>
    </row>
    <row r="25" spans="1:26" x14ac:dyDescent="0.25">
      <c r="A25" s="67" t="s">
        <v>116</v>
      </c>
      <c r="B25" s="68" cm="1">
        <f t="array" ref="B25">INDEX(ROCHA,F25,1)</f>
        <v>0</v>
      </c>
      <c r="C25" s="68" cm="1">
        <f t="array" ref="C25">INDEX(ROCHA,F25,2)</f>
        <v>0</v>
      </c>
      <c r="D25" s="68" cm="1">
        <f t="array" ref="D25">INDEX(ROCHA,F25,3)</f>
        <v>0</v>
      </c>
      <c r="E25" s="68" cm="1">
        <f t="array" ref="E25">INDEX(ROCHA,F25,4)</f>
        <v>0</v>
      </c>
      <c r="F25" s="69">
        <f>MATCH(G25,codigo9,0)</f>
        <v>127</v>
      </c>
      <c r="G25" s="69" t="str">
        <f>_xlfn.CONCAT(CHOOSE(Rochas!$I$32,"Brecilien","Bridgewatch","Caerleon","Fort Sterling","Lymhurst","Martlock","Thetford"),"B",H25)</f>
        <v>BrecilienB18</v>
      </c>
      <c r="H25" s="70">
        <v>18</v>
      </c>
      <c r="I25" s="65"/>
      <c r="J25" s="67" t="s">
        <v>116</v>
      </c>
      <c r="K25" s="68" cm="1">
        <f t="array" ref="K25">INDEX(BLOCO,O25,1)</f>
        <v>24475</v>
      </c>
      <c r="L25" s="68" t="str" cm="1">
        <f t="array" ref="L25">INDEX(BLOCO,O25,2)</f>
        <v>2024-09-08T05:00:00</v>
      </c>
      <c r="M25" s="68" cm="1">
        <f t="array" ref="M25">INDEX(BLOCO,O25,3)</f>
        <v>13008</v>
      </c>
      <c r="N25" s="68" t="str" cm="1">
        <f t="array" ref="N25">INDEX(BLOCO,O25,4)</f>
        <v>2024-09-08T05:00:00</v>
      </c>
      <c r="O25" s="69">
        <f>MATCH(P25,codigo10,0)</f>
        <v>43</v>
      </c>
      <c r="P25" s="69" t="str">
        <f>_xlfn.CONCAT(CHOOSE(Rochas!$I$34,"Brecilien","Bridgewatch","Caerleon","Fort Sterling","Lymhurst","Martlock","Thetford"),"R",Q25)</f>
        <v>BrecilienR6</v>
      </c>
      <c r="Q25" s="70">
        <v>6</v>
      </c>
      <c r="R25" s="65"/>
      <c r="S25" s="67" t="s">
        <v>116</v>
      </c>
      <c r="T25" s="68" cm="1">
        <f t="array" ref="T25">INDEX(BLOCO,X25,1)</f>
        <v>24475</v>
      </c>
      <c r="U25" s="68" t="str" cm="1">
        <f t="array" ref="U25">INDEX(BLOCO,X25,2)</f>
        <v>2024-09-08T05:00:00</v>
      </c>
      <c r="V25" s="68" cm="1">
        <f t="array" ref="V25">INDEX(BLOCO,X25,3)</f>
        <v>13008</v>
      </c>
      <c r="W25" s="68" t="str" cm="1">
        <f t="array" ref="W25">INDEX(BLOCO,X25,4)</f>
        <v>2024-09-08T05:00:00</v>
      </c>
      <c r="X25" s="69">
        <f>MATCH(Y25,codigo10,0)</f>
        <v>43</v>
      </c>
      <c r="Y25" s="69" t="str">
        <f>_xlfn.CONCAT(CHOOSE(Rochas!$I$36,"Brecilien","Bridgewatch","Caerleon","Fort Sterling","Lymhurst","Martlock","Thetford"),"R",Z25)</f>
        <v>BrecilienR6</v>
      </c>
      <c r="Z25" s="70">
        <v>6</v>
      </c>
    </row>
    <row r="26" spans="1:26" x14ac:dyDescent="0.25">
      <c r="A26" s="67" t="s">
        <v>117</v>
      </c>
      <c r="B26" s="68" cm="1">
        <f t="array" ref="B26">INDEX(ROCHA,F26,1)</f>
        <v>7979</v>
      </c>
      <c r="C26" s="68" t="str" cm="1">
        <f t="array" ref="C26">INDEX(ROCHA,F26,2)</f>
        <v>2024-09-08T17:00:00</v>
      </c>
      <c r="D26" s="68" cm="1">
        <f t="array" ref="D26">INDEX(ROCHA,F26,3)</f>
        <v>0</v>
      </c>
      <c r="E26" s="68" cm="1">
        <f t="array" ref="E26">INDEX(ROCHA,F26,4)</f>
        <v>0</v>
      </c>
      <c r="F26" s="69">
        <f>MATCH(G26,codigo9,0)</f>
        <v>134</v>
      </c>
      <c r="G26" s="69" t="str">
        <f>_xlfn.CONCAT(CHOOSE(Rochas!$I$32,"Brecilien","Bridgewatch","Caerleon","Fort Sterling","Lymhurst","Martlock","Thetford"),"B",H26)</f>
        <v>BrecilienB19</v>
      </c>
      <c r="H26" s="70">
        <v>19</v>
      </c>
      <c r="I26" s="65"/>
      <c r="J26" s="67" t="s">
        <v>117</v>
      </c>
      <c r="K26" s="72"/>
      <c r="L26" s="72"/>
      <c r="M26" s="72"/>
      <c r="N26" s="72"/>
      <c r="O26" s="73"/>
      <c r="P26" s="73"/>
      <c r="Q26" s="72"/>
      <c r="R26" s="65"/>
      <c r="S26" s="67" t="s">
        <v>117</v>
      </c>
      <c r="T26" s="72"/>
      <c r="U26" s="72"/>
      <c r="V26" s="72"/>
      <c r="W26" s="72"/>
      <c r="X26" s="73"/>
      <c r="Y26" s="73"/>
      <c r="Z26" s="72"/>
    </row>
    <row r="27" spans="1:26" x14ac:dyDescent="0.25">
      <c r="A27" s="67" t="s">
        <v>118</v>
      </c>
      <c r="B27" s="68" cm="1">
        <f t="array" ref="B27">INDEX(ROCHA,F27,1)</f>
        <v>19694</v>
      </c>
      <c r="C27" s="68" t="str" cm="1">
        <f t="array" ref="C27">INDEX(ROCHA,F27,2)</f>
        <v>2024-09-08T17:00:00</v>
      </c>
      <c r="D27" s="68" cm="1">
        <f t="array" ref="D27">INDEX(ROCHA,F27,3)</f>
        <v>0</v>
      </c>
      <c r="E27" s="68" cm="1">
        <f t="array" ref="E27">INDEX(ROCHA,F27,4)</f>
        <v>0</v>
      </c>
      <c r="F27" s="69">
        <f>MATCH(G27,codigo9,0)</f>
        <v>141</v>
      </c>
      <c r="G27" s="69" t="str">
        <f>_xlfn.CONCAT(CHOOSE(Rochas!$I$32,"Brecilien","Bridgewatch","Caerleon","Fort Sterling","Lymhurst","Martlock","Thetford"),"B",H27)</f>
        <v>BrecilienB20</v>
      </c>
      <c r="H27" s="70">
        <v>20</v>
      </c>
      <c r="I27" s="65"/>
      <c r="J27" s="67" t="s">
        <v>118</v>
      </c>
      <c r="K27" s="72"/>
      <c r="L27" s="72"/>
      <c r="M27" s="72"/>
      <c r="N27" s="72"/>
      <c r="O27" s="73"/>
      <c r="P27" s="73"/>
      <c r="Q27" s="72"/>
      <c r="R27" s="65"/>
      <c r="S27" s="67" t="s">
        <v>118</v>
      </c>
      <c r="T27" s="72"/>
      <c r="U27" s="72"/>
      <c r="V27" s="72"/>
      <c r="W27" s="72"/>
      <c r="X27" s="73"/>
      <c r="Y27" s="73"/>
      <c r="Z27" s="72"/>
    </row>
    <row r="28" spans="1:26" x14ac:dyDescent="0.25">
      <c r="A28" s="67" t="s">
        <v>119</v>
      </c>
      <c r="B28" s="68" cm="1">
        <f t="array" ref="B28">INDEX(ROCHA,F28,1)</f>
        <v>110000</v>
      </c>
      <c r="C28" s="68" t="str" cm="1">
        <f t="array" ref="C28">INDEX(ROCHA,F28,2)</f>
        <v>2024-09-08T16:55:00</v>
      </c>
      <c r="D28" s="68" cm="1">
        <f t="array" ref="D28">INDEX(ROCHA,F28,3)</f>
        <v>0</v>
      </c>
      <c r="E28" s="68" cm="1">
        <f t="array" ref="E28">INDEX(ROCHA,F28,4)</f>
        <v>0</v>
      </c>
      <c r="F28" s="69">
        <f>MATCH(G28,codigo9,0)</f>
        <v>148</v>
      </c>
      <c r="G28" s="69" t="str">
        <f>_xlfn.CONCAT(CHOOSE(Rochas!$I$32,"Brecilien","Bridgewatch","Caerleon","Fort Sterling","Lymhurst","Martlock","Thetford"),"B",H28)</f>
        <v>BrecilienB21</v>
      </c>
      <c r="H28" s="70">
        <v>21</v>
      </c>
      <c r="I28" s="65"/>
      <c r="J28" s="67" t="s">
        <v>119</v>
      </c>
      <c r="K28" s="72"/>
      <c r="L28" s="72"/>
      <c r="M28" s="72"/>
      <c r="N28" s="72"/>
      <c r="O28" s="73"/>
      <c r="P28" s="73"/>
      <c r="Q28" s="72"/>
      <c r="R28" s="65"/>
      <c r="S28" s="67" t="s">
        <v>119</v>
      </c>
      <c r="T28" s="72"/>
      <c r="U28" s="72"/>
      <c r="V28" s="72"/>
      <c r="W28" s="72"/>
      <c r="X28" s="73"/>
      <c r="Y28" s="73"/>
      <c r="Z28" s="72"/>
    </row>
    <row r="29" spans="1:26" x14ac:dyDescent="0.25">
      <c r="A29" s="67" t="s">
        <v>120</v>
      </c>
      <c r="B29" s="72"/>
      <c r="C29" s="72"/>
      <c r="D29" s="72"/>
      <c r="E29" s="72"/>
      <c r="F29" s="73"/>
      <c r="G29" s="73"/>
      <c r="H29" s="72"/>
      <c r="I29" s="65"/>
      <c r="J29" s="67" t="s">
        <v>120</v>
      </c>
      <c r="K29" s="72"/>
      <c r="L29" s="72"/>
      <c r="M29" s="72"/>
      <c r="N29" s="72"/>
      <c r="O29" s="73"/>
      <c r="P29" s="73"/>
      <c r="Q29" s="72"/>
      <c r="R29" s="65"/>
      <c r="S29" s="67" t="s">
        <v>120</v>
      </c>
      <c r="T29" s="72"/>
      <c r="U29" s="72"/>
      <c r="V29" s="72"/>
      <c r="W29" s="72"/>
      <c r="X29" s="73"/>
      <c r="Y29" s="73"/>
      <c r="Z29" s="72"/>
    </row>
  </sheetData>
  <sheetProtection selectLockedCells="1" selectUnlockedCells="1"/>
  <mergeCells count="3">
    <mergeCell ref="A1:H1"/>
    <mergeCell ref="J1:Q1"/>
    <mergeCell ref="S1:Z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E7A9-6401-47CC-B74C-98CE6BFB6313}">
  <sheetPr codeName="Planilha7">
    <tabColor rgb="FF760000"/>
  </sheetPr>
  <dimension ref="A1:Z56"/>
  <sheetViews>
    <sheetView showGridLines="0" showRowColHeaders="0" showZeros="0" zoomScale="107" zoomScaleNormal="107" workbookViewId="0">
      <selection activeCell="C22" sqref="C22"/>
    </sheetView>
  </sheetViews>
  <sheetFormatPr defaultColWidth="0" defaultRowHeight="15" zeroHeight="1" x14ac:dyDescent="0.25"/>
  <cols>
    <col min="1" max="24" width="10.7109375" customWidth="1"/>
    <col min="25" max="25" width="10.7109375" hidden="1" customWidth="1"/>
    <col min="26" max="26" width="0" hidden="1" customWidth="1"/>
    <col min="27" max="16384" width="9.140625" hidden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42"/>
      <c r="S1" s="42"/>
      <c r="T1" s="42"/>
      <c r="U1" s="42"/>
      <c r="V1" s="42"/>
      <c r="W1" s="42"/>
      <c r="X1" s="42"/>
      <c r="Y1" s="42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42"/>
      <c r="S2" s="42"/>
      <c r="T2" s="42"/>
      <c r="U2" s="42"/>
      <c r="V2" s="42"/>
      <c r="W2" s="42"/>
      <c r="X2" s="42"/>
      <c r="Y2" s="42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42"/>
      <c r="S3" s="42"/>
      <c r="T3" s="42"/>
      <c r="U3" s="42"/>
      <c r="V3" s="42"/>
      <c r="W3" s="42"/>
      <c r="X3" s="42"/>
      <c r="Y3" s="42"/>
      <c r="Z3" s="1"/>
    </row>
    <row r="4" spans="1:26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s="23" customFormat="1" x14ac:dyDescent="0.25"/>
    <row r="6" spans="1:26" s="23" customFormat="1" x14ac:dyDescent="0.25"/>
    <row r="7" spans="1:26" s="23" customFormat="1" x14ac:dyDescent="0.25"/>
    <row r="8" spans="1:26" s="23" customFormat="1" x14ac:dyDescent="0.25"/>
    <row r="9" spans="1:26" x14ac:dyDescent="0.25"/>
    <row r="10" spans="1:26" x14ac:dyDescent="0.25"/>
    <row r="11" spans="1:26" x14ac:dyDescent="0.25"/>
    <row r="12" spans="1:26" ht="18" customHeight="1" x14ac:dyDescent="0.25"/>
    <row r="13" spans="1:26" x14ac:dyDescent="0.25"/>
    <row r="14" spans="1:26" x14ac:dyDescent="0.25"/>
    <row r="15" spans="1:26" x14ac:dyDescent="0.25"/>
    <row r="16" spans="1:26" x14ac:dyDescent="0.25"/>
    <row r="17" spans="2:20" x14ac:dyDescent="0.25"/>
    <row r="18" spans="2:20" x14ac:dyDescent="0.25"/>
    <row r="19" spans="2:20" x14ac:dyDescent="0.25">
      <c r="B19" s="200" t="s">
        <v>44</v>
      </c>
      <c r="C19" s="201"/>
      <c r="D19" s="202"/>
      <c r="F19" s="200" t="s">
        <v>48</v>
      </c>
      <c r="G19" s="201"/>
      <c r="H19" s="202"/>
      <c r="J19" s="200" t="s">
        <v>50</v>
      </c>
      <c r="K19" s="201"/>
      <c r="L19" s="202"/>
      <c r="N19" s="200" t="s">
        <v>49</v>
      </c>
      <c r="O19" s="201"/>
      <c r="P19" s="202"/>
      <c r="R19" s="200" t="s">
        <v>51</v>
      </c>
      <c r="S19" s="201"/>
      <c r="T19" s="202"/>
    </row>
    <row r="20" spans="2:20" ht="15.75" x14ac:dyDescent="0.25">
      <c r="B20" s="17" t="s">
        <v>30</v>
      </c>
      <c r="C20" s="39" t="s">
        <v>45</v>
      </c>
      <c r="D20" s="39" t="s">
        <v>46</v>
      </c>
      <c r="F20" s="17" t="s">
        <v>30</v>
      </c>
      <c r="G20" s="39" t="s">
        <v>45</v>
      </c>
      <c r="H20" s="39" t="s">
        <v>46</v>
      </c>
      <c r="J20" s="17" t="s">
        <v>30</v>
      </c>
      <c r="K20" s="39" t="s">
        <v>45</v>
      </c>
      <c r="L20" s="39" t="s">
        <v>46</v>
      </c>
      <c r="N20" s="17" t="s">
        <v>30</v>
      </c>
      <c r="O20" s="39" t="s">
        <v>45</v>
      </c>
      <c r="P20" s="39" t="s">
        <v>46</v>
      </c>
      <c r="R20" s="17" t="s">
        <v>30</v>
      </c>
      <c r="S20" s="39" t="s">
        <v>45</v>
      </c>
      <c r="T20" s="39" t="s">
        <v>46</v>
      </c>
    </row>
    <row r="21" spans="2:20" ht="18" x14ac:dyDescent="0.25">
      <c r="B21" s="18">
        <v>3</v>
      </c>
      <c r="C21" s="40">
        <v>0</v>
      </c>
      <c r="D21" s="40">
        <f t="shared" ref="D21:D26" si="0">((250*C21)+(30*(SUM($C$21:$C$26))))/10000</f>
        <v>0</v>
      </c>
      <c r="F21" s="18">
        <v>3</v>
      </c>
      <c r="G21" s="40">
        <v>0</v>
      </c>
      <c r="H21" s="40">
        <f t="shared" ref="H21:H26" si="1">((250*G21)+(30*(SUM($G$21:$G$26))))/10000</f>
        <v>0</v>
      </c>
      <c r="J21" s="18">
        <v>3</v>
      </c>
      <c r="K21" s="40">
        <v>0</v>
      </c>
      <c r="L21" s="40">
        <f t="shared" ref="L21:L26" si="2">((250*K21)+(30*(SUM($K$21:$K$26))))/10000</f>
        <v>0</v>
      </c>
      <c r="N21" s="18">
        <v>3</v>
      </c>
      <c r="O21" s="40">
        <v>0</v>
      </c>
      <c r="P21" s="40">
        <f t="shared" ref="P21:P26" si="3">((250*O21)+(30*(SUM($O$21:$O$26))))/10000</f>
        <v>0</v>
      </c>
      <c r="R21" s="18">
        <v>3</v>
      </c>
      <c r="S21" s="40">
        <v>0</v>
      </c>
      <c r="T21" s="40">
        <f t="shared" ref="T21:T26" si="4">((250*S21)+(30*(SUM($S$21:$S$26))))/10000</f>
        <v>0</v>
      </c>
    </row>
    <row r="22" spans="2:20" ht="18" x14ac:dyDescent="0.25">
      <c r="B22" s="19">
        <v>4</v>
      </c>
      <c r="C22" s="41"/>
      <c r="D22" s="40">
        <f t="shared" si="0"/>
        <v>0</v>
      </c>
      <c r="F22" s="19">
        <v>4</v>
      </c>
      <c r="G22" s="41"/>
      <c r="H22" s="40">
        <f t="shared" si="1"/>
        <v>0</v>
      </c>
      <c r="J22" s="19">
        <v>4</v>
      </c>
      <c r="K22" s="41"/>
      <c r="L22" s="40">
        <f t="shared" si="2"/>
        <v>0</v>
      </c>
      <c r="N22" s="19">
        <v>4</v>
      </c>
      <c r="O22" s="41"/>
      <c r="P22" s="40">
        <f t="shared" si="3"/>
        <v>0</v>
      </c>
      <c r="R22" s="19">
        <v>4</v>
      </c>
      <c r="S22" s="41"/>
      <c r="T22" s="40">
        <f t="shared" si="4"/>
        <v>0</v>
      </c>
    </row>
    <row r="23" spans="2:20" ht="18" x14ac:dyDescent="0.25">
      <c r="B23" s="33">
        <v>5</v>
      </c>
      <c r="C23" s="41"/>
      <c r="D23" s="40">
        <f t="shared" si="0"/>
        <v>0</v>
      </c>
      <c r="F23" s="33">
        <v>5</v>
      </c>
      <c r="G23" s="41"/>
      <c r="H23" s="40">
        <f t="shared" si="1"/>
        <v>0</v>
      </c>
      <c r="J23" s="33">
        <v>5</v>
      </c>
      <c r="K23" s="41"/>
      <c r="L23" s="40">
        <f t="shared" si="2"/>
        <v>0</v>
      </c>
      <c r="N23" s="33">
        <v>5</v>
      </c>
      <c r="O23" s="41"/>
      <c r="P23" s="40">
        <f t="shared" si="3"/>
        <v>0</v>
      </c>
      <c r="R23" s="33">
        <v>5</v>
      </c>
      <c r="S23" s="41"/>
      <c r="T23" s="40">
        <f t="shared" si="4"/>
        <v>0</v>
      </c>
    </row>
    <row r="24" spans="2:20" ht="18" x14ac:dyDescent="0.25">
      <c r="B24" s="20">
        <v>6</v>
      </c>
      <c r="C24" s="41"/>
      <c r="D24" s="40">
        <f t="shared" si="0"/>
        <v>0</v>
      </c>
      <c r="F24" s="20">
        <v>6</v>
      </c>
      <c r="G24" s="41"/>
      <c r="H24" s="40">
        <f t="shared" si="1"/>
        <v>0</v>
      </c>
      <c r="J24" s="20">
        <v>6</v>
      </c>
      <c r="K24" s="41"/>
      <c r="L24" s="40">
        <f t="shared" si="2"/>
        <v>0</v>
      </c>
      <c r="N24" s="20">
        <v>6</v>
      </c>
      <c r="O24" s="41"/>
      <c r="P24" s="40">
        <f t="shared" si="3"/>
        <v>0</v>
      </c>
      <c r="R24" s="20">
        <v>6</v>
      </c>
      <c r="S24" s="41"/>
      <c r="T24" s="40">
        <f t="shared" si="4"/>
        <v>0</v>
      </c>
    </row>
    <row r="25" spans="2:20" ht="18" x14ac:dyDescent="0.25">
      <c r="B25" s="21">
        <v>7</v>
      </c>
      <c r="C25" s="41"/>
      <c r="D25" s="40">
        <f t="shared" si="0"/>
        <v>0</v>
      </c>
      <c r="F25" s="21">
        <v>7</v>
      </c>
      <c r="G25" s="41"/>
      <c r="H25" s="40">
        <f t="shared" si="1"/>
        <v>0</v>
      </c>
      <c r="J25" s="21">
        <v>7</v>
      </c>
      <c r="K25" s="41"/>
      <c r="L25" s="40">
        <f t="shared" si="2"/>
        <v>0</v>
      </c>
      <c r="N25" s="21">
        <v>7</v>
      </c>
      <c r="O25" s="41"/>
      <c r="P25" s="40">
        <f t="shared" si="3"/>
        <v>0</v>
      </c>
      <c r="R25" s="21">
        <v>7</v>
      </c>
      <c r="S25" s="41"/>
      <c r="T25" s="40">
        <f t="shared" si="4"/>
        <v>0</v>
      </c>
    </row>
    <row r="26" spans="2:20" ht="18" x14ac:dyDescent="0.25">
      <c r="B26" s="22">
        <v>8</v>
      </c>
      <c r="C26" s="41"/>
      <c r="D26" s="40">
        <f t="shared" si="0"/>
        <v>0</v>
      </c>
      <c r="F26" s="22">
        <v>8</v>
      </c>
      <c r="G26" s="41"/>
      <c r="H26" s="40">
        <f t="shared" si="1"/>
        <v>0</v>
      </c>
      <c r="J26" s="22">
        <v>8</v>
      </c>
      <c r="K26" s="41"/>
      <c r="L26" s="40">
        <f t="shared" si="2"/>
        <v>0</v>
      </c>
      <c r="N26" s="22">
        <v>8</v>
      </c>
      <c r="O26" s="41"/>
      <c r="P26" s="40">
        <f t="shared" si="3"/>
        <v>0</v>
      </c>
      <c r="R26" s="22">
        <v>8</v>
      </c>
      <c r="S26" s="41"/>
      <c r="T26" s="40">
        <f t="shared" si="4"/>
        <v>0</v>
      </c>
    </row>
    <row r="27" spans="2:20" x14ac:dyDescent="0.25"/>
    <row r="28" spans="2:20" x14ac:dyDescent="0.25"/>
    <row r="29" spans="2:20" x14ac:dyDescent="0.25"/>
    <row r="30" spans="2:20" x14ac:dyDescent="0.25"/>
    <row r="31" spans="2:20" x14ac:dyDescent="0.25"/>
    <row r="32" spans="2:20" x14ac:dyDescent="0.25"/>
    <row r="33" spans="1:25" x14ac:dyDescent="0.25">
      <c r="A33" s="29"/>
    </row>
    <row r="34" spans="1:25" x14ac:dyDescent="0.25">
      <c r="A34" s="29"/>
    </row>
    <row r="35" spans="1:25" x14ac:dyDescent="0.25">
      <c r="A35" s="29"/>
    </row>
    <row r="36" spans="1:25" x14ac:dyDescent="0.25">
      <c r="A36" s="29"/>
    </row>
    <row r="37" spans="1:25" x14ac:dyDescent="0.25">
      <c r="A37" s="29"/>
    </row>
    <row r="38" spans="1:25" x14ac:dyDescent="0.25">
      <c r="A38" s="29"/>
    </row>
    <row r="39" spans="1:25" x14ac:dyDescent="0.25">
      <c r="A39" s="29"/>
    </row>
    <row r="40" spans="1:25" x14ac:dyDescent="0.25">
      <c r="A40" s="29"/>
    </row>
    <row r="41" spans="1:25" x14ac:dyDescent="0.25">
      <c r="A41" s="29"/>
      <c r="U41" s="23"/>
      <c r="V41" s="23"/>
      <c r="W41" s="23"/>
      <c r="X41" s="23"/>
      <c r="Y41" s="23"/>
    </row>
    <row r="42" spans="1:25" x14ac:dyDescent="0.25">
      <c r="A42" s="29"/>
      <c r="U42" s="23"/>
      <c r="V42" s="23"/>
      <c r="W42" s="23"/>
      <c r="X42" s="23"/>
      <c r="Y42" s="23"/>
    </row>
    <row r="43" spans="1:25" x14ac:dyDescent="0.25">
      <c r="A43" s="29"/>
      <c r="U43" s="23"/>
      <c r="V43" s="23"/>
      <c r="W43" s="23"/>
      <c r="X43" s="23"/>
      <c r="Y43" s="23"/>
    </row>
    <row r="44" spans="1:25" x14ac:dyDescent="0.25">
      <c r="A44" s="29"/>
      <c r="P44" s="23"/>
      <c r="Q44" s="23"/>
      <c r="R44" s="23"/>
      <c r="S44" s="23"/>
      <c r="T44" s="23"/>
      <c r="U44" s="23"/>
      <c r="V44" s="23"/>
      <c r="W44" s="23"/>
      <c r="X44" s="23"/>
      <c r="Y44" s="23"/>
    </row>
    <row r="45" spans="1:25" x14ac:dyDescent="0.25">
      <c r="A45" s="29"/>
      <c r="P45" s="23"/>
      <c r="Q45" s="23"/>
      <c r="R45" s="23"/>
      <c r="S45" s="23"/>
      <c r="T45" s="23"/>
      <c r="U45" s="23"/>
      <c r="V45" s="23"/>
      <c r="W45" s="23"/>
      <c r="X45" s="23"/>
      <c r="Y45" s="23"/>
    </row>
    <row r="46" spans="1:25" x14ac:dyDescent="0.25">
      <c r="A46" s="29"/>
      <c r="P46" s="23"/>
      <c r="Q46" s="23"/>
      <c r="R46" s="23"/>
      <c r="S46" s="23"/>
      <c r="T46" s="23"/>
      <c r="U46" s="23"/>
      <c r="V46" s="23"/>
      <c r="W46" s="23"/>
      <c r="X46" s="23"/>
      <c r="Y46" s="23"/>
    </row>
    <row r="47" spans="1:25" x14ac:dyDescent="0.25">
      <c r="A47" s="29"/>
      <c r="R47" s="23"/>
      <c r="S47" s="23"/>
      <c r="T47" s="23"/>
      <c r="U47" s="23"/>
      <c r="V47" s="23"/>
      <c r="W47" s="23"/>
      <c r="X47" s="23"/>
      <c r="Y47" s="23"/>
    </row>
    <row r="48" spans="1:25" x14ac:dyDescent="0.25"/>
    <row r="55" spans="1:25" hidden="1" x14ac:dyDescent="0.25">
      <c r="I55" s="24"/>
    </row>
    <row r="56" spans="1:25" hidden="1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3"/>
      <c r="Q56" s="23"/>
      <c r="R56" s="23"/>
      <c r="S56" s="23"/>
      <c r="T56" s="23"/>
      <c r="U56" s="23"/>
      <c r="V56" s="23"/>
      <c r="W56" s="23"/>
      <c r="X56" s="23"/>
      <c r="Y56" s="23"/>
    </row>
  </sheetData>
  <sheetProtection algorithmName="SHA-512" hashValue="uNSbEInms7iiqNYLvbGFIWiYLWtnBMbBJFale8yVg4T5HG+JmVzRLHgb/mcW94tdXXNFKZFyNkRK2m5k4zS5uw==" saltValue="NoFd4xsu8LUNyBZnx6vZmw==" spinCount="100000" sheet="1" objects="1" scenarios="1" selectLockedCells="1"/>
  <mergeCells count="5">
    <mergeCell ref="J19:L19"/>
    <mergeCell ref="B19:D19"/>
    <mergeCell ref="R19:T19"/>
    <mergeCell ref="N19:P19"/>
    <mergeCell ref="F19:H19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CA437-91F3-454F-949D-5B86E3A5D00B}">
  <sheetPr codeName="Planilha8">
    <tabColor rgb="FF760000"/>
  </sheetPr>
  <dimension ref="A1:Z41"/>
  <sheetViews>
    <sheetView showGridLines="0" showRowColHeaders="0" showZeros="0" zoomScale="107" zoomScaleNormal="107" workbookViewId="0">
      <selection activeCell="F9" sqref="F9:G9"/>
    </sheetView>
  </sheetViews>
  <sheetFormatPr defaultColWidth="0" defaultRowHeight="18" customHeight="1" zeroHeight="1" x14ac:dyDescent="0.25"/>
  <cols>
    <col min="1" max="17" width="10.7109375" customWidth="1"/>
    <col min="18" max="18" width="10.85546875" customWidth="1"/>
    <col min="19" max="22" width="10.7109375" customWidth="1"/>
    <col min="23" max="23" width="9" customWidth="1"/>
    <col min="24" max="24" width="12.5703125" customWidth="1"/>
    <col min="25" max="25" width="15.140625" hidden="1" customWidth="1"/>
    <col min="26" max="16384" width="9.140625" hidden="1"/>
  </cols>
  <sheetData>
    <row r="1" spans="1:26" ht="1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"/>
      <c r="Z1" s="1"/>
    </row>
    <row r="2" spans="1:26" ht="15" customHeight="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"/>
      <c r="Z2" s="1"/>
    </row>
    <row r="3" spans="1:26" ht="15" customHeight="1" x14ac:dyDescent="0.25">
      <c r="A3" s="151">
        <f>CHOOSE(F13,0,2,3,4,5)</f>
        <v>3</v>
      </c>
      <c r="B3" s="152">
        <f>IF(F11=TRUE,F8,F7)</f>
        <v>0.08</v>
      </c>
      <c r="C3" s="151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"/>
      <c r="Z3" s="1"/>
    </row>
    <row r="4" spans="1:26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8" customHeight="1" x14ac:dyDescent="0.25"/>
    <row r="6" spans="1:26" ht="18" customHeight="1" x14ac:dyDescent="0.25">
      <c r="B6" s="205" t="s">
        <v>21</v>
      </c>
      <c r="C6" s="205"/>
      <c r="D6" s="205"/>
      <c r="E6" s="205"/>
      <c r="F6" s="205"/>
      <c r="G6" s="205"/>
      <c r="J6" s="205" t="s">
        <v>897</v>
      </c>
      <c r="K6" s="205"/>
      <c r="L6" s="205"/>
      <c r="M6" s="205"/>
      <c r="N6" s="205"/>
    </row>
    <row r="7" spans="1:26" ht="18" customHeight="1" x14ac:dyDescent="0.25">
      <c r="B7" s="206" t="s">
        <v>22</v>
      </c>
      <c r="C7" s="206"/>
      <c r="D7" s="206"/>
      <c r="E7" s="206"/>
      <c r="F7" s="207">
        <v>0.08</v>
      </c>
      <c r="G7" s="207"/>
      <c r="J7" s="206" t="s">
        <v>23</v>
      </c>
      <c r="K7" s="206"/>
      <c r="L7" s="206"/>
      <c r="M7" s="206"/>
      <c r="N7" s="3">
        <f>IF(F11=TRUE,1-(1*(F8+F9)),1-(1*(F7+F9)))</f>
        <v>0.89500000000000002</v>
      </c>
    </row>
    <row r="8" spans="1:26" ht="18" customHeight="1" x14ac:dyDescent="0.25">
      <c r="B8" s="206" t="s">
        <v>24</v>
      </c>
      <c r="C8" s="206"/>
      <c r="D8" s="206"/>
      <c r="E8" s="206"/>
      <c r="F8" s="207">
        <v>0.04</v>
      </c>
      <c r="G8" s="207"/>
      <c r="J8" s="206" t="s">
        <v>25</v>
      </c>
      <c r="K8" s="206"/>
      <c r="L8" s="206"/>
      <c r="M8" s="206"/>
      <c r="N8" s="3">
        <f>IF(F11=TRUE,1-(F8*1),1-(F7*1))</f>
        <v>0.92</v>
      </c>
    </row>
    <row r="9" spans="1:26" ht="18" customHeight="1" x14ac:dyDescent="0.25">
      <c r="B9" s="206" t="s">
        <v>26</v>
      </c>
      <c r="C9" s="206"/>
      <c r="D9" s="206"/>
      <c r="E9" s="206"/>
      <c r="F9" s="211">
        <v>2.5000000000000001E-2</v>
      </c>
      <c r="G9" s="211"/>
      <c r="J9" s="210" t="s">
        <v>27</v>
      </c>
      <c r="K9" s="210"/>
      <c r="L9" s="210"/>
      <c r="M9" s="210"/>
      <c r="N9" s="3">
        <f>F9+1</f>
        <v>1.0249999999999999</v>
      </c>
    </row>
    <row r="10" spans="1:26" ht="18" customHeight="1" x14ac:dyDescent="0.25">
      <c r="B10" s="206" t="s">
        <v>28</v>
      </c>
      <c r="C10" s="206"/>
      <c r="D10" s="206"/>
      <c r="E10" s="206"/>
      <c r="F10" s="212">
        <v>0.1125</v>
      </c>
      <c r="G10" s="212"/>
    </row>
    <row r="11" spans="1:26" ht="18" customHeight="1" x14ac:dyDescent="0.25">
      <c r="B11" s="208" t="s">
        <v>29</v>
      </c>
      <c r="C11" s="208"/>
      <c r="D11" s="208"/>
      <c r="E11" s="208"/>
      <c r="F11" s="209" t="b">
        <v>0</v>
      </c>
      <c r="G11" s="209"/>
    </row>
    <row r="12" spans="1:26" ht="22.5" customHeight="1" x14ac:dyDescent="0.25">
      <c r="B12" s="208" t="s">
        <v>91</v>
      </c>
      <c r="C12" s="208"/>
      <c r="D12" s="208"/>
      <c r="E12" s="208"/>
      <c r="F12" s="209">
        <v>1</v>
      </c>
      <c r="G12" s="209"/>
    </row>
    <row r="13" spans="1:26" ht="21" customHeight="1" x14ac:dyDescent="0.25">
      <c r="B13" s="208" t="s">
        <v>694</v>
      </c>
      <c r="C13" s="208"/>
      <c r="D13" s="208"/>
      <c r="E13" s="208"/>
      <c r="F13" s="209">
        <v>3</v>
      </c>
      <c r="G13" s="209"/>
    </row>
    <row r="14" spans="1:26" ht="18" customHeight="1" x14ac:dyDescent="0.25"/>
    <row r="15" spans="1:26" ht="18" customHeight="1" x14ac:dyDescent="0.25"/>
    <row r="16" spans="1:26" ht="18" customHeight="1" x14ac:dyDescent="0.25"/>
    <row r="17" spans="2:7" ht="18" customHeight="1" x14ac:dyDescent="0.25">
      <c r="B17" s="205" t="s">
        <v>372</v>
      </c>
      <c r="C17" s="205"/>
      <c r="D17" s="205"/>
      <c r="E17" s="205"/>
      <c r="F17" s="205"/>
      <c r="G17" s="205"/>
    </row>
    <row r="18" spans="2:7" ht="18" customHeight="1" x14ac:dyDescent="0.25">
      <c r="B18" s="203" t="s">
        <v>122</v>
      </c>
      <c r="C18" s="203"/>
      <c r="D18" s="203"/>
      <c r="E18" s="204"/>
      <c r="F18" s="204"/>
      <c r="G18" s="204"/>
    </row>
    <row r="19" spans="2:7" ht="18" customHeight="1" x14ac:dyDescent="0.25">
      <c r="B19" s="203"/>
      <c r="C19" s="203"/>
      <c r="D19" s="203"/>
      <c r="E19" s="204"/>
      <c r="F19" s="204"/>
      <c r="G19" s="204"/>
    </row>
    <row r="20" spans="2:7" ht="18" customHeight="1" x14ac:dyDescent="0.25">
      <c r="B20" s="203" t="s">
        <v>123</v>
      </c>
      <c r="C20" s="203"/>
      <c r="D20" s="203"/>
      <c r="E20" s="204"/>
      <c r="F20" s="204"/>
      <c r="G20" s="204"/>
    </row>
    <row r="21" spans="2:7" ht="18" customHeight="1" x14ac:dyDescent="0.25">
      <c r="B21" s="203"/>
      <c r="C21" s="203"/>
      <c r="D21" s="203"/>
      <c r="E21" s="204"/>
      <c r="F21" s="204"/>
      <c r="G21" s="204"/>
    </row>
    <row r="22" spans="2:7" ht="18" customHeight="1" x14ac:dyDescent="0.25">
      <c r="B22" s="203" t="s">
        <v>373</v>
      </c>
      <c r="C22" s="203"/>
      <c r="D22" s="203"/>
      <c r="E22" s="204"/>
      <c r="F22" s="204"/>
      <c r="G22" s="204"/>
    </row>
    <row r="23" spans="2:7" ht="18" customHeight="1" x14ac:dyDescent="0.25">
      <c r="B23" s="203"/>
      <c r="C23" s="203"/>
      <c r="D23" s="203"/>
      <c r="E23" s="204"/>
      <c r="F23" s="204"/>
      <c r="G23" s="204"/>
    </row>
    <row r="24" spans="2:7" ht="18" customHeight="1" x14ac:dyDescent="0.25">
      <c r="B24" s="203" t="s">
        <v>125</v>
      </c>
      <c r="C24" s="203"/>
      <c r="D24" s="203"/>
      <c r="E24" s="204"/>
      <c r="F24" s="204"/>
      <c r="G24" s="204"/>
    </row>
    <row r="25" spans="2:7" ht="18" customHeight="1" x14ac:dyDescent="0.25">
      <c r="B25" s="203"/>
      <c r="C25" s="203"/>
      <c r="D25" s="203"/>
      <c r="E25" s="204"/>
      <c r="F25" s="204"/>
      <c r="G25" s="204"/>
    </row>
    <row r="26" spans="2:7" ht="18" customHeight="1" x14ac:dyDescent="0.25">
      <c r="B26" s="203" t="s">
        <v>374</v>
      </c>
      <c r="C26" s="203"/>
      <c r="D26" s="203"/>
      <c r="E26" s="204"/>
      <c r="F26" s="204"/>
      <c r="G26" s="204"/>
    </row>
    <row r="27" spans="2:7" ht="18" customHeight="1" x14ac:dyDescent="0.25">
      <c r="B27" s="203"/>
      <c r="C27" s="203"/>
      <c r="D27" s="203"/>
      <c r="E27" s="204"/>
      <c r="F27" s="204"/>
      <c r="G27" s="204"/>
    </row>
    <row r="28" spans="2:7" ht="18" customHeight="1" x14ac:dyDescent="0.25"/>
    <row r="29" spans="2:7" ht="18" customHeight="1" x14ac:dyDescent="0.25"/>
    <row r="30" spans="2:7" ht="18" customHeight="1" x14ac:dyDescent="0.25"/>
    <row r="31" spans="2:7" ht="18" customHeight="1" x14ac:dyDescent="0.25"/>
    <row r="32" spans="2:7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</sheetData>
  <sheetProtection algorithmName="SHA-512" hashValue="5UbIeOVu9H14QdJv5n5GYBpRuMscbsZPQyOshcfop6MyB+4bx0OBZbXF+wCQVJNdJmBKCl1qQu6DUFNqojYfBw==" saltValue="Sxj6sE619YVZEPFutBOQ6g==" spinCount="100000" sheet="1" objects="1" scenarios="1" selectLockedCells="1"/>
  <mergeCells count="30">
    <mergeCell ref="B13:E13"/>
    <mergeCell ref="F13:G13"/>
    <mergeCell ref="J9:M9"/>
    <mergeCell ref="B10:E10"/>
    <mergeCell ref="B11:E11"/>
    <mergeCell ref="B12:E12"/>
    <mergeCell ref="F12:G12"/>
    <mergeCell ref="F11:G11"/>
    <mergeCell ref="F9:G9"/>
    <mergeCell ref="F10:G10"/>
    <mergeCell ref="B9:E9"/>
    <mergeCell ref="J6:N6"/>
    <mergeCell ref="B7:E7"/>
    <mergeCell ref="J7:M7"/>
    <mergeCell ref="B8:E8"/>
    <mergeCell ref="J8:M8"/>
    <mergeCell ref="B6:G6"/>
    <mergeCell ref="F7:G7"/>
    <mergeCell ref="F8:G8"/>
    <mergeCell ref="B17:G17"/>
    <mergeCell ref="B18:D19"/>
    <mergeCell ref="E18:G19"/>
    <mergeCell ref="B20:D21"/>
    <mergeCell ref="E20:G21"/>
    <mergeCell ref="B22:D23"/>
    <mergeCell ref="E22:G23"/>
    <mergeCell ref="B24:D25"/>
    <mergeCell ref="E24:G25"/>
    <mergeCell ref="B26:D27"/>
    <mergeCell ref="E26:G27"/>
  </mergeCells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5</xdr:col>
                    <xdr:colOff>447675</xdr:colOff>
                    <xdr:row>9</xdr:row>
                    <xdr:rowOff>219075</xdr:rowOff>
                  </from>
                  <to>
                    <xdr:col>6</xdr:col>
                    <xdr:colOff>257175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Drop Down 4">
              <controlPr defaultSize="0" autoLine="0" autoPict="0">
                <anchor moveWithCells="1">
                  <from>
                    <xdr:col>5</xdr:col>
                    <xdr:colOff>66675</xdr:colOff>
                    <xdr:row>11</xdr:row>
                    <xdr:rowOff>47625</xdr:rowOff>
                  </from>
                  <to>
                    <xdr:col>6</xdr:col>
                    <xdr:colOff>638175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autoLine="0" autoPict="0">
                <anchor moveWithCells="1">
                  <from>
                    <xdr:col>5</xdr:col>
                    <xdr:colOff>66675</xdr:colOff>
                    <xdr:row>12</xdr:row>
                    <xdr:rowOff>47625</xdr:rowOff>
                  </from>
                  <to>
                    <xdr:col>6</xdr:col>
                    <xdr:colOff>638175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E90DE-8420-442D-B149-B7693EEBCEDD}">
  <sheetPr codeName="Planilha19">
    <tabColor rgb="FF760000"/>
  </sheetPr>
  <dimension ref="A1:O29"/>
  <sheetViews>
    <sheetView showGridLines="0" showRowColHeaders="0" workbookViewId="0">
      <selection activeCell="H26" sqref="H26"/>
    </sheetView>
  </sheetViews>
  <sheetFormatPr defaultColWidth="0" defaultRowHeight="15" zeroHeight="1" x14ac:dyDescent="0.25"/>
  <cols>
    <col min="1" max="15" width="9.140625" customWidth="1"/>
    <col min="16" max="16384" width="9.140625" hidden="1"/>
  </cols>
  <sheetData>
    <row r="1" spans="1:15" x14ac:dyDescent="0.25">
      <c r="A1" s="44"/>
      <c r="B1" s="44"/>
      <c r="C1" s="44"/>
      <c r="D1" s="44"/>
      <c r="E1" s="44"/>
      <c r="F1" s="44"/>
      <c r="G1" s="44"/>
      <c r="H1" s="51" t="s">
        <v>65</v>
      </c>
      <c r="I1" s="44"/>
      <c r="J1" s="44"/>
      <c r="K1" s="44"/>
      <c r="L1" s="44"/>
      <c r="M1" s="44"/>
      <c r="N1" s="44"/>
      <c r="O1" s="44"/>
    </row>
    <row r="2" spans="1:15" x14ac:dyDescent="0.25">
      <c r="A2" s="44"/>
      <c r="B2" s="44"/>
      <c r="C2" s="44"/>
      <c r="D2" s="44"/>
      <c r="E2" s="44"/>
      <c r="F2" s="44"/>
      <c r="G2" s="44"/>
      <c r="H2" s="51" t="s">
        <v>73</v>
      </c>
      <c r="I2" s="44"/>
      <c r="J2" s="44"/>
      <c r="K2" s="44"/>
      <c r="L2" s="44"/>
      <c r="M2" s="44"/>
      <c r="N2" s="44"/>
      <c r="O2" s="44"/>
    </row>
    <row r="3" spans="1:15" x14ac:dyDescent="0.25">
      <c r="A3" s="44"/>
      <c r="B3" s="44"/>
      <c r="C3" s="44"/>
      <c r="D3" s="44"/>
      <c r="E3" s="44"/>
      <c r="F3" s="44"/>
      <c r="G3" s="44"/>
      <c r="H3" s="51" t="s">
        <v>77</v>
      </c>
      <c r="I3" s="44"/>
      <c r="J3" s="44"/>
      <c r="K3" s="44"/>
      <c r="L3" s="44"/>
      <c r="M3" s="44"/>
      <c r="N3" s="44"/>
      <c r="O3" s="44"/>
    </row>
    <row r="4" spans="1:15" x14ac:dyDescent="0.25">
      <c r="A4" s="213" t="s">
        <v>35</v>
      </c>
      <c r="B4" s="213"/>
      <c r="C4" s="213"/>
      <c r="D4" s="213"/>
      <c r="E4" s="213"/>
      <c r="F4" s="213"/>
      <c r="G4" s="213"/>
      <c r="H4" s="51" t="s">
        <v>83</v>
      </c>
      <c r="I4" s="213" t="s">
        <v>36</v>
      </c>
      <c r="J4" s="213"/>
      <c r="K4" s="213"/>
      <c r="L4" s="213"/>
      <c r="M4" s="213"/>
      <c r="N4" s="213"/>
      <c r="O4" s="213"/>
    </row>
    <row r="5" spans="1:15" ht="18" x14ac:dyDescent="0.25">
      <c r="A5" s="6" t="s">
        <v>31</v>
      </c>
      <c r="B5" s="4">
        <v>3</v>
      </c>
      <c r="C5" s="5">
        <v>4</v>
      </c>
      <c r="D5" s="32">
        <v>5</v>
      </c>
      <c r="E5" s="13">
        <v>6</v>
      </c>
      <c r="F5" s="14">
        <v>7</v>
      </c>
      <c r="G5" s="15">
        <v>8</v>
      </c>
      <c r="H5" s="51" t="s">
        <v>59</v>
      </c>
      <c r="I5" s="6" t="s">
        <v>31</v>
      </c>
      <c r="J5" s="4">
        <v>3</v>
      </c>
      <c r="K5" s="5">
        <v>4</v>
      </c>
      <c r="L5" s="32">
        <v>5</v>
      </c>
      <c r="M5" s="13">
        <v>6</v>
      </c>
      <c r="N5" s="14">
        <v>7</v>
      </c>
      <c r="O5" s="15">
        <v>8</v>
      </c>
    </row>
    <row r="6" spans="1:15" x14ac:dyDescent="0.25">
      <c r="A6" s="7" t="s">
        <v>20</v>
      </c>
      <c r="B6" s="12">
        <v>8</v>
      </c>
      <c r="C6" s="12">
        <f>B6*2</f>
        <v>16</v>
      </c>
      <c r="D6" s="12">
        <f>C6*2</f>
        <v>32</v>
      </c>
      <c r="E6" s="12">
        <f t="shared" ref="E6:G6" si="0">D6*2</f>
        <v>64</v>
      </c>
      <c r="F6" s="12">
        <f t="shared" si="0"/>
        <v>128</v>
      </c>
      <c r="G6" s="12">
        <f t="shared" si="0"/>
        <v>256</v>
      </c>
      <c r="H6" s="51" t="s">
        <v>66</v>
      </c>
      <c r="I6" s="7" t="s">
        <v>32</v>
      </c>
      <c r="J6" s="16">
        <f>B6*Configurações!$F$10</f>
        <v>0.9</v>
      </c>
      <c r="K6" s="16">
        <f>C6*Configurações!$F$10</f>
        <v>1.8</v>
      </c>
      <c r="L6" s="16">
        <f>D6*Configurações!$F$10</f>
        <v>3.6</v>
      </c>
      <c r="M6" s="16">
        <f>E6*Configurações!$F$10</f>
        <v>7.2</v>
      </c>
      <c r="N6" s="16">
        <f>F6*Configurações!$F$10</f>
        <v>14.4</v>
      </c>
      <c r="O6" s="16">
        <f>G6*Configurações!$F$10</f>
        <v>28.8</v>
      </c>
    </row>
    <row r="7" spans="1:15" x14ac:dyDescent="0.25">
      <c r="A7" s="8" t="s">
        <v>19</v>
      </c>
      <c r="B7" s="12">
        <v>0</v>
      </c>
      <c r="C7" s="12">
        <f>C6*2</f>
        <v>32</v>
      </c>
      <c r="D7" s="12">
        <f t="shared" ref="D7:G10" si="1">D6*2</f>
        <v>64</v>
      </c>
      <c r="E7" s="12">
        <f t="shared" si="1"/>
        <v>128</v>
      </c>
      <c r="F7" s="12">
        <f t="shared" si="1"/>
        <v>256</v>
      </c>
      <c r="G7" s="12">
        <f t="shared" si="1"/>
        <v>512</v>
      </c>
      <c r="H7" s="51" t="s">
        <v>74</v>
      </c>
      <c r="I7" s="8" t="s">
        <v>19</v>
      </c>
      <c r="J7" s="16">
        <f>B7*Configurações!$F$10</f>
        <v>0</v>
      </c>
      <c r="K7" s="16">
        <f>C7*Configurações!$F$10</f>
        <v>3.6</v>
      </c>
      <c r="L7" s="16">
        <f>D7*Configurações!$F$10</f>
        <v>7.2</v>
      </c>
      <c r="M7" s="16">
        <f>E7*Configurações!$F$10</f>
        <v>14.4</v>
      </c>
      <c r="N7" s="16">
        <f>F7*Configurações!$F$10</f>
        <v>28.8</v>
      </c>
      <c r="O7" s="16">
        <f>G7*Configurações!$F$10</f>
        <v>57.6</v>
      </c>
    </row>
    <row r="8" spans="1:15" x14ac:dyDescent="0.25">
      <c r="A8" s="9" t="s">
        <v>18</v>
      </c>
      <c r="B8" s="12">
        <v>0</v>
      </c>
      <c r="C8" s="12">
        <f t="shared" ref="C8:C10" si="2">C7*2</f>
        <v>64</v>
      </c>
      <c r="D8" s="12">
        <f t="shared" si="1"/>
        <v>128</v>
      </c>
      <c r="E8" s="12">
        <f t="shared" si="1"/>
        <v>256</v>
      </c>
      <c r="F8" s="12">
        <f t="shared" si="1"/>
        <v>512</v>
      </c>
      <c r="G8" s="12">
        <f t="shared" si="1"/>
        <v>1024</v>
      </c>
      <c r="H8" s="51" t="s">
        <v>78</v>
      </c>
      <c r="I8" s="9" t="s">
        <v>18</v>
      </c>
      <c r="J8" s="16">
        <f>B8*Configurações!$F$10</f>
        <v>0</v>
      </c>
      <c r="K8" s="16">
        <f>C8*Configurações!$F$10</f>
        <v>7.2</v>
      </c>
      <c r="L8" s="16">
        <f>D8*Configurações!$F$10</f>
        <v>14.4</v>
      </c>
      <c r="M8" s="16">
        <f>E8*Configurações!$F$10</f>
        <v>28.8</v>
      </c>
      <c r="N8" s="16">
        <f>F8*Configurações!$F$10</f>
        <v>57.6</v>
      </c>
      <c r="O8" s="16">
        <f>G8*Configurações!$F$10</f>
        <v>115.2</v>
      </c>
    </row>
    <row r="9" spans="1:15" x14ac:dyDescent="0.25">
      <c r="A9" s="10" t="s">
        <v>17</v>
      </c>
      <c r="B9" s="12">
        <v>0</v>
      </c>
      <c r="C9" s="12">
        <f t="shared" si="2"/>
        <v>128</v>
      </c>
      <c r="D9" s="12">
        <f t="shared" si="1"/>
        <v>256</v>
      </c>
      <c r="E9" s="12">
        <f t="shared" si="1"/>
        <v>512</v>
      </c>
      <c r="F9" s="12">
        <f t="shared" si="1"/>
        <v>1024</v>
      </c>
      <c r="G9" s="12">
        <f t="shared" si="1"/>
        <v>2048</v>
      </c>
      <c r="H9" s="51" t="s">
        <v>84</v>
      </c>
      <c r="I9" s="10" t="s">
        <v>17</v>
      </c>
      <c r="J9" s="16">
        <f>B9*Configurações!$F$10</f>
        <v>0</v>
      </c>
      <c r="K9" s="16">
        <f>C9*Configurações!$F$10</f>
        <v>14.4</v>
      </c>
      <c r="L9" s="16">
        <f>D9*Configurações!$F$10</f>
        <v>28.8</v>
      </c>
      <c r="M9" s="16">
        <f>E9*Configurações!$F$10</f>
        <v>57.6</v>
      </c>
      <c r="N9" s="16">
        <f>F9*Configurações!$F$10</f>
        <v>115.2</v>
      </c>
      <c r="O9" s="16">
        <f>G9*Configurações!$F$10</f>
        <v>230.4</v>
      </c>
    </row>
    <row r="10" spans="1:15" x14ac:dyDescent="0.25">
      <c r="A10" s="11" t="s">
        <v>33</v>
      </c>
      <c r="B10" s="12">
        <v>0</v>
      </c>
      <c r="C10" s="12">
        <f t="shared" si="2"/>
        <v>256</v>
      </c>
      <c r="D10" s="12">
        <f t="shared" si="1"/>
        <v>512</v>
      </c>
      <c r="E10" s="12">
        <f t="shared" si="1"/>
        <v>1024</v>
      </c>
      <c r="F10" s="12">
        <f t="shared" si="1"/>
        <v>2048</v>
      </c>
      <c r="G10" s="12">
        <f t="shared" si="1"/>
        <v>4096</v>
      </c>
      <c r="H10" s="51" t="s">
        <v>60</v>
      </c>
      <c r="I10" s="11" t="s">
        <v>33</v>
      </c>
      <c r="J10" s="16">
        <f>B10*Configurações!$F$10</f>
        <v>0</v>
      </c>
      <c r="K10" s="16">
        <f>C10*Configurações!$F$10</f>
        <v>28.8</v>
      </c>
      <c r="L10" s="16">
        <f>D10*Configurações!$F$10</f>
        <v>57.6</v>
      </c>
      <c r="M10" s="16">
        <f>E10*Configurações!$F$10</f>
        <v>115.2</v>
      </c>
      <c r="N10" s="16">
        <f>F10*Configurações!$F$10</f>
        <v>230.4</v>
      </c>
      <c r="O10" s="16">
        <f>G10*Configurações!$F$10</f>
        <v>460.8</v>
      </c>
    </row>
    <row r="11" spans="1:15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</row>
    <row r="12" spans="1:15" x14ac:dyDescent="0.25">
      <c r="A12" s="213" t="s">
        <v>53</v>
      </c>
      <c r="B12" s="213"/>
      <c r="C12" s="213"/>
      <c r="D12" s="213"/>
      <c r="E12" s="213"/>
      <c r="F12" s="213"/>
      <c r="G12" s="213"/>
      <c r="H12" s="44"/>
      <c r="I12" s="213" t="s">
        <v>52</v>
      </c>
      <c r="J12" s="213"/>
      <c r="K12" s="213"/>
      <c r="L12" s="213"/>
      <c r="M12" s="213"/>
      <c r="N12" s="213"/>
      <c r="O12" s="213"/>
    </row>
    <row r="13" spans="1:15" ht="18" x14ac:dyDescent="0.25">
      <c r="A13" s="6" t="s">
        <v>31</v>
      </c>
      <c r="B13" s="4">
        <v>3</v>
      </c>
      <c r="C13" s="5">
        <v>4</v>
      </c>
      <c r="D13" s="32">
        <v>5</v>
      </c>
      <c r="E13" s="13">
        <v>6</v>
      </c>
      <c r="F13" s="14">
        <v>7</v>
      </c>
      <c r="G13" s="15">
        <v>8</v>
      </c>
      <c r="H13" s="44"/>
      <c r="I13" s="6" t="s">
        <v>31</v>
      </c>
      <c r="J13" s="4">
        <v>3</v>
      </c>
      <c r="K13" s="5">
        <v>4</v>
      </c>
      <c r="L13" s="32">
        <v>5</v>
      </c>
      <c r="M13" s="13">
        <v>6</v>
      </c>
      <c r="N13" s="14">
        <v>7</v>
      </c>
      <c r="O13" s="15">
        <v>8</v>
      </c>
    </row>
    <row r="14" spans="1:15" x14ac:dyDescent="0.25">
      <c r="A14" s="7" t="s">
        <v>20</v>
      </c>
      <c r="B14" s="12">
        <v>2</v>
      </c>
      <c r="C14" s="12">
        <v>4</v>
      </c>
      <c r="D14" s="12">
        <v>5</v>
      </c>
      <c r="E14" s="12">
        <v>8</v>
      </c>
      <c r="F14" s="12">
        <v>16</v>
      </c>
      <c r="G14" s="12">
        <v>12</v>
      </c>
      <c r="H14" s="44"/>
      <c r="I14" s="7" t="s">
        <v>32</v>
      </c>
      <c r="J14" s="16">
        <f>B14*Configurações!$F$10</f>
        <v>0.22500000000000001</v>
      </c>
      <c r="K14" s="16">
        <f>C14*Configurações!$F$10</f>
        <v>0.45</v>
      </c>
      <c r="L14" s="16">
        <f>D14*Configurações!$F$10</f>
        <v>0.5625</v>
      </c>
      <c r="M14" s="16">
        <f>E14*Configurações!$F$10</f>
        <v>0.9</v>
      </c>
      <c r="N14" s="16">
        <f>F14*Configurações!$F$10</f>
        <v>1.8</v>
      </c>
      <c r="O14" s="16">
        <f>G14*Configurações!$F$10</f>
        <v>1.35</v>
      </c>
    </row>
    <row r="15" spans="1:15" x14ac:dyDescent="0.25">
      <c r="A15" s="8" t="s">
        <v>19</v>
      </c>
      <c r="B15" s="12">
        <v>0</v>
      </c>
      <c r="C15" s="12">
        <v>12</v>
      </c>
      <c r="D15" s="12">
        <v>10</v>
      </c>
      <c r="E15" s="12">
        <v>16</v>
      </c>
      <c r="F15" s="12">
        <v>25</v>
      </c>
      <c r="G15" s="12">
        <v>51</v>
      </c>
      <c r="H15" s="44"/>
      <c r="I15" s="8" t="s">
        <v>19</v>
      </c>
      <c r="J15" s="16">
        <f>B15*Configurações!$F$10</f>
        <v>0</v>
      </c>
      <c r="K15" s="16">
        <f>C15*Configurações!$F$10</f>
        <v>1.35</v>
      </c>
      <c r="L15" s="16">
        <f>D15*Configurações!$F$10</f>
        <v>1.125</v>
      </c>
      <c r="M15" s="16">
        <f>E15*Configurações!$F$10</f>
        <v>1.8</v>
      </c>
      <c r="N15" s="16">
        <f>F15*Configurações!$F$10</f>
        <v>2.8125</v>
      </c>
      <c r="O15" s="16">
        <f>G15*Configurações!$F$10</f>
        <v>5.7374999999999998</v>
      </c>
    </row>
    <row r="16" spans="1:15" x14ac:dyDescent="0.25">
      <c r="A16" s="9" t="s">
        <v>18</v>
      </c>
      <c r="B16" s="12">
        <v>0</v>
      </c>
      <c r="C16" s="12">
        <v>28</v>
      </c>
      <c r="D16" s="12">
        <v>21</v>
      </c>
      <c r="E16" s="12">
        <v>32</v>
      </c>
      <c r="F16" s="12">
        <v>51</v>
      </c>
      <c r="G16" s="12">
        <v>102</v>
      </c>
      <c r="H16" s="44"/>
      <c r="I16" s="9" t="s">
        <v>18</v>
      </c>
      <c r="J16" s="16">
        <f>B16*Configurações!$F$10</f>
        <v>0</v>
      </c>
      <c r="K16" s="16">
        <f>C16*Configurações!$F$10</f>
        <v>3.15</v>
      </c>
      <c r="L16" s="16">
        <f>D16*Configurações!$F$10</f>
        <v>2.3625000000000003</v>
      </c>
      <c r="M16" s="16">
        <f>E16*Configurações!$F$10</f>
        <v>3.6</v>
      </c>
      <c r="N16" s="16">
        <f>F16*Configurações!$F$10</f>
        <v>5.7374999999999998</v>
      </c>
      <c r="O16" s="16">
        <f>G16*Configurações!$F$10</f>
        <v>11.475</v>
      </c>
    </row>
    <row r="17" spans="1:15" x14ac:dyDescent="0.25">
      <c r="A17" s="10" t="s">
        <v>17</v>
      </c>
      <c r="B17" s="12">
        <v>0</v>
      </c>
      <c r="C17" s="12">
        <v>60</v>
      </c>
      <c r="D17" s="12">
        <v>42</v>
      </c>
      <c r="E17" s="12">
        <v>64</v>
      </c>
      <c r="F17" s="12">
        <v>102</v>
      </c>
      <c r="G17" s="12">
        <v>204</v>
      </c>
      <c r="H17" s="44"/>
      <c r="I17" s="10" t="s">
        <v>17</v>
      </c>
      <c r="J17" s="16">
        <f>B17*Configurações!$F$10</f>
        <v>0</v>
      </c>
      <c r="K17" s="16">
        <f>C17*Configurações!$F$10</f>
        <v>6.75</v>
      </c>
      <c r="L17" s="16">
        <f>D17*Configurações!$F$10</f>
        <v>4.7250000000000005</v>
      </c>
      <c r="M17" s="16">
        <f>E17*Configurações!$F$10</f>
        <v>7.2</v>
      </c>
      <c r="N17" s="16">
        <f>F17*Configurações!$F$10</f>
        <v>11.475</v>
      </c>
      <c r="O17" s="16">
        <f>G17*Configurações!$F$10</f>
        <v>22.95</v>
      </c>
    </row>
    <row r="18" spans="1:15" x14ac:dyDescent="0.25">
      <c r="A18" s="11" t="s">
        <v>33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44"/>
      <c r="I18" s="11" t="s">
        <v>33</v>
      </c>
      <c r="J18" s="16">
        <f>B18*Configurações!$F$10</f>
        <v>0</v>
      </c>
      <c r="K18" s="16">
        <f>C18*Configurações!$F$10</f>
        <v>0</v>
      </c>
      <c r="L18" s="16">
        <f>D18*Configurações!$F$10</f>
        <v>0</v>
      </c>
      <c r="M18" s="16">
        <f>E18*Configurações!$F$10</f>
        <v>0</v>
      </c>
      <c r="N18" s="16">
        <f>F18*Configurações!$F$10</f>
        <v>0</v>
      </c>
      <c r="O18" s="16">
        <f>G18*Configurações!$F$10</f>
        <v>0</v>
      </c>
    </row>
    <row r="19" spans="1:15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25">
      <c r="A21" s="214" t="s">
        <v>42</v>
      </c>
      <c r="B21" s="214"/>
      <c r="C21" s="214"/>
      <c r="D21" s="214"/>
      <c r="E21" s="214"/>
      <c r="F21" s="214"/>
      <c r="G21" s="44"/>
      <c r="H21" s="1" t="s">
        <v>695</v>
      </c>
      <c r="I21" s="214" t="s">
        <v>43</v>
      </c>
      <c r="J21" s="214"/>
      <c r="K21" s="214"/>
      <c r="L21" s="214"/>
      <c r="M21" s="214"/>
      <c r="N21" s="214"/>
      <c r="O21" s="44"/>
    </row>
    <row r="22" spans="1:15" x14ac:dyDescent="0.25">
      <c r="A22" s="31" t="s">
        <v>31</v>
      </c>
      <c r="B22" s="38" t="s">
        <v>32</v>
      </c>
      <c r="C22" s="34" t="s">
        <v>19</v>
      </c>
      <c r="D22" s="35" t="s">
        <v>18</v>
      </c>
      <c r="E22" s="36" t="s">
        <v>17</v>
      </c>
      <c r="F22" s="37" t="s">
        <v>33</v>
      </c>
      <c r="G22" s="44"/>
      <c r="H22" s="1" t="s">
        <v>696</v>
      </c>
      <c r="I22" s="31" t="s">
        <v>31</v>
      </c>
      <c r="J22" s="38" t="s">
        <v>32</v>
      </c>
      <c r="K22" s="34" t="s">
        <v>19</v>
      </c>
      <c r="L22" s="35" t="s">
        <v>18</v>
      </c>
      <c r="M22" s="36" t="s">
        <v>17</v>
      </c>
      <c r="N22" s="37" t="s">
        <v>33</v>
      </c>
      <c r="O22" s="44"/>
    </row>
    <row r="23" spans="1:15" ht="18" x14ac:dyDescent="0.25">
      <c r="A23" s="18">
        <v>3</v>
      </c>
      <c r="B23" s="30">
        <v>31</v>
      </c>
      <c r="C23" s="30">
        <v>0</v>
      </c>
      <c r="D23" s="30">
        <v>0</v>
      </c>
      <c r="E23" s="30">
        <v>0</v>
      </c>
      <c r="F23" s="30">
        <v>0</v>
      </c>
      <c r="G23" s="44"/>
      <c r="H23" s="1" t="s">
        <v>697</v>
      </c>
      <c r="I23" s="18">
        <v>3</v>
      </c>
      <c r="J23" s="30">
        <v>31</v>
      </c>
      <c r="K23" s="30">
        <v>0</v>
      </c>
      <c r="L23" s="30">
        <v>0</v>
      </c>
      <c r="M23" s="30">
        <v>0</v>
      </c>
      <c r="N23" s="30">
        <v>0</v>
      </c>
      <c r="O23" s="44"/>
    </row>
    <row r="24" spans="1:15" ht="18" x14ac:dyDescent="0.25">
      <c r="A24" s="19">
        <v>4</v>
      </c>
      <c r="B24" s="30">
        <v>54</v>
      </c>
      <c r="C24" s="30">
        <v>94</v>
      </c>
      <c r="D24" s="30">
        <v>164</v>
      </c>
      <c r="E24" s="30">
        <v>287</v>
      </c>
      <c r="F24" s="30">
        <v>503</v>
      </c>
      <c r="G24" s="44"/>
      <c r="H24" s="1" t="s">
        <v>698</v>
      </c>
      <c r="I24" s="19">
        <v>4</v>
      </c>
      <c r="J24" s="30">
        <v>54</v>
      </c>
      <c r="K24" s="30">
        <v>108</v>
      </c>
      <c r="L24" s="30">
        <v>216</v>
      </c>
      <c r="M24" s="30">
        <v>432</v>
      </c>
      <c r="N24" s="30">
        <v>0</v>
      </c>
      <c r="O24" s="44"/>
    </row>
    <row r="25" spans="1:15" ht="18" x14ac:dyDescent="0.25">
      <c r="A25" s="33">
        <v>5</v>
      </c>
      <c r="B25" s="30">
        <v>94</v>
      </c>
      <c r="C25" s="30">
        <v>164</v>
      </c>
      <c r="D25" s="30">
        <v>287</v>
      </c>
      <c r="E25" s="30">
        <v>503</v>
      </c>
      <c r="F25" s="30">
        <v>880</v>
      </c>
      <c r="G25" s="44"/>
      <c r="H25" s="1" t="s">
        <v>699</v>
      </c>
      <c r="I25" s="33">
        <v>5</v>
      </c>
      <c r="J25" s="30">
        <v>94</v>
      </c>
      <c r="K25" s="30">
        <v>188</v>
      </c>
      <c r="L25" s="30">
        <v>376</v>
      </c>
      <c r="M25" s="30">
        <v>752</v>
      </c>
      <c r="N25" s="30">
        <v>0</v>
      </c>
      <c r="O25" s="44"/>
    </row>
    <row r="26" spans="1:15" ht="18" x14ac:dyDescent="0.25">
      <c r="A26" s="20">
        <v>6</v>
      </c>
      <c r="B26" s="30">
        <v>164</v>
      </c>
      <c r="C26" s="30">
        <v>287</v>
      </c>
      <c r="D26" s="30">
        <v>503</v>
      </c>
      <c r="E26" s="30">
        <v>880</v>
      </c>
      <c r="F26" s="30">
        <v>1539</v>
      </c>
      <c r="G26" s="44"/>
      <c r="H26" s="44"/>
      <c r="I26" s="20">
        <v>6</v>
      </c>
      <c r="J26" s="30">
        <v>164</v>
      </c>
      <c r="K26" s="30">
        <v>328</v>
      </c>
      <c r="L26" s="30">
        <v>656</v>
      </c>
      <c r="M26" s="30">
        <v>1312</v>
      </c>
      <c r="N26" s="30">
        <v>0</v>
      </c>
      <c r="O26" s="44"/>
    </row>
    <row r="27" spans="1:15" ht="18" x14ac:dyDescent="0.25">
      <c r="A27" s="21">
        <v>7</v>
      </c>
      <c r="B27" s="30">
        <v>287</v>
      </c>
      <c r="C27" s="30">
        <v>503</v>
      </c>
      <c r="D27" s="30">
        <v>880</v>
      </c>
      <c r="E27" s="30">
        <v>1.5389999999999999</v>
      </c>
      <c r="F27" s="30">
        <v>2694</v>
      </c>
      <c r="G27" s="44"/>
      <c r="H27" s="44"/>
      <c r="I27" s="21">
        <v>7</v>
      </c>
      <c r="J27" s="30">
        <v>287</v>
      </c>
      <c r="K27" s="30">
        <v>574</v>
      </c>
      <c r="L27" s="30">
        <v>1148</v>
      </c>
      <c r="M27" s="30">
        <v>2296</v>
      </c>
      <c r="N27" s="30">
        <v>0</v>
      </c>
      <c r="O27" s="44"/>
    </row>
    <row r="28" spans="1:15" ht="18" x14ac:dyDescent="0.25">
      <c r="A28" s="22">
        <v>8</v>
      </c>
      <c r="B28" s="30">
        <v>503</v>
      </c>
      <c r="C28" s="30">
        <v>880</v>
      </c>
      <c r="D28" s="30">
        <v>1539</v>
      </c>
      <c r="E28" s="30">
        <v>2694</v>
      </c>
      <c r="F28" s="30">
        <v>4714</v>
      </c>
      <c r="G28" s="44"/>
      <c r="H28" s="44"/>
      <c r="I28" s="22">
        <v>8</v>
      </c>
      <c r="J28" s="30">
        <v>503</v>
      </c>
      <c r="K28" s="30">
        <v>1006</v>
      </c>
      <c r="L28" s="30">
        <v>2012</v>
      </c>
      <c r="M28" s="30">
        <v>4024</v>
      </c>
      <c r="N28" s="30">
        <v>0</v>
      </c>
      <c r="O28" s="44"/>
    </row>
    <row r="29" spans="1:15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</sheetData>
  <sheetProtection selectLockedCells="1"/>
  <mergeCells count="6">
    <mergeCell ref="A12:G12"/>
    <mergeCell ref="I12:O12"/>
    <mergeCell ref="A21:F21"/>
    <mergeCell ref="I21:N21"/>
    <mergeCell ref="A4:G4"/>
    <mergeCell ref="I4:O4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A7325-B584-48E5-AA0C-3DEEADAB94B9}">
  <sheetPr codeName="Planilha12">
    <tabColor theme="4" tint="-0.499984740745262"/>
  </sheetPr>
  <dimension ref="A1:K29"/>
  <sheetViews>
    <sheetView showGridLines="0" showRowColHeaders="0" workbookViewId="0">
      <selection activeCell="G24" sqref="G24"/>
    </sheetView>
  </sheetViews>
  <sheetFormatPr defaultColWidth="0" defaultRowHeight="15" zeroHeight="1" x14ac:dyDescent="0.25"/>
  <cols>
    <col min="1" max="4" width="17.140625" customWidth="1"/>
    <col min="5" max="5" width="4.5703125" customWidth="1"/>
    <col min="6" max="7" width="20.7109375" customWidth="1"/>
    <col min="8" max="8" width="5" customWidth="1"/>
    <col min="9" max="9" width="20.7109375" customWidth="1"/>
    <col min="10" max="10" width="18.28515625" customWidth="1"/>
    <col min="11" max="11" width="2.85546875" customWidth="1"/>
    <col min="12" max="16384" width="2.85546875" hidden="1"/>
  </cols>
  <sheetData>
    <row r="1" spans="1:10" x14ac:dyDescent="0.25">
      <c r="A1" s="215" t="s">
        <v>415</v>
      </c>
      <c r="B1" s="215"/>
      <c r="C1" s="215"/>
      <c r="D1" s="215"/>
      <c r="F1" s="216" t="s">
        <v>478</v>
      </c>
      <c r="G1" s="218"/>
      <c r="I1" s="216" t="s">
        <v>476</v>
      </c>
      <c r="J1" s="218"/>
    </row>
    <row r="2" spans="1:10" ht="15" customHeight="1" x14ac:dyDescent="0.25">
      <c r="A2" s="77" t="s">
        <v>127</v>
      </c>
      <c r="B2" s="79">
        <v>3</v>
      </c>
      <c r="C2" s="78" t="s">
        <v>122</v>
      </c>
      <c r="D2" s="76" t="s">
        <v>92</v>
      </c>
      <c r="F2" s="84" t="s">
        <v>497</v>
      </c>
      <c r="G2" s="92" t="str">
        <f>_xlfn.CONCAT(A12,B12,A13,D12,A14)</f>
        <v>https://west.albion-online-data.com/api/v2/stats/view/T2_HIDE,T3_HIDE,T4_HIDE,T4_HIDE_LEVEL1@1,T4_HIDE_LEVEL2@2,T4_HIDE_LEVEL3@3,T4_HIDE_LEVEL4@4,T5_HIDE,T5_HIDE_LEVEL1@1,T5_HIDE_LEVEL2@2,T5_HIDE_LEVEL3@3,T5_HIDE_LEVEL4@4,T6_HIDE,T6_HIDE_LEVEL1@1,T6_HIDE_LEVEL2@2,T6_HIDE_LEVEL3@3,T6_HIDE_LEVEL4@4,T7_HIDE,T7_HIDE_LEVEL1@1,T7_HIDE_LEVEL2@2,T7_HIDE_LEVEL3@3,T7_HIDE_LEVEL4@4,T8_HIDE,T8_HIDE_LEVEL1@1,T8_HIDE_LEVEL2@2,T8_HIDE_LEVEL3@3,T8_HIDE_LEVEL4@4?locations=Lymhurst&amp;qualities=1</v>
      </c>
      <c r="I2" s="84" t="s">
        <v>67</v>
      </c>
      <c r="J2" s="86" t="s">
        <v>477</v>
      </c>
    </row>
    <row r="3" spans="1:10" ht="15" customHeight="1" x14ac:dyDescent="0.25">
      <c r="A3" s="77" t="s">
        <v>128</v>
      </c>
      <c r="B3" s="79">
        <v>4</v>
      </c>
      <c r="C3" s="78" t="s">
        <v>123</v>
      </c>
      <c r="D3" s="76" t="s">
        <v>93</v>
      </c>
      <c r="F3" s="84" t="s">
        <v>496</v>
      </c>
      <c r="G3" s="92" t="str">
        <f>_xlfn.CONCAT(A12,C12,A13,D12,A14)</f>
        <v>https://west.albion-online-data.com/api/v2/stats/view/T2_LEATHER,T3_LEATHER,T4_LEATHER,T4_LEATHER_LEVEL1@1,T4_LEATHER_LEVEL2@2,T4_LEATHER_LEVEL3@3,T4_LEATHER_LEVEL4@4,T5_LEATHER,T5_LEATHER_LEVEL1@1,T5_LEATHER_LEVEL2@2,T5_LEATHER_LEVEL3@3,T5_LEATHER_LEVEL4@4,T6_LEATHER,T6_LEATHER_LEVEL1@1,T6_LEATHER_LEVEL2@2,T6_LEATHER_LEVEL3@3,T6_LEATHER_LEVEL4@4,T7_LEATHER,T7_LEATHER_LEVEL1@1,T7_LEATHER_LEVEL2@2,T7_LEATHER_LEVEL3@3,T7_LEATHER_LEVEL4@4,T8_LEATHER,T8_LEATHER_LEVEL1@1,T8_LEATHER_LEVEL2@2,T8_LEATHER_LEVEL3@3,T8_LEATHER_LEVEL4@4?locations=Lymhurst&amp;qualities=1</v>
      </c>
      <c r="I3" s="84" t="s">
        <v>421</v>
      </c>
      <c r="J3" s="86" t="s">
        <v>501</v>
      </c>
    </row>
    <row r="4" spans="1:10" ht="15" customHeight="1" x14ac:dyDescent="0.25">
      <c r="A4" s="77" t="s">
        <v>129</v>
      </c>
      <c r="B4" s="79">
        <v>5</v>
      </c>
      <c r="C4" s="78" t="s">
        <v>124</v>
      </c>
      <c r="D4" s="76" t="s">
        <v>94</v>
      </c>
      <c r="F4" s="216" t="s">
        <v>121</v>
      </c>
      <c r="G4" s="218"/>
      <c r="I4" s="84" t="s">
        <v>68</v>
      </c>
      <c r="J4" s="86" t="s">
        <v>509</v>
      </c>
    </row>
    <row r="5" spans="1:10" ht="15" customHeight="1" x14ac:dyDescent="0.25">
      <c r="A5" s="77" t="s">
        <v>130</v>
      </c>
      <c r="B5" s="79">
        <v>6</v>
      </c>
      <c r="C5" s="78" t="s">
        <v>125</v>
      </c>
      <c r="D5" s="82"/>
      <c r="F5" s="84" t="s">
        <v>67</v>
      </c>
      <c r="G5" s="85" t="s">
        <v>426</v>
      </c>
      <c r="I5" s="84" t="s">
        <v>422</v>
      </c>
      <c r="J5" s="86" t="s">
        <v>510</v>
      </c>
    </row>
    <row r="6" spans="1:10" ht="15" customHeight="1" x14ac:dyDescent="0.25">
      <c r="A6" s="77" t="s">
        <v>131</v>
      </c>
      <c r="B6" s="79">
        <v>7</v>
      </c>
      <c r="C6" s="78" t="s">
        <v>126</v>
      </c>
      <c r="D6" s="82"/>
      <c r="F6" s="84" t="s">
        <v>421</v>
      </c>
      <c r="G6" s="85" t="s">
        <v>427</v>
      </c>
      <c r="I6" s="84" t="s">
        <v>69</v>
      </c>
      <c r="J6" s="86" t="s">
        <v>511</v>
      </c>
    </row>
    <row r="7" spans="1:10" ht="15" customHeight="1" x14ac:dyDescent="0.25">
      <c r="A7" s="77" t="s">
        <v>132</v>
      </c>
      <c r="B7" s="79">
        <v>8</v>
      </c>
      <c r="C7" s="82"/>
      <c r="D7" s="82"/>
      <c r="F7" s="84" t="s">
        <v>68</v>
      </c>
      <c r="G7" s="85" t="s">
        <v>428</v>
      </c>
      <c r="I7" s="84" t="s">
        <v>423</v>
      </c>
      <c r="J7" s="86" t="s">
        <v>512</v>
      </c>
    </row>
    <row r="8" spans="1:10" ht="15" customHeight="1" x14ac:dyDescent="0.25">
      <c r="A8" s="77" t="s">
        <v>133</v>
      </c>
      <c r="B8" s="82"/>
      <c r="C8" s="82"/>
      <c r="D8" s="82"/>
      <c r="F8" s="84" t="s">
        <v>422</v>
      </c>
      <c r="G8" s="85" t="s">
        <v>429</v>
      </c>
      <c r="I8" s="84" t="s">
        <v>70</v>
      </c>
      <c r="J8" s="86" t="s">
        <v>513</v>
      </c>
    </row>
    <row r="9" spans="1:10" ht="15" customHeight="1" x14ac:dyDescent="0.25">
      <c r="F9" s="84" t="s">
        <v>69</v>
      </c>
      <c r="G9" s="85" t="s">
        <v>430</v>
      </c>
      <c r="I9" s="84" t="s">
        <v>424</v>
      </c>
      <c r="J9" s="86" t="s">
        <v>514</v>
      </c>
    </row>
    <row r="10" spans="1:10" ht="15" customHeight="1" x14ac:dyDescent="0.25">
      <c r="A10" s="216" t="s">
        <v>416</v>
      </c>
      <c r="B10" s="217"/>
      <c r="C10" s="217"/>
      <c r="D10" s="218"/>
      <c r="F10" s="84" t="s">
        <v>423</v>
      </c>
      <c r="G10" s="85" t="s">
        <v>431</v>
      </c>
      <c r="I10" s="84" t="s">
        <v>54</v>
      </c>
      <c r="J10" s="86" t="s">
        <v>550</v>
      </c>
    </row>
    <row r="11" spans="1:10" ht="15" customHeight="1" x14ac:dyDescent="0.25">
      <c r="A11" s="84" t="s">
        <v>417</v>
      </c>
      <c r="B11" s="84" t="s">
        <v>418</v>
      </c>
      <c r="C11" s="84" t="s">
        <v>419</v>
      </c>
      <c r="D11" s="84" t="s">
        <v>420</v>
      </c>
      <c r="F11" s="84" t="s">
        <v>70</v>
      </c>
      <c r="G11" s="85" t="s">
        <v>432</v>
      </c>
      <c r="I11" s="84" t="s">
        <v>425</v>
      </c>
      <c r="J11" s="86" t="s">
        <v>551</v>
      </c>
    </row>
    <row r="12" spans="1:10" ht="15" customHeight="1" x14ac:dyDescent="0.25">
      <c r="A12" s="87" t="str">
        <f>CHOOSE(Configurações!F12,"https://west.albion-online-data.com/api/v2/stats/view/","https://east.albion-online-data.com/api/v2/stats/view/","https://europe.albion-online-data.com/api/v2/stats/view/")</f>
        <v>https://west.albion-online-data.com/api/v2/stats/view/</v>
      </c>
      <c r="B12" s="87" t="str">
        <f>CHOOSE('API2'!C8,G5,G7,G9,G11,G13)</f>
        <v>T2_HIDE,T3_HIDE,T4_HIDE,T4_HIDE_LEVEL1@1,T4_HIDE_LEVEL2@2,T4_HIDE_LEVEL3@3,T4_HIDE_LEVEL4@4,T5_HIDE,T5_HIDE_LEVEL1@1,T5_HIDE_LEVEL2@2,T5_HIDE_LEVEL3@3,T5_HIDE_LEVEL4@4,T6_HIDE,T6_HIDE_LEVEL1@1,T6_HIDE_LEVEL2@2,T6_HIDE_LEVEL3@3,T6_HIDE_LEVEL4@4,T7_HIDE,T7_HIDE_LEVEL1@1,T7_HIDE_LEVEL2@2,T7_HIDE_LEVEL3@3,T7_HIDE_LEVEL4@4,T8_HIDE,T8_HIDE_LEVEL1@1,T8_HIDE_LEVEL2@2,T8_HIDE_LEVEL3@3,T8_HIDE_LEVEL4@4</v>
      </c>
      <c r="C12" s="87" t="str">
        <f>CHOOSE('API2'!C8,G6,G8,G10,G12,G14)</f>
        <v>T2_LEATHER,T3_LEATHER,T4_LEATHER,T4_LEATHER_LEVEL1@1,T4_LEATHER_LEVEL2@2,T4_LEATHER_LEVEL3@3,T4_LEATHER_LEVEL4@4,T5_LEATHER,T5_LEATHER_LEVEL1@1,T5_LEATHER_LEVEL2@2,T5_LEATHER_LEVEL3@3,T5_LEATHER_LEVEL4@4,T6_LEATHER,T6_LEATHER_LEVEL1@1,T6_LEATHER_LEVEL2@2,T6_LEATHER_LEVEL3@3,T6_LEATHER_LEVEL4@4,T7_LEATHER,T7_LEATHER_LEVEL1@1,T7_LEATHER_LEVEL2@2,T7_LEATHER_LEVEL3@3,T7_LEATHER_LEVEL4@4,T8_LEATHER,T8_LEATHER_LEVEL1@1,T8_LEATHER_LEVEL2@2,T8_LEATHER_LEVEL3@3,T8_LEATHER_LEVEL4@4</v>
      </c>
      <c r="D12" s="88" t="str">
        <f>CHOOSE('API2'!C10,A2,A3,A4,A5,A6,A7,A8)</f>
        <v>Lymhurst</v>
      </c>
      <c r="F12" s="84" t="s">
        <v>424</v>
      </c>
      <c r="G12" s="85" t="s">
        <v>433</v>
      </c>
      <c r="I12" s="216" t="s">
        <v>478</v>
      </c>
      <c r="J12" s="218"/>
    </row>
    <row r="13" spans="1:10" ht="15" customHeight="1" x14ac:dyDescent="0.25">
      <c r="A13" s="88" t="s">
        <v>413</v>
      </c>
      <c r="B13" s="82"/>
      <c r="C13" s="82"/>
      <c r="D13" s="82"/>
      <c r="F13" s="84" t="s">
        <v>54</v>
      </c>
      <c r="G13" s="85" t="s">
        <v>434</v>
      </c>
      <c r="I13" s="84" t="s">
        <v>67</v>
      </c>
      <c r="J13" s="91" t="str">
        <f t="shared" ref="J13:J22" si="0">_xlfn.CONCAT($A$12,J2)</f>
        <v>https://west.albion-online-data.com/api/v2/stats/view/T2_HIDE,T3_HIDE,T4_HIDE,T4_HIDE_LEVEL1@1,T4_HIDE_LEVEL2@2,T4_HIDE_LEVEL3@3,T4_HIDE_LEVEL4@4,T5_HIDE,T5_HIDE_LEVEL1@1,T5_HIDE_LEVEL2@2,T5_HIDE_LEVEL3@3,T5_HIDE_LEVEL4@4,T6_HIDE,T6_HIDE_LEVEL1@1,T6_HIDE_LEVEL2@2,T6_HIDE_LEVEL3@3,T6_HIDE_LEVEL4@4,T7_HIDE,T7_HIDE_LEVEL1@1,T7_HIDE_LEVEL2@2,T7_HIDE_LEVEL3@3,T7_HIDE_LEVEL4@4,T8_HIDE,T8_HIDE_LEVEL1@1,T8_HIDE_LEVEL2@2,T8_HIDE_LEVEL3@3,T8_HIDE_LEVEL4@4?locations=Caerleon,Bridgewatch,Lymhurst,Thetford,Martlock,Fortsterling,Brecilien&amp;qualities=1</v>
      </c>
    </row>
    <row r="14" spans="1:10" ht="15" customHeight="1" x14ac:dyDescent="0.25">
      <c r="A14" s="88" t="s">
        <v>414</v>
      </c>
      <c r="B14" s="82"/>
      <c r="C14" s="82"/>
      <c r="D14" s="82"/>
      <c r="F14" s="84" t="s">
        <v>425</v>
      </c>
      <c r="G14" s="85" t="s">
        <v>435</v>
      </c>
      <c r="I14" s="84" t="s">
        <v>421</v>
      </c>
      <c r="J14" s="91" t="str">
        <f t="shared" si="0"/>
        <v>https://west.albion-online-data.com/api/v2/stats/view/T2_LEATHER,T3_LEATHER,T4_LEATHER,T4_LEATHER_LEVEL1@1,T4_LEATHER_LEVEL2@2,T4_LEATHER_LEVEL3@3,T4_LEATHER_LEVEL4@4,T5_LEATHER,T5_LEATHER_LEVEL1@1,T5_LEATHER_LEVEL2@2,T5_LEATHER_LEVEL3@3,T5_LEATHER_LEVEL4@4,T6_LEATHER,T6_LEATHER_LEVEL1@1,T6_LEATHER_LEVEL2@2,T6_LEATHER_LEVEL3@3,T6_LEATHER_LEVEL4@4,T7_LEATHER,T7_LEATHER_LEVEL1@1,T7_LEATHER_LEVEL2@2,T7_LEATHER_LEVEL3@3,T7_LEATHER_LEVEL4@4,T8_LEATHER,T8_LEATHER_LEVEL1@1,T8_LEATHER_LEVEL2@2,T8_LEATHER_LEVEL3@3,T8_LEATHER_LEVEL4@4?locations=Caerleon,Bridgewatch,Lymhurst,Thetford,Martlock,Fortsterling,Brecilien&amp;qualities=1</v>
      </c>
    </row>
    <row r="15" spans="1:10" ht="15" customHeight="1" x14ac:dyDescent="0.25">
      <c r="F15" s="216" t="s">
        <v>495</v>
      </c>
      <c r="G15" s="218"/>
      <c r="I15" s="84" t="s">
        <v>68</v>
      </c>
      <c r="J15" s="91" t="str">
        <f t="shared" si="0"/>
        <v>https://west.albion-online-data.com/api/v2/stats/view/T2_FIBER,T3_FIBER,T4_FIBER,T4_FIBER_LEVEL1@1,T4_FIBER_LEVEL2@2,T4_FIBER_LEVEL3@3,T4_FIBER_LEVEL4@4,T5_FIBER,T5_FIBER_LEVEL1@1,T5_FIBER_LEVEL2@2,T5_FIBER_LEVEL3@3,T5_FIBER_LEVEL4@4,T6_FIBER,T6_FIBER_LEVEL1@1,T6_FIBER_LEVEL2@2,T6_FIBER_LEVEL3@3,T6_FIBER_LEVEL4@4,T7_FIBER,T7_FIBER_LEVEL1@1,T7_FIBER_LEVEL2@2,T7_FIBER_LEVEL3@3,T7_FIBER_LEVEL4@4,T8_FIBER,T8_FIBER_LEVEL1@1,T8_FIBER_LEVEL2@2,T8_FIBER_LEVEL3@3,T8_FIBER_LEVEL4@4?locations=Caerleon,Bridgewatch,Lymhurst,Thetford,Martlock,Fortsterling,Brecilien&amp;qualities=1</v>
      </c>
    </row>
    <row r="16" spans="1:10" ht="15" customHeight="1" x14ac:dyDescent="0.25">
      <c r="F16" s="84" t="s">
        <v>494</v>
      </c>
      <c r="G16" s="89"/>
      <c r="I16" s="84" t="s">
        <v>422</v>
      </c>
      <c r="J16" s="91" t="str">
        <f t="shared" si="0"/>
        <v>https://west.albion-online-data.com/api/v2/stats/view/T2_CLOTH,T3_CLOTH,T4_CLOTH,T4_CLOTH_LEVEL1@1,T4_CLOTH_LEVEL2@2,T4_CLOTH_LEVEL3@3,T4_CLOTH_LEVEL4@4,T5_CLOTH,T5_CLOTH_LEVEL1@1,T5_CLOTH_LEVEL2@2,T5_CLOTH_LEVEL3@3,T5_CLOTH_LEVEL4@4,T6_CLOTH,T6_CLOTH_LEVEL1@1,T6_CLOTH_LEVEL2@2,T6_CLOTH_LEVEL3@3,T6_CLOTH_LEVEL4@4,T7_CLOTH,T7_CLOTH_LEVEL1@1,T7_CLOTH_LEVEL2@2,T7_CLOTH_LEVEL3@3,T7_CLOTH_LEVEL4@4,T8_CLOTH,T8_CLOTH_LEVEL1@1,T8_CLOTH_LEVEL2@2,T8_CLOTH_LEVEL3@3,T8_CLOTH_LEVEL4@4?locations=Caerleon,Bridgewatch,Lymhurst,Thetford,Martlock,Fortsterling,Brecilien&amp;qualities=1</v>
      </c>
    </row>
    <row r="17" spans="1:10" ht="15" customHeight="1" x14ac:dyDescent="0.25">
      <c r="I17" s="84" t="s">
        <v>69</v>
      </c>
      <c r="J17" s="91" t="str">
        <f t="shared" si="0"/>
        <v>https://west.albion-online-data.com/api/v2/stats/view/T2_ORE,T3_ORE,T4_ORE,T4_ORE_LEVEL1@1,T4_ORE_LEVEL2@2,T4_ORE_LEVEL3@3,T4_ORE_LEVEL4@4,T5_ORE,T5_ORE_LEVEL1@1,T5_ORE_LEVEL2@2,T5_ORE_LEVEL3@3,T5_ORE_LEVEL4@4,T6_ORE,T6_ORE_LEVEL1@1,T6_ORE_LEVEL2@2,T6_ORE_LEVEL3@3,T6_ORE_LEVEL4@4,T7_ORE,T7_ORE_LEVEL1@1,T7_ORE_LEVEL2@2,T7_ORE_LEVEL3@3,T7_ORE_LEVEL4@4,T8_ORE,T8_ORE_LEVEL1@1,T8_ORE_LEVEL2@2,T8_ORE_LEVEL3@3,T8_ORE_LEVEL4@4?locations=Caerleon,Bridgewatch,Lymhurst,Thetford,Martlock,Fortsterling,Brecilien&amp;qualities=1</v>
      </c>
    </row>
    <row r="18" spans="1:10" ht="15" customHeight="1" x14ac:dyDescent="0.25">
      <c r="I18" s="84" t="s">
        <v>423</v>
      </c>
      <c r="J18" s="91" t="str">
        <f t="shared" si="0"/>
        <v>https://west.albion-online-data.com/api/v2/stats/view/T2_METALBAR,T3_METALBAR,T4_METALBAR,T4_METALBAR_LEVEL1@1,T4_METALBAR_LEVEL2@2,T4_METALBAR_LEVEL3@3,T4_METALBAR_LEVEL4@4,T5_METALBAR,T5_METALBAR_LEVEL1@1,T5_METALBAR_LEVEL2@2,T5_METALBAR_LEVEL3@3,T5_METALBAR_LEVEL4@4,T6_METALBAR,T6_METALBAR_LEVEL1@1,T6_METALBAR_LEVEL2@2,T6_METALBAR_LEVEL3@3,T6_METALBAR_LEVEL4@4,T7_METALBAR,T7_METALBAR_LEVEL1@1,T7_METALBAR_LEVEL2@2,T7_METALBAR_LEVEL3@3,T7_METALBAR_LEVEL4@4,T8_METALBAR,T8_METALBAR_LEVEL1@1,T8_METALBAR_LEVEL2@2,T8_METALBAR_LEVEL3@3,T8_METALBAR_LEVEL4@4?locations=Caerleon,Bridgewatch,Lymhurst,Thetford,Martlock,Fortsterling,Brecilien&amp;qualities=1</v>
      </c>
    </row>
    <row r="19" spans="1:10" ht="15" customHeight="1" x14ac:dyDescent="0.25">
      <c r="A19" s="107"/>
      <c r="I19" s="84" t="s">
        <v>70</v>
      </c>
      <c r="J19" s="91" t="str">
        <f t="shared" si="0"/>
        <v>https://west.albion-online-data.com/api/v2/stats/view/T2_WOOD,T3_WOOD,T4_WOOD,T4_WOOD_LEVEL1@1,T4_WOOD_LEVEL2@2,T4_WOOD_LEVEL3@3,T4_WOOD_LEVEL4@4,T5_WOOD,T5_WOOD_LEVEL1@1,T5_WOOD_LEVEL2@2,T5_WOOD_LEVEL3@3,T5_WOOD_LEVEL4@4,T6_WOOD,T6_WOOD_LEVEL1@1,T6_WOOD_LEVEL2@2,T6_WOOD_LEVEL3@3,T6_WOOD_LEVEL4@4,T7_WOOD,T7_WOOD_LEVEL1@1,T7_WOOD_LEVEL2@2,T7_WOOD_LEVEL3@3,T7_WOOD_LEVEL4@4,T8_WOOD,T8_WOOD_LEVEL1@1,T8_WOOD_LEVEL2@2,T8_WOOD_LEVEL3@3,T8_WOOD_LEVEL4@4?locations=Caerleon,Bridgewatch,Lymhurst,Thetford,Martlock,Fortsterling,Brecilien&amp;qualities=1</v>
      </c>
    </row>
    <row r="20" spans="1:10" ht="15" customHeight="1" x14ac:dyDescent="0.25">
      <c r="I20" s="84" t="s">
        <v>424</v>
      </c>
      <c r="J20" s="91" t="str">
        <f t="shared" si="0"/>
        <v>https://west.albion-online-data.com/api/v2/stats/view/T2_PLANKS,T3_PLANKS,T4_PLANKS,T4_PLANKS_LEVEL1@1,T4_PLANKS_LEVEL2@2,T4_PLANKS_LEVEL3@3,T4_PLANKS_LEVEL4@4,T5_PLANKS,T5_PLANKS_LEVEL1@1,T5_PLANKS_LEVEL2@2,T5_PLANKS_LEVEL3@3,T5_PLANKS_LEVEL4@4,T6_PLANKS,T6_PLANKS_LEVEL1@1,T6_PLANKS_LEVEL2@2,T6_PLANKS_LEVEL3@3,T6_PLANKS_LEVEL4@4,T7_PLANKS,T7_PLANKS_LEVEL1@1,T7_PLANKS_LEVEL2@2,T7_PLANKS_LEVEL3@3,T7_PLANKS_LEVEL4@4,T8_PLANKS,T8_PLANKS_LEVEL1@1,T8_PLANKS_LEVEL2@2,T8_PLANKS_LEVEL3@3,T8_PLANKS_LEVEL4@4?locations=Caerleon,Bridgewatch,Lymhurst,Thetford,Martlock,Fortsterling,Brecilien&amp;qualities=1</v>
      </c>
    </row>
    <row r="21" spans="1:10" ht="15" customHeight="1" x14ac:dyDescent="0.25">
      <c r="I21" s="84" t="s">
        <v>54</v>
      </c>
      <c r="J21" s="91" t="str">
        <f t="shared" si="0"/>
        <v>https://west.albion-online-data.com/api/v2/stats/view/T2_ROCK,T3_ROCK,T4_ROCK,T4_ROCK_LEVEL1@1,T4_ROCK_LEVEL2@2,T4_ROCK_LEVEL3@3,T5_ROCK,T5_ROCK_LEVEL1@1,T5_ROCK_LEVEL2@2,T5_ROCK_LEVEL3@3,T6_ROCK,T6_ROCK_LEVEL1@1,T6_ROCK_LEVEL2@2,T6_ROCK_LEVEL3@3,T7_ROCK,T7_ROCK_LEVEL1@1,T7_ROCK_LEVEL2@2,T7_ROCK_LEVEL3@3,T8_ROCK,T8_ROCK_LEVEL1@1,T8_ROCK_LEVEL2@2,T8_ROCK_LEVEL3@3?locations=Caerleon,Bridgewatch,Lymhurst,Thetford,Martlock,Fortsterling,Brecilien&amp;qualities=1</v>
      </c>
    </row>
    <row r="22" spans="1:10" ht="15" customHeight="1" x14ac:dyDescent="0.25">
      <c r="I22" s="84" t="s">
        <v>425</v>
      </c>
      <c r="J22" s="91" t="str">
        <f t="shared" si="0"/>
        <v>https://west.albion-online-data.com/api/v2/stats/view/T2_STONEBLOCK,T3_STONEBLOCK,T4_STONEBLOCK,T5_STONEBLOCK,T6_STONEBLOCK,T7_STONEBLOCK,T8_STONEBLOCK?locations=Caerleon,Bridgewatch,Lymhurst,Thetford,Martlock,Fortsterling,Brecilien&amp;qualities=1</v>
      </c>
    </row>
    <row r="23" spans="1:10" x14ac:dyDescent="0.25">
      <c r="I23" s="216" t="s">
        <v>495</v>
      </c>
      <c r="J23" s="218"/>
    </row>
    <row r="24" spans="1:10" x14ac:dyDescent="0.25">
      <c r="I24" s="84" t="s">
        <v>494</v>
      </c>
      <c r="J24" s="90">
        <v>45665.77815972222</v>
      </c>
    </row>
    <row r="25" spans="1:10" x14ac:dyDescent="0.25"/>
    <row r="27" spans="1:10" hidden="1" x14ac:dyDescent="0.25">
      <c r="C27" s="83"/>
    </row>
    <row r="29" spans="1:10" hidden="1" x14ac:dyDescent="0.25">
      <c r="C29" s="83"/>
    </row>
  </sheetData>
  <mergeCells count="8">
    <mergeCell ref="A1:D1"/>
    <mergeCell ref="A10:D10"/>
    <mergeCell ref="I12:J12"/>
    <mergeCell ref="I23:J23"/>
    <mergeCell ref="F4:G4"/>
    <mergeCell ref="F15:G15"/>
    <mergeCell ref="I1:J1"/>
    <mergeCell ref="F1:G1"/>
  </mergeCells>
  <pageMargins left="0.511811024" right="0.511811024" top="0.78740157499999996" bottom="0.78740157499999996" header="0.31496062000000002" footer="0.31496062000000002"/>
  <picture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6FF4-7439-4AAC-BE15-D21046CADAA1}">
  <sheetPr codeName="Planilha13">
    <tabColor rgb="FF4D1B46"/>
  </sheetPr>
  <dimension ref="A1:AB40"/>
  <sheetViews>
    <sheetView showGridLines="0" showRowColHeaders="0" workbookViewId="0">
      <selection activeCell="Z25" sqref="Z25"/>
    </sheetView>
  </sheetViews>
  <sheetFormatPr defaultColWidth="0" defaultRowHeight="15" zeroHeight="1" x14ac:dyDescent="0.25"/>
  <cols>
    <col min="1" max="23" width="9.140625" customWidth="1"/>
    <col min="24" max="24" width="11.5703125" customWidth="1"/>
    <col min="25" max="26" width="9.140625" customWidth="1"/>
    <col min="27" max="27" width="11.28515625" customWidth="1"/>
    <col min="28" max="28" width="9.140625" customWidth="1"/>
    <col min="29" max="16384" width="9.140625" hidden="1"/>
  </cols>
  <sheetData>
    <row r="1" spans="1:28" x14ac:dyDescent="0.25">
      <c r="A1" s="219" t="s">
        <v>570</v>
      </c>
      <c r="B1" s="219"/>
      <c r="C1" s="219"/>
      <c r="D1" s="219"/>
      <c r="E1" s="219"/>
      <c r="F1" s="219"/>
      <c r="G1" s="219"/>
      <c r="H1" s="219" t="s">
        <v>571</v>
      </c>
      <c r="I1" s="219"/>
      <c r="J1" s="219"/>
      <c r="K1" s="219"/>
      <c r="L1" s="219"/>
      <c r="M1" s="219"/>
      <c r="N1" s="219"/>
      <c r="O1" s="219" t="s">
        <v>54</v>
      </c>
      <c r="P1" s="219"/>
      <c r="Q1" s="219"/>
      <c r="R1" s="219"/>
      <c r="S1" s="219"/>
      <c r="T1" s="219"/>
      <c r="U1" s="219"/>
      <c r="V1" s="220" t="s">
        <v>572</v>
      </c>
      <c r="W1" s="219"/>
      <c r="X1" s="219"/>
      <c r="Y1" s="219"/>
      <c r="Z1" s="219"/>
      <c r="AA1" s="219"/>
      <c r="AB1" s="219"/>
    </row>
    <row r="2" spans="1:28" x14ac:dyDescent="0.25">
      <c r="A2" s="105" t="s">
        <v>3</v>
      </c>
      <c r="B2" s="105" t="s">
        <v>363</v>
      </c>
      <c r="C2" s="105" t="s">
        <v>568</v>
      </c>
      <c r="D2" s="105" t="s">
        <v>569</v>
      </c>
      <c r="E2" s="105" t="s">
        <v>364</v>
      </c>
      <c r="F2" s="105" t="s">
        <v>568</v>
      </c>
      <c r="G2" s="105" t="s">
        <v>569</v>
      </c>
      <c r="H2" s="105" t="s">
        <v>3</v>
      </c>
      <c r="I2" s="105" t="s">
        <v>363</v>
      </c>
      <c r="J2" s="105" t="s">
        <v>568</v>
      </c>
      <c r="K2" s="105" t="s">
        <v>569</v>
      </c>
      <c r="L2" s="105" t="s">
        <v>364</v>
      </c>
      <c r="M2" s="105" t="s">
        <v>568</v>
      </c>
      <c r="N2" s="105" t="s">
        <v>569</v>
      </c>
      <c r="O2" s="114" t="s">
        <v>3</v>
      </c>
      <c r="P2" s="105" t="s">
        <v>363</v>
      </c>
      <c r="Q2" s="105" t="s">
        <v>568</v>
      </c>
      <c r="R2" s="105" t="s">
        <v>569</v>
      </c>
      <c r="S2" s="105" t="s">
        <v>364</v>
      </c>
      <c r="T2" s="105" t="s">
        <v>568</v>
      </c>
      <c r="U2" s="112" t="s">
        <v>569</v>
      </c>
      <c r="V2" s="105" t="s">
        <v>3</v>
      </c>
      <c r="W2" s="113" t="s">
        <v>363</v>
      </c>
      <c r="X2" s="105" t="s">
        <v>568</v>
      </c>
      <c r="Y2" s="105" t="s">
        <v>569</v>
      </c>
      <c r="Z2" s="105" t="s">
        <v>364</v>
      </c>
      <c r="AA2" s="105" t="s">
        <v>568</v>
      </c>
      <c r="AB2" s="105" t="s">
        <v>569</v>
      </c>
    </row>
    <row r="3" spans="1:28" x14ac:dyDescent="0.25">
      <c r="A3" s="108" t="s">
        <v>479</v>
      </c>
      <c r="B3" s="130">
        <f>Dados!C2</f>
        <v>0</v>
      </c>
      <c r="C3" s="106" t="str">
        <f>IF(Dados!D2=0,"",_xlfn.CONCAT(RIGHT(LEFT(Dados!D2,10),2),"/",LEFT(RIGHT(LEFT(Dados!D2,10),5),2),"/",LEFT(LEFT(Dados!D2,10),4)))</f>
        <v/>
      </c>
      <c r="D3" s="106" t="str">
        <f>IF(Dados!D2=0,"",RIGHT(Dados!D2,8))</f>
        <v/>
      </c>
      <c r="E3" s="130">
        <f>Dados!E2</f>
        <v>0</v>
      </c>
      <c r="F3" s="106" t="str">
        <f>IF(Dados!F2=0,"",_xlfn.CONCAT(RIGHT(LEFT(Dados!F2,10),2),"/",LEFT(RIGHT(LEFT(Dados!F2,10),5),2),"/",LEFT(LEFT(Dados!F2,10),4)))</f>
        <v/>
      </c>
      <c r="G3" s="106" t="str">
        <f>IF(Dados!F2=0,"",RIGHT(Dados!F2,8))</f>
        <v/>
      </c>
      <c r="H3" s="108" t="s">
        <v>479</v>
      </c>
      <c r="I3" s="132">
        <f>Dados!C30</f>
        <v>46</v>
      </c>
      <c r="J3" s="106" t="str">
        <f>IF(Dados!D30=0,"",_xlfn.CONCAT(RIGHT(LEFT(Dados!D30,10),2),"/",LEFT(RIGHT(LEFT(Dados!D30,10),5),2),"/",LEFT(LEFT(Dados!D30,10),4)))</f>
        <v>25/12/2024</v>
      </c>
      <c r="K3" s="106" t="str">
        <f>IF(Dados!D30=0,"",RIGHT(Dados!D30,8))</f>
        <v>12:40:00</v>
      </c>
      <c r="L3" s="132">
        <f>Dados!E30</f>
        <v>0</v>
      </c>
      <c r="M3" s="106" t="str">
        <f>IF(Dados!F30=0,"",_xlfn.CONCAT(RIGHT(LEFT(Dados!F30,10),2),"/",LEFT(RIGHT(LEFT(Dados!F30,10),5),2),"/",LEFT(LEFT(Dados!F30,10),4)))</f>
        <v/>
      </c>
      <c r="N3" s="111" t="str">
        <f>IF(Dados!F30=0,"",RIGHT(Dados!F30,8))</f>
        <v/>
      </c>
      <c r="O3" s="108" t="s">
        <v>479</v>
      </c>
      <c r="P3" s="131">
        <f>Dados!C2</f>
        <v>0</v>
      </c>
      <c r="Q3" s="106" t="str">
        <f>IF(Dados!D2=0,"",_xlfn.CONCAT(RIGHT(LEFT(Dados!D2,10),2),"/",LEFT(RIGHT(LEFT(Dados!D2,10),5),2),"/",LEFT(LEFT(Dados!D2,10),4)))</f>
        <v/>
      </c>
      <c r="R3" s="106" t="str">
        <f>IF(Dados!D2=0,"",RIGHT(Dados!D2,8))</f>
        <v/>
      </c>
      <c r="S3" s="130">
        <f>Dados!E2</f>
        <v>0</v>
      </c>
      <c r="T3" s="106" t="str">
        <f>IF(Dados!F2=0,"",_xlfn.CONCAT(RIGHT(LEFT(Dados!F2,10),2),"/",LEFT(RIGHT(LEFT(Dados!F2,10),5),2),"/",LEFT(LEFT(Dados!F2,10),4)))</f>
        <v/>
      </c>
      <c r="U3" s="111" t="str">
        <f>IF(Dados!F2=0,"",RIGHT(Dados!F2,8))</f>
        <v/>
      </c>
      <c r="V3" s="108" t="s">
        <v>479</v>
      </c>
      <c r="W3" s="133">
        <f>Dados!C25</f>
        <v>0</v>
      </c>
      <c r="X3" s="106" t="str">
        <f>IF(Dados!D25=0,"",_xlfn.CONCAT(RIGHT(LEFT(Dados!D25,10),2),"/",LEFT(RIGHT(LEFT(Dados!D25,10),5),2),"/",LEFT(LEFT(Dados!D25,10),4)))</f>
        <v/>
      </c>
      <c r="Y3" s="115" t="str">
        <f>IF(Dados!D25=0,"",RIGHT(Dados!D25,8))</f>
        <v/>
      </c>
      <c r="Z3" s="133">
        <f>Dados!E25</f>
        <v>0</v>
      </c>
      <c r="AA3" s="115" t="str">
        <f>IF(Dados!F25=0,"",_xlfn.CONCAT(RIGHT(LEFT(Dados!F25,10),2),"/",LEFT(RIGHT(LEFT(Dados!F25,10),5),2),"/",LEFT(LEFT(Dados!F25,10),4)))</f>
        <v/>
      </c>
      <c r="AB3" s="106" t="str">
        <f>IF(Dados!F25=0,"",RIGHT(Dados!F25,8))</f>
        <v/>
      </c>
    </row>
    <row r="4" spans="1:28" x14ac:dyDescent="0.25">
      <c r="A4" s="108" t="s">
        <v>95</v>
      </c>
      <c r="B4" s="130">
        <f>Dados!C3</f>
        <v>67</v>
      </c>
      <c r="C4" s="106" t="str">
        <f>IF(Dados!D3=0,"",_xlfn.CONCAT(RIGHT(LEFT(Dados!D3,10),2),"/",LEFT(RIGHT(LEFT(Dados!D3,10),5),2),"/",LEFT(LEFT(Dados!D3,10),4)))</f>
        <v>25/12/2024</v>
      </c>
      <c r="D4" s="106" t="str">
        <f>IF(Dados!D3=0,"",RIGHT(Dados!D3,8))</f>
        <v>15:40:00</v>
      </c>
      <c r="E4" s="130">
        <f>Dados!E3</f>
        <v>66</v>
      </c>
      <c r="F4" s="106" t="str">
        <f>IF(Dados!F3=0,"",_xlfn.CONCAT(RIGHT(LEFT(Dados!F3,10),2),"/",LEFT(RIGHT(LEFT(Dados!F3,10),5),2),"/",LEFT(LEFT(Dados!F3,10),4)))</f>
        <v>24/12/2024</v>
      </c>
      <c r="G4" s="106" t="str">
        <f>IF(Dados!F3=0,"",RIGHT(Dados!F3,8))</f>
        <v>22:50:00</v>
      </c>
      <c r="H4" s="108" t="s">
        <v>95</v>
      </c>
      <c r="I4" s="132">
        <f>Dados!C31</f>
        <v>0</v>
      </c>
      <c r="J4" s="106" t="str">
        <f>IF(Dados!D31=0,"",_xlfn.CONCAT(RIGHT(LEFT(Dados!D31,10),2),"/",LEFT(RIGHT(LEFT(Dados!D31,10),5),2),"/",LEFT(LEFT(Dados!D31,10),4)))</f>
        <v/>
      </c>
      <c r="K4" s="106" t="str">
        <f>IF(Dados!D31=0,"",RIGHT(Dados!D31,8))</f>
        <v/>
      </c>
      <c r="L4" s="132">
        <f>Dados!E31</f>
        <v>0</v>
      </c>
      <c r="M4" s="106" t="str">
        <f>IF(Dados!F31=0,"",_xlfn.CONCAT(RIGHT(LEFT(Dados!F31,10),2),"/",LEFT(RIGHT(LEFT(Dados!F31,10),5),2),"/",LEFT(LEFT(Dados!F31,10),4)))</f>
        <v/>
      </c>
      <c r="N4" s="111" t="str">
        <f>IF(Dados!F31=0,"",RIGHT(Dados!F31,8))</f>
        <v/>
      </c>
      <c r="O4" s="108" t="s">
        <v>95</v>
      </c>
      <c r="P4" s="131">
        <f>Dados!C3</f>
        <v>67</v>
      </c>
      <c r="Q4" s="106" t="str">
        <f>IF(Dados!D3=0,"",_xlfn.CONCAT(RIGHT(LEFT(Dados!D3,10),2),"/",LEFT(RIGHT(LEFT(Dados!D3,10),5),2),"/",LEFT(LEFT(Dados!D3,10),4)))</f>
        <v>25/12/2024</v>
      </c>
      <c r="R4" s="106" t="str">
        <f>IF(Dados!D3=0,"",RIGHT(Dados!D3,8))</f>
        <v>15:40:00</v>
      </c>
      <c r="S4" s="130">
        <f>Dados!E3</f>
        <v>66</v>
      </c>
      <c r="T4" s="106" t="str">
        <f>IF(Dados!F3=0,"",_xlfn.CONCAT(RIGHT(LEFT(Dados!F3,10),2),"/",LEFT(RIGHT(LEFT(Dados!F3,10),5),2),"/",LEFT(LEFT(Dados!F3,10),4)))</f>
        <v>24/12/2024</v>
      </c>
      <c r="U4" s="111" t="str">
        <f>IF(Dados!F3=0,"",RIGHT(Dados!F3,8))</f>
        <v>22:50:00</v>
      </c>
      <c r="V4" s="108" t="s">
        <v>95</v>
      </c>
      <c r="W4" s="133">
        <f>Dados!C26</f>
        <v>0</v>
      </c>
      <c r="X4" s="106" t="str">
        <f>IF(Dados!D26=0,"",_xlfn.CONCAT(RIGHT(LEFT(Dados!D26,10),2),"/",LEFT(RIGHT(LEFT(Dados!D26,10),5),2),"/",LEFT(LEFT(Dados!D26,10),4)))</f>
        <v/>
      </c>
      <c r="Y4" s="115" t="str">
        <f>IF(Dados!D26=0,"",RIGHT(Dados!D26,8))</f>
        <v/>
      </c>
      <c r="Z4" s="133">
        <f>Dados!E26</f>
        <v>0</v>
      </c>
      <c r="AA4" s="115" t="str">
        <f>IF(Dados!F26=0,"",_xlfn.CONCAT(RIGHT(LEFT(Dados!F26,10),2),"/",LEFT(RIGHT(LEFT(Dados!F26,10),5),2),"/",LEFT(LEFT(Dados!F26,10),4)))</f>
        <v/>
      </c>
      <c r="AB4" s="106" t="str">
        <f>IF(Dados!F26=0,"",RIGHT(Dados!F26,8))</f>
        <v/>
      </c>
    </row>
    <row r="5" spans="1:28" x14ac:dyDescent="0.25">
      <c r="A5" s="108" t="s">
        <v>96</v>
      </c>
      <c r="B5" s="130">
        <f>Dados!C4</f>
        <v>50</v>
      </c>
      <c r="C5" s="106" t="str">
        <f>IF(Dados!D4=0,"",_xlfn.CONCAT(RIGHT(LEFT(Dados!D4,10),2),"/",LEFT(RIGHT(LEFT(Dados!D4,10),5),2),"/",LEFT(LEFT(Dados!D4,10),4)))</f>
        <v>25/12/2024</v>
      </c>
      <c r="D5" s="106" t="str">
        <f>IF(Dados!D4=0,"",RIGHT(Dados!D4,8))</f>
        <v>15:45:00</v>
      </c>
      <c r="E5" s="130">
        <f>Dados!E4</f>
        <v>38</v>
      </c>
      <c r="F5" s="106" t="str">
        <f>IF(Dados!F4=0,"",_xlfn.CONCAT(RIGHT(LEFT(Dados!F4,10),2),"/",LEFT(RIGHT(LEFT(Dados!F4,10),5),2),"/",LEFT(LEFT(Dados!F4,10),4)))</f>
        <v>25/12/2024</v>
      </c>
      <c r="G5" s="106" t="str">
        <f>IF(Dados!F4=0,"",RIGHT(Dados!F4,8))</f>
        <v>15:45:00</v>
      </c>
      <c r="H5" s="108" t="s">
        <v>96</v>
      </c>
      <c r="I5" s="132">
        <f>Dados!C32</f>
        <v>199</v>
      </c>
      <c r="J5" s="106" t="str">
        <f>IF(Dados!D32=0,"",_xlfn.CONCAT(RIGHT(LEFT(Dados!D32,10),2),"/",LEFT(RIGHT(LEFT(Dados!D32,10),5),2),"/",LEFT(LEFT(Dados!D32,10),4)))</f>
        <v>24/12/2024</v>
      </c>
      <c r="K5" s="106" t="str">
        <f>IF(Dados!D32=0,"",RIGHT(Dados!D32,8))</f>
        <v>21:40:00</v>
      </c>
      <c r="L5" s="132">
        <f>Dados!E32</f>
        <v>175</v>
      </c>
      <c r="M5" s="106" t="str">
        <f>IF(Dados!F32=0,"",_xlfn.CONCAT(RIGHT(LEFT(Dados!F32,10),2),"/",LEFT(RIGHT(LEFT(Dados!F32,10),5),2),"/",LEFT(LEFT(Dados!F32,10),4)))</f>
        <v>24/12/2024</v>
      </c>
      <c r="N5" s="111" t="str">
        <f>IF(Dados!F32=0,"",RIGHT(Dados!F32,8))</f>
        <v>21:40:00</v>
      </c>
      <c r="O5" s="108" t="s">
        <v>96</v>
      </c>
      <c r="P5" s="131">
        <f>Dados!C4</f>
        <v>50</v>
      </c>
      <c r="Q5" s="106" t="str">
        <f>IF(Dados!D4=0,"",_xlfn.CONCAT(RIGHT(LEFT(Dados!D4,10),2),"/",LEFT(RIGHT(LEFT(Dados!D4,10),5),2),"/",LEFT(LEFT(Dados!D4,10),4)))</f>
        <v>25/12/2024</v>
      </c>
      <c r="R5" s="106" t="str">
        <f>IF(Dados!D4=0,"",RIGHT(Dados!D4,8))</f>
        <v>15:45:00</v>
      </c>
      <c r="S5" s="130">
        <f>Dados!E4</f>
        <v>38</v>
      </c>
      <c r="T5" s="106" t="str">
        <f>IF(Dados!F4=0,"",_xlfn.CONCAT(RIGHT(LEFT(Dados!F4,10),2),"/",LEFT(RIGHT(LEFT(Dados!F4,10),5),2),"/",LEFT(LEFT(Dados!F4,10),4)))</f>
        <v>25/12/2024</v>
      </c>
      <c r="U5" s="111" t="str">
        <f>IF(Dados!F4=0,"",RIGHT(Dados!F4,8))</f>
        <v>15:45:00</v>
      </c>
      <c r="V5" s="108" t="s">
        <v>96</v>
      </c>
      <c r="W5" s="133">
        <f>Dados!C27</f>
        <v>0</v>
      </c>
      <c r="X5" s="106" t="str">
        <f>IF(Dados!D27=0,"",_xlfn.CONCAT(RIGHT(LEFT(Dados!D27,10),2),"/",LEFT(RIGHT(LEFT(Dados!D27,10),5),2),"/",LEFT(LEFT(Dados!D27,10),4)))</f>
        <v/>
      </c>
      <c r="Y5" s="115" t="str">
        <f>IF(Dados!D27=0,"",RIGHT(Dados!D27,8))</f>
        <v/>
      </c>
      <c r="Z5" s="133">
        <f>Dados!E27</f>
        <v>0</v>
      </c>
      <c r="AA5" s="115" t="str">
        <f>IF(Dados!F27=0,"",_xlfn.CONCAT(RIGHT(LEFT(Dados!F27,10),2),"/",LEFT(RIGHT(LEFT(Dados!F27,10),5),2),"/",LEFT(LEFT(Dados!F27,10),4)))</f>
        <v/>
      </c>
      <c r="AB5" s="106" t="str">
        <f>IF(Dados!F27=0,"",RIGHT(Dados!F27,8))</f>
        <v/>
      </c>
    </row>
    <row r="6" spans="1:28" x14ac:dyDescent="0.25">
      <c r="A6" s="108" t="s">
        <v>97</v>
      </c>
      <c r="B6" s="130">
        <f>Dados!C5</f>
        <v>168</v>
      </c>
      <c r="C6" s="106" t="str">
        <f>IF(Dados!D5=0,"",_xlfn.CONCAT(RIGHT(LEFT(Dados!D5,10),2),"/",LEFT(RIGHT(LEFT(Dados!D5,10),5),2),"/",LEFT(LEFT(Dados!D5,10),4)))</f>
        <v>25/12/2024</v>
      </c>
      <c r="D6" s="106" t="str">
        <f>IF(Dados!D5=0,"",RIGHT(Dados!D5,8))</f>
        <v>15:45:00</v>
      </c>
      <c r="E6" s="130">
        <f>Dados!E5</f>
        <v>166</v>
      </c>
      <c r="F6" s="106" t="str">
        <f>IF(Dados!F5=0,"",_xlfn.CONCAT(RIGHT(LEFT(Dados!F5,10),2),"/",LEFT(RIGHT(LEFT(Dados!F5,10),5),2),"/",LEFT(LEFT(Dados!F5,10),4)))</f>
        <v>25/12/2024</v>
      </c>
      <c r="G6" s="106" t="str">
        <f>IF(Dados!F5=0,"",RIGHT(Dados!F5,8))</f>
        <v>15:45:00</v>
      </c>
      <c r="H6" s="108" t="s">
        <v>97</v>
      </c>
      <c r="I6" s="132">
        <f>Dados!C33</f>
        <v>530</v>
      </c>
      <c r="J6" s="106" t="str">
        <f>IF(Dados!D33=0,"",_xlfn.CONCAT(RIGHT(LEFT(Dados!D33,10),2),"/",LEFT(RIGHT(LEFT(Dados!D33,10),5),2),"/",LEFT(LEFT(Dados!D33,10),4)))</f>
        <v>24/12/2024</v>
      </c>
      <c r="K6" s="106" t="str">
        <f>IF(Dados!D33=0,"",RIGHT(Dados!D33,8))</f>
        <v>21:40:00</v>
      </c>
      <c r="L6" s="132">
        <f>Dados!E33</f>
        <v>401</v>
      </c>
      <c r="M6" s="106" t="str">
        <f>IF(Dados!F33=0,"",_xlfn.CONCAT(RIGHT(LEFT(Dados!F33,10),2),"/",LEFT(RIGHT(LEFT(Dados!F33,10),5),2),"/",LEFT(LEFT(Dados!F33,10),4)))</f>
        <v>24/12/2024</v>
      </c>
      <c r="N6" s="111" t="str">
        <f>IF(Dados!F33=0,"",RIGHT(Dados!F33,8))</f>
        <v>21:40:00</v>
      </c>
      <c r="O6" s="108" t="s">
        <v>97</v>
      </c>
      <c r="P6" s="131">
        <f>Dados!C5</f>
        <v>168</v>
      </c>
      <c r="Q6" s="106" t="str">
        <f>IF(Dados!D5=0,"",_xlfn.CONCAT(RIGHT(LEFT(Dados!D5,10),2),"/",LEFT(RIGHT(LEFT(Dados!D5,10),5),2),"/",LEFT(LEFT(Dados!D5,10),4)))</f>
        <v>25/12/2024</v>
      </c>
      <c r="R6" s="106" t="str">
        <f>IF(Dados!D5=0,"",RIGHT(Dados!D5,8))</f>
        <v>15:45:00</v>
      </c>
      <c r="S6" s="130">
        <f>Dados!E5</f>
        <v>166</v>
      </c>
      <c r="T6" s="106" t="str">
        <f>IF(Dados!F5=0,"",_xlfn.CONCAT(RIGHT(LEFT(Dados!F5,10),2),"/",LEFT(RIGHT(LEFT(Dados!F5,10),5),2),"/",LEFT(LEFT(Dados!F5,10),4)))</f>
        <v>25/12/2024</v>
      </c>
      <c r="U6" s="111" t="str">
        <f>IF(Dados!F5=0,"",RIGHT(Dados!F5,8))</f>
        <v>15:45:00</v>
      </c>
      <c r="V6" s="108" t="s">
        <v>97</v>
      </c>
      <c r="W6" s="117"/>
      <c r="X6" s="117"/>
      <c r="Y6" s="117"/>
      <c r="Z6" s="117"/>
      <c r="AA6" s="117"/>
      <c r="AB6" s="117"/>
    </row>
    <row r="7" spans="1:28" x14ac:dyDescent="0.25">
      <c r="A7" s="108" t="s">
        <v>98</v>
      </c>
      <c r="B7" s="130">
        <f>Dados!C6</f>
        <v>789</v>
      </c>
      <c r="C7" s="106" t="str">
        <f>IF(Dados!D6=0,"",_xlfn.CONCAT(RIGHT(LEFT(Dados!D6,10),2),"/",LEFT(RIGHT(LEFT(Dados!D6,10),5),2),"/",LEFT(LEFT(Dados!D6,10),4)))</f>
        <v>24/12/2024</v>
      </c>
      <c r="D7" s="106" t="str">
        <f>IF(Dados!D6=0,"",RIGHT(Dados!D6,8))</f>
        <v>18:20:00</v>
      </c>
      <c r="E7" s="130">
        <f>Dados!E6</f>
        <v>0</v>
      </c>
      <c r="F7" s="106" t="str">
        <f>IF(Dados!F6=0,"",_xlfn.CONCAT(RIGHT(LEFT(Dados!F6,10),2),"/",LEFT(RIGHT(LEFT(Dados!F6,10),5),2),"/",LEFT(LEFT(Dados!F6,10),4)))</f>
        <v/>
      </c>
      <c r="G7" s="106" t="str">
        <f>IF(Dados!F6=0,"",RIGHT(Dados!F6,8))</f>
        <v/>
      </c>
      <c r="H7" s="108" t="s">
        <v>98</v>
      </c>
      <c r="I7" s="132">
        <f>Dados!C34</f>
        <v>1658</v>
      </c>
      <c r="J7" s="106" t="str">
        <f>IF(Dados!D34=0,"",_xlfn.CONCAT(RIGHT(LEFT(Dados!D34,10),2),"/",LEFT(RIGHT(LEFT(Dados!D34,10),5),2),"/",LEFT(LEFT(Dados!D34,10),4)))</f>
        <v>25/12/2024</v>
      </c>
      <c r="K7" s="106" t="str">
        <f>IF(Dados!D34=0,"",RIGHT(Dados!D34,8))</f>
        <v>16:50:00</v>
      </c>
      <c r="L7" s="132">
        <f>Dados!E34</f>
        <v>1307</v>
      </c>
      <c r="M7" s="106" t="str">
        <f>IF(Dados!F34=0,"",_xlfn.CONCAT(RIGHT(LEFT(Dados!F34,10),2),"/",LEFT(RIGHT(LEFT(Dados!F34,10),5),2),"/",LEFT(LEFT(Dados!F34,10),4)))</f>
        <v>25/12/2024</v>
      </c>
      <c r="N7" s="111" t="str">
        <f>IF(Dados!F34=0,"",RIGHT(Dados!F34,8))</f>
        <v>04:50:00</v>
      </c>
      <c r="O7" s="108" t="s">
        <v>98</v>
      </c>
      <c r="P7" s="131">
        <f>Dados!C6</f>
        <v>789</v>
      </c>
      <c r="Q7" s="106" t="str">
        <f>IF(Dados!D6=0,"",_xlfn.CONCAT(RIGHT(LEFT(Dados!D6,10),2),"/",LEFT(RIGHT(LEFT(Dados!D6,10),5),2),"/",LEFT(LEFT(Dados!D6,10),4)))</f>
        <v>24/12/2024</v>
      </c>
      <c r="R7" s="106" t="str">
        <f>IF(Dados!D6=0,"",RIGHT(Dados!D6,8))</f>
        <v>18:20:00</v>
      </c>
      <c r="S7" s="130">
        <f>Dados!E6</f>
        <v>0</v>
      </c>
      <c r="T7" s="106" t="str">
        <f>IF(Dados!F6=0,"",_xlfn.CONCAT(RIGHT(LEFT(Dados!F6,10),2),"/",LEFT(RIGHT(LEFT(Dados!F6,10),5),2),"/",LEFT(LEFT(Dados!F6,10),4)))</f>
        <v/>
      </c>
      <c r="U7" s="111" t="str">
        <f>IF(Dados!F6=0,"",RIGHT(Dados!F6,8))</f>
        <v/>
      </c>
      <c r="V7" s="108" t="s">
        <v>98</v>
      </c>
      <c r="W7" s="117"/>
      <c r="X7" s="117"/>
      <c r="Y7" s="117"/>
      <c r="Z7" s="117"/>
      <c r="AA7" s="117"/>
      <c r="AB7" s="117"/>
    </row>
    <row r="8" spans="1:28" x14ac:dyDescent="0.25">
      <c r="A8" s="108" t="s">
        <v>99</v>
      </c>
      <c r="B8" s="130">
        <f>Dados!C7</f>
        <v>6135</v>
      </c>
      <c r="C8" s="106" t="str">
        <f>IF(Dados!D7=0,"",_xlfn.CONCAT(RIGHT(LEFT(Dados!D7,10),2),"/",LEFT(RIGHT(LEFT(Dados!D7,10),5),2),"/",LEFT(LEFT(Dados!D7,10),4)))</f>
        <v>25/12/2024</v>
      </c>
      <c r="D8" s="106" t="str">
        <f>IF(Dados!D7=0,"",RIGHT(Dados!D7,8))</f>
        <v>10:40:00</v>
      </c>
      <c r="E8" s="130">
        <f>Dados!E7</f>
        <v>6016</v>
      </c>
      <c r="F8" s="106" t="str">
        <f>IF(Dados!F7=0,"",_xlfn.CONCAT(RIGHT(LEFT(Dados!F7,10),2),"/",LEFT(RIGHT(LEFT(Dados!F7,10),5),2),"/",LEFT(LEFT(Dados!F7,10),4)))</f>
        <v>25/12/2024</v>
      </c>
      <c r="G8" s="106" t="str">
        <f>IF(Dados!F7=0,"",RIGHT(Dados!F7,8))</f>
        <v>10:30:00</v>
      </c>
      <c r="H8" s="108" t="s">
        <v>99</v>
      </c>
      <c r="I8" s="132">
        <f>Dados!C35</f>
        <v>8731</v>
      </c>
      <c r="J8" s="106" t="str">
        <f>IF(Dados!D35=0,"",_xlfn.CONCAT(RIGHT(LEFT(Dados!D35,10),2),"/",LEFT(RIGHT(LEFT(Dados!D35,10),5),2),"/",LEFT(LEFT(Dados!D35,10),4)))</f>
        <v>24/12/2024</v>
      </c>
      <c r="K8" s="106" t="str">
        <f>IF(Dados!D35=0,"",RIGHT(Dados!D35,8))</f>
        <v>21:40:00</v>
      </c>
      <c r="L8" s="132">
        <f>Dados!E35</f>
        <v>8600</v>
      </c>
      <c r="M8" s="106" t="str">
        <f>IF(Dados!F35=0,"",_xlfn.CONCAT(RIGHT(LEFT(Dados!F35,10),2),"/",LEFT(RIGHT(LEFT(Dados!F35,10),5),2),"/",LEFT(LEFT(Dados!F35,10),4)))</f>
        <v>24/12/2024</v>
      </c>
      <c r="N8" s="111" t="str">
        <f>IF(Dados!F35=0,"",RIGHT(Dados!F35,8))</f>
        <v>21:40:00</v>
      </c>
      <c r="O8" s="108" t="s">
        <v>99</v>
      </c>
      <c r="P8" s="131">
        <f>Dados!C7</f>
        <v>6135</v>
      </c>
      <c r="Q8" s="106" t="str">
        <f>IF(Dados!D7=0,"",_xlfn.CONCAT(RIGHT(LEFT(Dados!D7,10),2),"/",LEFT(RIGHT(LEFT(Dados!D7,10),5),2),"/",LEFT(LEFT(Dados!D7,10),4)))</f>
        <v>25/12/2024</v>
      </c>
      <c r="R8" s="106" t="str">
        <f>IF(Dados!D7=0,"",RIGHT(Dados!D7,8))</f>
        <v>10:40:00</v>
      </c>
      <c r="S8" s="130">
        <f>Dados!E7</f>
        <v>6016</v>
      </c>
      <c r="T8" s="106" t="str">
        <f>IF(Dados!F7=0,"",_xlfn.CONCAT(RIGHT(LEFT(Dados!F7,10),2),"/",LEFT(RIGHT(LEFT(Dados!F7,10),5),2),"/",LEFT(LEFT(Dados!F7,10),4)))</f>
        <v>25/12/2024</v>
      </c>
      <c r="U8" s="111" t="str">
        <f>IF(Dados!F7=0,"",RIGHT(Dados!F7,8))</f>
        <v>10:30:00</v>
      </c>
      <c r="V8" s="108" t="s">
        <v>99</v>
      </c>
      <c r="W8" s="117"/>
      <c r="X8" s="117"/>
      <c r="Y8" s="117"/>
      <c r="Z8" s="117"/>
      <c r="AA8" s="117"/>
      <c r="AB8" s="117"/>
    </row>
    <row r="9" spans="1:28" x14ac:dyDescent="0.25">
      <c r="A9" s="108" t="s">
        <v>100</v>
      </c>
      <c r="B9" s="130">
        <f>Dados!C8</f>
        <v>0</v>
      </c>
      <c r="C9" s="106" t="str">
        <f>IF(Dados!D8=0,"",_xlfn.CONCAT(RIGHT(LEFT(Dados!D8,10),2),"/",LEFT(RIGHT(LEFT(Dados!D8,10),5),2),"/",LEFT(LEFT(Dados!D8,10),4)))</f>
        <v/>
      </c>
      <c r="D9" s="106" t="str">
        <f>IF(Dados!D8=0,"",RIGHT(Dados!D8,8))</f>
        <v/>
      </c>
      <c r="E9" s="130">
        <f>Dados!E8</f>
        <v>0</v>
      </c>
      <c r="F9" s="106" t="str">
        <f>IF(Dados!F8=0,"",_xlfn.CONCAT(RIGHT(LEFT(Dados!F8,10),2),"/",LEFT(RIGHT(LEFT(Dados!F8,10),5),2),"/",LEFT(LEFT(Dados!F8,10),4)))</f>
        <v/>
      </c>
      <c r="G9" s="106" t="str">
        <f>IF(Dados!F8=0,"",RIGHT(Dados!F8,8))</f>
        <v/>
      </c>
      <c r="H9" s="108" t="s">
        <v>100</v>
      </c>
      <c r="I9" s="132">
        <f>Dados!C36</f>
        <v>36369</v>
      </c>
      <c r="J9" s="106" t="str">
        <f>IF(Dados!D36=0,"",_xlfn.CONCAT(RIGHT(LEFT(Dados!D36,10),2),"/",LEFT(RIGHT(LEFT(Dados!D36,10),5),2),"/",LEFT(LEFT(Dados!D36,10),4)))</f>
        <v>24/12/2024</v>
      </c>
      <c r="K9" s="106" t="str">
        <f>IF(Dados!D36=0,"",RIGHT(Dados!D36,8))</f>
        <v>21:40:00</v>
      </c>
      <c r="L9" s="132">
        <f>Dados!E36</f>
        <v>32036</v>
      </c>
      <c r="M9" s="106" t="str">
        <f>IF(Dados!F36=0,"",_xlfn.CONCAT(RIGHT(LEFT(Dados!F36,10),2),"/",LEFT(RIGHT(LEFT(Dados!F36,10),5),2),"/",LEFT(LEFT(Dados!F36,10),4)))</f>
        <v>24/12/2024</v>
      </c>
      <c r="N9" s="111" t="str">
        <f>IF(Dados!F36=0,"",RIGHT(Dados!F36,8))</f>
        <v>21:40:00</v>
      </c>
      <c r="O9" s="108" t="s">
        <v>100</v>
      </c>
      <c r="P9" s="117"/>
      <c r="Q9" s="117"/>
      <c r="R9" s="117"/>
      <c r="S9" s="117"/>
      <c r="T9" s="117"/>
      <c r="U9" s="117"/>
      <c r="V9" s="108" t="s">
        <v>100</v>
      </c>
      <c r="W9" s="117"/>
      <c r="X9" s="117"/>
      <c r="Y9" s="117"/>
      <c r="Z9" s="117"/>
      <c r="AA9" s="117"/>
      <c r="AB9" s="117"/>
    </row>
    <row r="10" spans="1:28" x14ac:dyDescent="0.25">
      <c r="A10" s="108" t="s">
        <v>101</v>
      </c>
      <c r="B10" s="130">
        <f>Dados!C9</f>
        <v>415</v>
      </c>
      <c r="C10" s="106" t="str">
        <f>IF(Dados!D9=0,"",_xlfn.CONCAT(RIGHT(LEFT(Dados!D9,10),2),"/",LEFT(RIGHT(LEFT(Dados!D9,10),5),2),"/",LEFT(LEFT(Dados!D9,10),4)))</f>
        <v>25/12/2024</v>
      </c>
      <c r="D10" s="106" t="str">
        <f>IF(Dados!D9=0,"",RIGHT(Dados!D9,8))</f>
        <v>11:55:00</v>
      </c>
      <c r="E10" s="130">
        <f>Dados!E9</f>
        <v>414</v>
      </c>
      <c r="F10" s="106" t="str">
        <f>IF(Dados!F9=0,"",_xlfn.CONCAT(RIGHT(LEFT(Dados!F9,10),2),"/",LEFT(RIGHT(LEFT(Dados!F9,10),5),2),"/",LEFT(LEFT(Dados!F9,10),4)))</f>
        <v>25/12/2024</v>
      </c>
      <c r="G10" s="106" t="str">
        <f>IF(Dados!F9=0,"",RIGHT(Dados!F9,8))</f>
        <v>11:55:00</v>
      </c>
      <c r="H10" s="108" t="s">
        <v>101</v>
      </c>
      <c r="I10" s="132">
        <f>Dados!C37</f>
        <v>1052</v>
      </c>
      <c r="J10" s="106" t="str">
        <f>IF(Dados!D37=0,"",_xlfn.CONCAT(RIGHT(LEFT(Dados!D37,10),2),"/",LEFT(RIGHT(LEFT(Dados!D37,10),5),2),"/",LEFT(LEFT(Dados!D37,10),4)))</f>
        <v>25/12/2024</v>
      </c>
      <c r="K10" s="106" t="str">
        <f>IF(Dados!D37=0,"",RIGHT(Dados!D37,8))</f>
        <v>02:05:00</v>
      </c>
      <c r="L10" s="132">
        <f>Dados!E37</f>
        <v>1011</v>
      </c>
      <c r="M10" s="106" t="str">
        <f>IF(Dados!F37=0,"",_xlfn.CONCAT(RIGHT(LEFT(Dados!F37,10),2),"/",LEFT(RIGHT(LEFT(Dados!F37,10),5),2),"/",LEFT(LEFT(Dados!F37,10),4)))</f>
        <v>25/12/2024</v>
      </c>
      <c r="N10" s="111" t="str">
        <f>IF(Dados!F37=0,"",RIGHT(Dados!F37,8))</f>
        <v>02:00:00</v>
      </c>
      <c r="O10" s="108" t="s">
        <v>101</v>
      </c>
      <c r="P10" s="131">
        <f>Dados!C8</f>
        <v>0</v>
      </c>
      <c r="Q10" s="106" t="str">
        <f>IF(Dados!D8=0,"",_xlfn.CONCAT(RIGHT(LEFT(Dados!D8,10),2),"/",LEFT(RIGHT(LEFT(Dados!D8,10),5),2),"/",LEFT(LEFT(Dados!D8,10),4)))</f>
        <v/>
      </c>
      <c r="R10" s="106" t="str">
        <f>IF(Dados!D8=0,"",RIGHT(Dados!D8,8))</f>
        <v/>
      </c>
      <c r="S10" s="130">
        <f>Dados!E8</f>
        <v>0</v>
      </c>
      <c r="T10" s="106" t="str">
        <f>IF(Dados!F8=0,"",_xlfn.CONCAT(RIGHT(LEFT(Dados!F8,10),2),"/",LEFT(RIGHT(LEFT(Dados!F8,10),5),2),"/",LEFT(LEFT(Dados!F8,10),4)))</f>
        <v/>
      </c>
      <c r="U10" s="111" t="str">
        <f>IF(Dados!F8=0,"",RIGHT(Dados!F8,8))</f>
        <v/>
      </c>
      <c r="V10" s="108" t="s">
        <v>101</v>
      </c>
      <c r="W10" s="133">
        <f>Dados!C28</f>
        <v>0</v>
      </c>
      <c r="X10" s="106" t="str">
        <f>IF(Dados!D28=0,"",_xlfn.CONCAT(RIGHT(LEFT(Dados!D28,10),2),"/",LEFT(RIGHT(LEFT(Dados!D28,10),5),2),"/",LEFT(LEFT(Dados!D28,10),4)))</f>
        <v/>
      </c>
      <c r="Y10" s="115" t="str">
        <f>IF(Dados!D28=0,"",RIGHT(Dados!D28,8))</f>
        <v/>
      </c>
      <c r="Z10" s="132">
        <f>Dados!E28</f>
        <v>0</v>
      </c>
      <c r="AA10" s="115" t="str">
        <f>IF(Dados!F28=0,"",_xlfn.CONCAT(RIGHT(LEFT(Dados!F28,10),2),"/",LEFT(RIGHT(LEFT(Dados!F28,10),5),2),"/",LEFT(LEFT(Dados!F28,10),4)))</f>
        <v/>
      </c>
      <c r="AB10" s="106" t="str">
        <f>IF(Dados!F28=0,"",RIGHT(Dados!F28,8))</f>
        <v/>
      </c>
    </row>
    <row r="11" spans="1:28" x14ac:dyDescent="0.25">
      <c r="A11" s="108" t="s">
        <v>102</v>
      </c>
      <c r="B11" s="130">
        <f>Dados!C10</f>
        <v>657</v>
      </c>
      <c r="C11" s="106" t="str">
        <f>IF(Dados!D10=0,"",_xlfn.CONCAT(RIGHT(LEFT(Dados!D10,10),2),"/",LEFT(RIGHT(LEFT(Dados!D10,10),5),2),"/",LEFT(LEFT(Dados!D10,10),4)))</f>
        <v>25/12/2024</v>
      </c>
      <c r="D11" s="106" t="str">
        <f>IF(Dados!D10=0,"",RIGHT(Dados!D10,8))</f>
        <v>16:05:00</v>
      </c>
      <c r="E11" s="130">
        <f>Dados!E10</f>
        <v>649</v>
      </c>
      <c r="F11" s="106" t="str">
        <f>IF(Dados!F10=0,"",_xlfn.CONCAT(RIGHT(LEFT(Dados!F10,10),2),"/",LEFT(RIGHT(LEFT(Dados!F10,10),5),2),"/",LEFT(LEFT(Dados!F10,10),4)))</f>
        <v>25/12/2024</v>
      </c>
      <c r="G11" s="106" t="str">
        <f>IF(Dados!F10=0,"",RIGHT(Dados!F10,8))</f>
        <v>16:05:00</v>
      </c>
      <c r="H11" s="108" t="s">
        <v>102</v>
      </c>
      <c r="I11" s="132">
        <f>Dados!C38</f>
        <v>1754</v>
      </c>
      <c r="J11" s="106" t="str">
        <f>IF(Dados!D38=0,"",_xlfn.CONCAT(RIGHT(LEFT(Dados!D38,10),2),"/",LEFT(RIGHT(LEFT(Dados!D38,10),5),2),"/",LEFT(LEFT(Dados!D38,10),4)))</f>
        <v>24/12/2024</v>
      </c>
      <c r="K11" s="106" t="str">
        <f>IF(Dados!D38=0,"",RIGHT(Dados!D38,8))</f>
        <v>20:10:00</v>
      </c>
      <c r="L11" s="132">
        <f>Dados!E38</f>
        <v>0</v>
      </c>
      <c r="M11" s="106" t="str">
        <f>IF(Dados!F38=0,"",_xlfn.CONCAT(RIGHT(LEFT(Dados!F38,10),2),"/",LEFT(RIGHT(LEFT(Dados!F38,10),5),2),"/",LEFT(LEFT(Dados!F38,10),4)))</f>
        <v/>
      </c>
      <c r="N11" s="111" t="str">
        <f>IF(Dados!F38=0,"",RIGHT(Dados!F38,8))</f>
        <v/>
      </c>
      <c r="O11" s="108" t="s">
        <v>102</v>
      </c>
      <c r="P11" s="131">
        <f>Dados!C9</f>
        <v>415</v>
      </c>
      <c r="Q11" s="106" t="str">
        <f>IF(Dados!D9=0,"",_xlfn.CONCAT(RIGHT(LEFT(Dados!D9,10),2),"/",LEFT(RIGHT(LEFT(Dados!D9,10),5),2),"/",LEFT(LEFT(Dados!D9,10),4)))</f>
        <v>25/12/2024</v>
      </c>
      <c r="R11" s="106" t="str">
        <f>IF(Dados!D9=0,"",RIGHT(Dados!D9,8))</f>
        <v>11:55:00</v>
      </c>
      <c r="S11" s="130">
        <f>Dados!E9</f>
        <v>414</v>
      </c>
      <c r="T11" s="106" t="str">
        <f>IF(Dados!F9=0,"",_xlfn.CONCAT(RIGHT(LEFT(Dados!F9,10),2),"/",LEFT(RIGHT(LEFT(Dados!F9,10),5),2),"/",LEFT(LEFT(Dados!F9,10),4)))</f>
        <v>25/12/2024</v>
      </c>
      <c r="U11" s="111" t="str">
        <f>IF(Dados!F9=0,"",RIGHT(Dados!F9,8))</f>
        <v>11:55:00</v>
      </c>
      <c r="V11" s="108" t="s">
        <v>102</v>
      </c>
      <c r="W11" s="110"/>
      <c r="X11" s="117"/>
      <c r="Y11" s="117"/>
      <c r="Z11" s="117"/>
      <c r="AA11" s="117"/>
      <c r="AB11" s="117"/>
    </row>
    <row r="12" spans="1:28" x14ac:dyDescent="0.25">
      <c r="A12" s="108" t="s">
        <v>103</v>
      </c>
      <c r="B12" s="130">
        <f>Dados!C11</f>
        <v>0</v>
      </c>
      <c r="C12" s="106" t="str">
        <f>IF(Dados!D11=0,"",_xlfn.CONCAT(RIGHT(LEFT(Dados!D11,10),2),"/",LEFT(RIGHT(LEFT(Dados!D11,10),5),2),"/",LEFT(LEFT(Dados!D11,10),4)))</f>
        <v/>
      </c>
      <c r="D12" s="106" t="str">
        <f>IF(Dados!D11=0,"",RIGHT(Dados!D11,8))</f>
        <v/>
      </c>
      <c r="E12" s="130">
        <f>Dados!E11</f>
        <v>0</v>
      </c>
      <c r="F12" s="106" t="str">
        <f>IF(Dados!F11=0,"",_xlfn.CONCAT(RIGHT(LEFT(Dados!F11,10),2),"/",LEFT(RIGHT(LEFT(Dados!F11,10),5),2),"/",LEFT(LEFT(Dados!F11,10),4)))</f>
        <v/>
      </c>
      <c r="G12" s="106" t="str">
        <f>IF(Dados!F11=0,"",RIGHT(Dados!F11,8))</f>
        <v/>
      </c>
      <c r="H12" s="108" t="s">
        <v>103</v>
      </c>
      <c r="I12" s="132">
        <f>Dados!C39</f>
        <v>7395</v>
      </c>
      <c r="J12" s="106" t="str">
        <f>IF(Dados!D39=0,"",_xlfn.CONCAT(RIGHT(LEFT(Dados!D39,10),2),"/",LEFT(RIGHT(LEFT(Dados!D39,10),5),2),"/",LEFT(LEFT(Dados!D39,10),4)))</f>
        <v>25/12/2024</v>
      </c>
      <c r="K12" s="106" t="str">
        <f>IF(Dados!D39=0,"",RIGHT(Dados!D39,8))</f>
        <v>16:50:00</v>
      </c>
      <c r="L12" s="132">
        <f>Dados!E39</f>
        <v>6121</v>
      </c>
      <c r="M12" s="106" t="str">
        <f>IF(Dados!F39=0,"",_xlfn.CONCAT(RIGHT(LEFT(Dados!F39,10),2),"/",LEFT(RIGHT(LEFT(Dados!F39,10),5),2),"/",LEFT(LEFT(Dados!F39,10),4)))</f>
        <v>24/12/2024</v>
      </c>
      <c r="N12" s="111" t="str">
        <f>IF(Dados!F39=0,"",RIGHT(Dados!F39,8))</f>
        <v>20:15:00</v>
      </c>
      <c r="O12" s="108" t="s">
        <v>103</v>
      </c>
      <c r="P12" s="131">
        <f>Dados!C10</f>
        <v>657</v>
      </c>
      <c r="Q12" s="106" t="str">
        <f>IF(Dados!D10=0,"",_xlfn.CONCAT(RIGHT(LEFT(Dados!D10,10),2),"/",LEFT(RIGHT(LEFT(Dados!D10,10),5),2),"/",LEFT(LEFT(Dados!D10,10),4)))</f>
        <v>25/12/2024</v>
      </c>
      <c r="R12" s="106" t="str">
        <f>IF(Dados!D10=0,"",RIGHT(Dados!D10,8))</f>
        <v>16:05:00</v>
      </c>
      <c r="S12" s="130">
        <f>Dados!E10</f>
        <v>649</v>
      </c>
      <c r="T12" s="106" t="str">
        <f>IF(Dados!F10=0,"",_xlfn.CONCAT(RIGHT(LEFT(Dados!F10,10),2),"/",LEFT(RIGHT(LEFT(Dados!F10,10),5),2),"/",LEFT(LEFT(Dados!F10,10),4)))</f>
        <v>25/12/2024</v>
      </c>
      <c r="U12" s="111" t="str">
        <f>IF(Dados!F10=0,"",RIGHT(Dados!F10,8))</f>
        <v>16:05:00</v>
      </c>
      <c r="V12" s="108" t="s">
        <v>103</v>
      </c>
      <c r="W12" s="110"/>
      <c r="X12" s="117"/>
      <c r="Y12" s="117"/>
      <c r="Z12" s="117"/>
      <c r="AA12" s="117"/>
      <c r="AB12" s="117"/>
    </row>
    <row r="13" spans="1:28" x14ac:dyDescent="0.25">
      <c r="A13" s="108" t="s">
        <v>104</v>
      </c>
      <c r="B13" s="130">
        <f>Dados!C12</f>
        <v>0</v>
      </c>
      <c r="C13" s="106" t="str">
        <f>IF(Dados!D12=0,"",_xlfn.CONCAT(RIGHT(LEFT(Dados!D12,10),2),"/",LEFT(RIGHT(LEFT(Dados!D12,10),5),2),"/",LEFT(LEFT(Dados!D12,10),4)))</f>
        <v/>
      </c>
      <c r="D13" s="106" t="str">
        <f>IF(Dados!D12=0,"",RIGHT(Dados!D12,8))</f>
        <v/>
      </c>
      <c r="E13" s="130">
        <f>Dados!E12</f>
        <v>0</v>
      </c>
      <c r="F13" s="106" t="str">
        <f>IF(Dados!F12=0,"",_xlfn.CONCAT(RIGHT(LEFT(Dados!F12,10),2),"/",LEFT(RIGHT(LEFT(Dados!F12,10),5),2),"/",LEFT(LEFT(Dados!F12,10),4)))</f>
        <v/>
      </c>
      <c r="G13" s="106" t="str">
        <f>IF(Dados!F12=0,"",RIGHT(Dados!F12,8))</f>
        <v/>
      </c>
      <c r="H13" s="108" t="s">
        <v>104</v>
      </c>
      <c r="I13" s="132">
        <f>Dados!C40</f>
        <v>0</v>
      </c>
      <c r="J13" s="106" t="str">
        <f>IF(Dados!D40=0,"",_xlfn.CONCAT(RIGHT(LEFT(Dados!D40,10),2),"/",LEFT(RIGHT(LEFT(Dados!D40,10),5),2),"/",LEFT(LEFT(Dados!D40,10),4)))</f>
        <v/>
      </c>
      <c r="K13" s="106" t="str">
        <f>IF(Dados!D40=0,"",RIGHT(Dados!D40,8))</f>
        <v/>
      </c>
      <c r="L13" s="132">
        <f>Dados!E40</f>
        <v>0</v>
      </c>
      <c r="M13" s="106" t="str">
        <f>IF(Dados!F40=0,"",_xlfn.CONCAT(RIGHT(LEFT(Dados!F40,10),2),"/",LEFT(RIGHT(LEFT(Dados!F40,10),5),2),"/",LEFT(LEFT(Dados!F40,10),4)))</f>
        <v/>
      </c>
      <c r="N13" s="111" t="str">
        <f>IF(Dados!F40=0,"",RIGHT(Dados!F40,8))</f>
        <v/>
      </c>
      <c r="O13" s="108" t="s">
        <v>104</v>
      </c>
      <c r="P13" s="131">
        <f>Dados!C11</f>
        <v>0</v>
      </c>
      <c r="Q13" s="106" t="str">
        <f>IF(Dados!D11=0,"",_xlfn.CONCAT(RIGHT(LEFT(Dados!D11,10),2),"/",LEFT(RIGHT(LEFT(Dados!D11,10),5),2),"/",LEFT(LEFT(Dados!D11,10),4)))</f>
        <v/>
      </c>
      <c r="R13" s="106" t="str">
        <f>IF(Dados!D11=0,"",RIGHT(Dados!D11,8))</f>
        <v/>
      </c>
      <c r="S13" s="130">
        <f>Dados!E11</f>
        <v>0</v>
      </c>
      <c r="T13" s="106" t="str">
        <f>IF(Dados!F11=0,"",_xlfn.CONCAT(RIGHT(LEFT(Dados!F11,10),2),"/",LEFT(RIGHT(LEFT(Dados!F11,10),5),2),"/",LEFT(LEFT(Dados!F11,10),4)))</f>
        <v/>
      </c>
      <c r="U13" s="111" t="str">
        <f>IF(Dados!F11=0,"",RIGHT(Dados!F11,8))</f>
        <v/>
      </c>
      <c r="V13" s="108" t="s">
        <v>104</v>
      </c>
      <c r="W13" s="110"/>
      <c r="X13" s="117"/>
      <c r="Y13" s="117"/>
      <c r="Z13" s="117"/>
      <c r="AA13" s="117"/>
      <c r="AB13" s="117"/>
    </row>
    <row r="14" spans="1:28" x14ac:dyDescent="0.25">
      <c r="A14" s="108" t="s">
        <v>105</v>
      </c>
      <c r="B14" s="130">
        <f>Dados!C13</f>
        <v>0</v>
      </c>
      <c r="C14" s="106" t="str">
        <f>IF(Dados!D13=0,"",_xlfn.CONCAT(RIGHT(LEFT(Dados!D13,10),2),"/",LEFT(RIGHT(LEFT(Dados!D13,10),5),2),"/",LEFT(LEFT(Dados!D13,10),4)))</f>
        <v/>
      </c>
      <c r="D14" s="106" t="str">
        <f>IF(Dados!D13=0,"",RIGHT(Dados!D13,8))</f>
        <v/>
      </c>
      <c r="E14" s="130">
        <f>Dados!E13</f>
        <v>0</v>
      </c>
      <c r="F14" s="106" t="str">
        <f>IF(Dados!F13=0,"",_xlfn.CONCAT(RIGHT(LEFT(Dados!F13,10),2),"/",LEFT(RIGHT(LEFT(Dados!F13,10),5),2),"/",LEFT(LEFT(Dados!F13,10),4)))</f>
        <v/>
      </c>
      <c r="G14" s="106" t="str">
        <f>IF(Dados!F13=0,"",RIGHT(Dados!F13,8))</f>
        <v/>
      </c>
      <c r="H14" s="108" t="s">
        <v>105</v>
      </c>
      <c r="I14" s="132">
        <f>Dados!C41</f>
        <v>0</v>
      </c>
      <c r="J14" s="106" t="str">
        <f>IF(Dados!D41=0,"",_xlfn.CONCAT(RIGHT(LEFT(Dados!D41,10),2),"/",LEFT(RIGHT(LEFT(Dados!D41,10),5),2),"/",LEFT(LEFT(Dados!D41,10),4)))</f>
        <v/>
      </c>
      <c r="K14" s="106" t="str">
        <f>IF(Dados!D41=0,"",RIGHT(Dados!D41,8))</f>
        <v/>
      </c>
      <c r="L14" s="132">
        <f>Dados!E41</f>
        <v>0</v>
      </c>
      <c r="M14" s="106" t="str">
        <f>IF(Dados!F41=0,"",_xlfn.CONCAT(RIGHT(LEFT(Dados!F41,10),2),"/",LEFT(RIGHT(LEFT(Dados!F41,10),5),2),"/",LEFT(LEFT(Dados!F41,10),4)))</f>
        <v/>
      </c>
      <c r="N14" s="111" t="str">
        <f>IF(Dados!F41=0,"",RIGHT(Dados!F41,8))</f>
        <v/>
      </c>
      <c r="O14" s="108" t="s">
        <v>105</v>
      </c>
      <c r="P14" s="117"/>
      <c r="Q14" s="117"/>
      <c r="R14" s="117"/>
      <c r="S14" s="117"/>
      <c r="T14" s="117"/>
      <c r="U14" s="117"/>
      <c r="V14" s="108" t="s">
        <v>105</v>
      </c>
      <c r="W14" s="110"/>
      <c r="X14" s="117"/>
      <c r="Y14" s="117"/>
      <c r="Z14" s="117"/>
      <c r="AA14" s="117"/>
      <c r="AB14" s="117"/>
    </row>
    <row r="15" spans="1:28" x14ac:dyDescent="0.25">
      <c r="A15" s="108" t="s">
        <v>106</v>
      </c>
      <c r="B15" s="130">
        <f>Dados!C14</f>
        <v>1388</v>
      </c>
      <c r="C15" s="106" t="str">
        <f>IF(Dados!D14=0,"",_xlfn.CONCAT(RIGHT(LEFT(Dados!D14,10),2),"/",LEFT(RIGHT(LEFT(Dados!D14,10),5),2),"/",LEFT(LEFT(Dados!D14,10),4)))</f>
        <v>25/12/2024</v>
      </c>
      <c r="D15" s="106" t="str">
        <f>IF(Dados!D14=0,"",RIGHT(Dados!D14,8))</f>
        <v>11:55:00</v>
      </c>
      <c r="E15" s="130">
        <f>Dados!E14</f>
        <v>1351</v>
      </c>
      <c r="F15" s="106" t="str">
        <f>IF(Dados!F14=0,"",_xlfn.CONCAT(RIGHT(LEFT(Dados!F14,10),2),"/",LEFT(RIGHT(LEFT(Dados!F14,10),5),2),"/",LEFT(LEFT(Dados!F14,10),4)))</f>
        <v>25/12/2024</v>
      </c>
      <c r="G15" s="106" t="str">
        <f>IF(Dados!F14=0,"",RIGHT(Dados!F14,8))</f>
        <v>11:55:00</v>
      </c>
      <c r="H15" s="108" t="s">
        <v>106</v>
      </c>
      <c r="I15" s="132">
        <f>Dados!C42</f>
        <v>0</v>
      </c>
      <c r="J15" s="106" t="str">
        <f>IF(Dados!D42=0,"",_xlfn.CONCAT(RIGHT(LEFT(Dados!D42,10),2),"/",LEFT(RIGHT(LEFT(Dados!D42,10),5),2),"/",LEFT(LEFT(Dados!D42,10),4)))</f>
        <v/>
      </c>
      <c r="K15" s="106" t="str">
        <f>IF(Dados!D42=0,"",RIGHT(Dados!D42,8))</f>
        <v/>
      </c>
      <c r="L15" s="132">
        <f>Dados!E42</f>
        <v>0</v>
      </c>
      <c r="M15" s="106" t="str">
        <f>IF(Dados!F42=0,"",_xlfn.CONCAT(RIGHT(LEFT(Dados!F42,10),2),"/",LEFT(RIGHT(LEFT(Dados!F42,10),5),2),"/",LEFT(LEFT(Dados!F42,10),4)))</f>
        <v/>
      </c>
      <c r="N15" s="111" t="str">
        <f>IF(Dados!F42=0,"",RIGHT(Dados!F42,8))</f>
        <v/>
      </c>
      <c r="O15" s="108" t="s">
        <v>106</v>
      </c>
      <c r="P15" s="131">
        <f>Dados!C12</f>
        <v>0</v>
      </c>
      <c r="Q15" s="106" t="str">
        <f>IF(Dados!D12=0,"",_xlfn.CONCAT(RIGHT(LEFT(Dados!D12,10),2),"/",LEFT(RIGHT(LEFT(Dados!D12,10),5),2),"/",LEFT(LEFT(Dados!D12,10),4)))</f>
        <v/>
      </c>
      <c r="R15" s="106" t="str">
        <f>IF(Dados!D12=0,"",RIGHT(Dados!D12,8))</f>
        <v/>
      </c>
      <c r="S15" s="130">
        <f>Dados!E12</f>
        <v>0</v>
      </c>
      <c r="T15" s="106" t="str">
        <f>IF(Dados!F12=0,"",_xlfn.CONCAT(RIGHT(LEFT(Dados!F12,10),2),"/",LEFT(RIGHT(LEFT(Dados!F12,10),5),2),"/",LEFT(LEFT(Dados!F12,10),4)))</f>
        <v/>
      </c>
      <c r="U15" s="111" t="str">
        <f>IF(Dados!F12=0,"",RIGHT(Dados!F12,8))</f>
        <v/>
      </c>
      <c r="V15" s="108" t="s">
        <v>106</v>
      </c>
      <c r="W15" s="133">
        <f>Dados!C29</f>
        <v>0</v>
      </c>
      <c r="X15" s="106" t="str">
        <f>IF(Dados!D29=0,"",_xlfn.CONCAT(RIGHT(LEFT(Dados!D29,10),2),"/",LEFT(RIGHT(LEFT(Dados!D29,10),5),2),"/",LEFT(LEFT(Dados!D29,10),4)))</f>
        <v/>
      </c>
      <c r="Y15" s="115" t="str">
        <f>IF(Dados!D29=0,"",RIGHT(Dados!D29,8))</f>
        <v/>
      </c>
      <c r="Z15" s="132">
        <f>Dados!E29</f>
        <v>0</v>
      </c>
      <c r="AA15" s="115" t="str">
        <f>IF(Dados!F29=0,"",_xlfn.CONCAT(RIGHT(LEFT(Dados!F29,10),2),"/",LEFT(RIGHT(LEFT(Dados!F29,10),5),2),"/",LEFT(LEFT(Dados!F29,10),4)))</f>
        <v/>
      </c>
      <c r="AB15" s="106" t="str">
        <f>IF(Dados!F29=0,"",RIGHT(Dados!F29,8))</f>
        <v/>
      </c>
    </row>
    <row r="16" spans="1:28" x14ac:dyDescent="0.25">
      <c r="A16" s="108" t="s">
        <v>107</v>
      </c>
      <c r="B16" s="130">
        <f>Dados!C15</f>
        <v>0</v>
      </c>
      <c r="C16" s="106" t="str">
        <f>IF(Dados!D15=0,"",_xlfn.CONCAT(RIGHT(LEFT(Dados!D15,10),2),"/",LEFT(RIGHT(LEFT(Dados!D15,10),5),2),"/",LEFT(LEFT(Dados!D15,10),4)))</f>
        <v/>
      </c>
      <c r="D16" s="106" t="str">
        <f>IF(Dados!D15=0,"",RIGHT(Dados!D15,8))</f>
        <v/>
      </c>
      <c r="E16" s="130">
        <f>Dados!E15</f>
        <v>2820</v>
      </c>
      <c r="F16" s="106" t="str">
        <f>IF(Dados!F15=0,"",_xlfn.CONCAT(RIGHT(LEFT(Dados!F15,10),2),"/",LEFT(RIGHT(LEFT(Dados!F15,10),5),2),"/",LEFT(LEFT(Dados!F15,10),4)))</f>
        <v>24/12/2024</v>
      </c>
      <c r="G16" s="106" t="str">
        <f>IF(Dados!F15=0,"",RIGHT(Dados!F15,8))</f>
        <v>21:40:00</v>
      </c>
      <c r="H16" s="108" t="s">
        <v>107</v>
      </c>
      <c r="I16" s="132">
        <f>Dados!C43</f>
        <v>0</v>
      </c>
      <c r="J16" s="106" t="str">
        <f>IF(Dados!D43=0,"",_xlfn.CONCAT(RIGHT(LEFT(Dados!D43,10),2),"/",LEFT(RIGHT(LEFT(Dados!D43,10),5),2),"/",LEFT(LEFT(Dados!D43,10),4)))</f>
        <v/>
      </c>
      <c r="K16" s="106" t="str">
        <f>IF(Dados!D43=0,"",RIGHT(Dados!D43,8))</f>
        <v/>
      </c>
      <c r="L16" s="132">
        <f>Dados!E43</f>
        <v>0</v>
      </c>
      <c r="M16" s="106" t="str">
        <f>IF(Dados!F43=0,"",_xlfn.CONCAT(RIGHT(LEFT(Dados!F43,10),2),"/",LEFT(RIGHT(LEFT(Dados!F43,10),5),2),"/",LEFT(LEFT(Dados!F43,10),4)))</f>
        <v/>
      </c>
      <c r="N16" s="111" t="str">
        <f>IF(Dados!F43=0,"",RIGHT(Dados!F43,8))</f>
        <v/>
      </c>
      <c r="O16" s="108" t="s">
        <v>107</v>
      </c>
      <c r="P16" s="131">
        <f>Dados!C13</f>
        <v>0</v>
      </c>
      <c r="Q16" s="106" t="str">
        <f>IF(Dados!D13=0,"",_xlfn.CONCAT(RIGHT(LEFT(Dados!D13,10),2),"/",LEFT(RIGHT(LEFT(Dados!D13,10),5),2),"/",LEFT(LEFT(Dados!D13,10),4)))</f>
        <v/>
      </c>
      <c r="R16" s="106" t="str">
        <f>IF(Dados!D13=0,"",RIGHT(Dados!D13,8))</f>
        <v/>
      </c>
      <c r="S16" s="130">
        <f>Dados!E13</f>
        <v>0</v>
      </c>
      <c r="T16" s="106" t="str">
        <f>IF(Dados!F13=0,"",_xlfn.CONCAT(RIGHT(LEFT(Dados!F13,10),2),"/",LEFT(RIGHT(LEFT(Dados!F13,10),5),2),"/",LEFT(LEFT(Dados!F13,10),4)))</f>
        <v/>
      </c>
      <c r="U16" s="111" t="str">
        <f>IF(Dados!F13=0,"",RIGHT(Dados!F13,8))</f>
        <v/>
      </c>
      <c r="V16" s="108" t="s">
        <v>107</v>
      </c>
      <c r="W16" s="110"/>
      <c r="X16" s="117"/>
      <c r="Y16" s="117"/>
      <c r="Z16" s="117"/>
      <c r="AA16" s="117"/>
      <c r="AB16" s="117"/>
    </row>
    <row r="17" spans="1:28" x14ac:dyDescent="0.25">
      <c r="A17" s="108" t="s">
        <v>108</v>
      </c>
      <c r="B17" s="130">
        <f>Dados!C16</f>
        <v>8549</v>
      </c>
      <c r="C17" s="106" t="str">
        <f>IF(Dados!D16=0,"",_xlfn.CONCAT(RIGHT(LEFT(Dados!D16,10),2),"/",LEFT(RIGHT(LEFT(Dados!D16,10),5),2),"/",LEFT(LEFT(Dados!D16,10),4)))</f>
        <v>25/12/2024</v>
      </c>
      <c r="D17" s="106" t="str">
        <f>IF(Dados!D16=0,"",RIGHT(Dados!D16,8))</f>
        <v>11:05:00</v>
      </c>
      <c r="E17" s="130">
        <f>Dados!E16</f>
        <v>8545</v>
      </c>
      <c r="F17" s="106" t="str">
        <f>IF(Dados!F16=0,"",_xlfn.CONCAT(RIGHT(LEFT(Dados!F16,10),2),"/",LEFT(RIGHT(LEFT(Dados!F16,10),5),2),"/",LEFT(LEFT(Dados!F16,10),4)))</f>
        <v>25/12/2024</v>
      </c>
      <c r="G17" s="106" t="str">
        <f>IF(Dados!F16=0,"",RIGHT(Dados!F16,8))</f>
        <v>11:05:00</v>
      </c>
      <c r="H17" s="108" t="s">
        <v>108</v>
      </c>
      <c r="I17" s="132">
        <f>Dados!C44</f>
        <v>0</v>
      </c>
      <c r="J17" s="106" t="str">
        <f>IF(Dados!D44=0,"",_xlfn.CONCAT(RIGHT(LEFT(Dados!D44,10),2),"/",LEFT(RIGHT(LEFT(Dados!D44,10),5),2),"/",LEFT(LEFT(Dados!D44,10),4)))</f>
        <v/>
      </c>
      <c r="K17" s="106" t="str">
        <f>IF(Dados!D44=0,"",RIGHT(Dados!D44,8))</f>
        <v/>
      </c>
      <c r="L17" s="132">
        <f>Dados!E44</f>
        <v>0</v>
      </c>
      <c r="M17" s="106" t="str">
        <f>IF(Dados!F44=0,"",_xlfn.CONCAT(RIGHT(LEFT(Dados!F44,10),2),"/",LEFT(RIGHT(LEFT(Dados!F44,10),5),2),"/",LEFT(LEFT(Dados!F44,10),4)))</f>
        <v/>
      </c>
      <c r="N17" s="111" t="str">
        <f>IF(Dados!F44=0,"",RIGHT(Dados!F44,8))</f>
        <v/>
      </c>
      <c r="O17" s="108" t="s">
        <v>108</v>
      </c>
      <c r="P17" s="131">
        <f>Dados!C14</f>
        <v>1388</v>
      </c>
      <c r="Q17" s="106" t="str">
        <f>IF(Dados!D14=0,"",_xlfn.CONCAT(RIGHT(LEFT(Dados!D14,10),2),"/",LEFT(RIGHT(LEFT(Dados!D14,10),5),2),"/",LEFT(LEFT(Dados!D14,10),4)))</f>
        <v>25/12/2024</v>
      </c>
      <c r="R17" s="106" t="str">
        <f>IF(Dados!D14=0,"",RIGHT(Dados!D14,8))</f>
        <v>11:55:00</v>
      </c>
      <c r="S17" s="130">
        <f>Dados!E14</f>
        <v>1351</v>
      </c>
      <c r="T17" s="106" t="str">
        <f>IF(Dados!F14=0,"",_xlfn.CONCAT(RIGHT(LEFT(Dados!F14,10),2),"/",LEFT(RIGHT(LEFT(Dados!F14,10),5),2),"/",LEFT(LEFT(Dados!F14,10),4)))</f>
        <v>25/12/2024</v>
      </c>
      <c r="U17" s="111" t="str">
        <f>IF(Dados!F14=0,"",RIGHT(Dados!F14,8))</f>
        <v>11:55:00</v>
      </c>
      <c r="V17" s="108" t="s">
        <v>108</v>
      </c>
      <c r="W17" s="110"/>
      <c r="X17" s="117"/>
      <c r="Y17" s="117"/>
      <c r="Z17" s="117"/>
      <c r="AA17" s="117"/>
      <c r="AB17" s="117"/>
    </row>
    <row r="18" spans="1:28" x14ac:dyDescent="0.25">
      <c r="A18" s="108" t="s">
        <v>109</v>
      </c>
      <c r="B18" s="130">
        <f>Dados!C17</f>
        <v>0</v>
      </c>
      <c r="C18" s="106" t="str">
        <f>IF(Dados!D17=0,"",_xlfn.CONCAT(RIGHT(LEFT(Dados!D17,10),2),"/",LEFT(RIGHT(LEFT(Dados!D17,10),5),2),"/",LEFT(LEFT(Dados!D17,10),4)))</f>
        <v/>
      </c>
      <c r="D18" s="106" t="str">
        <f>IF(Dados!D17=0,"",RIGHT(Dados!D17,8))</f>
        <v/>
      </c>
      <c r="E18" s="130">
        <f>Dados!E17</f>
        <v>0</v>
      </c>
      <c r="F18" s="106" t="str">
        <f>IF(Dados!F17=0,"",_xlfn.CONCAT(RIGHT(LEFT(Dados!F17,10),2),"/",LEFT(RIGHT(LEFT(Dados!F17,10),5),2),"/",LEFT(LEFT(Dados!F17,10),4)))</f>
        <v/>
      </c>
      <c r="G18" s="106" t="str">
        <f>IF(Dados!F17=0,"",RIGHT(Dados!F17,8))</f>
        <v/>
      </c>
      <c r="H18" s="108" t="s">
        <v>109</v>
      </c>
      <c r="I18" s="132">
        <f>Dados!C45</f>
        <v>0</v>
      </c>
      <c r="J18" s="106" t="str">
        <f>IF(Dados!D45=0,"",_xlfn.CONCAT(RIGHT(LEFT(Dados!D45,10),2),"/",LEFT(RIGHT(LEFT(Dados!D45,10),5),2),"/",LEFT(LEFT(Dados!D45,10),4)))</f>
        <v/>
      </c>
      <c r="K18" s="106" t="str">
        <f>IF(Dados!D45=0,"",RIGHT(Dados!D45,8))</f>
        <v/>
      </c>
      <c r="L18" s="132">
        <f>Dados!E45</f>
        <v>0</v>
      </c>
      <c r="M18" s="106" t="str">
        <f>IF(Dados!F45=0,"",_xlfn.CONCAT(RIGHT(LEFT(Dados!F45,10),2),"/",LEFT(RIGHT(LEFT(Dados!F45,10),5),2),"/",LEFT(LEFT(Dados!F45,10),4)))</f>
        <v/>
      </c>
      <c r="N18" s="111" t="str">
        <f>IF(Dados!F45=0,"",RIGHT(Dados!F45,8))</f>
        <v/>
      </c>
      <c r="O18" s="108" t="s">
        <v>109</v>
      </c>
      <c r="P18" s="131">
        <f>Dados!C15</f>
        <v>0</v>
      </c>
      <c r="Q18" s="106" t="str">
        <f>IF(Dados!D15=0,"",_xlfn.CONCAT(RIGHT(LEFT(Dados!D15,10),2),"/",LEFT(RIGHT(LEFT(Dados!D15,10),5),2),"/",LEFT(LEFT(Dados!D15,10),4)))</f>
        <v/>
      </c>
      <c r="R18" s="106" t="str">
        <f>IF(Dados!D15=0,"",RIGHT(Dados!D15,8))</f>
        <v/>
      </c>
      <c r="S18" s="130">
        <f>Dados!E15</f>
        <v>2820</v>
      </c>
      <c r="T18" s="106" t="str">
        <f>IF(Dados!F15=0,"",_xlfn.CONCAT(RIGHT(LEFT(Dados!F15,10),2),"/",LEFT(RIGHT(LEFT(Dados!F15,10),5),2),"/",LEFT(LEFT(Dados!F15,10),4)))</f>
        <v>24/12/2024</v>
      </c>
      <c r="U18" s="111" t="str">
        <f>IF(Dados!F15=0,"",RIGHT(Dados!F15,8))</f>
        <v>21:40:00</v>
      </c>
      <c r="V18" s="108" t="s">
        <v>109</v>
      </c>
      <c r="W18" s="110"/>
      <c r="X18" s="117"/>
      <c r="Y18" s="117"/>
      <c r="Z18" s="117"/>
      <c r="AA18" s="117"/>
      <c r="AB18" s="117"/>
    </row>
    <row r="19" spans="1:28" x14ac:dyDescent="0.25">
      <c r="A19" s="108" t="s">
        <v>110</v>
      </c>
      <c r="B19" s="130">
        <f>Dados!C18</f>
        <v>0</v>
      </c>
      <c r="C19" s="106" t="str">
        <f>IF(Dados!D18=0,"",_xlfn.CONCAT(RIGHT(LEFT(Dados!D18,10),2),"/",LEFT(RIGHT(LEFT(Dados!D18,10),5),2),"/",LEFT(LEFT(Dados!D18,10),4)))</f>
        <v/>
      </c>
      <c r="D19" s="106" t="str">
        <f>IF(Dados!D18=0,"",RIGHT(Dados!D18,8))</f>
        <v/>
      </c>
      <c r="E19" s="130">
        <f>Dados!E18</f>
        <v>0</v>
      </c>
      <c r="F19" s="106" t="str">
        <f>IF(Dados!F18=0,"",_xlfn.CONCAT(RIGHT(LEFT(Dados!F18,10),2),"/",LEFT(RIGHT(LEFT(Dados!F18,10),5),2),"/",LEFT(LEFT(Dados!F18,10),4)))</f>
        <v/>
      </c>
      <c r="G19" s="106" t="str">
        <f>IF(Dados!F18=0,"",RIGHT(Dados!F18,8))</f>
        <v/>
      </c>
      <c r="H19" s="108" t="s">
        <v>110</v>
      </c>
      <c r="I19" s="132">
        <f>Dados!C46</f>
        <v>0</v>
      </c>
      <c r="J19" s="106" t="str">
        <f>IF(Dados!D46=0,"",_xlfn.CONCAT(RIGHT(LEFT(Dados!D46,10),2),"/",LEFT(RIGHT(LEFT(Dados!D46,10),5),2),"/",LEFT(LEFT(Dados!D46,10),4)))</f>
        <v/>
      </c>
      <c r="K19" s="106" t="str">
        <f>IF(Dados!D46=0,"",RIGHT(Dados!D46,8))</f>
        <v/>
      </c>
      <c r="L19" s="132">
        <f>Dados!E46</f>
        <v>0</v>
      </c>
      <c r="M19" s="106" t="str">
        <f>IF(Dados!F46=0,"",_xlfn.CONCAT(RIGHT(LEFT(Dados!F46,10),2),"/",LEFT(RIGHT(LEFT(Dados!F46,10),5),2),"/",LEFT(LEFT(Dados!F46,10),4)))</f>
        <v/>
      </c>
      <c r="N19" s="111" t="str">
        <f>IF(Dados!F46=0,"",RIGHT(Dados!F46,8))</f>
        <v/>
      </c>
      <c r="O19" s="108" t="s">
        <v>110</v>
      </c>
      <c r="P19" s="117"/>
      <c r="Q19" s="117"/>
      <c r="R19" s="117"/>
      <c r="S19" s="117"/>
      <c r="T19" s="117"/>
      <c r="U19" s="117"/>
      <c r="V19" s="108" t="s">
        <v>110</v>
      </c>
      <c r="W19" s="110"/>
      <c r="X19" s="117"/>
      <c r="Y19" s="117"/>
      <c r="Z19" s="117"/>
      <c r="AA19" s="117"/>
      <c r="AB19" s="117"/>
    </row>
    <row r="20" spans="1:28" x14ac:dyDescent="0.25">
      <c r="A20" s="108" t="s">
        <v>111</v>
      </c>
      <c r="B20" s="130">
        <f>Dados!C19</f>
        <v>0</v>
      </c>
      <c r="C20" s="106" t="str">
        <f>IF(Dados!D19=0,"",_xlfn.CONCAT(RIGHT(LEFT(Dados!D19,10),2),"/",LEFT(RIGHT(LEFT(Dados!D19,10),5),2),"/",LEFT(LEFT(Dados!D19,10),4)))</f>
        <v/>
      </c>
      <c r="D20" s="106" t="str">
        <f>IF(Dados!D19=0,"",RIGHT(Dados!D19,8))</f>
        <v/>
      </c>
      <c r="E20" s="130">
        <f>Dados!E19</f>
        <v>0</v>
      </c>
      <c r="F20" s="106" t="str">
        <f>IF(Dados!F19=0,"",_xlfn.CONCAT(RIGHT(LEFT(Dados!F19,10),2),"/",LEFT(RIGHT(LEFT(Dados!F19,10),5),2),"/",LEFT(LEFT(Dados!F19,10),4)))</f>
        <v/>
      </c>
      <c r="G20" s="106" t="str">
        <f>IF(Dados!F19=0,"",RIGHT(Dados!F19,8))</f>
        <v/>
      </c>
      <c r="H20" s="108" t="s">
        <v>111</v>
      </c>
      <c r="I20" s="132">
        <f>Dados!C47</f>
        <v>0</v>
      </c>
      <c r="J20" s="106" t="str">
        <f>IF(Dados!D47=0,"",_xlfn.CONCAT(RIGHT(LEFT(Dados!D47,10),2),"/",LEFT(RIGHT(LEFT(Dados!D47,10),5),2),"/",LEFT(LEFT(Dados!D47,10),4)))</f>
        <v/>
      </c>
      <c r="K20" s="106" t="str">
        <f>IF(Dados!D47=0,"",RIGHT(Dados!D47,8))</f>
        <v/>
      </c>
      <c r="L20" s="132">
        <f>Dados!E47</f>
        <v>0</v>
      </c>
      <c r="M20" s="106" t="str">
        <f>IF(Dados!F47=0,"",_xlfn.CONCAT(RIGHT(LEFT(Dados!F47,10),2),"/",LEFT(RIGHT(LEFT(Dados!F47,10),5),2),"/",LEFT(LEFT(Dados!F47,10),4)))</f>
        <v/>
      </c>
      <c r="N20" s="111" t="str">
        <f>IF(Dados!F47=0,"",RIGHT(Dados!F47,8))</f>
        <v/>
      </c>
      <c r="O20" s="108" t="s">
        <v>111</v>
      </c>
      <c r="P20" s="131">
        <f>Dados!C16</f>
        <v>8549</v>
      </c>
      <c r="Q20" s="106" t="str">
        <f>IF(Dados!D16=0,"",_xlfn.CONCAT(RIGHT(LEFT(Dados!D16,10),2),"/",LEFT(RIGHT(LEFT(Dados!D16,10),5),2),"/",LEFT(LEFT(Dados!D16,10),4)))</f>
        <v>25/12/2024</v>
      </c>
      <c r="R20" s="106" t="str">
        <f>IF(Dados!D16=0,"",RIGHT(Dados!D16,8))</f>
        <v>11:05:00</v>
      </c>
      <c r="S20" s="130">
        <f>Dados!E16</f>
        <v>8545</v>
      </c>
      <c r="T20" s="106" t="str">
        <f>IF(Dados!F16=0,"",_xlfn.CONCAT(RIGHT(LEFT(Dados!F16,10),2),"/",LEFT(RIGHT(LEFT(Dados!F16,10),5),2),"/",LEFT(LEFT(Dados!F16,10),4)))</f>
        <v>25/12/2024</v>
      </c>
      <c r="U20" s="111" t="str">
        <f>IF(Dados!F16=0,"",RIGHT(Dados!F16,8))</f>
        <v>11:05:00</v>
      </c>
      <c r="V20" s="108" t="s">
        <v>111</v>
      </c>
      <c r="W20" s="133">
        <f>Dados!C30</f>
        <v>46</v>
      </c>
      <c r="X20" s="106" t="str">
        <f>IF(Dados!D30=0,"",_xlfn.CONCAT(RIGHT(LEFT(Dados!D30,10),2),"/",LEFT(RIGHT(LEFT(Dados!D30,10),5),2),"/",LEFT(LEFT(Dados!D30,10),4)))</f>
        <v>25/12/2024</v>
      </c>
      <c r="Y20" s="115" t="str">
        <f>IF(Dados!D30=0,"",RIGHT(Dados!D30,8))</f>
        <v>12:40:00</v>
      </c>
      <c r="Z20" s="132">
        <f>Dados!E30</f>
        <v>0</v>
      </c>
      <c r="AA20" s="115" t="str">
        <f>IF(Dados!F30=0,"",_xlfn.CONCAT(RIGHT(LEFT(Dados!F30,10),2),"/",LEFT(RIGHT(LEFT(Dados!F30,10),5),2),"/",LEFT(LEFT(Dados!F30,10),4)))</f>
        <v/>
      </c>
      <c r="AB20" s="106" t="str">
        <f>IF(Dados!F30=0,"",RIGHT(Dados!F30,8))</f>
        <v/>
      </c>
    </row>
    <row r="21" spans="1:28" x14ac:dyDescent="0.25">
      <c r="A21" s="108" t="s">
        <v>112</v>
      </c>
      <c r="B21" s="130">
        <f>Dados!C20</f>
        <v>0</v>
      </c>
      <c r="C21" s="106" t="str">
        <f>IF(Dados!D20=0,"",_xlfn.CONCAT(RIGHT(LEFT(Dados!D20,10),2),"/",LEFT(RIGHT(LEFT(Dados!D20,10),5),2),"/",LEFT(LEFT(Dados!D20,10),4)))</f>
        <v/>
      </c>
      <c r="D21" s="106" t="str">
        <f>IF(Dados!D20=0,"",RIGHT(Dados!D20,8))</f>
        <v/>
      </c>
      <c r="E21" s="130">
        <f>Dados!E20</f>
        <v>0</v>
      </c>
      <c r="F21" s="106" t="str">
        <f>IF(Dados!F20=0,"",_xlfn.CONCAT(RIGHT(LEFT(Dados!F20,10),2),"/",LEFT(RIGHT(LEFT(Dados!F20,10),5),2),"/",LEFT(LEFT(Dados!F20,10),4)))</f>
        <v/>
      </c>
      <c r="G21" s="106" t="str">
        <f>IF(Dados!F20=0,"",RIGHT(Dados!F20,8))</f>
        <v/>
      </c>
      <c r="H21" s="108" t="s">
        <v>112</v>
      </c>
      <c r="I21" s="132">
        <f>Dados!C48</f>
        <v>0</v>
      </c>
      <c r="J21" s="106" t="str">
        <f>IF(Dados!D48=0,"",_xlfn.CONCAT(RIGHT(LEFT(Dados!D48,10),2),"/",LEFT(RIGHT(LEFT(Dados!D48,10),5),2),"/",LEFT(LEFT(Dados!D48,10),4)))</f>
        <v/>
      </c>
      <c r="K21" s="106" t="str">
        <f>IF(Dados!D48=0,"",RIGHT(Dados!D48,8))</f>
        <v/>
      </c>
      <c r="L21" s="132">
        <f>Dados!E48</f>
        <v>0</v>
      </c>
      <c r="M21" s="106" t="str">
        <f>IF(Dados!F48=0,"",_xlfn.CONCAT(RIGHT(LEFT(Dados!F48,10),2),"/",LEFT(RIGHT(LEFT(Dados!F48,10),5),2),"/",LEFT(LEFT(Dados!F48,10),4)))</f>
        <v/>
      </c>
      <c r="N21" s="111" t="str">
        <f>IF(Dados!F48=0,"",RIGHT(Dados!F48,8))</f>
        <v/>
      </c>
      <c r="O21" s="108" t="s">
        <v>112</v>
      </c>
      <c r="P21" s="131">
        <f>Dados!C17</f>
        <v>0</v>
      </c>
      <c r="Q21" s="106" t="str">
        <f>IF(Dados!D17=0,"",_xlfn.CONCAT(RIGHT(LEFT(Dados!D17,10),2),"/",LEFT(RIGHT(LEFT(Dados!D17,10),5),2),"/",LEFT(LEFT(Dados!D17,10),4)))</f>
        <v/>
      </c>
      <c r="R21" s="106" t="str">
        <f>IF(Dados!D17=0,"",RIGHT(Dados!D17,8))</f>
        <v/>
      </c>
      <c r="S21" s="130">
        <f>Dados!E17</f>
        <v>0</v>
      </c>
      <c r="T21" s="106" t="str">
        <f>IF(Dados!F17=0,"",_xlfn.CONCAT(RIGHT(LEFT(Dados!F17,10),2),"/",LEFT(RIGHT(LEFT(Dados!F17,10),5),2),"/",LEFT(LEFT(Dados!F17,10),4)))</f>
        <v/>
      </c>
      <c r="U21" s="111" t="str">
        <f>IF(Dados!F17=0,"",RIGHT(Dados!F17,8))</f>
        <v/>
      </c>
      <c r="V21" s="108" t="s">
        <v>112</v>
      </c>
      <c r="W21" s="110"/>
      <c r="X21" s="117"/>
      <c r="Y21" s="117"/>
      <c r="Z21" s="117"/>
      <c r="AA21" s="117"/>
      <c r="AB21" s="117"/>
    </row>
    <row r="22" spans="1:28" x14ac:dyDescent="0.25">
      <c r="A22" s="108" t="s">
        <v>113</v>
      </c>
      <c r="B22" s="130">
        <f>Dados!C21</f>
        <v>0</v>
      </c>
      <c r="C22" s="106" t="str">
        <f>IF(Dados!D21=0,"",_xlfn.CONCAT(RIGHT(LEFT(Dados!D21,10),2),"/",LEFT(RIGHT(LEFT(Dados!D21,10),5),2),"/",LEFT(LEFT(Dados!D21,10),4)))</f>
        <v/>
      </c>
      <c r="D22" s="106" t="str">
        <f>IF(Dados!D21=0,"",RIGHT(Dados!D21,8))</f>
        <v/>
      </c>
      <c r="E22" s="130">
        <f>Dados!E21</f>
        <v>0</v>
      </c>
      <c r="F22" s="106" t="str">
        <f>IF(Dados!F21=0,"",_xlfn.CONCAT(RIGHT(LEFT(Dados!F21,10),2),"/",LEFT(RIGHT(LEFT(Dados!F21,10),5),2),"/",LEFT(LEFT(Dados!F21,10),4)))</f>
        <v/>
      </c>
      <c r="G22" s="106" t="str">
        <f>IF(Dados!F21=0,"",RIGHT(Dados!F21,8))</f>
        <v/>
      </c>
      <c r="H22" s="108" t="s">
        <v>113</v>
      </c>
      <c r="I22" s="132">
        <f>Dados!C49</f>
        <v>0</v>
      </c>
      <c r="J22" s="106" t="str">
        <f>IF(Dados!D49=0,"",_xlfn.CONCAT(RIGHT(LEFT(Dados!D49,10),2),"/",LEFT(RIGHT(LEFT(Dados!D49,10),5),2),"/",LEFT(LEFT(Dados!D49,10),4)))</f>
        <v/>
      </c>
      <c r="K22" s="106" t="str">
        <f>IF(Dados!D49=0,"",RIGHT(Dados!D49,8))</f>
        <v/>
      </c>
      <c r="L22" s="132">
        <f>Dados!E49</f>
        <v>0</v>
      </c>
      <c r="M22" s="106" t="str">
        <f>IF(Dados!F49=0,"",_xlfn.CONCAT(RIGHT(LEFT(Dados!F49,10),2),"/",LEFT(RIGHT(LEFT(Dados!F49,10),5),2),"/",LEFT(LEFT(Dados!F49,10),4)))</f>
        <v/>
      </c>
      <c r="N22" s="111" t="str">
        <f>IF(Dados!F49=0,"",RIGHT(Dados!F49,8))</f>
        <v/>
      </c>
      <c r="O22" s="108" t="s">
        <v>113</v>
      </c>
      <c r="P22" s="131">
        <f>Dados!C18</f>
        <v>0</v>
      </c>
      <c r="Q22" s="106" t="str">
        <f>IF(Dados!D18=0,"",_xlfn.CONCAT(RIGHT(LEFT(Dados!D18,10),2),"/",LEFT(RIGHT(LEFT(Dados!D18,10),5),2),"/",LEFT(LEFT(Dados!D18,10),4)))</f>
        <v/>
      </c>
      <c r="R22" s="106" t="str">
        <f>IF(Dados!D18=0,"",RIGHT(Dados!D18,8))</f>
        <v/>
      </c>
      <c r="S22" s="130">
        <f>Dados!E18</f>
        <v>0</v>
      </c>
      <c r="T22" s="106" t="str">
        <f>IF(Dados!F18=0,"",_xlfn.CONCAT(RIGHT(LEFT(Dados!F18,10),2),"/",LEFT(RIGHT(LEFT(Dados!F18,10),5),2),"/",LEFT(LEFT(Dados!F18,10),4)))</f>
        <v/>
      </c>
      <c r="U22" s="111" t="str">
        <f>IF(Dados!F18=0,"",RIGHT(Dados!F18,8))</f>
        <v/>
      </c>
      <c r="V22" s="108" t="s">
        <v>113</v>
      </c>
      <c r="W22" s="110"/>
      <c r="X22" s="117"/>
      <c r="Y22" s="117"/>
      <c r="Z22" s="117"/>
      <c r="AA22" s="117"/>
      <c r="AB22" s="117"/>
    </row>
    <row r="23" spans="1:28" x14ac:dyDescent="0.25">
      <c r="A23" s="108" t="s">
        <v>114</v>
      </c>
      <c r="B23" s="130">
        <f>Dados!C22</f>
        <v>70044</v>
      </c>
      <c r="C23" s="106" t="str">
        <f>IF(Dados!D22=0,"",_xlfn.CONCAT(RIGHT(LEFT(Dados!D22,10),2),"/",LEFT(RIGHT(LEFT(Dados!D22,10),5),2),"/",LEFT(LEFT(Dados!D22,10),4)))</f>
        <v>24/12/2024</v>
      </c>
      <c r="D23" s="106" t="str">
        <f>IF(Dados!D22=0,"",RIGHT(Dados!D22,8))</f>
        <v>22:50:00</v>
      </c>
      <c r="E23" s="130">
        <f>Dados!E22</f>
        <v>0</v>
      </c>
      <c r="F23" s="106" t="str">
        <f>IF(Dados!F22=0,"",_xlfn.CONCAT(RIGHT(LEFT(Dados!F22,10),2),"/",LEFT(RIGHT(LEFT(Dados!F22,10),5),2),"/",LEFT(LEFT(Dados!F22,10),4)))</f>
        <v/>
      </c>
      <c r="G23" s="106" t="str">
        <f>IF(Dados!F22=0,"",RIGHT(Dados!F22,8))</f>
        <v/>
      </c>
      <c r="H23" s="108" t="s">
        <v>114</v>
      </c>
      <c r="I23" s="132">
        <f>Dados!C50</f>
        <v>0</v>
      </c>
      <c r="J23" s="106" t="str">
        <f>IF(Dados!D50=0,"",_xlfn.CONCAT(RIGHT(LEFT(Dados!D50,10),2),"/",LEFT(RIGHT(LEFT(Dados!D50,10),5),2),"/",LEFT(LEFT(Dados!D50,10),4)))</f>
        <v/>
      </c>
      <c r="K23" s="106" t="str">
        <f>IF(Dados!D50=0,"",RIGHT(Dados!D50,8))</f>
        <v/>
      </c>
      <c r="L23" s="132">
        <f>Dados!E50</f>
        <v>0</v>
      </c>
      <c r="M23" s="106" t="str">
        <f>IF(Dados!F50=0,"",_xlfn.CONCAT(RIGHT(LEFT(Dados!F50,10),2),"/",LEFT(RIGHT(LEFT(Dados!F50,10),5),2),"/",LEFT(LEFT(Dados!F50,10),4)))</f>
        <v/>
      </c>
      <c r="N23" s="111" t="str">
        <f>IF(Dados!F50=0,"",RIGHT(Dados!F50,8))</f>
        <v/>
      </c>
      <c r="O23" s="108" t="s">
        <v>114</v>
      </c>
      <c r="P23" s="131">
        <f>Dados!C19</f>
        <v>0</v>
      </c>
      <c r="Q23" s="106" t="str">
        <f>IF(Dados!D19=0,"",_xlfn.CONCAT(RIGHT(LEFT(Dados!D19,10),2),"/",LEFT(RIGHT(LEFT(Dados!D19,10),5),2),"/",LEFT(LEFT(Dados!D19,10),4)))</f>
        <v/>
      </c>
      <c r="R23" s="106" t="str">
        <f>IF(Dados!D19=0,"",RIGHT(Dados!D19,8))</f>
        <v/>
      </c>
      <c r="S23" s="130">
        <f>Dados!E19</f>
        <v>0</v>
      </c>
      <c r="T23" s="106" t="str">
        <f>IF(Dados!F19=0,"",_xlfn.CONCAT(RIGHT(LEFT(Dados!F19,10),2),"/",LEFT(RIGHT(LEFT(Dados!F19,10),5),2),"/",LEFT(LEFT(Dados!F19,10),4)))</f>
        <v/>
      </c>
      <c r="U23" s="111" t="str">
        <f>IF(Dados!F19=0,"",RIGHT(Dados!F19,8))</f>
        <v/>
      </c>
      <c r="V23" s="108" t="s">
        <v>114</v>
      </c>
      <c r="W23" s="110"/>
      <c r="X23" s="117"/>
      <c r="Y23" s="117"/>
      <c r="Z23" s="117"/>
      <c r="AA23" s="117"/>
      <c r="AB23" s="117"/>
    </row>
    <row r="24" spans="1:28" x14ac:dyDescent="0.25">
      <c r="A24" s="108" t="s">
        <v>115</v>
      </c>
      <c r="B24" s="130">
        <f>Dados!C23</f>
        <v>0</v>
      </c>
      <c r="C24" s="106" t="str">
        <f>IF(Dados!D23=0,"",_xlfn.CONCAT(RIGHT(LEFT(Dados!D23,10),2),"/",LEFT(RIGHT(LEFT(Dados!D23,10),5),2),"/",LEFT(LEFT(Dados!D23,10),4)))</f>
        <v/>
      </c>
      <c r="D24" s="106" t="str">
        <f>IF(Dados!D23=0,"",RIGHT(Dados!D23,8))</f>
        <v/>
      </c>
      <c r="E24" s="130">
        <f>Dados!E23</f>
        <v>0</v>
      </c>
      <c r="F24" s="106" t="str">
        <f>IF(Dados!F23=0,"",_xlfn.CONCAT(RIGHT(LEFT(Dados!F23,10),2),"/",LEFT(RIGHT(LEFT(Dados!F23,10),5),2),"/",LEFT(LEFT(Dados!F23,10),4)))</f>
        <v/>
      </c>
      <c r="G24" s="106" t="str">
        <f>IF(Dados!F23=0,"",RIGHT(Dados!F23,8))</f>
        <v/>
      </c>
      <c r="H24" s="108" t="s">
        <v>115</v>
      </c>
      <c r="I24" s="132">
        <f>Dados!C51</f>
        <v>0</v>
      </c>
      <c r="J24" s="106" t="str">
        <f>IF(Dados!D51=0,"",_xlfn.CONCAT(RIGHT(LEFT(Dados!D51,10),2),"/",LEFT(RIGHT(LEFT(Dados!D51,10),5),2),"/",LEFT(LEFT(Dados!D51,10),4)))</f>
        <v/>
      </c>
      <c r="K24" s="106" t="str">
        <f>IF(Dados!D51=0,"",RIGHT(Dados!D51,8))</f>
        <v/>
      </c>
      <c r="L24" s="132">
        <f>Dados!E51</f>
        <v>0</v>
      </c>
      <c r="M24" s="106" t="str">
        <f>IF(Dados!F51=0,"",_xlfn.CONCAT(RIGHT(LEFT(Dados!F51,10),2),"/",LEFT(RIGHT(LEFT(Dados!F51,10),5),2),"/",LEFT(LEFT(Dados!F51,10),4)))</f>
        <v/>
      </c>
      <c r="N24" s="111" t="str">
        <f>IF(Dados!F51=0,"",RIGHT(Dados!F51,8))</f>
        <v/>
      </c>
      <c r="O24" s="108" t="s">
        <v>115</v>
      </c>
      <c r="P24" s="117"/>
      <c r="Q24" s="117"/>
      <c r="R24" s="117"/>
      <c r="S24" s="117"/>
      <c r="T24" s="117"/>
      <c r="U24" s="117"/>
      <c r="V24" s="108" t="s">
        <v>115</v>
      </c>
      <c r="W24" s="110"/>
      <c r="X24" s="117"/>
      <c r="Y24" s="117"/>
      <c r="Z24" s="117"/>
      <c r="AA24" s="117"/>
      <c r="AB24" s="117"/>
    </row>
    <row r="25" spans="1:28" x14ac:dyDescent="0.25">
      <c r="A25" s="108" t="s">
        <v>116</v>
      </c>
      <c r="B25" s="130">
        <f>Dados!C24</f>
        <v>0</v>
      </c>
      <c r="C25" s="106" t="str">
        <f>IF(Dados!D24=0,"",_xlfn.CONCAT(RIGHT(LEFT(Dados!D24,10),2),"/",LEFT(RIGHT(LEFT(Dados!D24,10),5),2),"/",LEFT(LEFT(Dados!D24,10),4)))</f>
        <v/>
      </c>
      <c r="D25" s="106" t="str">
        <f>IF(Dados!D24=0,"",RIGHT(Dados!D24,8))</f>
        <v/>
      </c>
      <c r="E25" s="130">
        <f>Dados!E24</f>
        <v>0</v>
      </c>
      <c r="F25" s="106" t="str">
        <f>IF(Dados!F24=0,"",_xlfn.CONCAT(RIGHT(LEFT(Dados!F24,10),2),"/",LEFT(RIGHT(LEFT(Dados!F24,10),5),2),"/",LEFT(LEFT(Dados!F24,10),4)))</f>
        <v/>
      </c>
      <c r="G25" s="106" t="str">
        <f>IF(Dados!F24=0,"",RIGHT(Dados!F24,8))</f>
        <v/>
      </c>
      <c r="H25" s="108" t="s">
        <v>116</v>
      </c>
      <c r="I25" s="132">
        <f>Dados!C52</f>
        <v>36486</v>
      </c>
      <c r="J25" s="106" t="str">
        <f>IF(Dados!D52=0,"",_xlfn.CONCAT(RIGHT(LEFT(Dados!D52,10),2),"/",LEFT(RIGHT(LEFT(Dados!D52,10),5),2),"/",LEFT(LEFT(Dados!D52,10),4)))</f>
        <v>25/12/2024</v>
      </c>
      <c r="K25" s="106" t="str">
        <f>IF(Dados!D52=0,"",RIGHT(Dados!D52,8))</f>
        <v>12:45:00</v>
      </c>
      <c r="L25" s="132">
        <f>Dados!E52</f>
        <v>0</v>
      </c>
      <c r="M25" s="106" t="str">
        <f>IF(Dados!F52=0,"",_xlfn.CONCAT(RIGHT(LEFT(Dados!F52,10),2),"/",LEFT(RIGHT(LEFT(Dados!F52,10),5),2),"/",LEFT(LEFT(Dados!F52,10),4)))</f>
        <v/>
      </c>
      <c r="N25" s="111" t="str">
        <f>IF(Dados!F52=0,"",RIGHT(Dados!F52,8))</f>
        <v/>
      </c>
      <c r="O25" s="108" t="s">
        <v>116</v>
      </c>
      <c r="P25" s="131">
        <f>Dados!C20</f>
        <v>0</v>
      </c>
      <c r="Q25" s="106" t="str">
        <f>IF(Dados!D20=0,"",_xlfn.CONCAT(RIGHT(LEFT(Dados!D20,10),2),"/",LEFT(RIGHT(LEFT(Dados!D20,10),5),2),"/",LEFT(LEFT(Dados!D20,10),4)))</f>
        <v/>
      </c>
      <c r="R25" s="106" t="str">
        <f>IF(Dados!D20=0,"",RIGHT(Dados!D20,8))</f>
        <v/>
      </c>
      <c r="S25" s="130">
        <f>Dados!E20</f>
        <v>0</v>
      </c>
      <c r="T25" s="106" t="str">
        <f>IF(Dados!F20=0,"",_xlfn.CONCAT(RIGHT(LEFT(Dados!F20,10),2),"/",LEFT(RIGHT(LEFT(Dados!F20,10),5),2),"/",LEFT(LEFT(Dados!F20,10),4)))</f>
        <v/>
      </c>
      <c r="U25" s="111" t="str">
        <f>IF(Dados!F20=0,"",RIGHT(Dados!F20,8))</f>
        <v/>
      </c>
      <c r="V25" s="108" t="s">
        <v>116</v>
      </c>
      <c r="W25" s="133">
        <f>Dados!C31</f>
        <v>0</v>
      </c>
      <c r="X25" s="106" t="str">
        <f>IF(Dados!D31=0,"",_xlfn.CONCAT(RIGHT(LEFT(Dados!D31,10),2),"/",LEFT(RIGHT(LEFT(Dados!D31,10),5),2),"/",LEFT(LEFT(Dados!D31,10),4)))</f>
        <v/>
      </c>
      <c r="Y25" s="115" t="str">
        <f>IF(Dados!D31=0,"",RIGHT(Dados!D31,8))</f>
        <v/>
      </c>
      <c r="Z25" s="132">
        <f>Dados!E31</f>
        <v>0</v>
      </c>
      <c r="AA25" s="115" t="str">
        <f>IF(Dados!F31=0,"",_xlfn.CONCAT(RIGHT(LEFT(Dados!F31,10),2),"/",LEFT(RIGHT(LEFT(Dados!F31,10),5),2),"/",LEFT(LEFT(Dados!F31,10),4)))</f>
        <v/>
      </c>
      <c r="AB25" s="106" t="str">
        <f>IF(Dados!F31=0,"",RIGHT(Dados!F31,8))</f>
        <v/>
      </c>
    </row>
    <row r="26" spans="1:28" x14ac:dyDescent="0.25">
      <c r="A26" s="108" t="s">
        <v>117</v>
      </c>
      <c r="B26" s="130">
        <f>Dados!C25</f>
        <v>0</v>
      </c>
      <c r="C26" s="106" t="str">
        <f>IF(Dados!D25=0,"",_xlfn.CONCAT(RIGHT(LEFT(Dados!D25,10),2),"/",LEFT(RIGHT(LEFT(Dados!D25,10),5),2),"/",LEFT(LEFT(Dados!D25,10),4)))</f>
        <v/>
      </c>
      <c r="D26" s="106" t="str">
        <f>IF(Dados!D25=0,"",RIGHT(Dados!D25,8))</f>
        <v/>
      </c>
      <c r="E26" s="130">
        <f>Dados!E25</f>
        <v>0</v>
      </c>
      <c r="F26" s="106" t="str">
        <f>IF(Dados!F25=0,"",_xlfn.CONCAT(RIGHT(LEFT(Dados!F25,10),2),"/",LEFT(RIGHT(LEFT(Dados!F25,10),5),2),"/",LEFT(LEFT(Dados!F25,10),4)))</f>
        <v/>
      </c>
      <c r="G26" s="106" t="str">
        <f>IF(Dados!F25=0,"",RIGHT(Dados!F25,8))</f>
        <v/>
      </c>
      <c r="H26" s="108" t="s">
        <v>117</v>
      </c>
      <c r="I26" s="132">
        <f>Dados!C53</f>
        <v>0</v>
      </c>
      <c r="J26" s="106" t="str">
        <f>IF(Dados!D53=0,"",_xlfn.CONCAT(RIGHT(LEFT(Dados!D53,10),2),"/",LEFT(RIGHT(LEFT(Dados!D53,10),5),2),"/",LEFT(LEFT(Dados!D53,10),4)))</f>
        <v/>
      </c>
      <c r="K26" s="106" t="str">
        <f>IF(Dados!D53=0,"",RIGHT(Dados!D53,8))</f>
        <v/>
      </c>
      <c r="L26" s="132">
        <f>Dados!E53</f>
        <v>0</v>
      </c>
      <c r="M26" s="106" t="str">
        <f>IF(Dados!F53=0,"",_xlfn.CONCAT(RIGHT(LEFT(Dados!F53,10),2),"/",LEFT(RIGHT(LEFT(Dados!F53,10),5),2),"/",LEFT(LEFT(Dados!F53,10),4)))</f>
        <v/>
      </c>
      <c r="N26" s="111" t="str">
        <f>IF(Dados!F53=0,"",RIGHT(Dados!F53,8))</f>
        <v/>
      </c>
      <c r="O26" s="108" t="s">
        <v>117</v>
      </c>
      <c r="P26" s="131">
        <f>Dados!C21</f>
        <v>0</v>
      </c>
      <c r="Q26" s="106" t="str">
        <f>IF(Dados!D21=0,"",_xlfn.CONCAT(RIGHT(LEFT(Dados!D21,10),2),"/",LEFT(RIGHT(LEFT(Dados!D21,10),5),2),"/",LEFT(LEFT(Dados!D21,10),4)))</f>
        <v/>
      </c>
      <c r="R26" s="106" t="str">
        <f>IF(Dados!D21=0,"",RIGHT(Dados!D21,8))</f>
        <v/>
      </c>
      <c r="S26" s="130">
        <f>Dados!E21</f>
        <v>0</v>
      </c>
      <c r="T26" s="106" t="str">
        <f>IF(Dados!F21=0,"",_xlfn.CONCAT(RIGHT(LEFT(Dados!F21,10),2),"/",LEFT(RIGHT(LEFT(Dados!F21,10),5),2),"/",LEFT(LEFT(Dados!F21,10),4)))</f>
        <v/>
      </c>
      <c r="U26" s="111" t="str">
        <f>IF(Dados!F21=0,"",RIGHT(Dados!F21,8))</f>
        <v/>
      </c>
      <c r="V26" s="108" t="s">
        <v>117</v>
      </c>
      <c r="W26" s="110"/>
      <c r="X26" s="117"/>
      <c r="Y26" s="117"/>
      <c r="Z26" s="117"/>
      <c r="AA26" s="117"/>
      <c r="AB26" s="117"/>
    </row>
    <row r="27" spans="1:28" x14ac:dyDescent="0.25">
      <c r="A27" s="108" t="s">
        <v>118</v>
      </c>
      <c r="B27" s="130">
        <f>Dados!C26</f>
        <v>0</v>
      </c>
      <c r="C27" s="106" t="str">
        <f>IF(Dados!D26=0,"",_xlfn.CONCAT(RIGHT(LEFT(Dados!D26,10),2),"/",LEFT(RIGHT(LEFT(Dados!D26,10),5),2),"/",LEFT(LEFT(Dados!D26,10),4)))</f>
        <v/>
      </c>
      <c r="D27" s="106" t="str">
        <f>IF(Dados!D26=0,"",RIGHT(Dados!D26,8))</f>
        <v/>
      </c>
      <c r="E27" s="130">
        <f>Dados!E26</f>
        <v>0</v>
      </c>
      <c r="F27" s="106" t="str">
        <f>IF(Dados!F26=0,"",_xlfn.CONCAT(RIGHT(LEFT(Dados!F26,10),2),"/",LEFT(RIGHT(LEFT(Dados!F26,10),5),2),"/",LEFT(LEFT(Dados!F26,10),4)))</f>
        <v/>
      </c>
      <c r="G27" s="106" t="str">
        <f>IF(Dados!F26=0,"",RIGHT(Dados!F26,8))</f>
        <v/>
      </c>
      <c r="H27" s="108" t="s">
        <v>118</v>
      </c>
      <c r="I27" s="132">
        <f>Dados!C54</f>
        <v>0</v>
      </c>
      <c r="J27" s="106" t="str">
        <f>IF(Dados!D54=0,"",_xlfn.CONCAT(RIGHT(LEFT(Dados!D54,10),2),"/",LEFT(RIGHT(LEFT(Dados!D54,10),5),2),"/",LEFT(LEFT(Dados!D54,10),4)))</f>
        <v/>
      </c>
      <c r="K27" s="106" t="str">
        <f>IF(Dados!D54=0,"",RIGHT(Dados!D54,8))</f>
        <v/>
      </c>
      <c r="L27" s="132">
        <f>Dados!E54</f>
        <v>0</v>
      </c>
      <c r="M27" s="106" t="str">
        <f>IF(Dados!F54=0,"",_xlfn.CONCAT(RIGHT(LEFT(Dados!F54,10),2),"/",LEFT(RIGHT(LEFT(Dados!F54,10),5),2),"/",LEFT(LEFT(Dados!F54,10),4)))</f>
        <v/>
      </c>
      <c r="N27" s="111" t="str">
        <f>IF(Dados!F54=0,"",RIGHT(Dados!F54,8))</f>
        <v/>
      </c>
      <c r="O27" s="108" t="s">
        <v>118</v>
      </c>
      <c r="P27" s="131">
        <f>Dados!C22</f>
        <v>70044</v>
      </c>
      <c r="Q27" s="106" t="str">
        <f>IF(Dados!D22=0,"",_xlfn.CONCAT(RIGHT(LEFT(Dados!D22,10),2),"/",LEFT(RIGHT(LEFT(Dados!D22,10),5),2),"/",LEFT(LEFT(Dados!D22,10),4)))</f>
        <v>24/12/2024</v>
      </c>
      <c r="R27" s="106" t="str">
        <f>IF(Dados!D22=0,"",RIGHT(Dados!D22,8))</f>
        <v>22:50:00</v>
      </c>
      <c r="S27" s="130">
        <f>Dados!E22</f>
        <v>0</v>
      </c>
      <c r="T27" s="106" t="str">
        <f>IF(Dados!F22=0,"",_xlfn.CONCAT(RIGHT(LEFT(Dados!F22,10),2),"/",LEFT(RIGHT(LEFT(Dados!F22,10),5),2),"/",LEFT(LEFT(Dados!F22,10),4)))</f>
        <v/>
      </c>
      <c r="U27" s="111" t="str">
        <f>IF(Dados!F22=0,"",RIGHT(Dados!F22,8))</f>
        <v/>
      </c>
      <c r="V27" s="108" t="s">
        <v>118</v>
      </c>
      <c r="W27" s="110"/>
      <c r="X27" s="117"/>
      <c r="Y27" s="117"/>
      <c r="Z27" s="117"/>
      <c r="AA27" s="117"/>
      <c r="AB27" s="117"/>
    </row>
    <row r="28" spans="1:28" x14ac:dyDescent="0.25">
      <c r="A28" s="108" t="s">
        <v>119</v>
      </c>
      <c r="B28" s="130">
        <f>Dados!C27</f>
        <v>0</v>
      </c>
      <c r="C28" s="106" t="str">
        <f>IF(Dados!D27=0,"",_xlfn.CONCAT(RIGHT(LEFT(Dados!D27,10),2),"/",LEFT(RIGHT(LEFT(Dados!D27,10),5),2),"/",LEFT(LEFT(Dados!D27,10),4)))</f>
        <v/>
      </c>
      <c r="D28" s="106" t="str">
        <f>IF(Dados!D27=0,"",RIGHT(Dados!D27,8))</f>
        <v/>
      </c>
      <c r="E28" s="130">
        <f>Dados!E27</f>
        <v>0</v>
      </c>
      <c r="F28" s="106" t="str">
        <f>IF(Dados!F27=0,"",_xlfn.CONCAT(RIGHT(LEFT(Dados!F27,10),2),"/",LEFT(RIGHT(LEFT(Dados!F27,10),5),2),"/",LEFT(LEFT(Dados!F27,10),4)))</f>
        <v/>
      </c>
      <c r="G28" s="106" t="str">
        <f>IF(Dados!F27=0,"",RIGHT(Dados!F27,8))</f>
        <v/>
      </c>
      <c r="H28" s="108" t="s">
        <v>119</v>
      </c>
      <c r="I28" s="132">
        <f>Dados!C55</f>
        <v>0</v>
      </c>
      <c r="J28" s="106" t="str">
        <f>IF(Dados!D55=0,"",_xlfn.CONCAT(RIGHT(LEFT(Dados!D55,10),2),"/",LEFT(RIGHT(LEFT(Dados!D55,10),5),2),"/",LEFT(LEFT(Dados!D55,10),4)))</f>
        <v/>
      </c>
      <c r="K28" s="106" t="str">
        <f>IF(Dados!D55=0,"",RIGHT(Dados!D55,8))</f>
        <v/>
      </c>
      <c r="L28" s="132">
        <f>Dados!E55</f>
        <v>0</v>
      </c>
      <c r="M28" s="106" t="str">
        <f>IF(Dados!F55=0,"",_xlfn.CONCAT(RIGHT(LEFT(Dados!F55,10),2),"/",LEFT(RIGHT(LEFT(Dados!F55,10),5),2),"/",LEFT(LEFT(Dados!F55,10),4)))</f>
        <v/>
      </c>
      <c r="N28" s="111" t="str">
        <f>IF(Dados!F55=0,"",RIGHT(Dados!F55,8))</f>
        <v/>
      </c>
      <c r="O28" s="108" t="s">
        <v>119</v>
      </c>
      <c r="P28" s="131">
        <f>Dados!C23</f>
        <v>0</v>
      </c>
      <c r="Q28" s="106" t="str">
        <f>IF(Dados!D23=0,"",_xlfn.CONCAT(RIGHT(LEFT(Dados!D23,10),2),"/",LEFT(RIGHT(LEFT(Dados!D23,10),5),2),"/",LEFT(LEFT(Dados!D23,10),4)))</f>
        <v/>
      </c>
      <c r="R28" s="106" t="str">
        <f>IF(Dados!D23=0,"",RIGHT(Dados!D23,8))</f>
        <v/>
      </c>
      <c r="S28" s="130">
        <f>Dados!E23</f>
        <v>0</v>
      </c>
      <c r="T28" s="106" t="str">
        <f>IF(Dados!F23=0,"",_xlfn.CONCAT(RIGHT(LEFT(Dados!F23,10),2),"/",LEFT(RIGHT(LEFT(Dados!F23,10),5),2),"/",LEFT(LEFT(Dados!F23,10),4)))</f>
        <v/>
      </c>
      <c r="U28" s="111" t="str">
        <f>IF(Dados!F23=0,"",RIGHT(Dados!F23,8))</f>
        <v/>
      </c>
      <c r="V28" s="108" t="s">
        <v>119</v>
      </c>
      <c r="W28" s="110"/>
      <c r="X28" s="117"/>
      <c r="Y28" s="117"/>
      <c r="Z28" s="117"/>
      <c r="AA28" s="117"/>
      <c r="AB28" s="117"/>
    </row>
    <row r="29" spans="1:28" x14ac:dyDescent="0.25">
      <c r="A29" s="108" t="s">
        <v>120</v>
      </c>
      <c r="B29" s="130">
        <f>Dados!C28</f>
        <v>0</v>
      </c>
      <c r="C29" s="106" t="str">
        <f>IF(Dados!D28=0,"",_xlfn.CONCAT(RIGHT(LEFT(Dados!D28,10),2),"/",LEFT(RIGHT(LEFT(Dados!D28,10),5),2),"/",LEFT(LEFT(Dados!D28,10),4)))</f>
        <v/>
      </c>
      <c r="D29" s="106" t="str">
        <f>IF(Dados!D28=0,"",RIGHT(Dados!D28,8))</f>
        <v/>
      </c>
      <c r="E29" s="130">
        <f>Dados!E28</f>
        <v>0</v>
      </c>
      <c r="F29" s="106" t="str">
        <f>IF(Dados!F28=0,"",_xlfn.CONCAT(RIGHT(LEFT(Dados!F28,10),2),"/",LEFT(RIGHT(LEFT(Dados!F28,10),5),2),"/",LEFT(LEFT(Dados!F28,10),4)))</f>
        <v/>
      </c>
      <c r="G29" s="106" t="str">
        <f>IF(Dados!F28=0,"",RIGHT(Dados!F28,8))</f>
        <v/>
      </c>
      <c r="H29" s="108" t="s">
        <v>120</v>
      </c>
      <c r="I29" s="132">
        <f>Dados!C56</f>
        <v>0</v>
      </c>
      <c r="J29" s="106" t="str">
        <f>IF(Dados!D56=0,"",_xlfn.CONCAT(RIGHT(LEFT(Dados!D56,10),2),"/",LEFT(RIGHT(LEFT(Dados!D56,10),5),2),"/",LEFT(LEFT(Dados!D56,10),4)))</f>
        <v/>
      </c>
      <c r="K29" s="106" t="str">
        <f>IF(Dados!D56=0,"",RIGHT(Dados!D56,8))</f>
        <v/>
      </c>
      <c r="L29" s="132">
        <f>Dados!E56</f>
        <v>0</v>
      </c>
      <c r="M29" s="106" t="str">
        <f>IF(Dados!F56=0,"",_xlfn.CONCAT(RIGHT(LEFT(Dados!F56,10),2),"/",LEFT(RIGHT(LEFT(Dados!F56,10),5),2),"/",LEFT(LEFT(Dados!F56,10),4)))</f>
        <v/>
      </c>
      <c r="N29" s="111" t="str">
        <f>IF(Dados!F56=0,"",RIGHT(Dados!F56,8))</f>
        <v/>
      </c>
      <c r="O29" s="108" t="s">
        <v>120</v>
      </c>
      <c r="P29" s="110"/>
      <c r="Q29" s="117"/>
      <c r="R29" s="117"/>
      <c r="S29" s="117"/>
      <c r="T29" s="117"/>
      <c r="U29" s="117"/>
      <c r="V29" s="108" t="s">
        <v>120</v>
      </c>
      <c r="W29" s="110"/>
      <c r="X29" s="117"/>
      <c r="Y29" s="117"/>
      <c r="Z29" s="117"/>
      <c r="AA29" s="117"/>
      <c r="AB29" s="117"/>
    </row>
    <row r="30" spans="1:28" hidden="1" x14ac:dyDescent="0.25">
      <c r="A30" s="109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</row>
    <row r="31" spans="1:28" hidden="1" x14ac:dyDescent="0.25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</row>
    <row r="32" spans="1:28" hidden="1" x14ac:dyDescent="0.25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</row>
    <row r="33" spans="1:28" hidden="1" x14ac:dyDescent="0.25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</row>
    <row r="34" spans="1:28" hidden="1" x14ac:dyDescent="0.25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</row>
    <row r="35" spans="1:28" hidden="1" x14ac:dyDescent="0.25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</row>
    <row r="36" spans="1:28" hidden="1" x14ac:dyDescent="0.25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</row>
    <row r="37" spans="1:28" hidden="1" x14ac:dyDescent="0.25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</row>
    <row r="38" spans="1:28" hidden="1" x14ac:dyDescent="0.25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</row>
    <row r="39" spans="1:28" hidden="1" x14ac:dyDescent="0.25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</row>
    <row r="40" spans="1:28" hidden="1" x14ac:dyDescent="0.25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</row>
  </sheetData>
  <mergeCells count="4">
    <mergeCell ref="A1:G1"/>
    <mergeCell ref="H1:N1"/>
    <mergeCell ref="O1:U1"/>
    <mergeCell ref="V1:AB1"/>
  </mergeCells>
  <phoneticPr fontId="23" type="noConversion"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30D7-EB0D-4D2B-BAF7-C8926FF6763E}">
  <sheetPr codeName="Planilha14">
    <tabColor rgb="FF4D1B46"/>
  </sheetPr>
  <dimension ref="A1:G100"/>
  <sheetViews>
    <sheetView showGridLines="0" showRowColHeaders="0" showZeros="0" workbookViewId="0">
      <selection activeCell="D15" sqref="D15:D19"/>
    </sheetView>
  </sheetViews>
  <sheetFormatPr defaultColWidth="0" defaultRowHeight="15" customHeight="1" zeroHeight="1" x14ac:dyDescent="0.25"/>
  <cols>
    <col min="1" max="6" width="19.5703125" customWidth="1"/>
    <col min="7" max="7" width="8.42578125" hidden="1" customWidth="1"/>
    <col min="8" max="16384" width="9.140625" hidden="1"/>
  </cols>
  <sheetData>
    <row r="1" spans="1:6" x14ac:dyDescent="0.25">
      <c r="A1" s="116"/>
      <c r="B1" s="116"/>
      <c r="C1" s="118"/>
      <c r="D1" s="118"/>
      <c r="E1" s="118"/>
      <c r="F1" s="118"/>
    </row>
    <row r="2" spans="1:6" x14ac:dyDescent="0.25">
      <c r="A2" s="116" t="s">
        <v>436</v>
      </c>
      <c r="B2" s="116" t="s">
        <v>131</v>
      </c>
      <c r="C2" s="118"/>
      <c r="D2" s="118"/>
      <c r="E2" s="118"/>
      <c r="F2" s="118"/>
    </row>
    <row r="3" spans="1:6" x14ac:dyDescent="0.25">
      <c r="A3" s="116" t="s">
        <v>144</v>
      </c>
      <c r="B3" s="116" t="s">
        <v>131</v>
      </c>
      <c r="C3" s="118">
        <v>67</v>
      </c>
      <c r="D3" s="118" t="s">
        <v>726</v>
      </c>
      <c r="E3" s="118">
        <v>66</v>
      </c>
      <c r="F3" s="118" t="s">
        <v>727</v>
      </c>
    </row>
    <row r="4" spans="1:6" x14ac:dyDescent="0.25">
      <c r="A4" s="116" t="s">
        <v>145</v>
      </c>
      <c r="B4" s="116" t="s">
        <v>131</v>
      </c>
      <c r="C4" s="118">
        <v>50</v>
      </c>
      <c r="D4" s="118" t="s">
        <v>728</v>
      </c>
      <c r="E4" s="118">
        <v>38</v>
      </c>
      <c r="F4" s="118" t="s">
        <v>728</v>
      </c>
    </row>
    <row r="5" spans="1:6" x14ac:dyDescent="0.25">
      <c r="A5" s="116" t="s">
        <v>146</v>
      </c>
      <c r="B5" s="116" t="s">
        <v>131</v>
      </c>
      <c r="C5" s="118">
        <v>168</v>
      </c>
      <c r="D5" s="118" t="s">
        <v>728</v>
      </c>
      <c r="E5" s="118">
        <v>166</v>
      </c>
      <c r="F5" s="118" t="s">
        <v>728</v>
      </c>
    </row>
    <row r="6" spans="1:6" x14ac:dyDescent="0.25">
      <c r="A6" s="116" t="s">
        <v>147</v>
      </c>
      <c r="B6" s="116" t="s">
        <v>131</v>
      </c>
      <c r="C6" s="118">
        <v>789</v>
      </c>
      <c r="D6" s="118" t="s">
        <v>729</v>
      </c>
      <c r="E6" s="118"/>
      <c r="F6" s="118"/>
    </row>
    <row r="7" spans="1:6" x14ac:dyDescent="0.25">
      <c r="A7" s="116" t="s">
        <v>148</v>
      </c>
      <c r="B7" s="116" t="s">
        <v>131</v>
      </c>
      <c r="C7" s="118">
        <v>6135</v>
      </c>
      <c r="D7" s="118" t="s">
        <v>730</v>
      </c>
      <c r="E7" s="118">
        <v>6016</v>
      </c>
      <c r="F7" s="118" t="s">
        <v>731</v>
      </c>
    </row>
    <row r="8" spans="1:6" x14ac:dyDescent="0.25">
      <c r="A8" s="116" t="s">
        <v>149</v>
      </c>
      <c r="B8" s="116" t="s">
        <v>131</v>
      </c>
      <c r="C8" s="118"/>
      <c r="D8" s="118"/>
      <c r="E8" s="118"/>
      <c r="F8" s="118"/>
    </row>
    <row r="9" spans="1:6" x14ac:dyDescent="0.25">
      <c r="A9" s="116" t="s">
        <v>150</v>
      </c>
      <c r="B9" s="116" t="s">
        <v>131</v>
      </c>
      <c r="C9" s="118">
        <v>415</v>
      </c>
      <c r="D9" s="118" t="s">
        <v>732</v>
      </c>
      <c r="E9" s="118">
        <v>414</v>
      </c>
      <c r="F9" s="118" t="s">
        <v>732</v>
      </c>
    </row>
    <row r="10" spans="1:6" x14ac:dyDescent="0.25">
      <c r="A10" s="116" t="s">
        <v>151</v>
      </c>
      <c r="B10" s="116" t="s">
        <v>131</v>
      </c>
      <c r="C10" s="118">
        <v>657</v>
      </c>
      <c r="D10" s="118" t="s">
        <v>733</v>
      </c>
      <c r="E10" s="118">
        <v>649</v>
      </c>
      <c r="F10" s="118" t="s">
        <v>733</v>
      </c>
    </row>
    <row r="11" spans="1:6" x14ac:dyDescent="0.25">
      <c r="A11" s="116" t="s">
        <v>152</v>
      </c>
      <c r="B11" s="116" t="s">
        <v>131</v>
      </c>
      <c r="C11" s="118"/>
      <c r="D11" s="118"/>
      <c r="E11" s="118"/>
      <c r="F11" s="118"/>
    </row>
    <row r="12" spans="1:6" x14ac:dyDescent="0.25">
      <c r="A12" s="116" t="s">
        <v>153</v>
      </c>
      <c r="B12" s="116" t="s">
        <v>131</v>
      </c>
      <c r="C12" s="118"/>
      <c r="D12" s="118"/>
      <c r="E12" s="118"/>
      <c r="F12" s="118"/>
    </row>
    <row r="13" spans="1:6" x14ac:dyDescent="0.25">
      <c r="A13" s="116" t="s">
        <v>154</v>
      </c>
      <c r="B13" s="116" t="s">
        <v>131</v>
      </c>
      <c r="C13" s="118"/>
      <c r="D13" s="118"/>
      <c r="E13" s="118"/>
      <c r="F13" s="118"/>
    </row>
    <row r="14" spans="1:6" x14ac:dyDescent="0.25">
      <c r="A14" s="116" t="s">
        <v>155</v>
      </c>
      <c r="B14" s="116" t="s">
        <v>131</v>
      </c>
      <c r="C14" s="118">
        <v>1388</v>
      </c>
      <c r="D14" s="118" t="s">
        <v>732</v>
      </c>
      <c r="E14" s="118">
        <v>1351</v>
      </c>
      <c r="F14" s="118" t="s">
        <v>732</v>
      </c>
    </row>
    <row r="15" spans="1:6" x14ac:dyDescent="0.25">
      <c r="A15" s="116" t="s">
        <v>156</v>
      </c>
      <c r="B15" s="116" t="s">
        <v>131</v>
      </c>
      <c r="C15" s="118"/>
      <c r="D15" s="118"/>
      <c r="E15" s="118">
        <v>2820</v>
      </c>
      <c r="F15" s="118" t="s">
        <v>709</v>
      </c>
    </row>
    <row r="16" spans="1:6" x14ac:dyDescent="0.25">
      <c r="A16" s="116" t="s">
        <v>157</v>
      </c>
      <c r="B16" s="116" t="s">
        <v>131</v>
      </c>
      <c r="C16" s="118">
        <v>8549</v>
      </c>
      <c r="D16" s="118" t="s">
        <v>734</v>
      </c>
      <c r="E16" s="118">
        <v>8545</v>
      </c>
      <c r="F16" s="118" t="s">
        <v>734</v>
      </c>
    </row>
    <row r="17" spans="1:6" x14ac:dyDescent="0.25">
      <c r="A17" s="116" t="s">
        <v>158</v>
      </c>
      <c r="B17" s="116" t="s">
        <v>131</v>
      </c>
      <c r="C17" s="118"/>
      <c r="D17" s="118"/>
      <c r="E17" s="118"/>
      <c r="F17" s="118"/>
    </row>
    <row r="18" spans="1:6" x14ac:dyDescent="0.25">
      <c r="A18" s="116" t="s">
        <v>159</v>
      </c>
      <c r="B18" s="116" t="s">
        <v>131</v>
      </c>
      <c r="C18" s="118"/>
      <c r="D18" s="118"/>
      <c r="E18" s="118"/>
      <c r="F18" s="118"/>
    </row>
    <row r="19" spans="1:6" x14ac:dyDescent="0.25">
      <c r="A19" s="116" t="s">
        <v>160</v>
      </c>
      <c r="B19" s="116" t="s">
        <v>131</v>
      </c>
      <c r="C19" s="118"/>
      <c r="D19" s="118"/>
      <c r="E19" s="118"/>
      <c r="F19" s="118"/>
    </row>
    <row r="20" spans="1:6" x14ac:dyDescent="0.25">
      <c r="A20" s="116" t="s">
        <v>161</v>
      </c>
      <c r="B20" s="116" t="s">
        <v>131</v>
      </c>
      <c r="C20" s="118"/>
      <c r="D20" s="118"/>
      <c r="E20" s="118"/>
      <c r="F20" s="118"/>
    </row>
    <row r="21" spans="1:6" x14ac:dyDescent="0.25">
      <c r="A21" s="116" t="s">
        <v>162</v>
      </c>
      <c r="B21" s="116" t="s">
        <v>131</v>
      </c>
      <c r="C21" s="118"/>
      <c r="D21" s="118"/>
      <c r="E21" s="118"/>
      <c r="F21" s="118"/>
    </row>
    <row r="22" spans="1:6" x14ac:dyDescent="0.25">
      <c r="A22" s="116" t="s">
        <v>163</v>
      </c>
      <c r="B22" s="116" t="s">
        <v>131</v>
      </c>
      <c r="C22" s="118">
        <v>70044</v>
      </c>
      <c r="D22" s="118" t="s">
        <v>727</v>
      </c>
      <c r="E22" s="118"/>
      <c r="F22" s="118"/>
    </row>
    <row r="23" spans="1:6" x14ac:dyDescent="0.25">
      <c r="A23" s="116" t="s">
        <v>164</v>
      </c>
      <c r="B23" s="116" t="s">
        <v>131</v>
      </c>
      <c r="C23" s="118"/>
      <c r="D23" s="118"/>
      <c r="E23" s="118"/>
      <c r="F23" s="118"/>
    </row>
    <row r="24" spans="1:6" x14ac:dyDescent="0.25">
      <c r="A24" s="116" t="s">
        <v>134</v>
      </c>
      <c r="B24" s="116" t="s">
        <v>131</v>
      </c>
      <c r="C24" s="118"/>
      <c r="D24" s="118"/>
      <c r="E24" s="118"/>
      <c r="F24" s="118"/>
    </row>
    <row r="25" spans="1:6" x14ac:dyDescent="0.25">
      <c r="A25" s="116" t="s">
        <v>135</v>
      </c>
      <c r="B25" s="116" t="s">
        <v>131</v>
      </c>
      <c r="C25" s="118"/>
      <c r="D25" s="118"/>
      <c r="E25" s="118"/>
      <c r="F25" s="118"/>
    </row>
    <row r="26" spans="1:6" x14ac:dyDescent="0.25">
      <c r="A26" s="116" t="s">
        <v>136</v>
      </c>
      <c r="B26" s="116" t="s">
        <v>131</v>
      </c>
      <c r="C26" s="118"/>
      <c r="D26" s="118"/>
      <c r="E26" s="118"/>
      <c r="F26" s="118"/>
    </row>
    <row r="27" spans="1:6" x14ac:dyDescent="0.25">
      <c r="A27" s="116" t="s">
        <v>137</v>
      </c>
      <c r="B27" s="116" t="s">
        <v>131</v>
      </c>
      <c r="C27" s="118"/>
      <c r="D27" s="118"/>
      <c r="E27" s="118"/>
      <c r="F27" s="118"/>
    </row>
    <row r="28" spans="1:6" x14ac:dyDescent="0.25">
      <c r="A28" s="116" t="s">
        <v>138</v>
      </c>
      <c r="B28" s="116" t="s">
        <v>131</v>
      </c>
      <c r="C28" s="118"/>
      <c r="D28" s="118"/>
      <c r="E28" s="118"/>
      <c r="F28" s="118"/>
    </row>
    <row r="29" spans="1:6" x14ac:dyDescent="0.25">
      <c r="A29" s="116"/>
      <c r="B29" s="116"/>
      <c r="C29" s="118"/>
      <c r="D29" s="118"/>
      <c r="E29" s="118"/>
      <c r="F29" s="118"/>
    </row>
    <row r="30" spans="1:6" x14ac:dyDescent="0.25">
      <c r="A30" s="116" t="s">
        <v>443</v>
      </c>
      <c r="B30" s="116" t="s">
        <v>131</v>
      </c>
      <c r="C30" s="118">
        <v>46</v>
      </c>
      <c r="D30" s="118" t="s">
        <v>735</v>
      </c>
      <c r="E30" s="118"/>
      <c r="F30" s="118"/>
    </row>
    <row r="31" spans="1:6" x14ac:dyDescent="0.25">
      <c r="A31" s="116" t="s">
        <v>165</v>
      </c>
      <c r="B31" s="116" t="s">
        <v>131</v>
      </c>
      <c r="C31" s="118"/>
      <c r="D31" s="118"/>
      <c r="E31" s="118"/>
      <c r="F31" s="118"/>
    </row>
    <row r="32" spans="1:6" x14ac:dyDescent="0.25">
      <c r="A32" s="116" t="s">
        <v>166</v>
      </c>
      <c r="B32" s="116" t="s">
        <v>131</v>
      </c>
      <c r="C32" s="118">
        <v>199</v>
      </c>
      <c r="D32" s="118" t="s">
        <v>709</v>
      </c>
      <c r="E32" s="118">
        <v>175</v>
      </c>
      <c r="F32" s="118" t="s">
        <v>709</v>
      </c>
    </row>
    <row r="33" spans="1:6" x14ac:dyDescent="0.25">
      <c r="A33" s="116" t="s">
        <v>167</v>
      </c>
      <c r="B33" s="116" t="s">
        <v>131</v>
      </c>
      <c r="C33" s="118">
        <v>530</v>
      </c>
      <c r="D33" s="118" t="s">
        <v>709</v>
      </c>
      <c r="E33" s="118">
        <v>401</v>
      </c>
      <c r="F33" s="118" t="s">
        <v>709</v>
      </c>
    </row>
    <row r="34" spans="1:6" x14ac:dyDescent="0.25">
      <c r="A34" s="116" t="s">
        <v>168</v>
      </c>
      <c r="B34" s="116" t="s">
        <v>131</v>
      </c>
      <c r="C34" s="118">
        <v>1658</v>
      </c>
      <c r="D34" s="118" t="s">
        <v>736</v>
      </c>
      <c r="E34" s="118">
        <v>1307</v>
      </c>
      <c r="F34" s="118" t="s">
        <v>718</v>
      </c>
    </row>
    <row r="35" spans="1:6" x14ac:dyDescent="0.25">
      <c r="A35" s="116" t="s">
        <v>169</v>
      </c>
      <c r="B35" s="116" t="s">
        <v>131</v>
      </c>
      <c r="C35" s="118">
        <v>8731</v>
      </c>
      <c r="D35" s="118" t="s">
        <v>709</v>
      </c>
      <c r="E35" s="118">
        <v>8600</v>
      </c>
      <c r="F35" s="118" t="s">
        <v>709</v>
      </c>
    </row>
    <row r="36" spans="1:6" x14ac:dyDescent="0.25">
      <c r="A36" s="116" t="s">
        <v>170</v>
      </c>
      <c r="B36" s="116" t="s">
        <v>131</v>
      </c>
      <c r="C36" s="118">
        <v>36369</v>
      </c>
      <c r="D36" s="118" t="s">
        <v>709</v>
      </c>
      <c r="E36" s="118">
        <v>32036</v>
      </c>
      <c r="F36" s="118" t="s">
        <v>709</v>
      </c>
    </row>
    <row r="37" spans="1:6" x14ac:dyDescent="0.25">
      <c r="A37" s="116" t="s">
        <v>171</v>
      </c>
      <c r="B37" s="116" t="s">
        <v>131</v>
      </c>
      <c r="C37" s="118">
        <v>1052</v>
      </c>
      <c r="D37" s="118" t="s">
        <v>737</v>
      </c>
      <c r="E37" s="118">
        <v>1011</v>
      </c>
      <c r="F37" s="118" t="s">
        <v>738</v>
      </c>
    </row>
    <row r="38" spans="1:6" x14ac:dyDescent="0.25">
      <c r="A38" s="116" t="s">
        <v>172</v>
      </c>
      <c r="B38" s="116" t="s">
        <v>131</v>
      </c>
      <c r="C38" s="118">
        <v>1754</v>
      </c>
      <c r="D38" s="118" t="s">
        <v>739</v>
      </c>
      <c r="E38" s="118"/>
      <c r="F38" s="118"/>
    </row>
    <row r="39" spans="1:6" x14ac:dyDescent="0.25">
      <c r="A39" s="116" t="s">
        <v>173</v>
      </c>
      <c r="B39" s="116" t="s">
        <v>131</v>
      </c>
      <c r="C39" s="118">
        <v>7395</v>
      </c>
      <c r="D39" s="118" t="s">
        <v>736</v>
      </c>
      <c r="E39" s="118">
        <v>6121</v>
      </c>
      <c r="F39" s="118" t="s">
        <v>740</v>
      </c>
    </row>
    <row r="40" spans="1:6" x14ac:dyDescent="0.25">
      <c r="A40" s="116" t="s">
        <v>174</v>
      </c>
      <c r="B40" s="116" t="s">
        <v>131</v>
      </c>
      <c r="C40" s="118"/>
      <c r="D40" s="118"/>
      <c r="E40" s="118"/>
      <c r="F40" s="118"/>
    </row>
    <row r="41" spans="1:6" x14ac:dyDescent="0.25">
      <c r="A41" s="116" t="s">
        <v>175</v>
      </c>
      <c r="B41" s="116" t="s">
        <v>131</v>
      </c>
      <c r="C41" s="118"/>
      <c r="D41" s="118"/>
      <c r="E41" s="118"/>
      <c r="F41" s="118"/>
    </row>
    <row r="42" spans="1:6" x14ac:dyDescent="0.25">
      <c r="A42" s="116" t="s">
        <v>176</v>
      </c>
      <c r="B42" s="116" t="s">
        <v>131</v>
      </c>
      <c r="C42" s="118"/>
      <c r="D42" s="118"/>
      <c r="E42" s="118"/>
      <c r="F42" s="118"/>
    </row>
    <row r="43" spans="1:6" x14ac:dyDescent="0.25">
      <c r="A43" s="116" t="s">
        <v>177</v>
      </c>
      <c r="B43" s="116" t="s">
        <v>131</v>
      </c>
      <c r="C43" s="118"/>
      <c r="D43" s="118"/>
      <c r="E43" s="118"/>
      <c r="F43" s="118"/>
    </row>
    <row r="44" spans="1:6" x14ac:dyDescent="0.25">
      <c r="A44" s="116" t="s">
        <v>178</v>
      </c>
      <c r="B44" s="116" t="s">
        <v>131</v>
      </c>
      <c r="C44" s="118"/>
      <c r="D44" s="118"/>
      <c r="E44" s="118"/>
      <c r="F44" s="118"/>
    </row>
    <row r="45" spans="1:6" x14ac:dyDescent="0.25">
      <c r="A45" s="116" t="s">
        <v>179</v>
      </c>
      <c r="B45" s="116" t="s">
        <v>131</v>
      </c>
      <c r="C45" s="118"/>
      <c r="D45" s="118"/>
      <c r="E45" s="118"/>
      <c r="F45" s="118"/>
    </row>
    <row r="46" spans="1:6" x14ac:dyDescent="0.25">
      <c r="A46" s="116" t="s">
        <v>180</v>
      </c>
      <c r="B46" s="116" t="s">
        <v>131</v>
      </c>
      <c r="C46" s="118"/>
      <c r="D46" s="118"/>
      <c r="E46" s="118"/>
      <c r="F46" s="118"/>
    </row>
    <row r="47" spans="1:6" x14ac:dyDescent="0.25">
      <c r="A47" s="116" t="s">
        <v>139</v>
      </c>
      <c r="B47" s="116" t="s">
        <v>131</v>
      </c>
      <c r="C47" s="118"/>
      <c r="D47" s="118"/>
      <c r="E47" s="118"/>
      <c r="F47" s="118"/>
    </row>
    <row r="48" spans="1:6" x14ac:dyDescent="0.25">
      <c r="A48" s="116" t="s">
        <v>140</v>
      </c>
      <c r="B48" s="116" t="s">
        <v>131</v>
      </c>
      <c r="C48" s="118"/>
      <c r="D48" s="118"/>
      <c r="E48" s="118"/>
      <c r="F48" s="118"/>
    </row>
    <row r="49" spans="1:6" x14ac:dyDescent="0.25">
      <c r="A49" s="116" t="s">
        <v>141</v>
      </c>
      <c r="B49" s="116" t="s">
        <v>131</v>
      </c>
      <c r="C49" s="118"/>
      <c r="D49" s="118"/>
      <c r="E49" s="118"/>
      <c r="F49" s="118"/>
    </row>
    <row r="50" spans="1:6" x14ac:dyDescent="0.25">
      <c r="A50" s="116" t="s">
        <v>142</v>
      </c>
      <c r="B50" s="116" t="s">
        <v>131</v>
      </c>
      <c r="C50" s="118"/>
      <c r="D50" s="118"/>
      <c r="E50" s="118"/>
      <c r="F50" s="118"/>
    </row>
    <row r="51" spans="1:6" x14ac:dyDescent="0.25">
      <c r="A51" s="116" t="s">
        <v>143</v>
      </c>
      <c r="B51" s="116" t="s">
        <v>131</v>
      </c>
      <c r="C51" s="118"/>
      <c r="D51" s="118"/>
      <c r="E51" s="118"/>
      <c r="F51" s="118"/>
    </row>
    <row r="52" spans="1:6" x14ac:dyDescent="0.25">
      <c r="A52" s="116" t="s">
        <v>181</v>
      </c>
      <c r="B52" s="116" t="s">
        <v>131</v>
      </c>
      <c r="C52" s="118">
        <v>36486</v>
      </c>
      <c r="D52" s="118" t="s">
        <v>725</v>
      </c>
      <c r="E52" s="118"/>
      <c r="F52" s="118"/>
    </row>
    <row r="53" spans="1:6" x14ac:dyDescent="0.25">
      <c r="A53" s="116" t="s">
        <v>182</v>
      </c>
      <c r="B53" s="116" t="s">
        <v>131</v>
      </c>
      <c r="C53" s="118"/>
      <c r="D53" s="118"/>
      <c r="E53" s="118"/>
      <c r="F53" s="118"/>
    </row>
    <row r="54" spans="1:6" x14ac:dyDescent="0.25">
      <c r="A54" s="116" t="s">
        <v>183</v>
      </c>
      <c r="B54" s="116" t="s">
        <v>131</v>
      </c>
      <c r="C54" s="118"/>
      <c r="D54" s="118"/>
      <c r="E54" s="118"/>
      <c r="F54" s="118"/>
    </row>
    <row r="55" spans="1:6" x14ac:dyDescent="0.25">
      <c r="A55" s="116" t="s">
        <v>184</v>
      </c>
      <c r="B55" s="116" t="s">
        <v>131</v>
      </c>
      <c r="C55" s="118"/>
      <c r="D55" s="118"/>
      <c r="E55" s="118"/>
      <c r="F55" s="118"/>
    </row>
    <row r="56" spans="1:6" x14ac:dyDescent="0.25">
      <c r="A56" s="116" t="s">
        <v>185</v>
      </c>
      <c r="B56" s="116" t="s">
        <v>131</v>
      </c>
      <c r="C56" s="118"/>
      <c r="D56" s="118"/>
      <c r="E56" s="118"/>
      <c r="F56" s="118"/>
    </row>
    <row r="57" spans="1:6" hidden="1" x14ac:dyDescent="0.25">
      <c r="A57" s="65"/>
      <c r="B57" s="65"/>
      <c r="C57" s="65"/>
      <c r="D57" s="65"/>
      <c r="E57" s="65"/>
      <c r="F57" s="65"/>
    </row>
    <row r="58" spans="1:6" hidden="1" x14ac:dyDescent="0.25">
      <c r="A58" s="26"/>
      <c r="B58" s="26"/>
      <c r="C58" s="26"/>
      <c r="D58" s="26"/>
      <c r="E58" s="26"/>
      <c r="F58" s="26"/>
    </row>
    <row r="59" spans="1:6" hidden="1" x14ac:dyDescent="0.25">
      <c r="A59" s="26"/>
      <c r="B59" s="26"/>
      <c r="C59" s="26"/>
      <c r="D59" s="26"/>
      <c r="E59" s="26"/>
      <c r="F59" s="26"/>
    </row>
    <row r="60" spans="1:6" hidden="1" x14ac:dyDescent="0.25">
      <c r="A60" s="26"/>
      <c r="B60" s="26"/>
      <c r="C60" s="26"/>
      <c r="D60" s="26"/>
      <c r="E60" s="26"/>
      <c r="F60" s="26"/>
    </row>
    <row r="61" spans="1:6" hidden="1" x14ac:dyDescent="0.25">
      <c r="A61" s="26"/>
      <c r="B61" s="26"/>
      <c r="C61" s="26"/>
      <c r="D61" s="26"/>
      <c r="E61" s="26"/>
      <c r="F61" s="26"/>
    </row>
    <row r="62" spans="1:6" hidden="1" x14ac:dyDescent="0.25">
      <c r="A62" s="26"/>
      <c r="B62" s="26"/>
      <c r="C62" s="26"/>
      <c r="D62" s="26"/>
      <c r="E62" s="26"/>
      <c r="F62" s="26"/>
    </row>
    <row r="63" spans="1:6" hidden="1" x14ac:dyDescent="0.25">
      <c r="A63" s="26"/>
      <c r="B63" s="26"/>
      <c r="C63" s="26"/>
      <c r="D63" s="26"/>
      <c r="E63" s="26"/>
      <c r="F63" s="26"/>
    </row>
    <row r="64" spans="1:6" hidden="1" x14ac:dyDescent="0.25">
      <c r="A64" s="26"/>
      <c r="B64" s="26"/>
      <c r="C64" s="26"/>
      <c r="D64" s="26"/>
      <c r="E64" s="26"/>
      <c r="F64" s="26"/>
    </row>
    <row r="65" spans="1:6" hidden="1" x14ac:dyDescent="0.25">
      <c r="A65" s="26"/>
      <c r="B65" s="26"/>
      <c r="C65" s="26"/>
      <c r="D65" s="26"/>
      <c r="E65" s="26"/>
      <c r="F65" s="26"/>
    </row>
    <row r="66" spans="1:6" hidden="1" x14ac:dyDescent="0.25">
      <c r="A66" s="26"/>
      <c r="B66" s="26"/>
      <c r="C66" s="26"/>
      <c r="D66" s="26"/>
      <c r="E66" s="26"/>
      <c r="F66" s="26"/>
    </row>
    <row r="67" spans="1:6" hidden="1" x14ac:dyDescent="0.25">
      <c r="A67" s="26"/>
      <c r="B67" s="26"/>
      <c r="C67" s="26"/>
      <c r="D67" s="26"/>
      <c r="E67" s="26"/>
      <c r="F67" s="26"/>
    </row>
    <row r="68" spans="1:6" hidden="1" x14ac:dyDescent="0.25">
      <c r="A68" s="26"/>
      <c r="B68" s="26"/>
      <c r="C68" s="26"/>
      <c r="D68" s="26"/>
      <c r="E68" s="26"/>
      <c r="F68" s="26"/>
    </row>
    <row r="69" spans="1:6" hidden="1" x14ac:dyDescent="0.25">
      <c r="A69" s="26"/>
      <c r="B69" s="26"/>
      <c r="C69" s="26"/>
      <c r="D69" s="26"/>
      <c r="E69" s="26"/>
      <c r="F69" s="26"/>
    </row>
    <row r="70" spans="1:6" hidden="1" x14ac:dyDescent="0.25">
      <c r="A70" s="26"/>
      <c r="B70" s="26"/>
      <c r="C70" s="26"/>
      <c r="D70" s="26"/>
      <c r="E70" s="26"/>
      <c r="F70" s="26"/>
    </row>
    <row r="71" spans="1:6" hidden="1" x14ac:dyDescent="0.25">
      <c r="A71" s="26"/>
      <c r="B71" s="26"/>
      <c r="C71" s="26"/>
      <c r="D71" s="26"/>
      <c r="E71" s="26"/>
      <c r="F71" s="26"/>
    </row>
    <row r="72" spans="1:6" hidden="1" x14ac:dyDescent="0.25">
      <c r="A72" s="26"/>
      <c r="B72" s="26"/>
      <c r="C72" s="26"/>
      <c r="D72" s="26"/>
      <c r="E72" s="26"/>
      <c r="F72" s="26"/>
    </row>
    <row r="73" spans="1:6" hidden="1" x14ac:dyDescent="0.25">
      <c r="A73" s="26"/>
      <c r="B73" s="26"/>
      <c r="C73" s="26"/>
      <c r="D73" s="26"/>
      <c r="E73" s="26"/>
      <c r="F73" s="26"/>
    </row>
    <row r="74" spans="1:6" hidden="1" x14ac:dyDescent="0.25">
      <c r="A74" s="26"/>
      <c r="B74" s="26"/>
      <c r="C74" s="26"/>
      <c r="D74" s="26"/>
      <c r="E74" s="26"/>
      <c r="F74" s="26"/>
    </row>
    <row r="75" spans="1:6" hidden="1" x14ac:dyDescent="0.25">
      <c r="A75" s="26"/>
      <c r="B75" s="26"/>
      <c r="C75" s="26"/>
      <c r="D75" s="26"/>
      <c r="E75" s="26"/>
      <c r="F75" s="26"/>
    </row>
    <row r="76" spans="1:6" hidden="1" x14ac:dyDescent="0.25">
      <c r="A76" s="26"/>
      <c r="B76" s="26"/>
      <c r="C76" s="26"/>
      <c r="D76" s="26"/>
      <c r="E76" s="26"/>
      <c r="F76" s="26"/>
    </row>
    <row r="77" spans="1:6" hidden="1" x14ac:dyDescent="0.25">
      <c r="A77" s="26"/>
      <c r="B77" s="26"/>
      <c r="C77" s="26"/>
      <c r="D77" s="26"/>
      <c r="E77" s="26"/>
      <c r="F77" s="26"/>
    </row>
    <row r="78" spans="1:6" hidden="1" x14ac:dyDescent="0.25">
      <c r="A78" s="26"/>
      <c r="B78" s="26"/>
      <c r="C78" s="26"/>
      <c r="D78" s="26"/>
      <c r="E78" s="26"/>
      <c r="F78" s="26"/>
    </row>
    <row r="79" spans="1:6" hidden="1" x14ac:dyDescent="0.25">
      <c r="A79" s="26"/>
      <c r="B79" s="26"/>
      <c r="C79" s="26"/>
      <c r="D79" s="26"/>
      <c r="E79" s="26"/>
      <c r="F79" s="26"/>
    </row>
    <row r="80" spans="1:6" hidden="1" x14ac:dyDescent="0.25">
      <c r="A80" s="26"/>
      <c r="B80" s="26"/>
      <c r="C80" s="26"/>
      <c r="D80" s="26"/>
      <c r="E80" s="26"/>
      <c r="F80" s="26"/>
    </row>
    <row r="81" spans="1:6" hidden="1" x14ac:dyDescent="0.25">
      <c r="A81" s="26"/>
      <c r="B81" s="26"/>
      <c r="C81" s="26"/>
      <c r="D81" s="26"/>
      <c r="E81" s="26"/>
      <c r="F81" s="26"/>
    </row>
    <row r="82" spans="1:6" hidden="1" x14ac:dyDescent="0.25">
      <c r="A82" s="26"/>
      <c r="B82" s="26"/>
      <c r="C82" s="26"/>
      <c r="D82" s="26"/>
      <c r="E82" s="26"/>
      <c r="F82" s="26"/>
    </row>
    <row r="83" spans="1:6" hidden="1" x14ac:dyDescent="0.25">
      <c r="A83" s="26"/>
      <c r="B83" s="26"/>
      <c r="C83" s="26"/>
      <c r="D83" s="26"/>
      <c r="E83" s="26"/>
      <c r="F83" s="26"/>
    </row>
    <row r="84" spans="1:6" hidden="1" x14ac:dyDescent="0.25">
      <c r="A84" s="26"/>
      <c r="B84" s="26"/>
      <c r="C84" s="26"/>
      <c r="D84" s="26"/>
      <c r="E84" s="26"/>
      <c r="F84" s="26"/>
    </row>
    <row r="85" spans="1:6" hidden="1" x14ac:dyDescent="0.25">
      <c r="A85" s="26"/>
      <c r="B85" s="26"/>
      <c r="C85" s="26"/>
      <c r="D85" s="26"/>
      <c r="E85" s="26"/>
      <c r="F85" s="26"/>
    </row>
    <row r="86" spans="1:6" hidden="1" x14ac:dyDescent="0.25">
      <c r="A86" s="26"/>
      <c r="B86" s="26"/>
      <c r="C86" s="26"/>
      <c r="D86" s="26"/>
      <c r="E86" s="26"/>
      <c r="F86" s="26"/>
    </row>
    <row r="87" spans="1:6" hidden="1" x14ac:dyDescent="0.25">
      <c r="A87" s="26"/>
      <c r="B87" s="26"/>
      <c r="C87" s="26"/>
      <c r="D87" s="26"/>
      <c r="E87" s="26"/>
      <c r="F87" s="26"/>
    </row>
    <row r="88" spans="1:6" hidden="1" x14ac:dyDescent="0.25">
      <c r="A88" s="26"/>
      <c r="B88" s="26"/>
      <c r="C88" s="26"/>
      <c r="D88" s="26"/>
      <c r="E88" s="26"/>
      <c r="F88" s="26"/>
    </row>
    <row r="89" spans="1:6" hidden="1" x14ac:dyDescent="0.25">
      <c r="A89" s="26"/>
      <c r="B89" s="26"/>
      <c r="C89" s="26"/>
      <c r="D89" s="26"/>
      <c r="E89" s="26"/>
      <c r="F89" s="26"/>
    </row>
    <row r="90" spans="1:6" hidden="1" x14ac:dyDescent="0.25">
      <c r="A90" s="26"/>
      <c r="B90" s="26"/>
      <c r="C90" s="26"/>
      <c r="D90" s="26"/>
      <c r="E90" s="26"/>
      <c r="F90" s="26"/>
    </row>
    <row r="91" spans="1:6" hidden="1" x14ac:dyDescent="0.25">
      <c r="A91" s="26"/>
      <c r="B91" s="26"/>
      <c r="C91" s="26"/>
      <c r="D91" s="26"/>
      <c r="E91" s="26"/>
      <c r="F91" s="26"/>
    </row>
    <row r="92" spans="1:6" hidden="1" x14ac:dyDescent="0.25">
      <c r="A92" s="26"/>
      <c r="B92" s="26"/>
      <c r="C92" s="26"/>
      <c r="D92" s="26"/>
      <c r="E92" s="26"/>
      <c r="F92" s="26"/>
    </row>
    <row r="93" spans="1:6" hidden="1" x14ac:dyDescent="0.25">
      <c r="A93" s="26"/>
      <c r="B93" s="26"/>
      <c r="C93" s="26"/>
      <c r="D93" s="26"/>
      <c r="E93" s="26"/>
      <c r="F93" s="26"/>
    </row>
    <row r="94" spans="1:6" hidden="1" x14ac:dyDescent="0.25">
      <c r="A94" s="26"/>
      <c r="B94" s="26"/>
      <c r="C94" s="26"/>
      <c r="D94" s="26"/>
      <c r="E94" s="26"/>
      <c r="F94" s="26"/>
    </row>
    <row r="95" spans="1:6" hidden="1" x14ac:dyDescent="0.25">
      <c r="A95" s="26"/>
      <c r="B95" s="26"/>
      <c r="C95" s="26"/>
      <c r="D95" s="26"/>
      <c r="E95" s="26"/>
      <c r="F95" s="26"/>
    </row>
    <row r="96" spans="1:6" hidden="1" x14ac:dyDescent="0.25">
      <c r="A96" s="26"/>
      <c r="B96" s="26"/>
      <c r="C96" s="26"/>
      <c r="D96" s="26"/>
      <c r="E96" s="26"/>
      <c r="F96" s="26"/>
    </row>
    <row r="97" spans="1:6" hidden="1" x14ac:dyDescent="0.25">
      <c r="A97" s="26"/>
      <c r="B97" s="26"/>
      <c r="C97" s="26"/>
      <c r="D97" s="26"/>
      <c r="E97" s="26"/>
      <c r="F97" s="26"/>
    </row>
    <row r="98" spans="1:6" hidden="1" x14ac:dyDescent="0.25">
      <c r="A98" s="26"/>
      <c r="B98" s="26"/>
      <c r="C98" s="26"/>
      <c r="D98" s="26"/>
      <c r="E98" s="26"/>
      <c r="F98" s="26"/>
    </row>
    <row r="99" spans="1:6" hidden="1" x14ac:dyDescent="0.25">
      <c r="A99" s="26"/>
      <c r="B99" s="26"/>
      <c r="C99" s="26"/>
      <c r="D99" s="26"/>
      <c r="E99" s="26"/>
      <c r="F99" s="26"/>
    </row>
    <row r="100" spans="1:6" hidden="1" x14ac:dyDescent="0.25">
      <c r="A100" s="26"/>
      <c r="B100" s="26"/>
      <c r="C100" s="26"/>
      <c r="D100" s="26"/>
      <c r="E100" s="26"/>
      <c r="F100" s="26"/>
    </row>
  </sheetData>
  <sheetProtection selectLockedCell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0016E-2FD1-4249-BEF7-A083458AC7C0}">
  <sheetPr codeName="Planilha10">
    <tabColor rgb="FFFFC000"/>
  </sheetPr>
  <dimension ref="A1:Z41"/>
  <sheetViews>
    <sheetView showGridLines="0" showRowColHeaders="0" showZeros="0" zoomScale="107" zoomScaleNormal="107" workbookViewId="0">
      <selection activeCell="C8" sqref="C8:D9"/>
    </sheetView>
  </sheetViews>
  <sheetFormatPr defaultColWidth="0" defaultRowHeight="18" customHeight="1" zeroHeight="1" x14ac:dyDescent="0.25"/>
  <cols>
    <col min="1" max="17" width="10.7109375" customWidth="1"/>
    <col min="18" max="18" width="10.85546875" customWidth="1"/>
    <col min="19" max="22" width="10.7109375" customWidth="1"/>
    <col min="23" max="23" width="9" customWidth="1"/>
    <col min="24" max="24" width="12.140625" customWidth="1"/>
    <col min="25" max="25" width="15.140625" hidden="1" customWidth="1"/>
    <col min="26" max="16384" width="9.140625" hidden="1"/>
  </cols>
  <sheetData>
    <row r="1" spans="1:26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8" t="str">
        <f>IF(C8&gt;5,"R","B")</f>
        <v>B</v>
      </c>
      <c r="W1" s="58" t="str">
        <f>CHOOSE(C10,"Brecilien","Bridgewatch","Caerleon","Fort Sterling","Lymhurst","Martlock","Thetford")</f>
        <v>Brecilien</v>
      </c>
      <c r="X1" s="58" t="str">
        <f>_xlfn.CONCAT(W1,V1)</f>
        <v>BrecilienB</v>
      </c>
      <c r="Y1" s="1"/>
      <c r="Z1" s="1"/>
    </row>
    <row r="2" spans="1:26" ht="1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1"/>
      <c r="Z2" s="1"/>
    </row>
    <row r="3" spans="1:26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1"/>
      <c r="Z3" s="1"/>
    </row>
    <row r="4" spans="1:26" ht="18" customHeight="1" x14ac:dyDescent="0.25">
      <c r="A4" s="135"/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2"/>
      <c r="X4" s="2"/>
      <c r="Y4" s="2"/>
      <c r="Z4" s="2"/>
    </row>
    <row r="5" spans="1:26" ht="18" customHeight="1" x14ac:dyDescent="0.25"/>
    <row r="6" spans="1:26" ht="18" customHeight="1" x14ac:dyDescent="0.25">
      <c r="A6" s="226" t="s">
        <v>574</v>
      </c>
      <c r="B6" s="226"/>
      <c r="C6" s="226"/>
      <c r="D6" s="226"/>
      <c r="G6" s="225" t="s">
        <v>385</v>
      </c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</row>
    <row r="7" spans="1:26" ht="18" customHeight="1" x14ac:dyDescent="0.25">
      <c r="A7" s="226"/>
      <c r="B7" s="226"/>
      <c r="C7" s="226"/>
      <c r="D7" s="226"/>
      <c r="G7" s="52" t="s">
        <v>30</v>
      </c>
      <c r="H7" s="229" t="s">
        <v>408</v>
      </c>
      <c r="I7" s="229"/>
      <c r="J7" s="229" t="s">
        <v>376</v>
      </c>
      <c r="K7" s="229"/>
      <c r="L7" s="229" t="s">
        <v>407</v>
      </c>
      <c r="M7" s="229"/>
      <c r="N7" s="229" t="s">
        <v>391</v>
      </c>
      <c r="O7" s="229"/>
      <c r="P7" s="229" t="s">
        <v>376</v>
      </c>
      <c r="Q7" s="229"/>
      <c r="R7" s="229" t="s">
        <v>407</v>
      </c>
      <c r="S7" s="229"/>
    </row>
    <row r="8" spans="1:26" ht="18" customHeight="1" x14ac:dyDescent="0.25">
      <c r="A8" s="227" t="s">
        <v>121</v>
      </c>
      <c r="B8" s="227"/>
      <c r="C8" s="228">
        <v>4</v>
      </c>
      <c r="D8" s="228"/>
      <c r="G8" s="95" t="s">
        <v>479</v>
      </c>
      <c r="H8" s="221">
        <f>IF($C$8=5,organizador!M3,IF($C$8=10,organizador!V3,organizador!D3))</f>
        <v>198</v>
      </c>
      <c r="I8" s="221"/>
      <c r="J8" s="222">
        <f>IFERROR(INT(APIAUX!A1+APIAUX!B1 - (Configurações!$A$3 / 24)),"")</f>
        <v>45665</v>
      </c>
      <c r="K8" s="223"/>
      <c r="L8" s="224">
        <f>IFERROR(IF(MOD(APIAUX!A1 + APIAUX!B1 - (Configurações!$A$3 / 24), 1) = 0, "00:00:00", MOD(APIAUX!A1 + APIAUX!B1 - (Configurações!$A$3 / 24), 1)), "")</f>
        <v>0.57638888889050577</v>
      </c>
      <c r="M8" s="224"/>
      <c r="N8" s="221">
        <f>IF($C$8=5,organizador!O3,IF($C$8=10,organizador!X3,organizador!F3))</f>
        <v>0</v>
      </c>
      <c r="O8" s="221"/>
      <c r="P8" s="222" t="str">
        <f>IFERROR(INT(APIAUX!C1+APIAUX!D1 - (Configurações!$A$3 / 24)),"")</f>
        <v/>
      </c>
      <c r="Q8" s="223"/>
      <c r="R8" s="224" t="str">
        <f>IFERROR(IF(MOD(APIAUX!C1 + APIAUX!D1 - (Configurações!$A$3 / 24), 1) = 0, "00:00:00", MOD(APIAUX!C1 + APIAUX!D1 - (Configurações!$A$3 / 24), 1)), "")</f>
        <v/>
      </c>
      <c r="S8" s="224"/>
    </row>
    <row r="9" spans="1:26" ht="18" customHeight="1" x14ac:dyDescent="0.25">
      <c r="A9" s="227"/>
      <c r="B9" s="227"/>
      <c r="C9" s="228">
        <v>10</v>
      </c>
      <c r="D9" s="228"/>
      <c r="F9" s="129"/>
      <c r="G9" s="59" t="s">
        <v>95</v>
      </c>
      <c r="H9" s="221">
        <f>IF($C$8=5,organizador!M4,IF($C$8=10,organizador!V4,organizador!D4))</f>
        <v>0</v>
      </c>
      <c r="I9" s="221"/>
      <c r="J9" s="222" t="str">
        <f>IFERROR(INT(APIAUX!A2+APIAUX!B2 - (Configurações!$A$3 / 24)),"")</f>
        <v/>
      </c>
      <c r="K9" s="223"/>
      <c r="L9" s="224" t="str">
        <f>IFERROR(IF(MOD(APIAUX!A2 + APIAUX!B2 - (Configurações!$A$3 / 24), 1) = 0, "00:00:00", MOD(APIAUX!A2 + APIAUX!B2 - (Configurações!$A$3 / 24), 1)), "")</f>
        <v/>
      </c>
      <c r="M9" s="224"/>
      <c r="N9" s="221">
        <f>IF($C$8=5,organizador!O4,IF($C$8=10,organizador!X4,organizador!F4))</f>
        <v>0</v>
      </c>
      <c r="O9" s="221"/>
      <c r="P9" s="222" t="str">
        <f>IFERROR(INT(APIAUX!C2+APIAUX!D2 - (Configurações!$A$3 / 24)),"")</f>
        <v/>
      </c>
      <c r="Q9" s="223"/>
      <c r="R9" s="224" t="str">
        <f>IFERROR(IF(MOD(APIAUX!C2 + APIAUX!D2 - (Configurações!$A$3 / 24), 1) = 0, "00:00:00", MOD(APIAUX!C2 + APIAUX!D2 - (Configurações!$A$3 / 24), 1)), "")</f>
        <v/>
      </c>
      <c r="S9" s="224"/>
    </row>
    <row r="10" spans="1:26" ht="18" customHeight="1" x14ac:dyDescent="0.25">
      <c r="A10" s="227" t="s">
        <v>375</v>
      </c>
      <c r="B10" s="227"/>
      <c r="C10" s="228">
        <v>1</v>
      </c>
      <c r="D10" s="228"/>
      <c r="G10" s="54" t="s">
        <v>96</v>
      </c>
      <c r="H10" s="221">
        <f>IF($C$8=5,organizador!M5,IF($C$8=10,organizador!V5,organizador!D5))</f>
        <v>69</v>
      </c>
      <c r="I10" s="221"/>
      <c r="J10" s="222">
        <f>IFERROR(INT(APIAUX!A3+APIAUX!B3 - (Configurações!$A$3 / 24)),"")</f>
        <v>45664</v>
      </c>
      <c r="K10" s="223"/>
      <c r="L10" s="224">
        <f>IFERROR(IF(MOD(APIAUX!A3 + APIAUX!B3 - (Configurações!$A$3 / 24), 1) = 0, "00:00:00", MOD(APIAUX!A3 + APIAUX!B3 - (Configurações!$A$3 / 24), 1)), "")</f>
        <v>0.9375</v>
      </c>
      <c r="M10" s="224"/>
      <c r="N10" s="221">
        <f>IF($C$8=5,organizador!O5,IF($C$8=10,organizador!X5,organizador!F5))</f>
        <v>68</v>
      </c>
      <c r="O10" s="221"/>
      <c r="P10" s="222">
        <f>IFERROR(INT(APIAUX!C3+APIAUX!D3 - (Configurações!$A$3 / 24)),"")</f>
        <v>45664</v>
      </c>
      <c r="Q10" s="223"/>
      <c r="R10" s="224">
        <f>IFERROR(IF(MOD(APIAUX!C3 + APIAUX!D3 - (Configurações!$A$3 / 24), 1) = 0, "00:00:00", MOD(APIAUX!C3 + APIAUX!D3 - (Configurações!$A$3 / 24), 1)), "")</f>
        <v>0.94097222221898846</v>
      </c>
      <c r="S10" s="224"/>
    </row>
    <row r="11" spans="1:26" ht="18" customHeight="1" x14ac:dyDescent="0.25">
      <c r="A11" s="227"/>
      <c r="B11" s="227"/>
      <c r="C11" s="228"/>
      <c r="D11" s="228"/>
      <c r="G11" s="54" t="s">
        <v>97</v>
      </c>
      <c r="H11" s="221">
        <f>IF($C$8=5,organizador!M6,IF($C$8=10,organizador!V6,organizador!D6))</f>
        <v>66</v>
      </c>
      <c r="I11" s="221"/>
      <c r="J11" s="222">
        <f>IFERROR(INT(APIAUX!A4+APIAUX!B4 - (Configurações!$A$3 / 24)),"")</f>
        <v>45665</v>
      </c>
      <c r="K11" s="223"/>
      <c r="L11" s="224">
        <f>IFERROR(IF(MOD(APIAUX!A4 + APIAUX!B4 - (Configurações!$A$3 / 24), 1) = 0, "00:00:00", MOD(APIAUX!A4 + APIAUX!B4 - (Configurações!$A$3 / 24), 1)), "")</f>
        <v>0.20833333333575865</v>
      </c>
      <c r="M11" s="224"/>
      <c r="N11" s="221">
        <f>IF($C$8=5,organizador!O6,IF($C$8=10,organizador!X6,organizador!F6))</f>
        <v>67</v>
      </c>
      <c r="O11" s="221"/>
      <c r="P11" s="222">
        <f>IFERROR(INT(APIAUX!C4+APIAUX!D4 - (Configurações!$A$3 / 24)),"")</f>
        <v>45664</v>
      </c>
      <c r="Q11" s="223"/>
      <c r="R11" s="224">
        <f>IFERROR(IF(MOD(APIAUX!C4 + APIAUX!D4 - (Configurações!$A$3 / 24), 1) = 0, "00:00:00", MOD(APIAUX!C4 + APIAUX!D4 - (Configurações!$A$3 / 24), 1)), "")</f>
        <v>0.96527777778101154</v>
      </c>
      <c r="S11" s="224"/>
    </row>
    <row r="12" spans="1:26" ht="22.5" customHeight="1" x14ac:dyDescent="0.25">
      <c r="G12" s="54" t="s">
        <v>98</v>
      </c>
      <c r="H12" s="221">
        <f>IF($C$8=5,organizador!M7,IF($C$8=10,organizador!V7,organizador!D7))</f>
        <v>371</v>
      </c>
      <c r="I12" s="221"/>
      <c r="J12" s="222">
        <f>IFERROR(INT(APIAUX!A5+APIAUX!B5 - (Configurações!$A$3 / 24)),"")</f>
        <v>45665</v>
      </c>
      <c r="K12" s="223"/>
      <c r="L12" s="224">
        <f>IFERROR(IF(MOD(APIAUX!A5 + APIAUX!B5 - (Configurações!$A$3 / 24), 1) = 0, "00:00:00", MOD(APIAUX!A5 + APIAUX!B5 - (Configurações!$A$3 / 24), 1)), "")</f>
        <v>0.12847222221898846</v>
      </c>
      <c r="M12" s="224"/>
      <c r="N12" s="221">
        <f>IF($C$8=5,organizador!O7,IF($C$8=10,organizador!X7,organizador!F7))</f>
        <v>0</v>
      </c>
      <c r="O12" s="221"/>
      <c r="P12" s="222" t="str">
        <f>IFERROR(INT(APIAUX!C5+APIAUX!D5 - (Configurações!$A$3 / 24)),"")</f>
        <v/>
      </c>
      <c r="Q12" s="223"/>
      <c r="R12" s="224" t="str">
        <f>IFERROR(IF(MOD(APIAUX!C5 + APIAUX!D5 - (Configurações!$A$3 / 24), 1) = 0, "00:00:00", MOD(APIAUX!C5 + APIAUX!D5 - (Configurações!$A$3 / 24), 1)), "")</f>
        <v/>
      </c>
      <c r="S12" s="224"/>
    </row>
    <row r="13" spans="1:26" ht="18" customHeight="1" x14ac:dyDescent="0.25">
      <c r="G13" s="54" t="s">
        <v>99</v>
      </c>
      <c r="H13" s="221">
        <f>IF($C$8=5,organizador!M8,IF($C$8=10,organizador!V8,organizador!D8))</f>
        <v>5592</v>
      </c>
      <c r="I13" s="221"/>
      <c r="J13" s="222">
        <f>IFERROR(INT(APIAUX!A6+APIAUX!B6 - (Configurações!$A$3 / 24)),"")</f>
        <v>45665</v>
      </c>
      <c r="K13" s="223"/>
      <c r="L13" s="224">
        <f>IFERROR(IF(MOD(APIAUX!A6 + APIAUX!B6 - (Configurações!$A$3 / 24), 1) = 0, "00:00:00", MOD(APIAUX!A6 + APIAUX!B6 - (Configurações!$A$3 / 24), 1)), "")</f>
        <v>0.125</v>
      </c>
      <c r="M13" s="224"/>
      <c r="N13" s="221">
        <f>IF($C$8=5,organizador!O8,IF($C$8=10,organizador!X8,organizador!F8))</f>
        <v>0</v>
      </c>
      <c r="O13" s="221"/>
      <c r="P13" s="222" t="str">
        <f>IFERROR(INT(APIAUX!C6+APIAUX!D6 - (Configurações!$A$3 / 24)),"")</f>
        <v/>
      </c>
      <c r="Q13" s="223"/>
      <c r="R13" s="224" t="str">
        <f>IFERROR(IF(MOD(APIAUX!C6 + APIAUX!D6 - (Configurações!$A$3 / 24), 1) = 0, "00:00:00", MOD(APIAUX!C6 + APIAUX!D6 - (Configurações!$A$3 / 24), 1)), "")</f>
        <v/>
      </c>
      <c r="S13" s="224"/>
    </row>
    <row r="14" spans="1:26" ht="18" customHeight="1" x14ac:dyDescent="0.25">
      <c r="G14" s="54" t="s">
        <v>100</v>
      </c>
      <c r="H14" s="221">
        <f>IF($C$8=5,organizador!M9,IF($C$8=10,organizador!V9,organizador!D9))</f>
        <v>39999</v>
      </c>
      <c r="I14" s="221"/>
      <c r="J14" s="222">
        <f>IFERROR(INT(APIAUX!A7+APIAUX!B7 - (Configurações!$A$3 / 24)),"")</f>
        <v>45664</v>
      </c>
      <c r="K14" s="223"/>
      <c r="L14" s="224">
        <f>IFERROR(IF(MOD(APIAUX!A7 + APIAUX!B7 - (Configurações!$A$3 / 24), 1) = 0, "00:00:00", MOD(APIAUX!A7 + APIAUX!B7 - (Configurações!$A$3 / 24), 1)), "")</f>
        <v>0.87152777778101154</v>
      </c>
      <c r="M14" s="224"/>
      <c r="N14" s="221">
        <f>IF($C$8=5,organizador!O9,IF($C$8=10,organizador!X9,organizador!F9))</f>
        <v>0</v>
      </c>
      <c r="O14" s="221"/>
      <c r="P14" s="222" t="str">
        <f>IFERROR(INT(APIAUX!C7+APIAUX!D7 - (Configurações!$A$3 / 24)),"")</f>
        <v/>
      </c>
      <c r="Q14" s="223"/>
      <c r="R14" s="224" t="str">
        <f>IFERROR(IF(MOD(APIAUX!C7 + APIAUX!D7 - (Configurações!$A$3 / 24), 1) = 0, "00:00:00", MOD(APIAUX!C7 + APIAUX!D7 - (Configurações!$A$3 / 24), 1)), "")</f>
        <v/>
      </c>
      <c r="S14" s="224"/>
    </row>
    <row r="15" spans="1:26" ht="18" customHeight="1" x14ac:dyDescent="0.25">
      <c r="G15" s="55" t="s">
        <v>101</v>
      </c>
      <c r="H15" s="221">
        <f>IF($C$8=5,organizador!M10,IF($C$8=10,organizador!V10,organizador!D10))</f>
        <v>248</v>
      </c>
      <c r="I15" s="221"/>
      <c r="J15" s="222">
        <f>IFERROR(INT(APIAUX!A8+APIAUX!B8 - (Configurações!$A$3 / 24)),"")</f>
        <v>45665</v>
      </c>
      <c r="K15" s="223"/>
      <c r="L15" s="224">
        <f>IFERROR(IF(MOD(APIAUX!A8 + APIAUX!B8 - (Configurações!$A$3 / 24), 1) = 0, "00:00:00", MOD(APIAUX!A8 + APIAUX!B8 - (Configurações!$A$3 / 24), 1)), "")</f>
        <v>0.29166666666424135</v>
      </c>
      <c r="M15" s="224"/>
      <c r="N15" s="221">
        <f>IF($C$8=5,organizador!O10,IF($C$8=10,organizador!X10,organizador!F10))</f>
        <v>245</v>
      </c>
      <c r="O15" s="221"/>
      <c r="P15" s="222">
        <f>IFERROR(INT(APIAUX!C8+APIAUX!D8 - (Configurações!$A$3 / 24)),"")</f>
        <v>45665</v>
      </c>
      <c r="Q15" s="223"/>
      <c r="R15" s="224">
        <f>IFERROR(IF(MOD(APIAUX!C8 + APIAUX!D8 - (Configurações!$A$3 / 24), 1) = 0, "00:00:00", MOD(APIAUX!C8 + APIAUX!D8 - (Configurações!$A$3 / 24), 1)), "")</f>
        <v>0.29166666666424135</v>
      </c>
      <c r="S15" s="224"/>
    </row>
    <row r="16" spans="1:26" ht="18" customHeight="1" x14ac:dyDescent="0.25">
      <c r="G16" s="55" t="s">
        <v>102</v>
      </c>
      <c r="H16" s="221">
        <f>IF($C$8=5,organizador!M11,IF($C$8=10,organizador!V11,organizador!D11))</f>
        <v>319</v>
      </c>
      <c r="I16" s="221"/>
      <c r="J16" s="222">
        <f>IFERROR(INT(APIAUX!A9+APIAUX!B9 - (Configurações!$A$3 / 24)),"")</f>
        <v>45665</v>
      </c>
      <c r="K16" s="223"/>
      <c r="L16" s="224">
        <f>IFERROR(IF(MOD(APIAUX!A9 + APIAUX!B9 - (Configurações!$A$3 / 24), 1) = 0, "00:00:00", MOD(APIAUX!A9 + APIAUX!B9 - (Configurações!$A$3 / 24), 1)), "")</f>
        <v>0.125</v>
      </c>
      <c r="M16" s="224"/>
      <c r="N16" s="221">
        <f>IF($C$8=5,organizador!O11,IF($C$8=10,organizador!X11,organizador!F11))</f>
        <v>0</v>
      </c>
      <c r="O16" s="221"/>
      <c r="P16" s="222" t="str">
        <f>IFERROR(INT(APIAUX!C9+APIAUX!D9 - (Configurações!$A$3 / 24)),"")</f>
        <v/>
      </c>
      <c r="Q16" s="223"/>
      <c r="R16" s="224" t="str">
        <f>IFERROR(IF(MOD(APIAUX!C9 + APIAUX!D9 - (Configurações!$A$3 / 24), 1) = 0, "00:00:00", MOD(APIAUX!C9 + APIAUX!D9 - (Configurações!$A$3 / 24), 1)), "")</f>
        <v/>
      </c>
      <c r="S16" s="224"/>
    </row>
    <row r="17" spans="7:19" ht="18" customHeight="1" x14ac:dyDescent="0.25">
      <c r="G17" s="55" t="s">
        <v>103</v>
      </c>
      <c r="H17" s="221">
        <f>IF($C$8=5,organizador!M12,IF($C$8=10,organizador!V12,organizador!D12))</f>
        <v>0</v>
      </c>
      <c r="I17" s="221"/>
      <c r="J17" s="222" t="str">
        <f>IFERROR(INT(APIAUX!A10+APIAUX!B10 - (Configurações!$A$3 / 24)),"")</f>
        <v/>
      </c>
      <c r="K17" s="223"/>
      <c r="L17" s="224" t="str">
        <f>IFERROR(IF(MOD(APIAUX!A10 + APIAUX!B10 - (Configurações!$A$3 / 24), 1) = 0, "00:00:00", MOD(APIAUX!A10 + APIAUX!B10 - (Configurações!$A$3 / 24), 1)), "")</f>
        <v/>
      </c>
      <c r="M17" s="224"/>
      <c r="N17" s="221">
        <f>IF($C$8=5,organizador!O12,IF($C$8=10,organizador!X12,organizador!F12))</f>
        <v>0</v>
      </c>
      <c r="O17" s="221"/>
      <c r="P17" s="222" t="str">
        <f>IFERROR(INT(APIAUX!C10+APIAUX!D10 - (Configurações!$A$3 / 24)),"")</f>
        <v/>
      </c>
      <c r="Q17" s="223"/>
      <c r="R17" s="224" t="str">
        <f>IFERROR(IF(MOD(APIAUX!C10 + APIAUX!D10 - (Configurações!$A$3 / 24), 1) = 0, "00:00:00", MOD(APIAUX!C10 + APIAUX!D10 - (Configurações!$A$3 / 24), 1)), "")</f>
        <v/>
      </c>
      <c r="S17" s="224"/>
    </row>
    <row r="18" spans="7:19" ht="18" customHeight="1" x14ac:dyDescent="0.25">
      <c r="G18" s="55" t="s">
        <v>104</v>
      </c>
      <c r="H18" s="221">
        <f>IF($C$8=5,organizador!M13,IF($C$8=10,organizador!V13,organizador!D13))</f>
        <v>0</v>
      </c>
      <c r="I18" s="221"/>
      <c r="J18" s="222" t="str">
        <f>IFERROR(INT(APIAUX!A11+APIAUX!B11 - (Configurações!$A$3 / 24)),"")</f>
        <v/>
      </c>
      <c r="K18" s="223"/>
      <c r="L18" s="224" t="str">
        <f>IFERROR(IF(MOD(APIAUX!A11 + APIAUX!B11 - (Configurações!$A$3 / 24), 1) = 0, "00:00:00", MOD(APIAUX!A11 + APIAUX!B11 - (Configurações!$A$3 / 24), 1)), "")</f>
        <v/>
      </c>
      <c r="M18" s="224"/>
      <c r="N18" s="221">
        <f>IF($C$8=5,organizador!O13,IF($C$8=10,organizador!X13,organizador!F13))</f>
        <v>0</v>
      </c>
      <c r="O18" s="221"/>
      <c r="P18" s="222" t="str">
        <f>IFERROR(INT(APIAUX!C11+APIAUX!D11 - (Configurações!$A$3 / 24)),"")</f>
        <v/>
      </c>
      <c r="Q18" s="223"/>
      <c r="R18" s="224" t="str">
        <f>IFERROR(IF(MOD(APIAUX!C11 + APIAUX!D11 - (Configurações!$A$3 / 24), 1) = 0, "00:00:00", MOD(APIAUX!C11 + APIAUX!D11 - (Configurações!$A$3 / 24), 1)), "")</f>
        <v/>
      </c>
      <c r="S18" s="224"/>
    </row>
    <row r="19" spans="7:19" ht="18" customHeight="1" x14ac:dyDescent="0.25">
      <c r="G19" s="55" t="s">
        <v>105</v>
      </c>
      <c r="H19" s="221">
        <f>IF($C$8=5,organizador!M14,IF($C$8=10,organizador!V14,organizador!D14))</f>
        <v>0</v>
      </c>
      <c r="I19" s="221"/>
      <c r="J19" s="222" t="str">
        <f>IFERROR(INT(APIAUX!A12+APIAUX!B12 - (Configurações!$A$3 / 24)),"")</f>
        <v/>
      </c>
      <c r="K19" s="223"/>
      <c r="L19" s="224" t="str">
        <f>IFERROR(IF(MOD(APIAUX!A12 + APIAUX!B12 - (Configurações!$A$3 / 24), 1) = 0, "00:00:00", MOD(APIAUX!A12 + APIAUX!B12 - (Configurações!$A$3 / 24), 1)), "")</f>
        <v/>
      </c>
      <c r="M19" s="224"/>
      <c r="N19" s="221">
        <f>IF($C$8=5,organizador!O14,IF($C$8=10,organizador!X14,organizador!F14))</f>
        <v>0</v>
      </c>
      <c r="O19" s="221"/>
      <c r="P19" s="222" t="str">
        <f>IFERROR(INT(APIAUX!C12+APIAUX!D12 - (Configurações!$A$3 / 24)),"")</f>
        <v/>
      </c>
      <c r="Q19" s="223"/>
      <c r="R19" s="224" t="str">
        <f>IFERROR(IF(MOD(APIAUX!C12 + APIAUX!D12 - (Configurações!$A$3 / 24), 1) = 0, "00:00:00", MOD(APIAUX!C12 + APIAUX!D12 - (Configurações!$A$3 / 24), 1)), "")</f>
        <v/>
      </c>
      <c r="S19" s="224"/>
    </row>
    <row r="20" spans="7:19" ht="18" customHeight="1" x14ac:dyDescent="0.25">
      <c r="G20" s="56" t="s">
        <v>106</v>
      </c>
      <c r="H20" s="221">
        <f>IF($C$8=5,organizador!M15,IF($C$8=10,organizador!V15,organizador!D15))</f>
        <v>546</v>
      </c>
      <c r="I20" s="221"/>
      <c r="J20" s="222">
        <f>IFERROR(INT(APIAUX!A13+APIAUX!B13 - (Configurações!$A$3 / 24)),"")</f>
        <v>45665</v>
      </c>
      <c r="K20" s="223"/>
      <c r="L20" s="224">
        <f>IFERROR(IF(MOD(APIAUX!A13 + APIAUX!B13 - (Configurações!$A$3 / 24), 1) = 0, "00:00:00", MOD(APIAUX!A13 + APIAUX!B13 - (Configurações!$A$3 / 24), 1)), "")</f>
        <v>0.55208333333575865</v>
      </c>
      <c r="M20" s="224"/>
      <c r="N20" s="221">
        <f>IF($C$8=5,organizador!O15,IF($C$8=10,organizador!X15,organizador!F15))</f>
        <v>561</v>
      </c>
      <c r="O20" s="221"/>
      <c r="P20" s="222">
        <f>IFERROR(INT(APIAUX!C13+APIAUX!D13 - (Configurações!$A$3 / 24)),"")</f>
        <v>45664</v>
      </c>
      <c r="Q20" s="223"/>
      <c r="R20" s="224">
        <f>IFERROR(IF(MOD(APIAUX!C13 + APIAUX!D13 - (Configurações!$A$3 / 24), 1) = 0, "00:00:00", MOD(APIAUX!C13 + APIAUX!D13 - (Configurações!$A$3 / 24), 1)), "")</f>
        <v>0.96527777778101154</v>
      </c>
      <c r="S20" s="224"/>
    </row>
    <row r="21" spans="7:19" ht="18" customHeight="1" x14ac:dyDescent="0.25">
      <c r="G21" s="56" t="s">
        <v>107</v>
      </c>
      <c r="H21" s="221">
        <f>IF($C$8=5,organizador!M16,IF($C$8=10,organizador!V16,organizador!D16))</f>
        <v>978</v>
      </c>
      <c r="I21" s="221"/>
      <c r="J21" s="222">
        <f>IFERROR(INT(APIAUX!A14+APIAUX!B14 - (Configurações!$A$3 / 24)),"")</f>
        <v>45665</v>
      </c>
      <c r="K21" s="223"/>
      <c r="L21" s="224">
        <f>IFERROR(IF(MOD(APIAUX!A14 + APIAUX!B14 - (Configurações!$A$3 / 24), 1) = 0, "00:00:00", MOD(APIAUX!A14 + APIAUX!B14 - (Configurações!$A$3 / 24), 1)), "")</f>
        <v>0.75694444444525288</v>
      </c>
      <c r="M21" s="224"/>
      <c r="N21" s="221">
        <f>IF($C$8=5,organizador!O16,IF($C$8=10,organizador!X16,organizador!F16))</f>
        <v>977</v>
      </c>
      <c r="O21" s="221"/>
      <c r="P21" s="222">
        <f>IFERROR(INT(APIAUX!C14+APIAUX!D14 - (Configurações!$A$3 / 24)),"")</f>
        <v>45665</v>
      </c>
      <c r="Q21" s="223"/>
      <c r="R21" s="224">
        <f>IFERROR(IF(MOD(APIAUX!C14 + APIAUX!D14 - (Configurações!$A$3 / 24), 1) = 0, "00:00:00", MOD(APIAUX!C14 + APIAUX!D14 - (Configurações!$A$3 / 24), 1)), "")</f>
        <v>0.75694444444525288</v>
      </c>
      <c r="S21" s="224"/>
    </row>
    <row r="22" spans="7:19" ht="18" customHeight="1" x14ac:dyDescent="0.25">
      <c r="G22" s="56" t="s">
        <v>108</v>
      </c>
      <c r="H22" s="221">
        <f>IF($C$8=5,organizador!M17,IF($C$8=10,organizador!V17,organizador!D17))</f>
        <v>6290</v>
      </c>
      <c r="I22" s="221"/>
      <c r="J22" s="222">
        <f>IFERROR(INT(APIAUX!A15+APIAUX!B15 - (Configurações!$A$3 / 24)),"")</f>
        <v>45665</v>
      </c>
      <c r="K22" s="223"/>
      <c r="L22" s="224">
        <f>IFERROR(IF(MOD(APIAUX!A15 + APIAUX!B15 - (Configurações!$A$3 / 24), 1) = 0, "00:00:00", MOD(APIAUX!A15 + APIAUX!B15 - (Configurações!$A$3 / 24), 1)), "")</f>
        <v>0.75694444444525288</v>
      </c>
      <c r="M22" s="224"/>
      <c r="N22" s="221">
        <f>IF($C$8=5,organizador!O17,IF($C$8=10,organizador!X17,organizador!F17))</f>
        <v>5801</v>
      </c>
      <c r="O22" s="221"/>
      <c r="P22" s="222">
        <f>IFERROR(INT(APIAUX!C15+APIAUX!D15 - (Configurações!$A$3 / 24)),"")</f>
        <v>45665</v>
      </c>
      <c r="Q22" s="223"/>
      <c r="R22" s="224">
        <f>IFERROR(IF(MOD(APIAUX!C15 + APIAUX!D15 - (Configurações!$A$3 / 24), 1) = 0, "00:00:00", MOD(APIAUX!C15 + APIAUX!D15 - (Configurações!$A$3 / 24), 1)), "")</f>
        <v>0.75694444444525288</v>
      </c>
      <c r="S22" s="224"/>
    </row>
    <row r="23" spans="7:19" ht="18" customHeight="1" x14ac:dyDescent="0.25">
      <c r="G23" s="56" t="s">
        <v>109</v>
      </c>
      <c r="H23" s="221">
        <f>IF($C$8=5,organizador!M18,IF($C$8=10,organizador!V18,organizador!D18))</f>
        <v>18888</v>
      </c>
      <c r="I23" s="221"/>
      <c r="J23" s="222">
        <f>IFERROR(INT(APIAUX!A16+APIAUX!B16 - (Configurações!$A$3 / 24)),"")</f>
        <v>45664</v>
      </c>
      <c r="K23" s="223"/>
      <c r="L23" s="224">
        <f>IFERROR(IF(MOD(APIAUX!A16 + APIAUX!B16 - (Configurações!$A$3 / 24), 1) = 0, "00:00:00", MOD(APIAUX!A16 + APIAUX!B16 - (Configurações!$A$3 / 24), 1)), "")</f>
        <v>0.84722222221898846</v>
      </c>
      <c r="M23" s="224"/>
      <c r="N23" s="221">
        <f>IF($C$8=5,organizador!O18,IF($C$8=10,organizador!X18,organizador!F18))</f>
        <v>0</v>
      </c>
      <c r="O23" s="221"/>
      <c r="P23" s="222" t="str">
        <f>IFERROR(INT(APIAUX!C16+APIAUX!D16 - (Configurações!$A$3 / 24)),"")</f>
        <v/>
      </c>
      <c r="Q23" s="223"/>
      <c r="R23" s="224" t="str">
        <f>IFERROR(IF(MOD(APIAUX!C16 + APIAUX!D16 - (Configurações!$A$3 / 24), 1) = 0, "00:00:00", MOD(APIAUX!C16 + APIAUX!D16 - (Configurações!$A$3 / 24), 1)), "")</f>
        <v/>
      </c>
      <c r="S23" s="224"/>
    </row>
    <row r="24" spans="7:19" ht="18" customHeight="1" x14ac:dyDescent="0.25">
      <c r="G24" s="56" t="s">
        <v>110</v>
      </c>
      <c r="H24" s="221">
        <f>IF($C$8=5,organizador!M19,IF($C$8=10,organizador!V19,organizador!D19))</f>
        <v>93998</v>
      </c>
      <c r="I24" s="221"/>
      <c r="J24" s="222">
        <f>IFERROR(INT(APIAUX!A17+APIAUX!B17 - (Configurações!$A$3 / 24)),"")</f>
        <v>45665</v>
      </c>
      <c r="K24" s="223"/>
      <c r="L24" s="224">
        <f>IFERROR(IF(MOD(APIAUX!A17 + APIAUX!B17 - (Configurações!$A$3 / 24), 1) = 0, "00:00:00", MOD(APIAUX!A17 + APIAUX!B17 - (Configurações!$A$3 / 24), 1)), "")</f>
        <v>0.26041666666424135</v>
      </c>
      <c r="M24" s="224"/>
      <c r="N24" s="221">
        <f>IF($C$8=5,organizador!O19,IF($C$8=10,organizador!X19,organizador!F19))</f>
        <v>0</v>
      </c>
      <c r="O24" s="221"/>
      <c r="P24" s="222" t="str">
        <f>IFERROR(INT(APIAUX!C17+APIAUX!D17 - (Configurações!$A$3 / 24)),"")</f>
        <v/>
      </c>
      <c r="Q24" s="223"/>
      <c r="R24" s="224" t="str">
        <f>IFERROR(IF(MOD(APIAUX!C17 + APIAUX!D17 - (Configurações!$A$3 / 24), 1) = 0, "00:00:00", MOD(APIAUX!C17 + APIAUX!D17 - (Configurações!$A$3 / 24), 1)), "")</f>
        <v/>
      </c>
      <c r="S24" s="224"/>
    </row>
    <row r="25" spans="7:19" ht="18" customHeight="1" x14ac:dyDescent="0.25">
      <c r="G25" s="57" t="s">
        <v>111</v>
      </c>
      <c r="H25" s="221">
        <f>IF($C$8=5,organizador!M20,IF($C$8=10,organizador!V20,organizador!D20))</f>
        <v>1717</v>
      </c>
      <c r="I25" s="221"/>
      <c r="J25" s="222">
        <f>IFERROR(INT(APIAUX!A18+APIAUX!B18 - (Configurações!$A$3 / 24)),"")</f>
        <v>45665</v>
      </c>
      <c r="K25" s="223"/>
      <c r="L25" s="224">
        <f>IFERROR(IF(MOD(APIAUX!A18 + APIAUX!B18 - (Configurações!$A$3 / 24), 1) = 0, "00:00:00", MOD(APIAUX!A18 + APIAUX!B18 - (Configurações!$A$3 / 24), 1)), "")</f>
        <v>0.75694444444525288</v>
      </c>
      <c r="M25" s="224"/>
      <c r="N25" s="221">
        <f>IF($C$8=5,organizador!O20,IF($C$8=10,organizador!X20,organizador!F20))</f>
        <v>1612</v>
      </c>
      <c r="O25" s="221"/>
      <c r="P25" s="222">
        <f>IFERROR(INT(APIAUX!C18+APIAUX!D18 - (Configurações!$A$3 / 24)),"")</f>
        <v>45665</v>
      </c>
      <c r="Q25" s="223"/>
      <c r="R25" s="224">
        <f>IFERROR(IF(MOD(APIAUX!C18 + APIAUX!D18 - (Configurações!$A$3 / 24), 1) = 0, "00:00:00", MOD(APIAUX!C18 + APIAUX!D18 - (Configurações!$A$3 / 24), 1)), "")</f>
        <v>0.75694444444525288</v>
      </c>
      <c r="S25" s="224"/>
    </row>
    <row r="26" spans="7:19" ht="18" customHeight="1" x14ac:dyDescent="0.25">
      <c r="G26" s="57" t="s">
        <v>112</v>
      </c>
      <c r="H26" s="221">
        <f>IF($C$8=5,organizador!M21,IF($C$8=10,organizador!V21,organizador!D21))</f>
        <v>3737</v>
      </c>
      <c r="I26" s="221"/>
      <c r="J26" s="222">
        <f>IFERROR(INT(APIAUX!A19+APIAUX!B19 - (Configurações!$A$3 / 24)),"")</f>
        <v>45665</v>
      </c>
      <c r="K26" s="223"/>
      <c r="L26" s="224">
        <f>IFERROR(IF(MOD(APIAUX!A19 + APIAUX!B19 - (Configurações!$A$3 / 24), 1) = 0, "00:00:00", MOD(APIAUX!A19 + APIAUX!B19 - (Configurações!$A$3 / 24), 1)), "")</f>
        <v>0.75694444444525288</v>
      </c>
      <c r="M26" s="224"/>
      <c r="N26" s="221">
        <f>IF($C$8=5,organizador!O21,IF($C$8=10,organizador!X21,organizador!F21))</f>
        <v>3153</v>
      </c>
      <c r="O26" s="221"/>
      <c r="P26" s="222">
        <f>IFERROR(INT(APIAUX!C19+APIAUX!D19 - (Configurações!$A$3 / 24)),"")</f>
        <v>45665</v>
      </c>
      <c r="Q26" s="223"/>
      <c r="R26" s="224">
        <f>IFERROR(IF(MOD(APIAUX!C19 + APIAUX!D19 - (Configurações!$A$3 / 24), 1) = 0, "00:00:00", MOD(APIAUX!C19 + APIAUX!D19 - (Configurações!$A$3 / 24), 1)), "")</f>
        <v>0.75694444444525288</v>
      </c>
      <c r="S26" s="224"/>
    </row>
    <row r="27" spans="7:19" ht="18" customHeight="1" x14ac:dyDescent="0.25">
      <c r="G27" s="57" t="s">
        <v>113</v>
      </c>
      <c r="H27" s="221">
        <f>IF($C$8=5,organizador!M22,IF($C$8=10,organizador!V22,organizador!D22))</f>
        <v>9000</v>
      </c>
      <c r="I27" s="221"/>
      <c r="J27" s="222">
        <f>IFERROR(INT(APIAUX!A20+APIAUX!B20 - (Configurações!$A$3 / 24)),"")</f>
        <v>45665</v>
      </c>
      <c r="K27" s="223"/>
      <c r="L27" s="224">
        <f>IFERROR(IF(MOD(APIAUX!A20 + APIAUX!B20 - (Configurações!$A$3 / 24), 1) = 0, "00:00:00", MOD(APIAUX!A20 + APIAUX!B20 - (Configurações!$A$3 / 24), 1)), "")</f>
        <v>0.26041666666424135</v>
      </c>
      <c r="M27" s="224"/>
      <c r="N27" s="221">
        <f>IF($C$8=5,organizador!O22,IF($C$8=10,organizador!X22,organizador!F22))</f>
        <v>0</v>
      </c>
      <c r="O27" s="221"/>
      <c r="P27" s="222" t="str">
        <f>IFERROR(INT(APIAUX!C20+APIAUX!D20 - (Configurações!$A$3 / 24)),"")</f>
        <v/>
      </c>
      <c r="Q27" s="223"/>
      <c r="R27" s="224" t="str">
        <f>IFERROR(IF(MOD(APIAUX!C20 + APIAUX!D20 - (Configurações!$A$3 / 24), 1) = 0, "00:00:00", MOD(APIAUX!C20 + APIAUX!D20 - (Configurações!$A$3 / 24), 1)), "")</f>
        <v/>
      </c>
      <c r="S27" s="224"/>
    </row>
    <row r="28" spans="7:19" ht="18" customHeight="1" x14ac:dyDescent="0.25">
      <c r="G28" s="57" t="s">
        <v>114</v>
      </c>
      <c r="H28" s="221">
        <f>IF($C$8=5,organizador!M23,IF($C$8=10,organizador!V23,organizador!D23))</f>
        <v>57987</v>
      </c>
      <c r="I28" s="221"/>
      <c r="J28" s="222">
        <f>IFERROR(INT(APIAUX!A21+APIAUX!B21 - (Configurações!$A$3 / 24)),"")</f>
        <v>45665</v>
      </c>
      <c r="K28" s="223"/>
      <c r="L28" s="224">
        <f>IFERROR(IF(MOD(APIAUX!A21 + APIAUX!B21 - (Configurações!$A$3 / 24), 1) = 0, "00:00:00", MOD(APIAUX!A21 + APIAUX!B21 - (Configurações!$A$3 / 24), 1)), "")</f>
        <v>0.43402777778101154</v>
      </c>
      <c r="M28" s="224"/>
      <c r="N28" s="221">
        <f>IF($C$8=5,organizador!O23,IF($C$8=10,organizador!X23,organizador!F23))</f>
        <v>0</v>
      </c>
      <c r="O28" s="221"/>
      <c r="P28" s="222" t="str">
        <f>IFERROR(INT(APIAUX!C21+APIAUX!D21 - (Configurações!$A$3 / 24)),"")</f>
        <v/>
      </c>
      <c r="Q28" s="223"/>
      <c r="R28" s="224" t="str">
        <f>IFERROR(IF(MOD(APIAUX!C21 + APIAUX!D21 - (Configurações!$A$3 / 24), 1) = 0, "00:00:00", MOD(APIAUX!C21 + APIAUX!D21 - (Configurações!$A$3 / 24), 1)), "")</f>
        <v/>
      </c>
      <c r="S28" s="224"/>
    </row>
    <row r="29" spans="7:19" ht="18" customHeight="1" x14ac:dyDescent="0.25">
      <c r="G29" s="57" t="s">
        <v>115</v>
      </c>
      <c r="H29" s="221">
        <f>IF($C$8=5,organizador!M24,IF($C$8=10,organizador!V24,organizador!D24))</f>
        <v>0</v>
      </c>
      <c r="I29" s="221"/>
      <c r="J29" s="222" t="str">
        <f>IFERROR(INT(APIAUX!A22+APIAUX!B22 - (Configurações!$A$3 / 24)),"")</f>
        <v/>
      </c>
      <c r="K29" s="223"/>
      <c r="L29" s="224" t="str">
        <f>IFERROR(IF(MOD(APIAUX!A22 + APIAUX!B22 - (Configurações!$A$3 / 24), 1) = 0, "00:00:00", MOD(APIAUX!A22 + APIAUX!B22 - (Configurações!$A$3 / 24), 1)), "")</f>
        <v/>
      </c>
      <c r="M29" s="224"/>
      <c r="N29" s="221">
        <f>IF($C$8=5,organizador!O24,IF($C$8=10,organizador!X24,organizador!F24))</f>
        <v>0</v>
      </c>
      <c r="O29" s="221"/>
      <c r="P29" s="222" t="str">
        <f>IFERROR(INT(APIAUX!C22+APIAUX!D22 - (Configurações!$A$3 / 24)),"")</f>
        <v/>
      </c>
      <c r="Q29" s="223"/>
      <c r="R29" s="224" t="str">
        <f>IFERROR(IF(MOD(APIAUX!C22 + APIAUX!D22 - (Configurações!$A$3 / 24), 1) = 0, "00:00:00", MOD(APIAUX!C22 + APIAUX!D22 - (Configurações!$A$3 / 24), 1)), "")</f>
        <v/>
      </c>
      <c r="S29" s="224"/>
    </row>
    <row r="30" spans="7:19" ht="18" customHeight="1" x14ac:dyDescent="0.25">
      <c r="G30" s="43" t="s">
        <v>116</v>
      </c>
      <c r="H30" s="221">
        <f>IF($C$8=5,organizador!M25,IF($C$8=10,organizador!V25,organizador!D25))</f>
        <v>7218</v>
      </c>
      <c r="I30" s="221"/>
      <c r="J30" s="222">
        <f>IFERROR(INT(APIAUX!A23+APIAUX!B23 - (Configurações!$A$3 / 24)),"")</f>
        <v>45665</v>
      </c>
      <c r="K30" s="223"/>
      <c r="L30" s="224">
        <f>IFERROR(IF(MOD(APIAUX!A23 + APIAUX!B23 - (Configurações!$A$3 / 24), 1) = 0, "00:00:00", MOD(APIAUX!A23 + APIAUX!B23 - (Configurações!$A$3 / 24), 1)), "")</f>
        <v>0.75694444444525288</v>
      </c>
      <c r="M30" s="224"/>
      <c r="N30" s="221">
        <f>IF($C$8=5,organizador!O25,IF($C$8=10,organizador!X25,organizador!F25))</f>
        <v>6386</v>
      </c>
      <c r="O30" s="221"/>
      <c r="P30" s="222">
        <f>IFERROR(INT(APIAUX!C23+APIAUX!D23 - (Configurações!$A$3 / 24)),"")</f>
        <v>45665</v>
      </c>
      <c r="Q30" s="223"/>
      <c r="R30" s="224">
        <f>IFERROR(IF(MOD(APIAUX!C23 + APIAUX!D23 - (Configurações!$A$3 / 24), 1) = 0, "00:00:00", MOD(APIAUX!C23 + APIAUX!D23 - (Configurações!$A$3 / 24), 1)), "")</f>
        <v>0.75694444444525288</v>
      </c>
      <c r="S30" s="224"/>
    </row>
    <row r="31" spans="7:19" ht="18" customHeight="1" x14ac:dyDescent="0.25">
      <c r="G31" s="43" t="s">
        <v>117</v>
      </c>
      <c r="H31" s="221">
        <f>IF($C$8=5,organizador!M26,IF($C$8=10,organizador!V26,organizador!D26))</f>
        <v>14489</v>
      </c>
      <c r="I31" s="221"/>
      <c r="J31" s="222">
        <f>IFERROR(INT(APIAUX!A24+APIAUX!B24 - (Configurações!$A$3 / 24)),"")</f>
        <v>45665</v>
      </c>
      <c r="K31" s="223"/>
      <c r="L31" s="224">
        <f>IFERROR(IF(MOD(APIAUX!A24 + APIAUX!B24 - (Configurações!$A$3 / 24), 1) = 0, "00:00:00", MOD(APIAUX!A24 + APIAUX!B24 - (Configurações!$A$3 / 24), 1)), "")</f>
        <v>0.75694444444525288</v>
      </c>
      <c r="M31" s="224"/>
      <c r="N31" s="221">
        <f>IF($C$8=5,organizador!O26,IF($C$8=10,organizador!X26,organizador!F26))</f>
        <v>7240</v>
      </c>
      <c r="O31" s="221"/>
      <c r="P31" s="222">
        <f>IFERROR(INT(APIAUX!C24+APIAUX!D24 - (Configurações!$A$3 / 24)),"")</f>
        <v>45665</v>
      </c>
      <c r="Q31" s="223"/>
      <c r="R31" s="224">
        <f>IFERROR(IF(MOD(APIAUX!C24 + APIAUX!D24 - (Configurações!$A$3 / 24), 1) = 0, "00:00:00", MOD(APIAUX!C24 + APIAUX!D24 - (Configurações!$A$3 / 24), 1)), "")</f>
        <v>0.75694444444525288</v>
      </c>
      <c r="S31" s="224"/>
    </row>
    <row r="32" spans="7:19" ht="18" customHeight="1" x14ac:dyDescent="0.25">
      <c r="G32" s="43" t="s">
        <v>118</v>
      </c>
      <c r="H32" s="221">
        <f>IF($C$8=5,organizador!M27,IF($C$8=10,organizador!V27,organizador!D27))</f>
        <v>53890</v>
      </c>
      <c r="I32" s="221"/>
      <c r="J32" s="222">
        <f>IFERROR(INT(APIAUX!A25+APIAUX!B25 - (Configurações!$A$3 / 24)),"")</f>
        <v>45665</v>
      </c>
      <c r="K32" s="223"/>
      <c r="L32" s="224">
        <f>IFERROR(IF(MOD(APIAUX!A25 + APIAUX!B25 - (Configurações!$A$3 / 24), 1) = 0, "00:00:00", MOD(APIAUX!A25 + APIAUX!B25 - (Configurações!$A$3 / 24), 1)), "")</f>
        <v>0.26041666666424135</v>
      </c>
      <c r="M32" s="224"/>
      <c r="N32" s="221">
        <f>IF($C$8=5,organizador!O27,IF($C$8=10,organizador!X27,organizador!F27))</f>
        <v>0</v>
      </c>
      <c r="O32" s="221"/>
      <c r="P32" s="222" t="str">
        <f>IFERROR(INT(APIAUX!C25+APIAUX!D25 - (Configurações!$A$3 / 24)),"")</f>
        <v/>
      </c>
      <c r="Q32" s="223"/>
      <c r="R32" s="224" t="str">
        <f>IFERROR(IF(MOD(APIAUX!C25 + APIAUX!D25 - (Configurações!$A$3 / 24), 1) = 0, "00:00:00", MOD(APIAUX!C25 + APIAUX!D25 - (Configurações!$A$3 / 24), 1)), "")</f>
        <v/>
      </c>
      <c r="S32" s="224"/>
    </row>
    <row r="33" spans="7:19" ht="18" customHeight="1" x14ac:dyDescent="0.25">
      <c r="G33" s="43" t="s">
        <v>119</v>
      </c>
      <c r="H33" s="221">
        <f>IF($C$8=5,organizador!M28,IF($C$8=10,organizador!V28,organizador!D28))</f>
        <v>178000</v>
      </c>
      <c r="I33" s="221"/>
      <c r="J33" s="222">
        <f>IFERROR(INT(APIAUX!A26+APIAUX!B26 - (Configurações!$A$3 / 24)),"")</f>
        <v>45665</v>
      </c>
      <c r="K33" s="223"/>
      <c r="L33" s="224">
        <f>IFERROR(IF(MOD(APIAUX!A26 + APIAUX!B26 - (Configurações!$A$3 / 24), 1) = 0, "00:00:00", MOD(APIAUX!A26 + APIAUX!B26 - (Configurações!$A$3 / 24), 1)), "")</f>
        <v>0.40625</v>
      </c>
      <c r="M33" s="224"/>
      <c r="N33" s="221">
        <f>IF($C$8=5,organizador!O28,IF($C$8=10,organizador!X28,organizador!F28))</f>
        <v>0</v>
      </c>
      <c r="O33" s="221"/>
      <c r="P33" s="222" t="str">
        <f>IFERROR(INT(APIAUX!C26+APIAUX!D26 - (Configurações!$A$3 / 24)),"")</f>
        <v/>
      </c>
      <c r="Q33" s="223"/>
      <c r="R33" s="224" t="str">
        <f>IFERROR(IF(MOD(APIAUX!C26 + APIAUX!D26 - (Configurações!$A$3 / 24), 1) = 0, "00:00:00", MOD(APIAUX!C26 + APIAUX!D26 - (Configurações!$A$3 / 24), 1)), "")</f>
        <v/>
      </c>
      <c r="S33" s="224"/>
    </row>
    <row r="34" spans="7:19" ht="18" customHeight="1" x14ac:dyDescent="0.25">
      <c r="G34" s="43" t="s">
        <v>120</v>
      </c>
      <c r="H34" s="221">
        <f>IF($C$8=5,organizador!M29,IF($C$8=10,organizador!V29,organizador!D29))</f>
        <v>850000</v>
      </c>
      <c r="I34" s="221"/>
      <c r="J34" s="222">
        <f>IFERROR(INT(APIAUX!A27+APIAUX!B27 - (Configurações!$A$3 / 24)),"")</f>
        <v>45665</v>
      </c>
      <c r="K34" s="223"/>
      <c r="L34" s="224">
        <f>IFERROR(IF(MOD(APIAUX!A27 + APIAUX!B27 - (Configurações!$A$3 / 24), 1) = 0, "00:00:00", MOD(APIAUX!A27 + APIAUX!B27 - (Configurações!$A$3 / 24), 1)), "")</f>
        <v>0.26041666666424135</v>
      </c>
      <c r="M34" s="224"/>
      <c r="N34" s="221">
        <f>IF($C$8=5,organizador!O29,IF($C$8=10,organizador!X29,organizador!F29))</f>
        <v>0</v>
      </c>
      <c r="O34" s="221"/>
      <c r="P34" s="222" t="str">
        <f>IFERROR(INT(APIAUX!C27+APIAUX!D27 - (Configurações!$A$3 / 24)),"")</f>
        <v/>
      </c>
      <c r="Q34" s="223"/>
      <c r="R34" s="224" t="str">
        <f>IFERROR(IF(MOD(APIAUX!C27 + APIAUX!D27 - (Configurações!$A$3 / 24), 1) = 0, "00:00:00", MOD(APIAUX!C27 + APIAUX!D27 - (Configurações!$A$3 / 24), 1)), "")</f>
        <v/>
      </c>
      <c r="S34" s="224"/>
    </row>
    <row r="35" spans="7:19" ht="18" customHeight="1" x14ac:dyDescent="0.25"/>
    <row r="36" spans="7:19" ht="18" customHeight="1" x14ac:dyDescent="0.25"/>
    <row r="37" spans="7:19" ht="18" customHeight="1" x14ac:dyDescent="0.25"/>
    <row r="38" spans="7:19" ht="18" customHeight="1" x14ac:dyDescent="0.25"/>
    <row r="39" spans="7:19" ht="18" customHeight="1" x14ac:dyDescent="0.25"/>
    <row r="40" spans="7:19" ht="18" customHeight="1" x14ac:dyDescent="0.25"/>
    <row r="41" spans="7:19" ht="18" customHeight="1" x14ac:dyDescent="0.25"/>
  </sheetData>
  <sheetProtection algorithmName="SHA-512" hashValue="xr8M3hQxfOD/n8fT81RDk5kl7ZaZ66XMoUJowrFRekYheQYtlf0vIMr4fyCPsUCMjqWfdNH0Ts+GzxP5QequZQ==" saltValue="We/snroeEtFmSXaprM6N6g==" spinCount="100000" sheet="1" objects="1" scenarios="1" selectLockedCells="1"/>
  <mergeCells count="174">
    <mergeCell ref="R26:S26"/>
    <mergeCell ref="R27:S27"/>
    <mergeCell ref="R28:S28"/>
    <mergeCell ref="R29:S29"/>
    <mergeCell ref="R30:S30"/>
    <mergeCell ref="R31:S31"/>
    <mergeCell ref="R32:S32"/>
    <mergeCell ref="R33:S33"/>
    <mergeCell ref="R34:S34"/>
    <mergeCell ref="R17:S17"/>
    <mergeCell ref="R18:S18"/>
    <mergeCell ref="R19:S19"/>
    <mergeCell ref="R20:S20"/>
    <mergeCell ref="R21:S21"/>
    <mergeCell ref="R22:S22"/>
    <mergeCell ref="R23:S23"/>
    <mergeCell ref="R24:S24"/>
    <mergeCell ref="R25:S25"/>
    <mergeCell ref="R7:S7"/>
    <mergeCell ref="R9:S9"/>
    <mergeCell ref="R10:S10"/>
    <mergeCell ref="R11:S11"/>
    <mergeCell ref="R12:S12"/>
    <mergeCell ref="R13:S13"/>
    <mergeCell ref="R14:S14"/>
    <mergeCell ref="R15:S15"/>
    <mergeCell ref="R16:S16"/>
    <mergeCell ref="R8:S8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N10:O10"/>
    <mergeCell ref="P7:Q7"/>
    <mergeCell ref="N7:O7"/>
    <mergeCell ref="J7:K7"/>
    <mergeCell ref="H7:I7"/>
    <mergeCell ref="H9:I9"/>
    <mergeCell ref="J9:K9"/>
    <mergeCell ref="N9:O9"/>
    <mergeCell ref="P9:Q9"/>
    <mergeCell ref="L7:M7"/>
    <mergeCell ref="L9:M9"/>
    <mergeCell ref="L10:M10"/>
    <mergeCell ref="J10:K10"/>
    <mergeCell ref="H8:I8"/>
    <mergeCell ref="J8:K8"/>
    <mergeCell ref="L8:M8"/>
    <mergeCell ref="N8:O8"/>
    <mergeCell ref="P8:Q8"/>
    <mergeCell ref="G6:S6"/>
    <mergeCell ref="A6:D7"/>
    <mergeCell ref="A8:B9"/>
    <mergeCell ref="C8:D9"/>
    <mergeCell ref="H13:I13"/>
    <mergeCell ref="J13:K13"/>
    <mergeCell ref="N13:O13"/>
    <mergeCell ref="P13:Q13"/>
    <mergeCell ref="H14:I14"/>
    <mergeCell ref="J14:K14"/>
    <mergeCell ref="N14:O14"/>
    <mergeCell ref="P14:Q14"/>
    <mergeCell ref="P10:Q10"/>
    <mergeCell ref="H11:I11"/>
    <mergeCell ref="J11:K11"/>
    <mergeCell ref="N11:O11"/>
    <mergeCell ref="P11:Q11"/>
    <mergeCell ref="H12:I12"/>
    <mergeCell ref="J12:K12"/>
    <mergeCell ref="N12:O12"/>
    <mergeCell ref="P12:Q12"/>
    <mergeCell ref="A10:B11"/>
    <mergeCell ref="C10:D11"/>
    <mergeCell ref="H10:I10"/>
    <mergeCell ref="H17:I17"/>
    <mergeCell ref="J17:K17"/>
    <mergeCell ref="N17:O17"/>
    <mergeCell ref="P17:Q17"/>
    <mergeCell ref="H18:I18"/>
    <mergeCell ref="J18:K18"/>
    <mergeCell ref="N18:O18"/>
    <mergeCell ref="P18:Q18"/>
    <mergeCell ref="H15:I15"/>
    <mergeCell ref="J15:K15"/>
    <mergeCell ref="N15:O15"/>
    <mergeCell ref="P15:Q15"/>
    <mergeCell ref="H16:I16"/>
    <mergeCell ref="J16:K16"/>
    <mergeCell ref="N16:O16"/>
    <mergeCell ref="P16:Q16"/>
    <mergeCell ref="H21:I21"/>
    <mergeCell ref="J21:K21"/>
    <mergeCell ref="N21:O21"/>
    <mergeCell ref="P21:Q21"/>
    <mergeCell ref="H22:I22"/>
    <mergeCell ref="J22:K22"/>
    <mergeCell ref="N22:O22"/>
    <mergeCell ref="P22:Q22"/>
    <mergeCell ref="H19:I19"/>
    <mergeCell ref="J19:K19"/>
    <mergeCell ref="N19:O19"/>
    <mergeCell ref="P19:Q19"/>
    <mergeCell ref="H20:I20"/>
    <mergeCell ref="J20:K20"/>
    <mergeCell ref="N20:O20"/>
    <mergeCell ref="P20:Q20"/>
    <mergeCell ref="L20:M20"/>
    <mergeCell ref="L21:M21"/>
    <mergeCell ref="L22:M22"/>
    <mergeCell ref="H25:I25"/>
    <mergeCell ref="J25:K25"/>
    <mergeCell ref="N25:O25"/>
    <mergeCell ref="P25:Q25"/>
    <mergeCell ref="H26:I26"/>
    <mergeCell ref="J26:K26"/>
    <mergeCell ref="N26:O26"/>
    <mergeCell ref="P26:Q26"/>
    <mergeCell ref="H23:I23"/>
    <mergeCell ref="J23:K23"/>
    <mergeCell ref="N23:O23"/>
    <mergeCell ref="P23:Q23"/>
    <mergeCell ref="H24:I24"/>
    <mergeCell ref="J24:K24"/>
    <mergeCell ref="N24:O24"/>
    <mergeCell ref="P24:Q24"/>
    <mergeCell ref="L23:M23"/>
    <mergeCell ref="L24:M24"/>
    <mergeCell ref="L25:M25"/>
    <mergeCell ref="L26:M26"/>
    <mergeCell ref="H29:I29"/>
    <mergeCell ref="J29:K29"/>
    <mergeCell ref="N29:O29"/>
    <mergeCell ref="P29:Q29"/>
    <mergeCell ref="H30:I30"/>
    <mergeCell ref="J30:K30"/>
    <mergeCell ref="N30:O30"/>
    <mergeCell ref="P30:Q30"/>
    <mergeCell ref="H27:I27"/>
    <mergeCell ref="J27:K27"/>
    <mergeCell ref="N27:O27"/>
    <mergeCell ref="P27:Q27"/>
    <mergeCell ref="H28:I28"/>
    <mergeCell ref="J28:K28"/>
    <mergeCell ref="N28:O28"/>
    <mergeCell ref="P28:Q28"/>
    <mergeCell ref="L27:M27"/>
    <mergeCell ref="L28:M28"/>
    <mergeCell ref="L29:M29"/>
    <mergeCell ref="L30:M30"/>
    <mergeCell ref="H33:I33"/>
    <mergeCell ref="J33:K33"/>
    <mergeCell ref="N33:O33"/>
    <mergeCell ref="P33:Q33"/>
    <mergeCell ref="H34:I34"/>
    <mergeCell ref="J34:K34"/>
    <mergeCell ref="N34:O34"/>
    <mergeCell ref="P34:Q34"/>
    <mergeCell ref="H31:I31"/>
    <mergeCell ref="J31:K31"/>
    <mergeCell ref="N31:O31"/>
    <mergeCell ref="P31:Q31"/>
    <mergeCell ref="H32:I32"/>
    <mergeCell ref="J32:K32"/>
    <mergeCell ref="N32:O32"/>
    <mergeCell ref="P32:Q32"/>
    <mergeCell ref="L31:M31"/>
    <mergeCell ref="L32:M32"/>
    <mergeCell ref="L33:M33"/>
    <mergeCell ref="L34:M34"/>
  </mergeCells>
  <conditionalFormatting sqref="A6:D7 G6">
    <cfRule type="colorScale" priority="6">
      <colorScale>
        <cfvo type="min"/>
        <cfvo type="max"/>
        <color rgb="FF7030A0"/>
        <color theme="4" tint="-0.499984740745262"/>
      </colorScale>
    </cfRule>
    <cfRule type="colorScale" priority="7">
      <colorScale>
        <cfvo type="min"/>
        <cfvo type="max"/>
        <color rgb="FF7030A0"/>
        <color theme="4" tint="-0.499984740745262"/>
      </colorScale>
    </cfRule>
  </conditionalFormatting>
  <conditionalFormatting sqref="H14:I14 N14:O14 H19:I19 N19:O19 H24:I24 N24:O24 H29:I29 N29:O29 H34:I34 N34:O34">
    <cfRule type="expression" dxfId="2" priority="2">
      <formula>$C$8=5</formula>
    </cfRule>
  </conditionalFormatting>
  <conditionalFormatting sqref="H11:I14 H16:I19 H21:I24 H26:I29 H31:I34 N31:O34 N26:O29 N21:O24 N16:O19 N11:O14">
    <cfRule type="expression" dxfId="1" priority="1">
      <formula>$C$8=10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2</xdr:col>
                    <xdr:colOff>66675</xdr:colOff>
                    <xdr:row>7</xdr:row>
                    <xdr:rowOff>142875</xdr:rowOff>
                  </from>
                  <to>
                    <xdr:col>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5" name="Drop Down 5">
              <controlPr defaultSize="0" autoLine="0" autoPict="0">
                <anchor moveWithCells="1">
                  <from>
                    <xdr:col>2</xdr:col>
                    <xdr:colOff>66675</xdr:colOff>
                    <xdr:row>9</xdr:row>
                    <xdr:rowOff>142875</xdr:rowOff>
                  </from>
                  <to>
                    <xdr:col>3</xdr:col>
                    <xdr:colOff>676275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CA078-CC5F-4E88-820A-FFC4DC6C4CB7}">
  <sheetPr codeName="Planilha26"/>
  <dimension ref="A1:M27"/>
  <sheetViews>
    <sheetView showGridLines="0" showZeros="0" workbookViewId="0">
      <selection activeCell="G1" sqref="G1"/>
    </sheetView>
  </sheetViews>
  <sheetFormatPr defaultColWidth="0" defaultRowHeight="15" zeroHeight="1" x14ac:dyDescent="0.25"/>
  <cols>
    <col min="1" max="13" width="12.140625" customWidth="1"/>
    <col min="14" max="16384" width="9.140625" hidden="1"/>
  </cols>
  <sheetData>
    <row r="1" spans="1:13" x14ac:dyDescent="0.25">
      <c r="A1" s="145" t="str">
        <f>IF(API!$C$8=5,organizador!L33,IF(API!$C$8=10,organizador!U33,organizador!C33))</f>
        <v>08/01/2025</v>
      </c>
      <c r="B1" s="145" t="str">
        <f>IF(API!$C$8=5,organizador!M33,IF(API!$C$8=10,organizador!V33,organizador!D33))</f>
        <v>16:50:00</v>
      </c>
      <c r="C1" s="145" t="str">
        <f>IF(API!$C$8=5,organizador!N33,IF(API!$C$8=10,organizador!W33,organizador!E33))</f>
        <v/>
      </c>
      <c r="D1" s="145" t="str">
        <f>IF(API!$C$8=5,organizador!O33,IF(API!$C$8=10,organizador!X33,organizador!F33))</f>
        <v/>
      </c>
      <c r="E1" s="44"/>
      <c r="F1" s="143" t="str">
        <f>IF('API2'!$C$8=5,OrganizadorAPI!Q3,OrganizadorAPI!C3)</f>
        <v/>
      </c>
      <c r="G1" s="143" t="str">
        <f>IF('API2'!$C$8=5,OrganizadorAPI!R3,OrganizadorAPI!D3)</f>
        <v/>
      </c>
      <c r="H1" s="143" t="str">
        <f>IF('API2'!$C$8,OrganizadorAPI!T3,OrganizadorAPI!F3)</f>
        <v/>
      </c>
      <c r="I1" s="143" t="str">
        <f>IF('API2'!$C$8=5,OrganizadorAPI!U3,OrganizadorAPI!G3)</f>
        <v/>
      </c>
      <c r="J1" s="144" t="str">
        <f>IF('API2'!$C$8=5,OrganizadorAPI!X3,OrganizadorAPI!J3)</f>
        <v>25/12/2024</v>
      </c>
      <c r="K1" s="144" t="str">
        <f>IF('API2'!$C$8=5,OrganizadorAPI!Y3,OrganizadorAPI!K3)</f>
        <v>12:40:00</v>
      </c>
      <c r="L1" s="144" t="str">
        <f>IF('API2'!$C$8=5,OrganizadorAPI!AA3,OrganizadorAPI!M3)</f>
        <v/>
      </c>
      <c r="M1" s="144" t="str">
        <f>IF('API2'!$C$8=5,OrganizadorAPI!AB3,OrganizadorAPI!N3)</f>
        <v/>
      </c>
    </row>
    <row r="2" spans="1:13" x14ac:dyDescent="0.25">
      <c r="A2" s="145" t="str">
        <f>IF(API!$C$8=5,organizador!L34,IF(API!$C$8=10,organizador!U34,organizador!C34))</f>
        <v/>
      </c>
      <c r="B2" s="145" t="str">
        <f>IF(API!$C$8=5,organizador!M34,IF(API!$C$8=10,organizador!V34,organizador!D34))</f>
        <v/>
      </c>
      <c r="C2" s="145" t="str">
        <f>IF(API!$C$8=5,organizador!N34,IF(API!$C$8=10,organizador!W34,organizador!E34))</f>
        <v/>
      </c>
      <c r="D2" s="145" t="str">
        <f>IF(API!$C$8=5,organizador!O34,IF(API!$C$8=10,organizador!X34,organizador!F34))</f>
        <v/>
      </c>
      <c r="E2" s="44"/>
      <c r="F2" s="143" t="str">
        <f>IF('API2'!$C$8=5,OrganizadorAPI!Q4,OrganizadorAPI!C4)</f>
        <v>25/12/2024</v>
      </c>
      <c r="G2" s="143" t="str">
        <f>IF('API2'!$C$8=5,OrganizadorAPI!R4,OrganizadorAPI!D4)</f>
        <v>15:40:00</v>
      </c>
      <c r="H2" s="143" t="str">
        <f>IF('API2'!$C$8,OrganizadorAPI!T4,OrganizadorAPI!F4)</f>
        <v>24/12/2024</v>
      </c>
      <c r="I2" s="143" t="str">
        <f>IF('API2'!$C$8=5,OrganizadorAPI!U4,OrganizadorAPI!G4)</f>
        <v>22:50:00</v>
      </c>
      <c r="J2" s="144" t="str">
        <f>IF('API2'!$C$8=5,OrganizadorAPI!X4,OrganizadorAPI!J4)</f>
        <v/>
      </c>
      <c r="K2" s="144" t="str">
        <f>IF('API2'!$C$8=5,OrganizadorAPI!Y4,OrganizadorAPI!K4)</f>
        <v/>
      </c>
      <c r="L2" s="144" t="str">
        <f>IF('API2'!$C$8=5,OrganizadorAPI!AA4,OrganizadorAPI!M4)</f>
        <v/>
      </c>
      <c r="M2" s="144" t="str">
        <f>IF('API2'!$C$8=5,OrganizadorAPI!AB4,OrganizadorAPI!N4)</f>
        <v/>
      </c>
    </row>
    <row r="3" spans="1:13" x14ac:dyDescent="0.25">
      <c r="A3" s="145" t="str">
        <f>IF(API!$C$8=5,organizador!L35,IF(API!$C$8=10,organizador!U35,organizador!C35))</f>
        <v>08/01/2025</v>
      </c>
      <c r="B3" s="145" t="str">
        <f>IF(API!$C$8=5,organizador!M35,IF(API!$C$8=10,organizador!V35,organizador!D35))</f>
        <v>01:30:00</v>
      </c>
      <c r="C3" s="145" t="str">
        <f>IF(API!$C$8=5,organizador!N35,IF(API!$C$8=10,organizador!W35,organizador!E35))</f>
        <v>08/01/2025</v>
      </c>
      <c r="D3" s="145" t="str">
        <f>IF(API!$C$8=5,organizador!O35,IF(API!$C$8=10,organizador!X35,organizador!F35))</f>
        <v>01:35:00</v>
      </c>
      <c r="E3" s="44"/>
      <c r="F3" s="143" t="str">
        <f>IF('API2'!$C$8=5,OrganizadorAPI!Q5,OrganizadorAPI!C5)</f>
        <v>25/12/2024</v>
      </c>
      <c r="G3" s="143" t="str">
        <f>IF('API2'!$C$8=5,OrganizadorAPI!R5,OrganizadorAPI!D5)</f>
        <v>15:45:00</v>
      </c>
      <c r="H3" s="143" t="str">
        <f>IF('API2'!$C$8,OrganizadorAPI!T5,OrganizadorAPI!F5)</f>
        <v>25/12/2024</v>
      </c>
      <c r="I3" s="143" t="str">
        <f>IF('API2'!$C$8=5,OrganizadorAPI!U5,OrganizadorAPI!G5)</f>
        <v>15:45:00</v>
      </c>
      <c r="J3" s="144" t="str">
        <f>IF('API2'!$C$8=5,OrganizadorAPI!X5,OrganizadorAPI!J5)</f>
        <v>24/12/2024</v>
      </c>
      <c r="K3" s="144" t="str">
        <f>IF('API2'!$C$8=5,OrganizadorAPI!Y5,OrganizadorAPI!K5)</f>
        <v>21:40:00</v>
      </c>
      <c r="L3" s="144" t="str">
        <f>IF('API2'!$C$8=5,OrganizadorAPI!AA5,OrganizadorAPI!M5)</f>
        <v>24/12/2024</v>
      </c>
      <c r="M3" s="144" t="str">
        <f>IF('API2'!$C$8=5,OrganizadorAPI!AB5,OrganizadorAPI!N5)</f>
        <v>21:40:00</v>
      </c>
    </row>
    <row r="4" spans="1:13" x14ac:dyDescent="0.25">
      <c r="A4" s="145" t="str">
        <f>IF(API!$C$8=5,organizador!L36,IF(API!$C$8=10,organizador!U36,organizador!C36))</f>
        <v>08/01/2025</v>
      </c>
      <c r="B4" s="145" t="str">
        <f>IF(API!$C$8=5,organizador!M36,IF(API!$C$8=10,organizador!V36,organizador!D36))</f>
        <v>08:00:00</v>
      </c>
      <c r="C4" s="145" t="str">
        <f>IF(API!$C$8=5,organizador!N36,IF(API!$C$8=10,organizador!W36,organizador!E36))</f>
        <v>08/01/2025</v>
      </c>
      <c r="D4" s="145" t="str">
        <f>IF(API!$C$8=5,organizador!O36,IF(API!$C$8=10,organizador!X36,organizador!F36))</f>
        <v>02:10:00</v>
      </c>
      <c r="E4" s="44"/>
      <c r="F4" s="143" t="str">
        <f>IF('API2'!$C$8=5,OrganizadorAPI!Q6,OrganizadorAPI!C6)</f>
        <v>25/12/2024</v>
      </c>
      <c r="G4" s="143" t="str">
        <f>IF('API2'!$C$8=5,OrganizadorAPI!R6,OrganizadorAPI!D6)</f>
        <v>15:45:00</v>
      </c>
      <c r="H4" s="143" t="str">
        <f>IF('API2'!$C$8,OrganizadorAPI!T6,OrganizadorAPI!F6)</f>
        <v>25/12/2024</v>
      </c>
      <c r="I4" s="143" t="str">
        <f>IF('API2'!$C$8=5,OrganizadorAPI!U6,OrganizadorAPI!G6)</f>
        <v>15:45:00</v>
      </c>
      <c r="J4" s="144" t="str">
        <f>IF('API2'!$C$8=5,OrganizadorAPI!X6,OrganizadorAPI!J6)</f>
        <v>24/12/2024</v>
      </c>
      <c r="K4" s="144" t="str">
        <f>IF('API2'!$C$8=5,OrganizadorAPI!Y6,OrganizadorAPI!K6)</f>
        <v>21:40:00</v>
      </c>
      <c r="L4" s="144" t="str">
        <f>IF('API2'!$C$8=5,OrganizadorAPI!AA6,OrganizadorAPI!M6)</f>
        <v>24/12/2024</v>
      </c>
      <c r="M4" s="144" t="str">
        <f>IF('API2'!$C$8=5,OrganizadorAPI!AB6,OrganizadorAPI!N6)</f>
        <v>21:40:00</v>
      </c>
    </row>
    <row r="5" spans="1:13" x14ac:dyDescent="0.25">
      <c r="A5" s="145" t="str">
        <f>IF(API!$C$8=5,organizador!L37,IF(API!$C$8=10,organizador!U37,organizador!C37))</f>
        <v>08/01/2025</v>
      </c>
      <c r="B5" s="145" t="str">
        <f>IF(API!$C$8=5,organizador!M37,IF(API!$C$8=10,organizador!V37,organizador!D37))</f>
        <v>06:05:00</v>
      </c>
      <c r="C5" s="145" t="str">
        <f>IF(API!$C$8=5,organizador!N37,IF(API!$C$8=10,organizador!W37,organizador!E37))</f>
        <v/>
      </c>
      <c r="D5" s="145" t="str">
        <f>IF(API!$C$8=5,organizador!O37,IF(API!$C$8=10,organizador!X37,organizador!F37))</f>
        <v/>
      </c>
      <c r="E5" s="44"/>
      <c r="F5" s="143" t="str">
        <f>IF('API2'!$C$8=5,OrganizadorAPI!Q7,OrganizadorAPI!C7)</f>
        <v>24/12/2024</v>
      </c>
      <c r="G5" s="143" t="str">
        <f>IF('API2'!$C$8=5,OrganizadorAPI!R7,OrganizadorAPI!D7)</f>
        <v>18:20:00</v>
      </c>
      <c r="H5" s="143" t="str">
        <f>IF('API2'!$C$8,OrganizadorAPI!T7,OrganizadorAPI!F7)</f>
        <v/>
      </c>
      <c r="I5" s="143" t="str">
        <f>IF('API2'!$C$8=5,OrganizadorAPI!U7,OrganizadorAPI!G7)</f>
        <v/>
      </c>
      <c r="J5" s="144" t="str">
        <f>IF('API2'!$C$8=5,OrganizadorAPI!X7,OrganizadorAPI!J7)</f>
        <v>25/12/2024</v>
      </c>
      <c r="K5" s="144" t="str">
        <f>IF('API2'!$C$8=5,OrganizadorAPI!Y7,OrganizadorAPI!K7)</f>
        <v>16:50:00</v>
      </c>
      <c r="L5" s="144" t="str">
        <f>IF('API2'!$C$8=5,OrganizadorAPI!AA7,OrganizadorAPI!M7)</f>
        <v>25/12/2024</v>
      </c>
      <c r="M5" s="144" t="str">
        <f>IF('API2'!$C$8=5,OrganizadorAPI!AB7,OrganizadorAPI!N7)</f>
        <v>04:50:00</v>
      </c>
    </row>
    <row r="6" spans="1:13" x14ac:dyDescent="0.25">
      <c r="A6" s="145" t="str">
        <f>IF(API!$C$8=5,organizador!L38,IF(API!$C$8=10,organizador!U38,organizador!C38))</f>
        <v>08/01/2025</v>
      </c>
      <c r="B6" s="145" t="str">
        <f>IF(API!$C$8=5,organizador!M38,IF(API!$C$8=10,organizador!V38,organizador!D38))</f>
        <v>06:00:00</v>
      </c>
      <c r="C6" s="145" t="str">
        <f>IF(API!$C$8=5,organizador!N38,IF(API!$C$8=10,organizador!W38,organizador!E38))</f>
        <v/>
      </c>
      <c r="D6" s="145" t="str">
        <f>IF(API!$C$8=5,organizador!O38,IF(API!$C$8=10,organizador!X38,organizador!F38))</f>
        <v/>
      </c>
      <c r="E6" s="44"/>
      <c r="F6" s="143" t="str">
        <f>IF('API2'!$C$8=5,OrganizadorAPI!Q8,OrganizadorAPI!C8)</f>
        <v>25/12/2024</v>
      </c>
      <c r="G6" s="143" t="str">
        <f>IF('API2'!$C$8=5,OrganizadorAPI!R8,OrganizadorAPI!D8)</f>
        <v>10:40:00</v>
      </c>
      <c r="H6" s="143" t="str">
        <f>IF('API2'!$C$8,OrganizadorAPI!T8,OrganizadorAPI!F8)</f>
        <v>25/12/2024</v>
      </c>
      <c r="I6" s="143" t="str">
        <f>IF('API2'!$C$8=5,OrganizadorAPI!U8,OrganizadorAPI!G8)</f>
        <v>10:30:00</v>
      </c>
      <c r="J6" s="144" t="str">
        <f>IF('API2'!$C$8=5,OrganizadorAPI!X8,OrganizadorAPI!J8)</f>
        <v>24/12/2024</v>
      </c>
      <c r="K6" s="144" t="str">
        <f>IF('API2'!$C$8=5,OrganizadorAPI!Y8,OrganizadorAPI!K8)</f>
        <v>21:40:00</v>
      </c>
      <c r="L6" s="144" t="str">
        <f>IF('API2'!$C$8=5,OrganizadorAPI!AA8,OrganizadorAPI!M8)</f>
        <v>24/12/2024</v>
      </c>
      <c r="M6" s="144" t="str">
        <f>IF('API2'!$C$8=5,OrganizadorAPI!AB8,OrganizadorAPI!N8)</f>
        <v>21:40:00</v>
      </c>
    </row>
    <row r="7" spans="1:13" x14ac:dyDescent="0.25">
      <c r="A7" s="145" t="str">
        <f>IF(API!$C$8=5,organizador!L39,IF(API!$C$8=10,organizador!U39,organizador!C39))</f>
        <v>07/01/2025</v>
      </c>
      <c r="B7" s="145" t="str">
        <f>IF(API!$C$8=5,organizador!M39,IF(API!$C$8=10,organizador!V39,organizador!D39))</f>
        <v>23:55:00</v>
      </c>
      <c r="C7" s="145" t="str">
        <f>IF(API!$C$8=5,organizador!N39,IF(API!$C$8=10,organizador!W39,organizador!E39))</f>
        <v/>
      </c>
      <c r="D7" s="145" t="str">
        <f>IF(API!$C$8=5,organizador!O39,IF(API!$C$8=10,organizador!X39,organizador!F39))</f>
        <v/>
      </c>
      <c r="E7" s="44"/>
      <c r="F7" s="143" t="str">
        <f>IF('API2'!$C$8=5,OrganizadorAPI!Q9,OrganizadorAPI!C9)</f>
        <v/>
      </c>
      <c r="G7" s="143" t="str">
        <f>IF('API2'!$C$8=5,OrganizadorAPI!R9,OrganizadorAPI!D9)</f>
        <v/>
      </c>
      <c r="H7" s="143">
        <f>IF('API2'!$C$8,OrganizadorAPI!T9,OrganizadorAPI!F9)</f>
        <v>0</v>
      </c>
      <c r="I7" s="143" t="str">
        <f>IF('API2'!$C$8=5,OrganizadorAPI!U9,OrganizadorAPI!G9)</f>
        <v/>
      </c>
      <c r="J7" s="144" t="str">
        <f>IF('API2'!$C$8=5,OrganizadorAPI!X9,OrganizadorAPI!J9)</f>
        <v>24/12/2024</v>
      </c>
      <c r="K7" s="144" t="str">
        <f>IF('API2'!$C$8=5,OrganizadorAPI!Y9,OrganizadorAPI!K9)</f>
        <v>21:40:00</v>
      </c>
      <c r="L7" s="144" t="str">
        <f>IF('API2'!$C$8=5,OrganizadorAPI!AA9,OrganizadorAPI!M9)</f>
        <v>24/12/2024</v>
      </c>
      <c r="M7" s="144" t="str">
        <f>IF('API2'!$C$8=5,OrganizadorAPI!AB9,OrganizadorAPI!N9)</f>
        <v>21:40:00</v>
      </c>
    </row>
    <row r="8" spans="1:13" x14ac:dyDescent="0.25">
      <c r="A8" s="145" t="str">
        <f>IF(API!$C$8=5,organizador!L40,IF(API!$C$8=10,organizador!U40,organizador!C40))</f>
        <v>08/01/2025</v>
      </c>
      <c r="B8" s="145" t="str">
        <f>IF(API!$C$8=5,organizador!M40,IF(API!$C$8=10,organizador!V40,organizador!D40))</f>
        <v>10:00:00</v>
      </c>
      <c r="C8" s="145" t="str">
        <f>IF(API!$C$8=5,organizador!N40,IF(API!$C$8=10,organizador!W40,organizador!E40))</f>
        <v>08/01/2025</v>
      </c>
      <c r="D8" s="145" t="str">
        <f>IF(API!$C$8=5,organizador!O40,IF(API!$C$8=10,organizador!X40,organizador!F40))</f>
        <v>10:00:00</v>
      </c>
      <c r="E8" s="44"/>
      <c r="F8" s="143" t="str">
        <f>IF('API2'!$C$8=5,OrganizadorAPI!Q10,OrganizadorAPI!C10)</f>
        <v>25/12/2024</v>
      </c>
      <c r="G8" s="143" t="str">
        <f>IF('API2'!$C$8=5,OrganizadorAPI!R10,OrganizadorAPI!D10)</f>
        <v>11:55:00</v>
      </c>
      <c r="H8" s="143" t="str">
        <f>IF('API2'!$C$8,OrganizadorAPI!T10,OrganizadorAPI!F10)</f>
        <v/>
      </c>
      <c r="I8" s="143" t="str">
        <f>IF('API2'!$C$8=5,OrganizadorAPI!U10,OrganizadorAPI!G10)</f>
        <v>11:55:00</v>
      </c>
      <c r="J8" s="144" t="str">
        <f>IF('API2'!$C$8=5,OrganizadorAPI!X10,OrganizadorAPI!J10)</f>
        <v>25/12/2024</v>
      </c>
      <c r="K8" s="144" t="str">
        <f>IF('API2'!$C$8=5,OrganizadorAPI!Y10,OrganizadorAPI!K10)</f>
        <v>02:05:00</v>
      </c>
      <c r="L8" s="144" t="str">
        <f>IF('API2'!$C$8=5,OrganizadorAPI!AA10,OrganizadorAPI!M10)</f>
        <v>25/12/2024</v>
      </c>
      <c r="M8" s="144" t="str">
        <f>IF('API2'!$C$8=5,OrganizadorAPI!AB10,OrganizadorAPI!N10)</f>
        <v>02:00:00</v>
      </c>
    </row>
    <row r="9" spans="1:13" x14ac:dyDescent="0.25">
      <c r="A9" s="145" t="str">
        <f>IF(API!$C$8=5,organizador!L41,IF(API!$C$8=10,organizador!U41,organizador!C41))</f>
        <v>08/01/2025</v>
      </c>
      <c r="B9" s="145" t="str">
        <f>IF(API!$C$8=5,organizador!M41,IF(API!$C$8=10,organizador!V41,organizador!D41))</f>
        <v>06:00:00</v>
      </c>
      <c r="C9" s="145" t="str">
        <f>IF(API!$C$8=5,organizador!N41,IF(API!$C$8=10,organizador!W41,organizador!E41))</f>
        <v/>
      </c>
      <c r="D9" s="145" t="str">
        <f>IF(API!$C$8=5,organizador!O41,IF(API!$C$8=10,organizador!X41,organizador!F41))</f>
        <v/>
      </c>
      <c r="E9" s="44"/>
      <c r="F9" s="143" t="str">
        <f>IF('API2'!$C$8=5,OrganizadorAPI!Q11,OrganizadorAPI!C11)</f>
        <v>25/12/2024</v>
      </c>
      <c r="G9" s="143" t="str">
        <f>IF('API2'!$C$8=5,OrganizadorAPI!R11,OrganizadorAPI!D11)</f>
        <v>16:05:00</v>
      </c>
      <c r="H9" s="143" t="str">
        <f>IF('API2'!$C$8,OrganizadorAPI!T11,OrganizadorAPI!F11)</f>
        <v>25/12/2024</v>
      </c>
      <c r="I9" s="143" t="str">
        <f>IF('API2'!$C$8=5,OrganizadorAPI!U11,OrganizadorAPI!G11)</f>
        <v>16:05:00</v>
      </c>
      <c r="J9" s="144" t="str">
        <f>IF('API2'!$C$8=5,OrganizadorAPI!X11,OrganizadorAPI!J11)</f>
        <v>24/12/2024</v>
      </c>
      <c r="K9" s="144" t="str">
        <f>IF('API2'!$C$8=5,OrganizadorAPI!Y11,OrganizadorAPI!K11)</f>
        <v>20:10:00</v>
      </c>
      <c r="L9" s="144" t="str">
        <f>IF('API2'!$C$8=5,OrganizadorAPI!AA11,OrganizadorAPI!M11)</f>
        <v/>
      </c>
      <c r="M9" s="144" t="str">
        <f>IF('API2'!$C$8=5,OrganizadorAPI!AB11,OrganizadorAPI!N11)</f>
        <v/>
      </c>
    </row>
    <row r="10" spans="1:13" x14ac:dyDescent="0.25">
      <c r="A10" s="145" t="str">
        <f>IF(API!$C$8=5,organizador!L42,IF(API!$C$8=10,organizador!U42,organizador!C42))</f>
        <v/>
      </c>
      <c r="B10" s="145" t="str">
        <f>IF(API!$C$8=5,organizador!M42,IF(API!$C$8=10,organizador!V42,organizador!D42))</f>
        <v/>
      </c>
      <c r="C10" s="145" t="str">
        <f>IF(API!$C$8=5,organizador!N42,IF(API!$C$8=10,organizador!W42,organizador!E42))</f>
        <v/>
      </c>
      <c r="D10" s="145" t="str">
        <f>IF(API!$C$8=5,organizador!O42,IF(API!$C$8=10,organizador!X42,organizador!F42))</f>
        <v/>
      </c>
      <c r="E10" s="44"/>
      <c r="F10" s="143" t="str">
        <f>IF('API2'!$C$8=5,OrganizadorAPI!Q12,OrganizadorAPI!C12)</f>
        <v/>
      </c>
      <c r="G10" s="143" t="str">
        <f>IF('API2'!$C$8=5,OrganizadorAPI!R12,OrganizadorAPI!D12)</f>
        <v/>
      </c>
      <c r="H10" s="143" t="str">
        <f>IF('API2'!$C$8,OrganizadorAPI!T12,OrganizadorAPI!F12)</f>
        <v>25/12/2024</v>
      </c>
      <c r="I10" s="143" t="str">
        <f>IF('API2'!$C$8=5,OrganizadorAPI!U12,OrganizadorAPI!G12)</f>
        <v/>
      </c>
      <c r="J10" s="144" t="str">
        <f>IF('API2'!$C$8=5,OrganizadorAPI!X12,OrganizadorAPI!J12)</f>
        <v>25/12/2024</v>
      </c>
      <c r="K10" s="144" t="str">
        <f>IF('API2'!$C$8=5,OrganizadorAPI!Y12,OrganizadorAPI!K12)</f>
        <v>16:50:00</v>
      </c>
      <c r="L10" s="144" t="str">
        <f>IF('API2'!$C$8=5,OrganizadorAPI!AA12,OrganizadorAPI!M12)</f>
        <v>24/12/2024</v>
      </c>
      <c r="M10" s="144" t="str">
        <f>IF('API2'!$C$8=5,OrganizadorAPI!AB12,OrganizadorAPI!N12)</f>
        <v>20:15:00</v>
      </c>
    </row>
    <row r="11" spans="1:13" x14ac:dyDescent="0.25">
      <c r="A11" s="145" t="str">
        <f>IF(API!$C$8=5,organizador!L43,IF(API!$C$8=10,organizador!U43,organizador!C43))</f>
        <v/>
      </c>
      <c r="B11" s="145" t="str">
        <f>IF(API!$C$8=5,organizador!M43,IF(API!$C$8=10,organizador!V43,organizador!D43))</f>
        <v/>
      </c>
      <c r="C11" s="145" t="str">
        <f>IF(API!$C$8=5,organizador!N43,IF(API!$C$8=10,organizador!W43,organizador!E43))</f>
        <v/>
      </c>
      <c r="D11" s="145" t="str">
        <f>IF(API!$C$8=5,organizador!O43,IF(API!$C$8=10,organizador!X43,organizador!F43))</f>
        <v/>
      </c>
      <c r="E11" s="44"/>
      <c r="F11" s="143" t="str">
        <f>IF('API2'!$C$8=5,OrganizadorAPI!Q13,OrganizadorAPI!C13)</f>
        <v/>
      </c>
      <c r="G11" s="143" t="str">
        <f>IF('API2'!$C$8=5,OrganizadorAPI!R13,OrganizadorAPI!D13)</f>
        <v/>
      </c>
      <c r="H11" s="143" t="str">
        <f>IF('API2'!$C$8,OrganizadorAPI!T13,OrganizadorAPI!F13)</f>
        <v/>
      </c>
      <c r="I11" s="143" t="str">
        <f>IF('API2'!$C$8=5,OrganizadorAPI!U13,OrganizadorAPI!G13)</f>
        <v/>
      </c>
      <c r="J11" s="144" t="str">
        <f>IF('API2'!$C$8=5,OrganizadorAPI!X13,OrganizadorAPI!J13)</f>
        <v/>
      </c>
      <c r="K11" s="144" t="str">
        <f>IF('API2'!$C$8=5,OrganizadorAPI!Y13,OrganizadorAPI!K13)</f>
        <v/>
      </c>
      <c r="L11" s="144" t="str">
        <f>IF('API2'!$C$8=5,OrganizadorAPI!AA13,OrganizadorAPI!M13)</f>
        <v/>
      </c>
      <c r="M11" s="144" t="str">
        <f>IF('API2'!$C$8=5,OrganizadorAPI!AB13,OrganizadorAPI!N13)</f>
        <v/>
      </c>
    </row>
    <row r="12" spans="1:13" x14ac:dyDescent="0.25">
      <c r="A12" s="145" t="str">
        <f>IF(API!$C$8=5,organizador!L44,IF(API!$C$8=10,organizador!U44,organizador!C44))</f>
        <v/>
      </c>
      <c r="B12" s="145" t="str">
        <f>IF(API!$C$8=5,organizador!M44,IF(API!$C$8=10,organizador!V44,organizador!D44))</f>
        <v/>
      </c>
      <c r="C12" s="145" t="str">
        <f>IF(API!$C$8=5,organizador!N44,IF(API!$C$8=10,organizador!W44,organizador!E44))</f>
        <v/>
      </c>
      <c r="D12" s="145" t="str">
        <f>IF(API!$C$8=5,organizador!O44,IF(API!$C$8=10,organizador!X44,organizador!F44))</f>
        <v/>
      </c>
      <c r="E12" s="44"/>
      <c r="F12" s="143" t="str">
        <f>IF('API2'!$C$8=5,OrganizadorAPI!Q14,OrganizadorAPI!C14)</f>
        <v/>
      </c>
      <c r="G12" s="143" t="str">
        <f>IF('API2'!$C$8=5,OrganizadorAPI!R14,OrganizadorAPI!D14)</f>
        <v/>
      </c>
      <c r="H12" s="143">
        <f>IF('API2'!$C$8,OrganizadorAPI!T14,OrganizadorAPI!F14)</f>
        <v>0</v>
      </c>
      <c r="I12" s="143" t="str">
        <f>IF('API2'!$C$8=5,OrganizadorAPI!U14,OrganizadorAPI!G14)</f>
        <v/>
      </c>
      <c r="J12" s="144" t="str">
        <f>IF('API2'!$C$8=5,OrganizadorAPI!X14,OrganizadorAPI!J14)</f>
        <v/>
      </c>
      <c r="K12" s="144" t="str">
        <f>IF('API2'!$C$8=5,OrganizadorAPI!Y14,OrganizadorAPI!K14)</f>
        <v/>
      </c>
      <c r="L12" s="144" t="str">
        <f>IF('API2'!$C$8=5,OrganizadorAPI!AA14,OrganizadorAPI!M14)</f>
        <v/>
      </c>
      <c r="M12" s="144" t="str">
        <f>IF('API2'!$C$8=5,OrganizadorAPI!AB14,OrganizadorAPI!N14)</f>
        <v/>
      </c>
    </row>
    <row r="13" spans="1:13" x14ac:dyDescent="0.25">
      <c r="A13" s="145" t="str">
        <f>IF(API!$C$8=5,organizador!L45,IF(API!$C$8=10,organizador!U45,organizador!C45))</f>
        <v>08/01/2025</v>
      </c>
      <c r="B13" s="145" t="str">
        <f>IF(API!$C$8=5,organizador!M45,IF(API!$C$8=10,organizador!V45,organizador!D45))</f>
        <v>16:15:00</v>
      </c>
      <c r="C13" s="145" t="str">
        <f>IF(API!$C$8=5,organizador!N45,IF(API!$C$8=10,organizador!W45,organizador!E45))</f>
        <v>08/01/2025</v>
      </c>
      <c r="D13" s="145" t="str">
        <f>IF(API!$C$8=5,organizador!O45,IF(API!$C$8=10,organizador!X45,organizador!F45))</f>
        <v>02:10:00</v>
      </c>
      <c r="E13" s="44"/>
      <c r="F13" s="143" t="str">
        <f>IF('API2'!$C$8=5,OrganizadorAPI!Q15,OrganizadorAPI!C15)</f>
        <v>25/12/2024</v>
      </c>
      <c r="G13" s="143" t="str">
        <f>IF('API2'!$C$8=5,OrganizadorAPI!R15,OrganizadorAPI!D15)</f>
        <v>11:55:00</v>
      </c>
      <c r="H13" s="143" t="str">
        <f>IF('API2'!$C$8,OrganizadorAPI!T15,OrganizadorAPI!F15)</f>
        <v/>
      </c>
      <c r="I13" s="143" t="str">
        <f>IF('API2'!$C$8=5,OrganizadorAPI!U15,OrganizadorAPI!G15)</f>
        <v>11:55:00</v>
      </c>
      <c r="J13" s="144" t="str">
        <f>IF('API2'!$C$8=5,OrganizadorAPI!X15,OrganizadorAPI!J15)</f>
        <v/>
      </c>
      <c r="K13" s="144" t="str">
        <f>IF('API2'!$C$8=5,OrganizadorAPI!Y15,OrganizadorAPI!K15)</f>
        <v/>
      </c>
      <c r="L13" s="144" t="str">
        <f>IF('API2'!$C$8=5,OrganizadorAPI!AA15,OrganizadorAPI!M15)</f>
        <v/>
      </c>
      <c r="M13" s="144" t="str">
        <f>IF('API2'!$C$8=5,OrganizadorAPI!AB15,OrganizadorAPI!N15)</f>
        <v/>
      </c>
    </row>
    <row r="14" spans="1:13" x14ac:dyDescent="0.25">
      <c r="A14" s="145" t="str">
        <f>IF(API!$C$8=5,organizador!L46,IF(API!$C$8=10,organizador!U46,organizador!C46))</f>
        <v>08/01/2025</v>
      </c>
      <c r="B14" s="145" t="str">
        <f>IF(API!$C$8=5,organizador!M46,IF(API!$C$8=10,organizador!V46,organizador!D46))</f>
        <v>21:10:00</v>
      </c>
      <c r="C14" s="145" t="str">
        <f>IF(API!$C$8=5,organizador!N46,IF(API!$C$8=10,organizador!W46,organizador!E46))</f>
        <v>08/01/2025</v>
      </c>
      <c r="D14" s="145" t="str">
        <f>IF(API!$C$8=5,organizador!O46,IF(API!$C$8=10,organizador!X46,organizador!F46))</f>
        <v>21:10:00</v>
      </c>
      <c r="E14" s="44"/>
      <c r="F14" s="143" t="str">
        <f>IF('API2'!$C$8=5,OrganizadorAPI!Q16,OrganizadorAPI!C16)</f>
        <v/>
      </c>
      <c r="G14" s="143" t="str">
        <f>IF('API2'!$C$8=5,OrganizadorAPI!R16,OrganizadorAPI!D16)</f>
        <v/>
      </c>
      <c r="H14" s="143" t="str">
        <f>IF('API2'!$C$8,OrganizadorAPI!T16,OrganizadorAPI!F16)</f>
        <v/>
      </c>
      <c r="I14" s="143" t="str">
        <f>IF('API2'!$C$8=5,OrganizadorAPI!U16,OrganizadorAPI!G16)</f>
        <v>21:40:00</v>
      </c>
      <c r="J14" s="144" t="str">
        <f>IF('API2'!$C$8=5,OrganizadorAPI!X16,OrganizadorAPI!J16)</f>
        <v/>
      </c>
      <c r="K14" s="144" t="str">
        <f>IF('API2'!$C$8=5,OrganizadorAPI!Y16,OrganizadorAPI!K16)</f>
        <v/>
      </c>
      <c r="L14" s="144" t="str">
        <f>IF('API2'!$C$8=5,OrganizadorAPI!AA16,OrganizadorAPI!M16)</f>
        <v/>
      </c>
      <c r="M14" s="144" t="str">
        <f>IF('API2'!$C$8=5,OrganizadorAPI!AB16,OrganizadorAPI!N16)</f>
        <v/>
      </c>
    </row>
    <row r="15" spans="1:13" x14ac:dyDescent="0.25">
      <c r="A15" s="145" t="str">
        <f>IF(API!$C$8=5,organizador!L47,IF(API!$C$8=10,organizador!U47,organizador!C47))</f>
        <v>08/01/2025</v>
      </c>
      <c r="B15" s="145" t="str">
        <f>IF(API!$C$8=5,organizador!M47,IF(API!$C$8=10,organizador!V47,organizador!D47))</f>
        <v>21:10:00</v>
      </c>
      <c r="C15" s="145" t="str">
        <f>IF(API!$C$8=5,organizador!N47,IF(API!$C$8=10,organizador!W47,organizador!E47))</f>
        <v>08/01/2025</v>
      </c>
      <c r="D15" s="145" t="str">
        <f>IF(API!$C$8=5,organizador!O47,IF(API!$C$8=10,organizador!X47,organizador!F47))</f>
        <v>21:10:00</v>
      </c>
      <c r="E15" s="44"/>
      <c r="F15" s="143" t="str">
        <f>IF('API2'!$C$8=5,OrganizadorAPI!Q17,OrganizadorAPI!C17)</f>
        <v>25/12/2024</v>
      </c>
      <c r="G15" s="143" t="str">
        <f>IF('API2'!$C$8=5,OrganizadorAPI!R17,OrganizadorAPI!D17)</f>
        <v>11:05:00</v>
      </c>
      <c r="H15" s="143" t="str">
        <f>IF('API2'!$C$8,OrganizadorAPI!T17,OrganizadorAPI!F17)</f>
        <v>25/12/2024</v>
      </c>
      <c r="I15" s="143" t="str">
        <f>IF('API2'!$C$8=5,OrganizadorAPI!U17,OrganizadorAPI!G17)</f>
        <v>11:05:00</v>
      </c>
      <c r="J15" s="144" t="str">
        <f>IF('API2'!$C$8=5,OrganizadorAPI!X17,OrganizadorAPI!J17)</f>
        <v/>
      </c>
      <c r="K15" s="144" t="str">
        <f>IF('API2'!$C$8=5,OrganizadorAPI!Y17,OrganizadorAPI!K17)</f>
        <v/>
      </c>
      <c r="L15" s="144" t="str">
        <f>IF('API2'!$C$8=5,OrganizadorAPI!AA17,OrganizadorAPI!M17)</f>
        <v/>
      </c>
      <c r="M15" s="144" t="str">
        <f>IF('API2'!$C$8=5,OrganizadorAPI!AB17,OrganizadorAPI!N17)</f>
        <v/>
      </c>
    </row>
    <row r="16" spans="1:13" x14ac:dyDescent="0.25">
      <c r="A16" s="145" t="str">
        <f>IF(API!$C$8=5,organizador!L48,IF(API!$C$8=10,organizador!U48,organizador!C48))</f>
        <v>07/01/2025</v>
      </c>
      <c r="B16" s="145" t="str">
        <f>IF(API!$C$8=5,organizador!M48,IF(API!$C$8=10,organizador!V48,organizador!D48))</f>
        <v>23:20:00</v>
      </c>
      <c r="C16" s="145" t="str">
        <f>IF(API!$C$8=5,organizador!N48,IF(API!$C$8=10,organizador!W48,organizador!E48))</f>
        <v/>
      </c>
      <c r="D16" s="145" t="str">
        <f>IF(API!$C$8=5,organizador!O48,IF(API!$C$8=10,organizador!X48,organizador!F48))</f>
        <v/>
      </c>
      <c r="E16" s="44"/>
      <c r="F16" s="143" t="str">
        <f>IF('API2'!$C$8=5,OrganizadorAPI!Q18,OrganizadorAPI!C18)</f>
        <v/>
      </c>
      <c r="G16" s="143" t="str">
        <f>IF('API2'!$C$8=5,OrganizadorAPI!R18,OrganizadorAPI!D18)</f>
        <v/>
      </c>
      <c r="H16" s="143" t="str">
        <f>IF('API2'!$C$8,OrganizadorAPI!T18,OrganizadorAPI!F18)</f>
        <v>24/12/2024</v>
      </c>
      <c r="I16" s="143" t="str">
        <f>IF('API2'!$C$8=5,OrganizadorAPI!U18,OrganizadorAPI!G18)</f>
        <v/>
      </c>
      <c r="J16" s="144" t="str">
        <f>IF('API2'!$C$8=5,OrganizadorAPI!X18,OrganizadorAPI!J18)</f>
        <v/>
      </c>
      <c r="K16" s="144" t="str">
        <f>IF('API2'!$C$8=5,OrganizadorAPI!Y18,OrganizadorAPI!K18)</f>
        <v/>
      </c>
      <c r="L16" s="144" t="str">
        <f>IF('API2'!$C$8=5,OrganizadorAPI!AA18,OrganizadorAPI!M18)</f>
        <v/>
      </c>
      <c r="M16" s="144" t="str">
        <f>IF('API2'!$C$8=5,OrganizadorAPI!AB18,OrganizadorAPI!N18)</f>
        <v/>
      </c>
    </row>
    <row r="17" spans="1:13" x14ac:dyDescent="0.25">
      <c r="A17" s="145" t="str">
        <f>IF(API!$C$8=5,organizador!L49,IF(API!$C$8=10,organizador!U49,organizador!C49))</f>
        <v>08/01/2025</v>
      </c>
      <c r="B17" s="145" t="str">
        <f>IF(API!$C$8=5,organizador!M49,IF(API!$C$8=10,organizador!V49,organizador!D49))</f>
        <v>09:15:00</v>
      </c>
      <c r="C17" s="145" t="str">
        <f>IF(API!$C$8=5,organizador!N49,IF(API!$C$8=10,organizador!W49,organizador!E49))</f>
        <v/>
      </c>
      <c r="D17" s="145" t="str">
        <f>IF(API!$C$8=5,organizador!O49,IF(API!$C$8=10,organizador!X49,organizador!F49))</f>
        <v/>
      </c>
      <c r="E17" s="44"/>
      <c r="F17" s="143" t="str">
        <f>IF('API2'!$C$8=5,OrganizadorAPI!Q19,OrganizadorAPI!C19)</f>
        <v/>
      </c>
      <c r="G17" s="143" t="str">
        <f>IF('API2'!$C$8=5,OrganizadorAPI!R19,OrganizadorAPI!D19)</f>
        <v/>
      </c>
      <c r="H17" s="143">
        <f>IF('API2'!$C$8,OrganizadorAPI!T19,OrganizadorAPI!F19)</f>
        <v>0</v>
      </c>
      <c r="I17" s="143" t="str">
        <f>IF('API2'!$C$8=5,OrganizadorAPI!U19,OrganizadorAPI!G19)</f>
        <v/>
      </c>
      <c r="J17" s="144" t="str">
        <f>IF('API2'!$C$8=5,OrganizadorAPI!X19,OrganizadorAPI!J19)</f>
        <v/>
      </c>
      <c r="K17" s="144" t="str">
        <f>IF('API2'!$C$8=5,OrganizadorAPI!Y19,OrganizadorAPI!K19)</f>
        <v/>
      </c>
      <c r="L17" s="144" t="str">
        <f>IF('API2'!$C$8=5,OrganizadorAPI!AA19,OrganizadorAPI!M19)</f>
        <v/>
      </c>
      <c r="M17" s="144" t="str">
        <f>IF('API2'!$C$8=5,OrganizadorAPI!AB19,OrganizadorAPI!N19)</f>
        <v/>
      </c>
    </row>
    <row r="18" spans="1:13" x14ac:dyDescent="0.25">
      <c r="A18" s="145" t="str">
        <f>IF(API!$C$8=5,organizador!L50,IF(API!$C$8=10,organizador!U50,organizador!C50))</f>
        <v>08/01/2025</v>
      </c>
      <c r="B18" s="145" t="str">
        <f>IF(API!$C$8=5,organizador!M50,IF(API!$C$8=10,organizador!V50,organizador!D50))</f>
        <v>21:10:00</v>
      </c>
      <c r="C18" s="145" t="str">
        <f>IF(API!$C$8=5,organizador!N50,IF(API!$C$8=10,organizador!W50,organizador!E50))</f>
        <v>08/01/2025</v>
      </c>
      <c r="D18" s="145" t="str">
        <f>IF(API!$C$8=5,organizador!O50,IF(API!$C$8=10,organizador!X50,organizador!F50))</f>
        <v>21:10:00</v>
      </c>
      <c r="E18" s="44"/>
      <c r="F18" s="143" t="str">
        <f>IF('API2'!$C$8=5,OrganizadorAPI!Q20,OrganizadorAPI!C20)</f>
        <v/>
      </c>
      <c r="G18" s="143" t="str">
        <f>IF('API2'!$C$8=5,OrganizadorAPI!R20,OrganizadorAPI!D20)</f>
        <v/>
      </c>
      <c r="H18" s="143" t="str">
        <f>IF('API2'!$C$8,OrganizadorAPI!T20,OrganizadorAPI!F20)</f>
        <v>25/12/2024</v>
      </c>
      <c r="I18" s="143" t="str">
        <f>IF('API2'!$C$8=5,OrganizadorAPI!U20,OrganizadorAPI!G20)</f>
        <v/>
      </c>
      <c r="J18" s="144" t="str">
        <f>IF('API2'!$C$8=5,OrganizadorAPI!X20,OrganizadorAPI!J20)</f>
        <v/>
      </c>
      <c r="K18" s="144" t="str">
        <f>IF('API2'!$C$8=5,OrganizadorAPI!Y20,OrganizadorAPI!K20)</f>
        <v/>
      </c>
      <c r="L18" s="144" t="str">
        <f>IF('API2'!$C$8=5,OrganizadorAPI!AA20,OrganizadorAPI!M20)</f>
        <v/>
      </c>
      <c r="M18" s="144" t="str">
        <f>IF('API2'!$C$8=5,OrganizadorAPI!AB20,OrganizadorAPI!N20)</f>
        <v/>
      </c>
    </row>
    <row r="19" spans="1:13" x14ac:dyDescent="0.25">
      <c r="A19" s="145" t="str">
        <f>IF(API!$C$8=5,organizador!L51,IF(API!$C$8=10,organizador!U51,organizador!C51))</f>
        <v>08/01/2025</v>
      </c>
      <c r="B19" s="145" t="str">
        <f>IF(API!$C$8=5,organizador!M51,IF(API!$C$8=10,organizador!V51,organizador!D51))</f>
        <v>21:10:00</v>
      </c>
      <c r="C19" s="145" t="str">
        <f>IF(API!$C$8=5,organizador!N51,IF(API!$C$8=10,organizador!W51,organizador!E51))</f>
        <v>08/01/2025</v>
      </c>
      <c r="D19" s="145" t="str">
        <f>IF(API!$C$8=5,organizador!O51,IF(API!$C$8=10,organizador!X51,organizador!F51))</f>
        <v>21:10:00</v>
      </c>
      <c r="E19" s="44"/>
      <c r="F19" s="143" t="str">
        <f>IF('API2'!$C$8=5,OrganizadorAPI!Q21,OrganizadorAPI!C21)</f>
        <v/>
      </c>
      <c r="G19" s="143" t="str">
        <f>IF('API2'!$C$8=5,OrganizadorAPI!R21,OrganizadorAPI!D21)</f>
        <v/>
      </c>
      <c r="H19" s="143" t="str">
        <f>IF('API2'!$C$8,OrganizadorAPI!T21,OrganizadorAPI!F21)</f>
        <v/>
      </c>
      <c r="I19" s="143" t="str">
        <f>IF('API2'!$C$8=5,OrganizadorAPI!U21,OrganizadorAPI!G21)</f>
        <v/>
      </c>
      <c r="J19" s="144" t="str">
        <f>IF('API2'!$C$8=5,OrganizadorAPI!X21,OrganizadorAPI!J21)</f>
        <v/>
      </c>
      <c r="K19" s="144" t="str">
        <f>IF('API2'!$C$8=5,OrganizadorAPI!Y21,OrganizadorAPI!K21)</f>
        <v/>
      </c>
      <c r="L19" s="144" t="str">
        <f>IF('API2'!$C$8=5,OrganizadorAPI!AA21,OrganizadorAPI!M21)</f>
        <v/>
      </c>
      <c r="M19" s="144" t="str">
        <f>IF('API2'!$C$8=5,OrganizadorAPI!AB21,OrganizadorAPI!N21)</f>
        <v/>
      </c>
    </row>
    <row r="20" spans="1:13" x14ac:dyDescent="0.25">
      <c r="A20" s="145" t="str">
        <f>IF(API!$C$8=5,organizador!L52,IF(API!$C$8=10,organizador!U52,organizador!C52))</f>
        <v>08/01/2025</v>
      </c>
      <c r="B20" s="145" t="str">
        <f>IF(API!$C$8=5,organizador!M52,IF(API!$C$8=10,organizador!V52,organizador!D52))</f>
        <v>09:15:00</v>
      </c>
      <c r="C20" s="145" t="str">
        <f>IF(API!$C$8=5,organizador!N52,IF(API!$C$8=10,organizador!W52,organizador!E52))</f>
        <v/>
      </c>
      <c r="D20" s="145" t="str">
        <f>IF(API!$C$8=5,organizador!O52,IF(API!$C$8=10,organizador!X52,organizador!F52))</f>
        <v/>
      </c>
      <c r="E20" s="44"/>
      <c r="F20" s="143" t="str">
        <f>IF('API2'!$C$8=5,OrganizadorAPI!Q22,OrganizadorAPI!C22)</f>
        <v/>
      </c>
      <c r="G20" s="143" t="str">
        <f>IF('API2'!$C$8=5,OrganizadorAPI!R22,OrganizadorAPI!D22)</f>
        <v/>
      </c>
      <c r="H20" s="143" t="str">
        <f>IF('API2'!$C$8,OrganizadorAPI!T22,OrganizadorAPI!F22)</f>
        <v/>
      </c>
      <c r="I20" s="143" t="str">
        <f>IF('API2'!$C$8=5,OrganizadorAPI!U22,OrganizadorAPI!G22)</f>
        <v/>
      </c>
      <c r="J20" s="144" t="str">
        <f>IF('API2'!$C$8=5,OrganizadorAPI!X22,OrganizadorAPI!J22)</f>
        <v/>
      </c>
      <c r="K20" s="144" t="str">
        <f>IF('API2'!$C$8=5,OrganizadorAPI!Y22,OrganizadorAPI!K22)</f>
        <v/>
      </c>
      <c r="L20" s="144" t="str">
        <f>IF('API2'!$C$8=5,OrganizadorAPI!AA22,OrganizadorAPI!M22)</f>
        <v/>
      </c>
      <c r="M20" s="144" t="str">
        <f>IF('API2'!$C$8=5,OrganizadorAPI!AB22,OrganizadorAPI!N22)</f>
        <v/>
      </c>
    </row>
    <row r="21" spans="1:13" x14ac:dyDescent="0.25">
      <c r="A21" s="145" t="str">
        <f>IF(API!$C$8=5,organizador!L53,IF(API!$C$8=10,organizador!U53,organizador!C53))</f>
        <v>08/01/2025</v>
      </c>
      <c r="B21" s="145" t="str">
        <f>IF(API!$C$8=5,organizador!M53,IF(API!$C$8=10,organizador!V53,organizador!D53))</f>
        <v>13:25:00</v>
      </c>
      <c r="C21" s="145" t="str">
        <f>IF(API!$C$8=5,organizador!N53,IF(API!$C$8=10,organizador!W53,organizador!E53))</f>
        <v/>
      </c>
      <c r="D21" s="145" t="str">
        <f>IF(API!$C$8=5,organizador!O53,IF(API!$C$8=10,organizador!X53,organizador!F53))</f>
        <v/>
      </c>
      <c r="E21" s="44"/>
      <c r="F21" s="143" t="str">
        <f>IF('API2'!$C$8=5,OrganizadorAPI!Q23,OrganizadorAPI!C23)</f>
        <v>24/12/2024</v>
      </c>
      <c r="G21" s="143" t="str">
        <f>IF('API2'!$C$8=5,OrganizadorAPI!R23,OrganizadorAPI!D23)</f>
        <v>22:50:00</v>
      </c>
      <c r="H21" s="143" t="str">
        <f>IF('API2'!$C$8,OrganizadorAPI!T23,OrganizadorAPI!F23)</f>
        <v/>
      </c>
      <c r="I21" s="143" t="str">
        <f>IF('API2'!$C$8=5,OrganizadorAPI!U23,OrganizadorAPI!G23)</f>
        <v/>
      </c>
      <c r="J21" s="144" t="str">
        <f>IF('API2'!$C$8=5,OrganizadorAPI!X23,OrganizadorAPI!J23)</f>
        <v/>
      </c>
      <c r="K21" s="144" t="str">
        <f>IF('API2'!$C$8=5,OrganizadorAPI!Y23,OrganizadorAPI!K23)</f>
        <v/>
      </c>
      <c r="L21" s="144" t="str">
        <f>IF('API2'!$C$8=5,OrganizadorAPI!AA23,OrganizadorAPI!M23)</f>
        <v/>
      </c>
      <c r="M21" s="144" t="str">
        <f>IF('API2'!$C$8=5,OrganizadorAPI!AB23,OrganizadorAPI!N23)</f>
        <v/>
      </c>
    </row>
    <row r="22" spans="1:13" x14ac:dyDescent="0.25">
      <c r="A22" s="145" t="str">
        <f>IF(API!$C$8=5,organizador!L54,IF(API!$C$8=10,organizador!U54,organizador!C54))</f>
        <v/>
      </c>
      <c r="B22" s="145" t="str">
        <f>IF(API!$C$8=5,organizador!M54,IF(API!$C$8=10,organizador!V54,organizador!D54))</f>
        <v/>
      </c>
      <c r="C22" s="145" t="str">
        <f>IF(API!$C$8=5,organizador!N54,IF(API!$C$8=10,organizador!W54,organizador!E54))</f>
        <v/>
      </c>
      <c r="D22" s="145" t="str">
        <f>IF(API!$C$8=5,organizador!O54,IF(API!$C$8=10,organizador!X54,organizador!F54))</f>
        <v/>
      </c>
      <c r="E22" s="44"/>
      <c r="F22" s="143" t="str">
        <f>IF('API2'!$C$8=5,OrganizadorAPI!Q24,OrganizadorAPI!C24)</f>
        <v/>
      </c>
      <c r="G22" s="143" t="str">
        <f>IF('API2'!$C$8=5,OrganizadorAPI!R24,OrganizadorAPI!D24)</f>
        <v/>
      </c>
      <c r="H22" s="143">
        <f>IF('API2'!$C$8,OrganizadorAPI!T24,OrganizadorAPI!F24)</f>
        <v>0</v>
      </c>
      <c r="I22" s="143" t="str">
        <f>IF('API2'!$C$8=5,OrganizadorAPI!U24,OrganizadorAPI!G24)</f>
        <v/>
      </c>
      <c r="J22" s="144" t="str">
        <f>IF('API2'!$C$8=5,OrganizadorAPI!X24,OrganizadorAPI!J24)</f>
        <v/>
      </c>
      <c r="K22" s="144" t="str">
        <f>IF('API2'!$C$8=5,OrganizadorAPI!Y24,OrganizadorAPI!K24)</f>
        <v/>
      </c>
      <c r="L22" s="144" t="str">
        <f>IF('API2'!$C$8=5,OrganizadorAPI!AA24,OrganizadorAPI!M24)</f>
        <v/>
      </c>
      <c r="M22" s="144" t="str">
        <f>IF('API2'!$C$8=5,OrganizadorAPI!AB24,OrganizadorAPI!N24)</f>
        <v/>
      </c>
    </row>
    <row r="23" spans="1:13" x14ac:dyDescent="0.25">
      <c r="A23" s="145" t="str">
        <f>IF(API!$C$8=5,organizador!L55,IF(API!$C$8=10,organizador!U55,organizador!C55))</f>
        <v>08/01/2025</v>
      </c>
      <c r="B23" s="145" t="str">
        <f>IF(API!$C$8=5,organizador!M55,IF(API!$C$8=10,organizador!V55,organizador!D55))</f>
        <v>21:10:00</v>
      </c>
      <c r="C23" s="145" t="str">
        <f>IF(API!$C$8=5,organizador!N55,IF(API!$C$8=10,organizador!W55,organizador!E55))</f>
        <v>08/01/2025</v>
      </c>
      <c r="D23" s="145" t="str">
        <f>IF(API!$C$8=5,organizador!O55,IF(API!$C$8=10,organizador!X55,organizador!F55))</f>
        <v>21:10:00</v>
      </c>
      <c r="E23" s="44"/>
      <c r="F23" s="143" t="str">
        <f>IF('API2'!$C$8=5,OrganizadorAPI!Q25,OrganizadorAPI!C25)</f>
        <v/>
      </c>
      <c r="G23" s="143" t="str">
        <f>IF('API2'!$C$8=5,OrganizadorAPI!R25,OrganizadorAPI!D25)</f>
        <v/>
      </c>
      <c r="H23" s="143" t="str">
        <f>IF('API2'!$C$8,OrganizadorAPI!T25,OrganizadorAPI!F25)</f>
        <v/>
      </c>
      <c r="I23" s="143" t="str">
        <f>IF('API2'!$C$8=5,OrganizadorAPI!U25,OrganizadorAPI!G25)</f>
        <v/>
      </c>
      <c r="J23" s="144" t="str">
        <f>IF('API2'!$C$8=5,OrganizadorAPI!X25,OrganizadorAPI!J25)</f>
        <v>25/12/2024</v>
      </c>
      <c r="K23" s="144" t="str">
        <f>IF('API2'!$C$8=5,OrganizadorAPI!Y25,OrganizadorAPI!K25)</f>
        <v>12:45:00</v>
      </c>
      <c r="L23" s="144" t="str">
        <f>IF('API2'!$C$8=5,OrganizadorAPI!AA25,OrganizadorAPI!M25)</f>
        <v/>
      </c>
      <c r="M23" s="144" t="str">
        <f>IF('API2'!$C$8=5,OrganizadorAPI!AB25,OrganizadorAPI!N25)</f>
        <v/>
      </c>
    </row>
    <row r="24" spans="1:13" x14ac:dyDescent="0.25">
      <c r="A24" s="145" t="str">
        <f>IF(API!$C$8=5,organizador!L56,IF(API!$C$8=10,organizador!U56,organizador!C56))</f>
        <v>08/01/2025</v>
      </c>
      <c r="B24" s="145" t="str">
        <f>IF(API!$C$8=5,organizador!M56,IF(API!$C$8=10,organizador!V56,organizador!D56))</f>
        <v>21:10:00</v>
      </c>
      <c r="C24" s="145" t="str">
        <f>IF(API!$C$8=5,organizador!N56,IF(API!$C$8=10,organizador!W56,organizador!E56))</f>
        <v>08/01/2025</v>
      </c>
      <c r="D24" s="145" t="str">
        <f>IF(API!$C$8=5,organizador!O56,IF(API!$C$8=10,organizador!X56,organizador!F56))</f>
        <v>21:10:00</v>
      </c>
      <c r="E24" s="44"/>
      <c r="F24" s="143" t="str">
        <f>IF('API2'!$C$8=5,OrganizadorAPI!Q26,OrganizadorAPI!C26)</f>
        <v/>
      </c>
      <c r="G24" s="143" t="str">
        <f>IF('API2'!$C$8=5,OrganizadorAPI!R26,OrganizadorAPI!D26)</f>
        <v/>
      </c>
      <c r="H24" s="143" t="str">
        <f>IF('API2'!$C$8,OrganizadorAPI!T26,OrganizadorAPI!F26)</f>
        <v/>
      </c>
      <c r="I24" s="143" t="str">
        <f>IF('API2'!$C$8=5,OrganizadorAPI!U26,OrganizadorAPI!G26)</f>
        <v/>
      </c>
      <c r="J24" s="144" t="str">
        <f>IF('API2'!$C$8=5,OrganizadorAPI!X26,OrganizadorAPI!J26)</f>
        <v/>
      </c>
      <c r="K24" s="144" t="str">
        <f>IF('API2'!$C$8=5,OrganizadorAPI!Y26,OrganizadorAPI!K26)</f>
        <v/>
      </c>
      <c r="L24" s="144" t="str">
        <f>IF('API2'!$C$8=5,OrganizadorAPI!AA26,OrganizadorAPI!M26)</f>
        <v/>
      </c>
      <c r="M24" s="144" t="str">
        <f>IF('API2'!$C$8=5,OrganizadorAPI!AB26,OrganizadorAPI!N26)</f>
        <v/>
      </c>
    </row>
    <row r="25" spans="1:13" x14ac:dyDescent="0.25">
      <c r="A25" s="145" t="str">
        <f>IF(API!$C$8=5,organizador!L57,IF(API!$C$8=10,organizador!U57,organizador!C57))</f>
        <v>08/01/2025</v>
      </c>
      <c r="B25" s="145" t="str">
        <f>IF(API!$C$8=5,organizador!M57,IF(API!$C$8=10,organizador!V57,organizador!D57))</f>
        <v>09:15:00</v>
      </c>
      <c r="C25" s="145" t="str">
        <f>IF(API!$C$8=5,organizador!N57,IF(API!$C$8=10,organizador!W57,organizador!E57))</f>
        <v/>
      </c>
      <c r="D25" s="145" t="str">
        <f>IF(API!$C$8=5,organizador!O57,IF(API!$C$8=10,organizador!X57,organizador!F57))</f>
        <v/>
      </c>
      <c r="E25" s="44"/>
      <c r="F25" s="143" t="str">
        <f>IF('API2'!$C$8=5,OrganizadorAPI!Q27,OrganizadorAPI!C27)</f>
        <v/>
      </c>
      <c r="G25" s="143" t="str">
        <f>IF('API2'!$C$8=5,OrganizadorAPI!R27,OrganizadorAPI!D27)</f>
        <v/>
      </c>
      <c r="H25" s="143" t="str">
        <f>IF('API2'!$C$8,OrganizadorAPI!T27,OrganizadorAPI!F27)</f>
        <v/>
      </c>
      <c r="I25" s="143" t="str">
        <f>IF('API2'!$C$8=5,OrganizadorAPI!U27,OrganizadorAPI!G27)</f>
        <v/>
      </c>
      <c r="J25" s="144" t="str">
        <f>IF('API2'!$C$8=5,OrganizadorAPI!X27,OrganizadorAPI!J27)</f>
        <v/>
      </c>
      <c r="K25" s="144" t="str">
        <f>IF('API2'!$C$8=5,OrganizadorAPI!Y27,OrganizadorAPI!K27)</f>
        <v/>
      </c>
      <c r="L25" s="144" t="str">
        <f>IF('API2'!$C$8=5,OrganizadorAPI!AA27,OrganizadorAPI!M27)</f>
        <v/>
      </c>
      <c r="M25" s="144" t="str">
        <f>IF('API2'!$C$8=5,OrganizadorAPI!AB27,OrganizadorAPI!N27)</f>
        <v/>
      </c>
    </row>
    <row r="26" spans="1:13" x14ac:dyDescent="0.25">
      <c r="A26" s="145" t="str">
        <f>IF(API!$C$8=5,organizador!L58,IF(API!$C$8=10,organizador!U58,organizador!C58))</f>
        <v>08/01/2025</v>
      </c>
      <c r="B26" s="145" t="str">
        <f>IF(API!$C$8=5,organizador!M58,IF(API!$C$8=10,organizador!V58,organizador!D58))</f>
        <v>12:45:00</v>
      </c>
      <c r="C26" s="145" t="str">
        <f>IF(API!$C$8=5,organizador!N58,IF(API!$C$8=10,organizador!W58,organizador!E58))</f>
        <v/>
      </c>
      <c r="D26" s="145" t="str">
        <f>IF(API!$C$8=5,organizador!O58,IF(API!$C$8=10,organizador!X58,organizador!F58))</f>
        <v/>
      </c>
      <c r="E26" s="44"/>
      <c r="F26" s="143" t="str">
        <f>IF('API2'!$C$8=5,OrganizadorAPI!Q28,OrganizadorAPI!C28)</f>
        <v/>
      </c>
      <c r="G26" s="143" t="str">
        <f>IF('API2'!$C$8=5,OrganizadorAPI!R28,OrganizadorAPI!D28)</f>
        <v/>
      </c>
      <c r="H26" s="143" t="str">
        <f>IF('API2'!$C$8,OrganizadorAPI!T28,OrganizadorAPI!F28)</f>
        <v/>
      </c>
      <c r="I26" s="143" t="str">
        <f>IF('API2'!$C$8=5,OrganizadorAPI!U28,OrganizadorAPI!G28)</f>
        <v/>
      </c>
      <c r="J26" s="144" t="str">
        <f>IF('API2'!$C$8=5,OrganizadorAPI!X28,OrganizadorAPI!J28)</f>
        <v/>
      </c>
      <c r="K26" s="144" t="str">
        <f>IF('API2'!$C$8=5,OrganizadorAPI!Y28,OrganizadorAPI!K28)</f>
        <v/>
      </c>
      <c r="L26" s="144" t="str">
        <f>IF('API2'!$C$8=5,OrganizadorAPI!AA28,OrganizadorAPI!M28)</f>
        <v/>
      </c>
      <c r="M26" s="144" t="str">
        <f>IF('API2'!$C$8=5,OrganizadorAPI!AB28,OrganizadorAPI!N28)</f>
        <v/>
      </c>
    </row>
    <row r="27" spans="1:13" x14ac:dyDescent="0.25">
      <c r="A27" s="145" t="str">
        <f>IF(API!$C$8=5,organizador!L59,IF(API!$C$8=10,organizador!U59,organizador!C59))</f>
        <v>08/01/2025</v>
      </c>
      <c r="B27" s="145" t="str">
        <f>IF(API!$C$8=5,organizador!M59,IF(API!$C$8=10,organizador!V59,organizador!D59))</f>
        <v>09:15:00</v>
      </c>
      <c r="C27" s="145" t="str">
        <f>IF(API!$C$8=5,organizador!N59,IF(API!$C$8=10,organizador!W59,organizador!E59))</f>
        <v/>
      </c>
      <c r="D27" s="145" t="str">
        <f>IF(API!$C$8=5,organizador!O59,IF(API!$C$8=10,organizador!X59,organizador!F59))</f>
        <v/>
      </c>
      <c r="E27" s="44"/>
      <c r="F27" s="143" t="str">
        <f>IF('API2'!$C$8=5,OrganizadorAPI!Q29,OrganizadorAPI!C29)</f>
        <v/>
      </c>
      <c r="G27" s="143" t="str">
        <f>IF('API2'!$C$8=5,OrganizadorAPI!R29,OrganizadorAPI!D29)</f>
        <v/>
      </c>
      <c r="H27" s="143">
        <f>IF('API2'!$C$8,OrganizadorAPI!T29,OrganizadorAPI!F29)</f>
        <v>0</v>
      </c>
      <c r="I27" s="143" t="str">
        <f>IF('API2'!$C$8=5,OrganizadorAPI!U29,OrganizadorAPI!G29)</f>
        <v/>
      </c>
      <c r="J27" s="144" t="str">
        <f>IF('API2'!$C$8=5,OrganizadorAPI!X29,OrganizadorAPI!J29)</f>
        <v/>
      </c>
      <c r="K27" s="144" t="str">
        <f>IF('API2'!$C$8=5,OrganizadorAPI!Y29,OrganizadorAPI!K29)</f>
        <v/>
      </c>
      <c r="L27" s="144" t="str">
        <f>IF('API2'!$C$8=5,OrganizadorAPI!AA29,OrganizadorAPI!M29)</f>
        <v/>
      </c>
      <c r="M27" s="144" t="str">
        <f>IF('API2'!$C$8=5,OrganizadorAPI!AB29,OrganizadorAPI!N29)</f>
        <v/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99F0C-A3C3-4F71-96AC-D561DF98B62F}">
  <sheetPr codeName="Planilha25">
    <tabColor rgb="FF4D1B46"/>
  </sheetPr>
  <dimension ref="A1:Z43"/>
  <sheetViews>
    <sheetView showGridLines="0" showRowColHeaders="0" showZeros="0" zoomScale="107" zoomScaleNormal="107" workbookViewId="0">
      <selection activeCell="C8" sqref="C8:D9"/>
    </sheetView>
  </sheetViews>
  <sheetFormatPr defaultColWidth="0" defaultRowHeight="15" customHeight="1" zeroHeight="1" x14ac:dyDescent="0.25"/>
  <cols>
    <col min="1" max="4" width="10.7109375" customWidth="1"/>
    <col min="5" max="5" width="5.7109375" customWidth="1"/>
    <col min="6" max="6" width="7" customWidth="1"/>
    <col min="7" max="7" width="12.85546875" customWidth="1"/>
    <col min="8" max="9" width="11.42578125" style="120" customWidth="1"/>
    <col min="10" max="10" width="12.85546875" customWidth="1"/>
    <col min="11" max="12" width="11.42578125" style="120" customWidth="1"/>
    <col min="13" max="14" width="10.7109375" customWidth="1"/>
    <col min="15" max="15" width="7" customWidth="1"/>
    <col min="16" max="16" width="12.85546875" customWidth="1"/>
    <col min="17" max="18" width="11.42578125" style="120" customWidth="1"/>
    <col min="19" max="19" width="12.85546875" customWidth="1"/>
    <col min="20" max="21" width="11.42578125" style="120" customWidth="1"/>
    <col min="22" max="22" width="10.7109375" customWidth="1"/>
    <col min="23" max="23" width="7.85546875" customWidth="1"/>
    <col min="24" max="24" width="10.7109375" customWidth="1"/>
    <col min="25" max="26" width="10.7109375" hidden="1" customWidth="1"/>
    <col min="27" max="16384" width="9.140625" hidden="1"/>
  </cols>
  <sheetData>
    <row r="1" spans="1:26" x14ac:dyDescent="0.25">
      <c r="A1" s="1"/>
      <c r="B1" s="1"/>
      <c r="C1" s="1"/>
      <c r="D1" s="1"/>
      <c r="E1" s="1"/>
      <c r="F1" s="1"/>
      <c r="G1" s="1"/>
      <c r="H1" s="119"/>
      <c r="I1" s="119"/>
      <c r="J1" s="1"/>
      <c r="K1" s="119"/>
      <c r="L1" s="119"/>
      <c r="M1" s="1"/>
      <c r="N1" s="1"/>
      <c r="O1" s="1"/>
      <c r="P1" s="1"/>
      <c r="Q1" s="119"/>
      <c r="R1" s="119"/>
      <c r="S1" s="1"/>
      <c r="T1" s="119"/>
      <c r="U1" s="119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19"/>
      <c r="I2" s="119"/>
      <c r="J2" s="1"/>
      <c r="K2" s="119"/>
      <c r="L2" s="119"/>
      <c r="M2" s="1"/>
      <c r="N2" s="1"/>
      <c r="O2" s="1"/>
      <c r="P2" s="1"/>
      <c r="Q2" s="119"/>
      <c r="R2" s="119"/>
      <c r="S2" s="1"/>
      <c r="T2" s="119"/>
      <c r="U2" s="119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19"/>
      <c r="I3" s="119"/>
      <c r="J3" s="1"/>
      <c r="K3" s="119"/>
      <c r="L3" s="119"/>
      <c r="M3" s="1"/>
      <c r="N3" s="1"/>
      <c r="O3" s="1"/>
      <c r="P3" s="1"/>
      <c r="Q3" s="119"/>
      <c r="R3" s="119"/>
      <c r="S3" s="1"/>
      <c r="T3" s="119"/>
      <c r="U3" s="119"/>
      <c r="V3" s="1"/>
      <c r="W3" s="1"/>
      <c r="X3" s="1"/>
      <c r="Y3" s="1"/>
      <c r="Z3" s="1"/>
    </row>
    <row r="4" spans="1:26" ht="18" customHeight="1" x14ac:dyDescent="0.25">
      <c r="A4" s="2"/>
      <c r="B4" s="2"/>
      <c r="C4" s="2"/>
      <c r="D4" s="2"/>
      <c r="E4" s="2"/>
      <c r="F4" s="141"/>
      <c r="G4" s="141"/>
      <c r="H4" s="142"/>
      <c r="I4" s="142"/>
      <c r="J4" s="146"/>
      <c r="K4" s="147" t="s">
        <v>700</v>
      </c>
      <c r="L4" s="147"/>
      <c r="M4" s="146" t="str">
        <f>CHOOSE(C8,"Pelego","Fibra","Minério","Madeira","Rocha")</f>
        <v>Pelego</v>
      </c>
      <c r="N4" s="146" t="str">
        <f>CHOOSE(C8,"Couro","Tecido","Barra","Tábua","Bloco")</f>
        <v>Couro</v>
      </c>
      <c r="O4" s="146"/>
      <c r="P4" s="141"/>
      <c r="Q4" s="142"/>
      <c r="R4" s="142"/>
      <c r="S4" s="141"/>
      <c r="T4" s="142"/>
      <c r="U4" s="142"/>
      <c r="V4" s="141"/>
      <c r="W4" s="141"/>
      <c r="X4" s="141"/>
      <c r="Y4" s="2"/>
      <c r="Z4" s="2"/>
    </row>
    <row r="5" spans="1:26" x14ac:dyDescent="0.25"/>
    <row r="6" spans="1:26" ht="15" customHeight="1" x14ac:dyDescent="0.25">
      <c r="A6" s="226" t="s">
        <v>573</v>
      </c>
      <c r="B6" s="226"/>
      <c r="C6" s="226"/>
      <c r="D6" s="226"/>
      <c r="K6"/>
      <c r="L6"/>
      <c r="Q6"/>
      <c r="R6"/>
    </row>
    <row r="7" spans="1:26" ht="15" customHeight="1" x14ac:dyDescent="0.25">
      <c r="A7" s="226"/>
      <c r="B7" s="226"/>
      <c r="C7" s="226"/>
      <c r="D7" s="226"/>
    </row>
    <row r="8" spans="1:26" ht="15" customHeight="1" x14ac:dyDescent="0.25">
      <c r="A8" s="227" t="s">
        <v>121</v>
      </c>
      <c r="B8" s="227"/>
      <c r="C8" s="231">
        <v>1</v>
      </c>
      <c r="D8" s="231"/>
    </row>
    <row r="9" spans="1:26" ht="17.25" customHeight="1" x14ac:dyDescent="0.25">
      <c r="A9" s="227"/>
      <c r="B9" s="227"/>
      <c r="C9" s="231"/>
      <c r="D9" s="231"/>
    </row>
    <row r="10" spans="1:26" ht="18" customHeight="1" x14ac:dyDescent="0.3">
      <c r="A10" s="227" t="s">
        <v>375</v>
      </c>
      <c r="B10" s="227"/>
      <c r="C10" s="231">
        <v>5</v>
      </c>
      <c r="D10" s="231"/>
      <c r="F10" s="230" t="str">
        <f>_xlfn.CONCAT(K4,M4)</f>
        <v>Pedidos de Pelego</v>
      </c>
      <c r="G10" s="230"/>
      <c r="H10" s="230"/>
      <c r="I10" s="230"/>
      <c r="J10" s="230"/>
      <c r="K10" s="230"/>
      <c r="L10" s="230"/>
      <c r="O10" s="230" t="str">
        <f>_xlfn.CONCAT(K4,N4)</f>
        <v>Pedidos de Couro</v>
      </c>
      <c r="P10" s="230"/>
      <c r="Q10" s="230"/>
      <c r="R10" s="230"/>
      <c r="S10" s="230"/>
      <c r="T10" s="230"/>
      <c r="U10" s="230"/>
    </row>
    <row r="11" spans="1:26" ht="15" customHeight="1" x14ac:dyDescent="0.25">
      <c r="A11" s="227"/>
      <c r="B11" s="227"/>
      <c r="C11" s="231"/>
      <c r="D11" s="231"/>
      <c r="F11" s="80" t="s">
        <v>30</v>
      </c>
      <c r="G11" s="80" t="s">
        <v>363</v>
      </c>
      <c r="H11" s="80" t="s">
        <v>376</v>
      </c>
      <c r="I11" s="80" t="s">
        <v>407</v>
      </c>
      <c r="J11" s="80" t="s">
        <v>364</v>
      </c>
      <c r="K11" s="80" t="s">
        <v>376</v>
      </c>
      <c r="L11" s="80" t="s">
        <v>407</v>
      </c>
      <c r="O11" s="80" t="s">
        <v>30</v>
      </c>
      <c r="P11" s="80" t="s">
        <v>363</v>
      </c>
      <c r="Q11" s="80" t="s">
        <v>376</v>
      </c>
      <c r="R11" s="80" t="s">
        <v>407</v>
      </c>
      <c r="S11" s="80" t="s">
        <v>364</v>
      </c>
      <c r="T11" s="80" t="s">
        <v>376</v>
      </c>
      <c r="U11" s="80" t="s">
        <v>407</v>
      </c>
    </row>
    <row r="12" spans="1:26" ht="18.75" customHeight="1" x14ac:dyDescent="0.25">
      <c r="F12" s="122" t="s">
        <v>479</v>
      </c>
      <c r="G12" s="121">
        <f>IF($C$8=5,OrganizadorAPI!P3,OrganizadorAPI!B3)</f>
        <v>0</v>
      </c>
      <c r="H12" s="139" t="str">
        <f>IFERROR(INT(APIAUX!F1+APIAUX!G1 - (Configurações!$A$3 / 24)),"")</f>
        <v/>
      </c>
      <c r="I12" s="140" t="str">
        <f>IFERROR(IF(MOD(APIAUX!F1 + APIAUX!G1 - (Configurações!$A$3 / 24), 1) = 0, "00:00:00", MOD(APIAUX!F1 + APIAUX!G1 - (Configurações!$A$3 / 24), 1)), "")</f>
        <v/>
      </c>
      <c r="J12" s="121">
        <f>IF($C$8=5,OrganizadorAPI!S3,OrganizadorAPI!E3)</f>
        <v>0</v>
      </c>
      <c r="K12" s="139" t="str">
        <f>IFERROR(INT(APIAUX!H1+APIAUX!I1 - (Configurações!$A$3 / 24)),"")</f>
        <v/>
      </c>
      <c r="L12" s="140" t="str">
        <f>IFERROR(IF(MOD(APIAUX!H1 + APIAUX!I1 - (Configurações!$A$3 / 24), 1) = 0, "00:00:00", MOD(APIAUX!H1 + APIAUX!I1 - (Configurações!$A$3 / 24), 1)), "")</f>
        <v/>
      </c>
      <c r="O12" s="122" t="s">
        <v>479</v>
      </c>
      <c r="P12" s="121">
        <f>IF($C$8=5,OrganizadorAPI!W3,OrganizadorAPI!I3)</f>
        <v>46</v>
      </c>
      <c r="Q12" s="139">
        <f>IFERROR(INT(APIAUX!J1+APIAUX!K1 - (Configurações!$A$3 / 24)),"")</f>
        <v>45651</v>
      </c>
      <c r="R12" s="140">
        <f>IFERROR(IF(MOD(APIAUX!J1 + APIAUX!K1 - (Configurações!$A$3 / 24), 1) = 0, "00:00:00", MOD(APIAUX!J1 + APIAUX!K1 - (Configurações!$A$3 / 24), 1)), "")</f>
        <v>0.40277777778101154</v>
      </c>
      <c r="S12" s="121">
        <f>IF($C$8=5,OrganizadorAPI!Z3,OrganizadorAPI!L3)</f>
        <v>0</v>
      </c>
      <c r="T12" s="139" t="str">
        <f>IFERROR(INT(APIAUX!L1+APIAUX!M1 - (Configurações!$A$3 / 24)),"")</f>
        <v/>
      </c>
      <c r="U12" s="140" t="str">
        <f>IFERROR(IF(MOD(APIAUX!L1 + APIAUX!M1 - (Configurações!$A$3 / 24), 1) = 0, "00:00:00", MOD(APIAUX!L1 + APIAUX!M1 - (Configurações!$A$3 / 24), 1)), "")</f>
        <v/>
      </c>
    </row>
    <row r="13" spans="1:26" ht="18.75" customHeight="1" x14ac:dyDescent="0.25">
      <c r="F13" s="123" t="s">
        <v>95</v>
      </c>
      <c r="G13" s="121">
        <f>IF($C$8=5,OrganizadorAPI!P4,OrganizadorAPI!B4)</f>
        <v>67</v>
      </c>
      <c r="H13" s="139">
        <f>IFERROR(INT(APIAUX!F2+APIAUX!G2 - (Configurações!$A$3 / 24)),"")</f>
        <v>45651</v>
      </c>
      <c r="I13" s="140">
        <f>IFERROR(IF(MOD(APIAUX!F2 + APIAUX!G2 - (Configurações!$A$3 / 24), 1) = 0, "00:00:00", MOD(APIAUX!F2 + APIAUX!G2 - (Configurações!$A$3 / 24), 1)), "")</f>
        <v>0.52777777778101154</v>
      </c>
      <c r="J13" s="121">
        <f>IF($C$8=5,OrganizadorAPI!S4,OrganizadorAPI!E4)</f>
        <v>66</v>
      </c>
      <c r="K13" s="139">
        <f>IFERROR(INT(APIAUX!H2+APIAUX!I2 - (Configurações!$A$3 / 24)),"")</f>
        <v>45650</v>
      </c>
      <c r="L13" s="140">
        <f>IFERROR(IF(MOD(APIAUX!H2 + APIAUX!I2 - (Configurações!$A$3 / 24), 1) = 0, "00:00:00", MOD(APIAUX!H2 + APIAUX!I2 - (Configurações!$A$3 / 24), 1)), "")</f>
        <v>0.82638888889050577</v>
      </c>
      <c r="O13" s="123" t="s">
        <v>95</v>
      </c>
      <c r="P13" s="121">
        <f>IF($C$8=5,OrganizadorAPI!W4,OrganizadorAPI!I4)</f>
        <v>0</v>
      </c>
      <c r="Q13" s="139" t="str">
        <f>IFERROR(INT(APIAUX!J2+APIAUX!K2 - (Configurações!$A$3 / 24)),"")</f>
        <v/>
      </c>
      <c r="R13" s="140" t="str">
        <f>IFERROR(IF(MOD(APIAUX!J2 + APIAUX!K2 - (Configurações!$A$3 / 24), 1) = 0, "00:00:00", MOD(APIAUX!J2 + APIAUX!K2 - (Configurações!$A$3 / 24), 1)), "")</f>
        <v/>
      </c>
      <c r="S13" s="121">
        <f>IF($C$8=5,OrganizadorAPI!Z4,OrganizadorAPI!L4)</f>
        <v>0</v>
      </c>
      <c r="T13" s="139" t="str">
        <f>IFERROR(INT(APIAUX!L2+APIAUX!M2 - (Configurações!$A$3 / 24)),"")</f>
        <v/>
      </c>
      <c r="U13" s="140" t="str">
        <f>IFERROR(IF(MOD(APIAUX!L2 + APIAUX!M2 - (Configurações!$A$3 / 24), 1) = 0, "00:00:00", MOD(APIAUX!L2 + APIAUX!M2 - (Configurações!$A$3 / 24), 1)), "")</f>
        <v/>
      </c>
    </row>
    <row r="14" spans="1:26" ht="18.75" customHeight="1" x14ac:dyDescent="0.25">
      <c r="F14" s="124" t="s">
        <v>96</v>
      </c>
      <c r="G14" s="121">
        <f>IF($C$8=5,OrganizadorAPI!P5,OrganizadorAPI!B5)</f>
        <v>50</v>
      </c>
      <c r="H14" s="139">
        <f>IFERROR(INT(APIAUX!F3+APIAUX!G3 - (Configurações!$A$3 / 24)),"")</f>
        <v>45651</v>
      </c>
      <c r="I14" s="140">
        <f>IFERROR(IF(MOD(APIAUX!F3 + APIAUX!G3 - (Configurações!$A$3 / 24), 1) = 0, "00:00:00", MOD(APIAUX!F3 + APIAUX!G3 - (Configurações!$A$3 / 24), 1)), "")</f>
        <v>0.53125</v>
      </c>
      <c r="J14" s="121">
        <f>IF($C$8=5,OrganizadorAPI!S5,OrganizadorAPI!E5)</f>
        <v>38</v>
      </c>
      <c r="K14" s="139">
        <f>IFERROR(INT(APIAUX!H3+APIAUX!I3 - (Configurações!$A$3 / 24)),"")</f>
        <v>45651</v>
      </c>
      <c r="L14" s="140">
        <f>IFERROR(IF(MOD(APIAUX!H3 + APIAUX!I3 - (Configurações!$A$3 / 24), 1) = 0, "00:00:00", MOD(APIAUX!H3 + APIAUX!I3 - (Configurações!$A$3 / 24), 1)), "")</f>
        <v>0.53125</v>
      </c>
      <c r="O14" s="124" t="s">
        <v>96</v>
      </c>
      <c r="P14" s="121">
        <f>IF($C$8=5,OrganizadorAPI!W5,OrganizadorAPI!I5)</f>
        <v>199</v>
      </c>
      <c r="Q14" s="139">
        <f>IFERROR(INT(APIAUX!J3+APIAUX!K3 - (Configurações!$A$3 / 24)),"")</f>
        <v>45650</v>
      </c>
      <c r="R14" s="140">
        <f>IFERROR(IF(MOD(APIAUX!J3 + APIAUX!K3 - (Configurações!$A$3 / 24), 1) = 0, "00:00:00", MOD(APIAUX!J3 + APIAUX!K3 - (Configurações!$A$3 / 24), 1)), "")</f>
        <v>0.77777777778101154</v>
      </c>
      <c r="S14" s="121">
        <f>IF($C$8=5,OrganizadorAPI!Z5,OrganizadorAPI!L5)</f>
        <v>175</v>
      </c>
      <c r="T14" s="139">
        <f>IFERROR(INT(APIAUX!L3+APIAUX!M3 - (Configurações!$A$3 / 24)),"")</f>
        <v>45650</v>
      </c>
      <c r="U14" s="140">
        <f>IFERROR(IF(MOD(APIAUX!L3 + APIAUX!M3 - (Configurações!$A$3 / 24), 1) = 0, "00:00:00", MOD(APIAUX!L3 + APIAUX!M3 - (Configurações!$A$3 / 24), 1)), "")</f>
        <v>0.77777777778101154</v>
      </c>
    </row>
    <row r="15" spans="1:26" ht="18.75" customHeight="1" x14ac:dyDescent="0.25">
      <c r="F15" s="124" t="s">
        <v>97</v>
      </c>
      <c r="G15" s="121">
        <f>IF($C$8=5,OrganizadorAPI!P6,OrganizadorAPI!B6)</f>
        <v>168</v>
      </c>
      <c r="H15" s="139">
        <f>IFERROR(INT(APIAUX!F4+APIAUX!G4 - (Configurações!$A$3 / 24)),"")</f>
        <v>45651</v>
      </c>
      <c r="I15" s="140">
        <f>IFERROR(IF(MOD(APIAUX!F4 + APIAUX!G4 - (Configurações!$A$3 / 24), 1) = 0, "00:00:00", MOD(APIAUX!F4 + APIAUX!G4 - (Configurações!$A$3 / 24), 1)), "")</f>
        <v>0.53125</v>
      </c>
      <c r="J15" s="121">
        <f>IF($C$8=5,OrganizadorAPI!S6,OrganizadorAPI!E6)</f>
        <v>166</v>
      </c>
      <c r="K15" s="139">
        <f>IFERROR(INT(APIAUX!H4+APIAUX!I4 - (Configurações!$A$3 / 24)),"")</f>
        <v>45651</v>
      </c>
      <c r="L15" s="140">
        <f>IFERROR(IF(MOD(APIAUX!H4 + APIAUX!I4 - (Configurações!$A$3 / 24), 1) = 0, "00:00:00", MOD(APIAUX!H4 + APIAUX!I4 - (Configurações!$A$3 / 24), 1)), "")</f>
        <v>0.53125</v>
      </c>
      <c r="O15" s="124" t="s">
        <v>97</v>
      </c>
      <c r="P15" s="121">
        <f>IF($C$8=5,OrganizadorAPI!W6,OrganizadorAPI!I6)</f>
        <v>530</v>
      </c>
      <c r="Q15" s="139">
        <f>IFERROR(INT(APIAUX!J4+APIAUX!K4 - (Configurações!$A$3 / 24)),"")</f>
        <v>45650</v>
      </c>
      <c r="R15" s="140">
        <f>IFERROR(IF(MOD(APIAUX!J4 + APIAUX!K4 - (Configurações!$A$3 / 24), 1) = 0, "00:00:00", MOD(APIAUX!J4 + APIAUX!K4 - (Configurações!$A$3 / 24), 1)), "")</f>
        <v>0.77777777778101154</v>
      </c>
      <c r="S15" s="121">
        <f>IF($C$8=5,OrganizadorAPI!Z6,OrganizadorAPI!L6)</f>
        <v>401</v>
      </c>
      <c r="T15" s="139">
        <f>IFERROR(INT(APIAUX!L4+APIAUX!M4 - (Configurações!$A$3 / 24)),"")</f>
        <v>45650</v>
      </c>
      <c r="U15" s="140">
        <f>IFERROR(IF(MOD(APIAUX!L4 + APIAUX!M4 - (Configurações!$A$3 / 24), 1) = 0, "00:00:00", MOD(APIAUX!L4 + APIAUX!M4 - (Configurações!$A$3 / 24), 1)), "")</f>
        <v>0.77777777778101154</v>
      </c>
    </row>
    <row r="16" spans="1:26" ht="18.75" customHeight="1" x14ac:dyDescent="0.25">
      <c r="F16" s="124" t="s">
        <v>98</v>
      </c>
      <c r="G16" s="121">
        <f>IF($C$8=5,OrganizadorAPI!P7,OrganizadorAPI!B7)</f>
        <v>789</v>
      </c>
      <c r="H16" s="139">
        <f>IFERROR(INT(APIAUX!F5+APIAUX!G5 - (Configurações!$A$3 / 24)),"")</f>
        <v>45650</v>
      </c>
      <c r="I16" s="140">
        <f>IFERROR(IF(MOD(APIAUX!F5 + APIAUX!G5 - (Configurações!$A$3 / 24), 1) = 0, "00:00:00", MOD(APIAUX!F5 + APIAUX!G5 - (Configurações!$A$3 / 24), 1)), "")</f>
        <v>0.63888888889050577</v>
      </c>
      <c r="J16" s="121">
        <f>IF($C$8=5,OrganizadorAPI!S7,OrganizadorAPI!E7)</f>
        <v>0</v>
      </c>
      <c r="K16" s="139" t="str">
        <f>IFERROR(INT(APIAUX!H5+APIAUX!I5 - (Configurações!$A$3 / 24)),"")</f>
        <v/>
      </c>
      <c r="L16" s="140" t="str">
        <f>IFERROR(IF(MOD(APIAUX!H5 + APIAUX!I5 - (Configurações!$A$3 / 24), 1) = 0, "00:00:00", MOD(APIAUX!H5 + APIAUX!I5 - (Configurações!$A$3 / 24), 1)), "")</f>
        <v/>
      </c>
      <c r="O16" s="124" t="s">
        <v>98</v>
      </c>
      <c r="P16" s="121">
        <f>IF($C$8=5,OrganizadorAPI!W7,OrganizadorAPI!I7)</f>
        <v>1658</v>
      </c>
      <c r="Q16" s="139">
        <f>IFERROR(INT(APIAUX!J5+APIAUX!K5 - (Configurações!$A$3 / 24)),"")</f>
        <v>45651</v>
      </c>
      <c r="R16" s="140">
        <f>IFERROR(IF(MOD(APIAUX!J5 + APIAUX!K5 - (Configurações!$A$3 / 24), 1) = 0, "00:00:00", MOD(APIAUX!J5 + APIAUX!K5 - (Configurações!$A$3 / 24), 1)), "")</f>
        <v>0.57638888889050577</v>
      </c>
      <c r="S16" s="121">
        <f>IF($C$8=5,OrganizadorAPI!Z7,OrganizadorAPI!L7)</f>
        <v>1307</v>
      </c>
      <c r="T16" s="139">
        <f>IFERROR(INT(APIAUX!L5+APIAUX!M5 - (Configurações!$A$3 / 24)),"")</f>
        <v>45651</v>
      </c>
      <c r="U16" s="140">
        <f>IFERROR(IF(MOD(APIAUX!L5 + APIAUX!M5 - (Configurações!$A$3 / 24), 1) = 0, "00:00:00", MOD(APIAUX!L5 + APIAUX!M5 - (Configurações!$A$3 / 24), 1)), "")</f>
        <v>7.6388888890505768E-2</v>
      </c>
    </row>
    <row r="17" spans="6:21" ht="18.75" customHeight="1" x14ac:dyDescent="0.25">
      <c r="F17" s="124" t="s">
        <v>99</v>
      </c>
      <c r="G17" s="121">
        <f>IF($C$8=5,OrganizadorAPI!P8,OrganizadorAPI!B8)</f>
        <v>6135</v>
      </c>
      <c r="H17" s="139">
        <f>IFERROR(INT(APIAUX!F6+APIAUX!G6 - (Configurações!$A$3 / 24)),"")</f>
        <v>45651</v>
      </c>
      <c r="I17" s="140">
        <f>IFERROR(IF(MOD(APIAUX!F6 + APIAUX!G6 - (Configurações!$A$3 / 24), 1) = 0, "00:00:00", MOD(APIAUX!F6 + APIAUX!G6 - (Configurações!$A$3 / 24), 1)), "")</f>
        <v>0.31944444444525288</v>
      </c>
      <c r="J17" s="121">
        <f>IF($C$8=5,OrganizadorAPI!S8,OrganizadorAPI!E8)</f>
        <v>6016</v>
      </c>
      <c r="K17" s="139">
        <f>IFERROR(INT(APIAUX!H6+APIAUX!I6 - (Configurações!$A$3 / 24)),"")</f>
        <v>45651</v>
      </c>
      <c r="L17" s="140">
        <f>IFERROR(IF(MOD(APIAUX!H6 + APIAUX!I6 - (Configurações!$A$3 / 24), 1) = 0, "00:00:00", MOD(APIAUX!H6 + APIAUX!I6 - (Configurações!$A$3 / 24), 1)), "")</f>
        <v>0.3125</v>
      </c>
      <c r="O17" s="124" t="s">
        <v>99</v>
      </c>
      <c r="P17" s="121">
        <f>IF($C$8=5,OrganizadorAPI!W8,OrganizadorAPI!I8)</f>
        <v>8731</v>
      </c>
      <c r="Q17" s="139">
        <f>IFERROR(INT(APIAUX!J6+APIAUX!K6 - (Configurações!$A$3 / 24)),"")</f>
        <v>45650</v>
      </c>
      <c r="R17" s="140">
        <f>IFERROR(IF(MOD(APIAUX!J6 + APIAUX!K6 - (Configurações!$A$3 / 24), 1) = 0, "00:00:00", MOD(APIAUX!J6 + APIAUX!K6 - (Configurações!$A$3 / 24), 1)), "")</f>
        <v>0.77777777778101154</v>
      </c>
      <c r="S17" s="121">
        <f>IF($C$8=5,OrganizadorAPI!Z8,OrganizadorAPI!L8)</f>
        <v>8600</v>
      </c>
      <c r="T17" s="139">
        <f>IFERROR(INT(APIAUX!L6+APIAUX!M6 - (Configurações!$A$3 / 24)),"")</f>
        <v>45650</v>
      </c>
      <c r="U17" s="140">
        <f>IFERROR(IF(MOD(APIAUX!L6 + APIAUX!M6 - (Configurações!$A$3 / 24), 1) = 0, "00:00:00", MOD(APIAUX!L6 + APIAUX!M6 - (Configurações!$A$3 / 24), 1)), "")</f>
        <v>0.77777777778101154</v>
      </c>
    </row>
    <row r="18" spans="6:21" ht="18.75" customHeight="1" x14ac:dyDescent="0.25">
      <c r="F18" s="124" t="s">
        <v>100</v>
      </c>
      <c r="G18" s="121">
        <f>IF($C$8=5,OrganizadorAPI!P9,OrganizadorAPI!B9)</f>
        <v>0</v>
      </c>
      <c r="H18" s="139" t="str">
        <f>IFERROR(INT(APIAUX!F7+APIAUX!G7 - (Configurações!$A$3 / 24)),"")</f>
        <v/>
      </c>
      <c r="I18" s="140" t="str">
        <f>IFERROR(IF(MOD(APIAUX!F7 + APIAUX!G7 - (Configurações!$A$3 / 24), 1) = 0, "00:00:00", MOD(APIAUX!F7 + APIAUX!G7 - (Configurações!$A$3 / 24), 1)), "")</f>
        <v/>
      </c>
      <c r="J18" s="121">
        <f>IF($C$8=5,OrganizadorAPI!S9,OrganizadorAPI!E9)</f>
        <v>0</v>
      </c>
      <c r="K18" s="139" t="str">
        <f>IFERROR(INT(APIAUX!H7+APIAUX!I7 - (Configurações!$A$3 / 24)),"")</f>
        <v/>
      </c>
      <c r="L18" s="140" t="str">
        <f>IFERROR(IF(MOD(APIAUX!H7 + APIAUX!I7 - (Configurações!$A$3 / 24), 1) = 0, "00:00:00", MOD(APIAUX!H7 + APIAUX!I7 - (Configurações!$A$3 / 24), 1)), "")</f>
        <v/>
      </c>
      <c r="O18" s="124" t="s">
        <v>100</v>
      </c>
      <c r="P18" s="121">
        <f>IF($C$8=5,OrganizadorAPI!W9,OrganizadorAPI!I9)</f>
        <v>36369</v>
      </c>
      <c r="Q18" s="139">
        <f>IFERROR(INT(APIAUX!J7+APIAUX!K7 - (Configurações!$A$3 / 24)),"")</f>
        <v>45650</v>
      </c>
      <c r="R18" s="140">
        <f>IFERROR(IF(MOD(APIAUX!J7 + APIAUX!K7 - (Configurações!$A$3 / 24), 1) = 0, "00:00:00", MOD(APIAUX!J7 + APIAUX!K7 - (Configurações!$A$3 / 24), 1)), "")</f>
        <v>0.77777777778101154</v>
      </c>
      <c r="S18" s="121">
        <f>IF($C$8=5,OrganizadorAPI!Z9,OrganizadorAPI!L9)</f>
        <v>32036</v>
      </c>
      <c r="T18" s="139">
        <f>IFERROR(INT(APIAUX!L7+APIAUX!M7 - (Configurações!$A$3 / 24)),"")</f>
        <v>45650</v>
      </c>
      <c r="U18" s="140">
        <f>IFERROR(IF(MOD(APIAUX!L7 + APIAUX!M7 - (Configurações!$A$3 / 24), 1) = 0, "00:00:00", MOD(APIAUX!L7 + APIAUX!M7 - (Configurações!$A$3 / 24), 1)), "")</f>
        <v>0.77777777778101154</v>
      </c>
    </row>
    <row r="19" spans="6:21" ht="18.75" customHeight="1" x14ac:dyDescent="0.25">
      <c r="F19" s="125" t="s">
        <v>101</v>
      </c>
      <c r="G19" s="121">
        <f>IF($C$8=5,OrganizadorAPI!P10,OrganizadorAPI!B10)</f>
        <v>415</v>
      </c>
      <c r="H19" s="139">
        <f>IFERROR(INT(APIAUX!F8+APIAUX!G8 - (Configurações!$A$3 / 24)),"")</f>
        <v>45651</v>
      </c>
      <c r="I19" s="140">
        <f>IFERROR(IF(MOD(APIAUX!F8 + APIAUX!G8 - (Configurações!$A$3 / 24), 1) = 0, "00:00:00", MOD(APIAUX!F8 + APIAUX!G8 - (Configurações!$A$3 / 24), 1)), "")</f>
        <v>0.37152777778101154</v>
      </c>
      <c r="J19" s="121">
        <f>IF($C$8=5,OrganizadorAPI!S10,OrganizadorAPI!E10)</f>
        <v>414</v>
      </c>
      <c r="K19" s="139" t="str">
        <f>IFERROR(INT(APIAUX!H8+APIAUX!I8 - (Configurações!$A$3 / 24)),"")</f>
        <v/>
      </c>
      <c r="L19" s="140" t="str">
        <f>IFERROR(IF(MOD(APIAUX!H8 + APIAUX!I8 - (Configurações!$A$3 / 24), 1) = 0, "00:00:00", MOD(APIAUX!H8 + APIAUX!I8 - (Configurações!$A$3 / 24), 1)), "")</f>
        <v/>
      </c>
      <c r="O19" s="125" t="s">
        <v>101</v>
      </c>
      <c r="P19" s="121">
        <f>IF($C$8=5,OrganizadorAPI!W10,OrganizadorAPI!I10)</f>
        <v>1052</v>
      </c>
      <c r="Q19" s="139">
        <f>IFERROR(INT(APIAUX!J8+APIAUX!K8 - (Configurações!$A$3 / 24)),"")</f>
        <v>45650</v>
      </c>
      <c r="R19" s="140">
        <f>IFERROR(IF(MOD(APIAUX!J8 + APIAUX!K8 - (Configurações!$A$3 / 24), 1) = 0, "00:00:00", MOD(APIAUX!J8 + APIAUX!K8 - (Configurações!$A$3 / 24), 1)), "")</f>
        <v>0.96180555555474712</v>
      </c>
      <c r="S19" s="121">
        <f>IF($C$8=5,OrganizadorAPI!Z10,OrganizadorAPI!L10)</f>
        <v>1011</v>
      </c>
      <c r="T19" s="139">
        <f>IFERROR(INT(APIAUX!L8+APIAUX!M8 - (Configurações!$A$3 / 24)),"")</f>
        <v>45650</v>
      </c>
      <c r="U19" s="140">
        <f>IFERROR(IF(MOD(APIAUX!L8 + APIAUX!M8 - (Configurações!$A$3 / 24), 1) = 0, "00:00:00", MOD(APIAUX!L8 + APIAUX!M8 - (Configurações!$A$3 / 24), 1)), "")</f>
        <v>0.95833333333575865</v>
      </c>
    </row>
    <row r="20" spans="6:21" ht="18.75" customHeight="1" x14ac:dyDescent="0.25">
      <c r="F20" s="125" t="s">
        <v>102</v>
      </c>
      <c r="G20" s="121">
        <f>IF($C$8=5,OrganizadorAPI!P11,OrganizadorAPI!B11)</f>
        <v>657</v>
      </c>
      <c r="H20" s="139">
        <f>IFERROR(INT(APIAUX!F9+APIAUX!G9 - (Configurações!$A$3 / 24)),"")</f>
        <v>45651</v>
      </c>
      <c r="I20" s="140">
        <f>IFERROR(IF(MOD(APIAUX!F9 + APIAUX!G9 - (Configurações!$A$3 / 24), 1) = 0, "00:00:00", MOD(APIAUX!F9 + APIAUX!G9 - (Configurações!$A$3 / 24), 1)), "")</f>
        <v>0.54513888889050577</v>
      </c>
      <c r="J20" s="121">
        <f>IF($C$8=5,OrganizadorAPI!S11,OrganizadorAPI!E11)</f>
        <v>649</v>
      </c>
      <c r="K20" s="139">
        <f>IFERROR(INT(APIAUX!H9+APIAUX!I9 - (Configurações!$A$3 / 24)),"")</f>
        <v>45651</v>
      </c>
      <c r="L20" s="140">
        <f>IFERROR(IF(MOD(APIAUX!H9 + APIAUX!I9 - (Configurações!$A$3 / 24), 1) = 0, "00:00:00", MOD(APIAUX!H9 + APIAUX!I9 - (Configurações!$A$3 / 24), 1)), "")</f>
        <v>0.54513888889050577</v>
      </c>
      <c r="O20" s="125" t="s">
        <v>102</v>
      </c>
      <c r="P20" s="121">
        <f>IF($C$8=5,OrganizadorAPI!W11,OrganizadorAPI!I11)</f>
        <v>1754</v>
      </c>
      <c r="Q20" s="139">
        <f>IFERROR(INT(APIAUX!J9+APIAUX!K9 - (Configurações!$A$3 / 24)),"")</f>
        <v>45650</v>
      </c>
      <c r="R20" s="140">
        <f>IFERROR(IF(MOD(APIAUX!J9 + APIAUX!K9 - (Configurações!$A$3 / 24), 1) = 0, "00:00:00", MOD(APIAUX!J9 + APIAUX!K9 - (Configurações!$A$3 / 24), 1)), "")</f>
        <v>0.71527777778101154</v>
      </c>
      <c r="S20" s="121">
        <f>IF($C$8=5,OrganizadorAPI!Z11,OrganizadorAPI!L11)</f>
        <v>0</v>
      </c>
      <c r="T20" s="139" t="str">
        <f>IFERROR(INT(APIAUX!L9+APIAUX!M9 - (Configurações!$A$3 / 24)),"")</f>
        <v/>
      </c>
      <c r="U20" s="140" t="str">
        <f>IFERROR(IF(MOD(APIAUX!L9 + APIAUX!M9 - (Configurações!$A$3 / 24), 1) = 0, "00:00:00", MOD(APIAUX!L9 + APIAUX!M9 - (Configurações!$A$3 / 24), 1)), "")</f>
        <v/>
      </c>
    </row>
    <row r="21" spans="6:21" ht="18.75" customHeight="1" x14ac:dyDescent="0.25">
      <c r="F21" s="125" t="s">
        <v>103</v>
      </c>
      <c r="G21" s="121">
        <f>IF($C$8=5,OrganizadorAPI!P12,OrganizadorAPI!B12)</f>
        <v>0</v>
      </c>
      <c r="H21" s="139" t="str">
        <f>IFERROR(INT(APIAUX!F10+APIAUX!G10 - (Configurações!$A$3 / 24)),"")</f>
        <v/>
      </c>
      <c r="I21" s="140" t="str">
        <f>IFERROR(IF(MOD(APIAUX!F10 + APIAUX!G10 - (Configurações!$A$3 / 24), 1) = 0, "00:00:00", MOD(APIAUX!F10 + APIAUX!G10 - (Configurações!$A$3 / 24), 1)), "")</f>
        <v/>
      </c>
      <c r="J21" s="121">
        <f>IF($C$8=5,OrganizadorAPI!S12,OrganizadorAPI!E12)</f>
        <v>0</v>
      </c>
      <c r="K21" s="139" t="str">
        <f>IFERROR(INT(APIAUX!H10+APIAUX!I10 - (Configurações!$A$3 / 24)),"")</f>
        <v/>
      </c>
      <c r="L21" s="140" t="str">
        <f>IFERROR(IF(MOD(APIAUX!H10 + APIAUX!I10 - (Configurações!$A$3 / 24), 1) = 0, "00:00:00", MOD(APIAUX!H10 + APIAUX!I10 - (Configurações!$A$3 / 24), 1)), "")</f>
        <v/>
      </c>
      <c r="O21" s="125" t="s">
        <v>103</v>
      </c>
      <c r="P21" s="121">
        <f>IF($C$8=5,OrganizadorAPI!W12,OrganizadorAPI!I12)</f>
        <v>7395</v>
      </c>
      <c r="Q21" s="139">
        <f>IFERROR(INT(APIAUX!J10+APIAUX!K10 - (Configurações!$A$3 / 24)),"")</f>
        <v>45651</v>
      </c>
      <c r="R21" s="140">
        <f>IFERROR(IF(MOD(APIAUX!J10 + APIAUX!K10 - (Configurações!$A$3 / 24), 1) = 0, "00:00:00", MOD(APIAUX!J10 + APIAUX!K10 - (Configurações!$A$3 / 24), 1)), "")</f>
        <v>0.57638888889050577</v>
      </c>
      <c r="S21" s="121">
        <f>IF($C$8=5,OrganizadorAPI!Z12,OrganizadorAPI!L12)</f>
        <v>6121</v>
      </c>
      <c r="T21" s="139">
        <f>IFERROR(INT(APIAUX!L10+APIAUX!M10 - (Configurações!$A$3 / 24)),"")</f>
        <v>45650</v>
      </c>
      <c r="U21" s="140">
        <f>IFERROR(IF(MOD(APIAUX!L10 + APIAUX!M10 - (Configurações!$A$3 / 24), 1) = 0, "00:00:00", MOD(APIAUX!L10 + APIAUX!M10 - (Configurações!$A$3 / 24), 1)), "")</f>
        <v>0.71875</v>
      </c>
    </row>
    <row r="22" spans="6:21" ht="18.75" customHeight="1" x14ac:dyDescent="0.25">
      <c r="F22" s="125" t="s">
        <v>104</v>
      </c>
      <c r="G22" s="121">
        <f>IF($C$8=5,OrganizadorAPI!P13,OrganizadorAPI!B13)</f>
        <v>0</v>
      </c>
      <c r="H22" s="139" t="str">
        <f>IFERROR(INT(APIAUX!F11+APIAUX!G11 - (Configurações!$A$3 / 24)),"")</f>
        <v/>
      </c>
      <c r="I22" s="140" t="str">
        <f>IFERROR(IF(MOD(APIAUX!F11 + APIAUX!G11 - (Configurações!$A$3 / 24), 1) = 0, "00:00:00", MOD(APIAUX!F11 + APIAUX!G11 - (Configurações!$A$3 / 24), 1)), "")</f>
        <v/>
      </c>
      <c r="J22" s="121">
        <f>IF($C$8=5,OrganizadorAPI!S13,OrganizadorAPI!E13)</f>
        <v>0</v>
      </c>
      <c r="K22" s="139" t="str">
        <f>IFERROR(INT(APIAUX!H11+APIAUX!I11 - (Configurações!$A$3 / 24)),"")</f>
        <v/>
      </c>
      <c r="L22" s="140" t="str">
        <f>IFERROR(IF(MOD(APIAUX!H11 + APIAUX!I11 - (Configurações!$A$3 / 24), 1) = 0, "00:00:00", MOD(APIAUX!H11 + APIAUX!I11 - (Configurações!$A$3 / 24), 1)), "")</f>
        <v/>
      </c>
      <c r="O22" s="125" t="s">
        <v>104</v>
      </c>
      <c r="P22" s="121">
        <f>IF($C$8=5,OrganizadorAPI!W13,OrganizadorAPI!I13)</f>
        <v>0</v>
      </c>
      <c r="Q22" s="139" t="str">
        <f>IFERROR(INT(APIAUX!J11+APIAUX!K11 - (Configurações!$A$3 / 24)),"")</f>
        <v/>
      </c>
      <c r="R22" s="140" t="str">
        <f>IFERROR(IF(MOD(APIAUX!J11 + APIAUX!K11 - (Configurações!$A$3 / 24), 1) = 0, "00:00:00", MOD(APIAUX!J11 + APIAUX!K11 - (Configurações!$A$3 / 24), 1)), "")</f>
        <v/>
      </c>
      <c r="S22" s="121">
        <f>IF($C$8=5,OrganizadorAPI!Z13,OrganizadorAPI!L13)</f>
        <v>0</v>
      </c>
      <c r="T22" s="139" t="str">
        <f>IFERROR(INT(APIAUX!L11+APIAUX!M11 - (Configurações!$A$3 / 24)),"")</f>
        <v/>
      </c>
      <c r="U22" s="140" t="str">
        <f>IFERROR(IF(MOD(APIAUX!L11 + APIAUX!M11 - (Configurações!$A$3 / 24), 1) = 0, "00:00:00", MOD(APIAUX!L11 + APIAUX!M11 - (Configurações!$A$3 / 24), 1)), "")</f>
        <v/>
      </c>
    </row>
    <row r="23" spans="6:21" ht="18.75" customHeight="1" x14ac:dyDescent="0.25">
      <c r="F23" s="125" t="s">
        <v>105</v>
      </c>
      <c r="G23" s="121">
        <f>IF($C$8=5,OrganizadorAPI!P14,OrganizadorAPI!B14)</f>
        <v>0</v>
      </c>
      <c r="H23" s="139" t="str">
        <f>IFERROR(INT(APIAUX!F12+APIAUX!G12 - (Configurações!$A$3 / 24)),"")</f>
        <v/>
      </c>
      <c r="I23" s="140" t="str">
        <f>IFERROR(IF(MOD(APIAUX!F12 + APIAUX!G12 - (Configurações!$A$3 / 24), 1) = 0, "00:00:00", MOD(APIAUX!F12 + APIAUX!G12 - (Configurações!$A$3 / 24), 1)), "")</f>
        <v/>
      </c>
      <c r="J23" s="121">
        <f>IF($C$8=5,OrganizadorAPI!S14,OrganizadorAPI!E14)</f>
        <v>0</v>
      </c>
      <c r="K23" s="139" t="str">
        <f>IFERROR(INT(APIAUX!H12+APIAUX!I12 - (Configurações!$A$3 / 24)),"")</f>
        <v/>
      </c>
      <c r="L23" s="140" t="str">
        <f>IFERROR(IF(MOD(APIAUX!H12 + APIAUX!I12 - (Configurações!$A$3 / 24), 1) = 0, "00:00:00", MOD(APIAUX!H12 + APIAUX!I12 - (Configurações!$A$3 / 24), 1)), "")</f>
        <v/>
      </c>
      <c r="O23" s="125" t="s">
        <v>105</v>
      </c>
      <c r="P23" s="121">
        <f>IF($C$8=5,OrganizadorAPI!W14,OrganizadorAPI!I14)</f>
        <v>0</v>
      </c>
      <c r="Q23" s="139" t="str">
        <f>IFERROR(INT(APIAUX!J12+APIAUX!K12 - (Configurações!$A$3 / 24)),"")</f>
        <v/>
      </c>
      <c r="R23" s="140" t="str">
        <f>IFERROR(IF(MOD(APIAUX!J12 + APIAUX!K12 - (Configurações!$A$3 / 24), 1) = 0, "00:00:00", MOD(APIAUX!J12 + APIAUX!K12 - (Configurações!$A$3 / 24), 1)), "")</f>
        <v/>
      </c>
      <c r="S23" s="121">
        <f>IF($C$8=5,OrganizadorAPI!Z14,OrganizadorAPI!L14)</f>
        <v>0</v>
      </c>
      <c r="T23" s="139" t="str">
        <f>IFERROR(INT(APIAUX!L12+APIAUX!M12 - (Configurações!$A$3 / 24)),"")</f>
        <v/>
      </c>
      <c r="U23" s="140" t="str">
        <f>IFERROR(IF(MOD(APIAUX!L12 + APIAUX!M12 - (Configurações!$A$3 / 24), 1) = 0, "00:00:00", MOD(APIAUX!L12 + APIAUX!M12 - (Configurações!$A$3 / 24), 1)), "")</f>
        <v/>
      </c>
    </row>
    <row r="24" spans="6:21" ht="18.75" customHeight="1" x14ac:dyDescent="0.25">
      <c r="F24" s="126" t="s">
        <v>106</v>
      </c>
      <c r="G24" s="121">
        <f>IF($C$8=5,OrganizadorAPI!P15,OrganizadorAPI!B15)</f>
        <v>1388</v>
      </c>
      <c r="H24" s="139">
        <f>IFERROR(INT(APIAUX!F13+APIAUX!G13 - (Configurações!$A$3 / 24)),"")</f>
        <v>45651</v>
      </c>
      <c r="I24" s="140">
        <f>IFERROR(IF(MOD(APIAUX!F13 + APIAUX!G13 - (Configurações!$A$3 / 24), 1) = 0, "00:00:00", MOD(APIAUX!F13 + APIAUX!G13 - (Configurações!$A$3 / 24), 1)), "")</f>
        <v>0.37152777778101154</v>
      </c>
      <c r="J24" s="121">
        <f>IF($C$8=5,OrganizadorAPI!S15,OrganizadorAPI!E15)</f>
        <v>1351</v>
      </c>
      <c r="K24" s="139" t="str">
        <f>IFERROR(INT(APIAUX!H13+APIAUX!I13 - (Configurações!$A$3 / 24)),"")</f>
        <v/>
      </c>
      <c r="L24" s="140" t="str">
        <f>IFERROR(IF(MOD(APIAUX!H13 + APIAUX!I13 - (Configurações!$A$3 / 24), 1) = 0, "00:00:00", MOD(APIAUX!H13 + APIAUX!I13 - (Configurações!$A$3 / 24), 1)), "")</f>
        <v/>
      </c>
      <c r="O24" s="126" t="s">
        <v>106</v>
      </c>
      <c r="P24" s="121">
        <f>IF($C$8=5,OrganizadorAPI!W15,OrganizadorAPI!I15)</f>
        <v>0</v>
      </c>
      <c r="Q24" s="139" t="str">
        <f>IFERROR(INT(APIAUX!J13+APIAUX!K13 - (Configurações!$A$3 / 24)),"")</f>
        <v/>
      </c>
      <c r="R24" s="140" t="str">
        <f>IFERROR(IF(MOD(APIAUX!J13 + APIAUX!K13 - (Configurações!$A$3 / 24), 1) = 0, "00:00:00", MOD(APIAUX!J13 + APIAUX!K13 - (Configurações!$A$3 / 24), 1)), "")</f>
        <v/>
      </c>
      <c r="S24" s="121">
        <f>IF($C$8=5,OrganizadorAPI!Z15,OrganizadorAPI!L15)</f>
        <v>0</v>
      </c>
      <c r="T24" s="139" t="str">
        <f>IFERROR(INT(APIAUX!L13+APIAUX!M13 - (Configurações!$A$3 / 24)),"")</f>
        <v/>
      </c>
      <c r="U24" s="140" t="str">
        <f>IFERROR(IF(MOD(APIAUX!L13 + APIAUX!M13 - (Configurações!$A$3 / 24), 1) = 0, "00:00:00", MOD(APIAUX!L13 + APIAUX!M13 - (Configurações!$A$3 / 24), 1)), "")</f>
        <v/>
      </c>
    </row>
    <row r="25" spans="6:21" ht="18.75" customHeight="1" x14ac:dyDescent="0.25">
      <c r="F25" s="126" t="s">
        <v>107</v>
      </c>
      <c r="G25" s="121">
        <f>IF($C$8=5,OrganizadorAPI!P16,OrganizadorAPI!B16)</f>
        <v>0</v>
      </c>
      <c r="H25" s="139" t="str">
        <f>IFERROR(INT(APIAUX!F14+APIAUX!G14 - (Configurações!$A$3 / 24)),"")</f>
        <v/>
      </c>
      <c r="I25" s="140" t="str">
        <f>IFERROR(IF(MOD(APIAUX!F14 + APIAUX!G14 - (Configurações!$A$3 / 24), 1) = 0, "00:00:00", MOD(APIAUX!F14 + APIAUX!G14 - (Configurações!$A$3 / 24), 1)), "")</f>
        <v/>
      </c>
      <c r="J25" s="121">
        <f>IF($C$8=5,OrganizadorAPI!S16,OrganizadorAPI!E16)</f>
        <v>2820</v>
      </c>
      <c r="K25" s="139" t="str">
        <f>IFERROR(INT(APIAUX!H14+APIAUX!I14 - (Configurações!$A$3 / 24)),"")</f>
        <v/>
      </c>
      <c r="L25" s="140" t="str">
        <f>IFERROR(IF(MOD(APIAUX!H14 + APIAUX!I14 - (Configurações!$A$3 / 24), 1) = 0, "00:00:00", MOD(APIAUX!H14 + APIAUX!I14 - (Configurações!$A$3 / 24), 1)), "")</f>
        <v/>
      </c>
      <c r="O25" s="126" t="s">
        <v>107</v>
      </c>
      <c r="P25" s="121">
        <f>IF($C$8=5,OrganizadorAPI!W16,OrganizadorAPI!I16)</f>
        <v>0</v>
      </c>
      <c r="Q25" s="139" t="str">
        <f>IFERROR(INT(APIAUX!J14+APIAUX!K14 - (Configurações!$A$3 / 24)),"")</f>
        <v/>
      </c>
      <c r="R25" s="140" t="str">
        <f>IFERROR(IF(MOD(APIAUX!J14 + APIAUX!K14 - (Configurações!$A$3 / 24), 1) = 0, "00:00:00", MOD(APIAUX!J14 + APIAUX!K14 - (Configurações!$A$3 / 24), 1)), "")</f>
        <v/>
      </c>
      <c r="S25" s="121">
        <f>IF($C$8=5,OrganizadorAPI!Z16,OrganizadorAPI!L16)</f>
        <v>0</v>
      </c>
      <c r="T25" s="139" t="str">
        <f>IFERROR(INT(APIAUX!L14+APIAUX!M14 - (Configurações!$A$3 / 24)),"")</f>
        <v/>
      </c>
      <c r="U25" s="140" t="str">
        <f>IFERROR(IF(MOD(APIAUX!L14 + APIAUX!M14 - (Configurações!$A$3 / 24), 1) = 0, "00:00:00", MOD(APIAUX!L14 + APIAUX!M14 - (Configurações!$A$3 / 24), 1)), "")</f>
        <v/>
      </c>
    </row>
    <row r="26" spans="6:21" ht="18.75" customHeight="1" x14ac:dyDescent="0.25">
      <c r="F26" s="126" t="s">
        <v>108</v>
      </c>
      <c r="G26" s="121">
        <f>IF($C$8=5,OrganizadorAPI!P17,OrganizadorAPI!B17)</f>
        <v>8549</v>
      </c>
      <c r="H26" s="139">
        <f>IFERROR(INT(APIAUX!F15+APIAUX!G15 - (Configurações!$A$3 / 24)),"")</f>
        <v>45651</v>
      </c>
      <c r="I26" s="140">
        <f>IFERROR(IF(MOD(APIAUX!F15 + APIAUX!G15 - (Configurações!$A$3 / 24), 1) = 0, "00:00:00", MOD(APIAUX!F15 + APIAUX!G15 - (Configurações!$A$3 / 24), 1)), "")</f>
        <v>0.33680555555474712</v>
      </c>
      <c r="J26" s="121">
        <f>IF($C$8=5,OrganizadorAPI!S17,OrganizadorAPI!E17)</f>
        <v>8545</v>
      </c>
      <c r="K26" s="139">
        <f>IFERROR(INT(APIAUX!H15+APIAUX!I15 - (Configurações!$A$3 / 24)),"")</f>
        <v>45651</v>
      </c>
      <c r="L26" s="140">
        <f>IFERROR(IF(MOD(APIAUX!H15 + APIAUX!I15 - (Configurações!$A$3 / 24), 1) = 0, "00:00:00", MOD(APIAUX!H15 + APIAUX!I15 - (Configurações!$A$3 / 24), 1)), "")</f>
        <v>0.33680555555474712</v>
      </c>
      <c r="O26" s="126" t="s">
        <v>108</v>
      </c>
      <c r="P26" s="121">
        <f>IF($C$8=5,OrganizadorAPI!W17,OrganizadorAPI!I17)</f>
        <v>0</v>
      </c>
      <c r="Q26" s="139" t="str">
        <f>IFERROR(INT(APIAUX!J15+APIAUX!K15 - (Configurações!$A$3 / 24)),"")</f>
        <v/>
      </c>
      <c r="R26" s="140" t="str">
        <f>IFERROR(IF(MOD(APIAUX!J15 + APIAUX!K15 - (Configurações!$A$3 / 24), 1) = 0, "00:00:00", MOD(APIAUX!J15 + APIAUX!K15 - (Configurações!$A$3 / 24), 1)), "")</f>
        <v/>
      </c>
      <c r="S26" s="121">
        <f>IF($C$8=5,OrganizadorAPI!Z17,OrganizadorAPI!L17)</f>
        <v>0</v>
      </c>
      <c r="T26" s="139" t="str">
        <f>IFERROR(INT(APIAUX!L15+APIAUX!M15 - (Configurações!$A$3 / 24)),"")</f>
        <v/>
      </c>
      <c r="U26" s="140" t="str">
        <f>IFERROR(IF(MOD(APIAUX!L15 + APIAUX!M15 - (Configurações!$A$3 / 24), 1) = 0, "00:00:00", MOD(APIAUX!L15 + APIAUX!M15 - (Configurações!$A$3 / 24), 1)), "")</f>
        <v/>
      </c>
    </row>
    <row r="27" spans="6:21" ht="18.75" customHeight="1" x14ac:dyDescent="0.25">
      <c r="F27" s="126" t="s">
        <v>109</v>
      </c>
      <c r="G27" s="121">
        <f>IF($C$8=5,OrganizadorAPI!P18,OrganizadorAPI!B18)</f>
        <v>0</v>
      </c>
      <c r="H27" s="139" t="str">
        <f>IFERROR(INT(APIAUX!F16+APIAUX!G16 - (Configurações!$A$3 / 24)),"")</f>
        <v/>
      </c>
      <c r="I27" s="140" t="str">
        <f>IFERROR(IF(MOD(APIAUX!F16 + APIAUX!G16 - (Configurações!$A$3 / 24), 1) = 0, "00:00:00", MOD(APIAUX!F16 + APIAUX!G16 - (Configurações!$A$3 / 24), 1)), "")</f>
        <v/>
      </c>
      <c r="J27" s="121">
        <f>IF($C$8=5,OrganizadorAPI!S18,OrganizadorAPI!E18)</f>
        <v>0</v>
      </c>
      <c r="K27" s="139" t="str">
        <f>IFERROR(INT(APIAUX!H16+APIAUX!I16 - (Configurações!$A$3 / 24)),"")</f>
        <v/>
      </c>
      <c r="L27" s="140" t="str">
        <f>IFERROR(IF(MOD(APIAUX!H16 + APIAUX!I16 - (Configurações!$A$3 / 24), 1) = 0, "00:00:00", MOD(APIAUX!H16 + APIAUX!I16 - (Configurações!$A$3 / 24), 1)), "")</f>
        <v/>
      </c>
      <c r="O27" s="126" t="s">
        <v>109</v>
      </c>
      <c r="P27" s="121">
        <f>IF($C$8=5,OrganizadorAPI!W18,OrganizadorAPI!I18)</f>
        <v>0</v>
      </c>
      <c r="Q27" s="139" t="str">
        <f>IFERROR(INT(APIAUX!J16+APIAUX!K16 - (Configurações!$A$3 / 24)),"")</f>
        <v/>
      </c>
      <c r="R27" s="140" t="str">
        <f>IFERROR(IF(MOD(APIAUX!J16 + APIAUX!K16 - (Configurações!$A$3 / 24), 1) = 0, "00:00:00", MOD(APIAUX!J16 + APIAUX!K16 - (Configurações!$A$3 / 24), 1)), "")</f>
        <v/>
      </c>
      <c r="S27" s="121">
        <f>IF($C$8=5,OrganizadorAPI!Z18,OrganizadorAPI!L18)</f>
        <v>0</v>
      </c>
      <c r="T27" s="139" t="str">
        <f>IFERROR(INT(APIAUX!L16+APIAUX!M16 - (Configurações!$A$3 / 24)),"")</f>
        <v/>
      </c>
      <c r="U27" s="140" t="str">
        <f>IFERROR(IF(MOD(APIAUX!L16 + APIAUX!M16 - (Configurações!$A$3 / 24), 1) = 0, "00:00:00", MOD(APIAUX!L16 + APIAUX!M16 - (Configurações!$A$3 / 24), 1)), "")</f>
        <v/>
      </c>
    </row>
    <row r="28" spans="6:21" ht="18.75" customHeight="1" x14ac:dyDescent="0.25">
      <c r="F28" s="126" t="s">
        <v>110</v>
      </c>
      <c r="G28" s="121">
        <f>IF($C$8=5,OrganizadorAPI!P19,OrganizadorAPI!B19)</f>
        <v>0</v>
      </c>
      <c r="H28" s="139" t="str">
        <f>IFERROR(INT(APIAUX!F17+APIAUX!G17 - (Configurações!$A$3 / 24)),"")</f>
        <v/>
      </c>
      <c r="I28" s="140" t="str">
        <f>IFERROR(IF(MOD(APIAUX!F17 + APIAUX!G17 - (Configurações!$A$3 / 24), 1) = 0, "00:00:00", MOD(APIAUX!F17 + APIAUX!G17 - (Configurações!$A$3 / 24), 1)), "")</f>
        <v/>
      </c>
      <c r="J28" s="121">
        <f>IF($C$8=5,OrganizadorAPI!S19,OrganizadorAPI!E19)</f>
        <v>0</v>
      </c>
      <c r="K28" s="139" t="str">
        <f>IFERROR(INT(APIAUX!H17+APIAUX!I17 - (Configurações!$A$3 / 24)),"")</f>
        <v/>
      </c>
      <c r="L28" s="140" t="str">
        <f>IFERROR(IF(MOD(APIAUX!H17 + APIAUX!I17 - (Configurações!$A$3 / 24), 1) = 0, "00:00:00", MOD(APIAUX!H17 + APIAUX!I17 - (Configurações!$A$3 / 24), 1)), "")</f>
        <v/>
      </c>
      <c r="O28" s="126" t="s">
        <v>110</v>
      </c>
      <c r="P28" s="121">
        <f>IF($C$8=5,OrganizadorAPI!W19,OrganizadorAPI!I19)</f>
        <v>0</v>
      </c>
      <c r="Q28" s="139" t="str">
        <f>IFERROR(INT(APIAUX!J17+APIAUX!K17 - (Configurações!$A$3 / 24)),"")</f>
        <v/>
      </c>
      <c r="R28" s="140" t="str">
        <f>IFERROR(IF(MOD(APIAUX!J17 + APIAUX!K17 - (Configurações!$A$3 / 24), 1) = 0, "00:00:00", MOD(APIAUX!J17 + APIAUX!K17 - (Configurações!$A$3 / 24), 1)), "")</f>
        <v/>
      </c>
      <c r="S28" s="121">
        <f>IF($C$8=5,OrganizadorAPI!Z19,OrganizadorAPI!L19)</f>
        <v>0</v>
      </c>
      <c r="T28" s="139" t="str">
        <f>IFERROR(INT(APIAUX!L17+APIAUX!M17 - (Configurações!$A$3 / 24)),"")</f>
        <v/>
      </c>
      <c r="U28" s="140" t="str">
        <f>IFERROR(IF(MOD(APIAUX!L17 + APIAUX!M17 - (Configurações!$A$3 / 24), 1) = 0, "00:00:00", MOD(APIAUX!L17 + APIAUX!M17 - (Configurações!$A$3 / 24), 1)), "")</f>
        <v/>
      </c>
    </row>
    <row r="29" spans="6:21" ht="18.75" customHeight="1" x14ac:dyDescent="0.25">
      <c r="F29" s="127" t="s">
        <v>111</v>
      </c>
      <c r="G29" s="121">
        <f>IF($C$8=5,OrganizadorAPI!P20,OrganizadorAPI!B20)</f>
        <v>0</v>
      </c>
      <c r="H29" s="139" t="str">
        <f>IFERROR(INT(APIAUX!F18+APIAUX!G18 - (Configurações!$A$3 / 24)),"")</f>
        <v/>
      </c>
      <c r="I29" s="140" t="str">
        <f>IFERROR(IF(MOD(APIAUX!F18 + APIAUX!G18 - (Configurações!$A$3 / 24), 1) = 0, "00:00:00", MOD(APIAUX!F18 + APIAUX!G18 - (Configurações!$A$3 / 24), 1)), "")</f>
        <v/>
      </c>
      <c r="J29" s="121">
        <f>IF($C$8=5,OrganizadorAPI!S20,OrganizadorAPI!E20)</f>
        <v>0</v>
      </c>
      <c r="K29" s="139" t="str">
        <f>IFERROR(INT(APIAUX!H18+APIAUX!I18 - (Configurações!$A$3 / 24)),"")</f>
        <v/>
      </c>
      <c r="L29" s="140" t="str">
        <f>IFERROR(IF(MOD(APIAUX!H18 + APIAUX!I18 - (Configurações!$A$3 / 24), 1) = 0, "00:00:00", MOD(APIAUX!H18 + APIAUX!I18 - (Configurações!$A$3 / 24), 1)), "")</f>
        <v/>
      </c>
      <c r="O29" s="127" t="s">
        <v>111</v>
      </c>
      <c r="P29" s="121">
        <f>IF($C$8=5,OrganizadorAPI!W20,OrganizadorAPI!I20)</f>
        <v>0</v>
      </c>
      <c r="Q29" s="139" t="str">
        <f>IFERROR(INT(APIAUX!J18+APIAUX!K18 - (Configurações!$A$3 / 24)),"")</f>
        <v/>
      </c>
      <c r="R29" s="140" t="str">
        <f>IFERROR(IF(MOD(APIAUX!J18 + APIAUX!K18 - (Configurações!$A$3 / 24), 1) = 0, "00:00:00", MOD(APIAUX!J18 + APIAUX!K18 - (Configurações!$A$3 / 24), 1)), "")</f>
        <v/>
      </c>
      <c r="S29" s="121">
        <f>IF($C$8=5,OrganizadorAPI!Z20,OrganizadorAPI!L20)</f>
        <v>0</v>
      </c>
      <c r="T29" s="139" t="str">
        <f>IFERROR(INT(APIAUX!L18+APIAUX!M18 - (Configurações!$A$3 / 24)),"")</f>
        <v/>
      </c>
      <c r="U29" s="140" t="str">
        <f>IFERROR(IF(MOD(APIAUX!L18 + APIAUX!M18 - (Configurações!$A$3 / 24), 1) = 0, "00:00:00", MOD(APIAUX!L18 + APIAUX!M18 - (Configurações!$A$3 / 24), 1)), "")</f>
        <v/>
      </c>
    </row>
    <row r="30" spans="6:21" ht="18.75" customHeight="1" x14ac:dyDescent="0.25">
      <c r="F30" s="127" t="s">
        <v>112</v>
      </c>
      <c r="G30" s="121">
        <f>IF($C$8=5,OrganizadorAPI!P21,OrganizadorAPI!B21)</f>
        <v>0</v>
      </c>
      <c r="H30" s="139" t="str">
        <f>IFERROR(INT(APIAUX!F19+APIAUX!G19 - (Configurações!$A$3 / 24)),"")</f>
        <v/>
      </c>
      <c r="I30" s="140" t="str">
        <f>IFERROR(IF(MOD(APIAUX!F19 + APIAUX!G19 - (Configurações!$A$3 / 24), 1) = 0, "00:00:00", MOD(APIAUX!F19 + APIAUX!G19 - (Configurações!$A$3 / 24), 1)), "")</f>
        <v/>
      </c>
      <c r="J30" s="121">
        <f>IF($C$8=5,OrganizadorAPI!S21,OrganizadorAPI!E21)</f>
        <v>0</v>
      </c>
      <c r="K30" s="139" t="str">
        <f>IFERROR(INT(APIAUX!H19+APIAUX!I19 - (Configurações!$A$3 / 24)),"")</f>
        <v/>
      </c>
      <c r="L30" s="140" t="str">
        <f>IFERROR(IF(MOD(APIAUX!H19 + APIAUX!I19 - (Configurações!$A$3 / 24), 1) = 0, "00:00:00", MOD(APIAUX!H19 + APIAUX!I19 - (Configurações!$A$3 / 24), 1)), "")</f>
        <v/>
      </c>
      <c r="O30" s="127" t="s">
        <v>112</v>
      </c>
      <c r="P30" s="121">
        <f>IF($C$8=5,OrganizadorAPI!W21,OrganizadorAPI!I21)</f>
        <v>0</v>
      </c>
      <c r="Q30" s="139" t="str">
        <f>IFERROR(INT(APIAUX!J19+APIAUX!K19 - (Configurações!$A$3 / 24)),"")</f>
        <v/>
      </c>
      <c r="R30" s="140" t="str">
        <f>IFERROR(IF(MOD(APIAUX!J19 + APIAUX!K19 - (Configurações!$A$3 / 24), 1) = 0, "00:00:00", MOD(APIAUX!J19 + APIAUX!K19 - (Configurações!$A$3 / 24), 1)), "")</f>
        <v/>
      </c>
      <c r="S30" s="121">
        <f>IF($C$8=5,OrganizadorAPI!Z21,OrganizadorAPI!L21)</f>
        <v>0</v>
      </c>
      <c r="T30" s="139" t="str">
        <f>IFERROR(INT(APIAUX!L19+APIAUX!M19 - (Configurações!$A$3 / 24)),"")</f>
        <v/>
      </c>
      <c r="U30" s="140" t="str">
        <f>IFERROR(IF(MOD(APIAUX!L19 + APIAUX!M19 - (Configurações!$A$3 / 24), 1) = 0, "00:00:00", MOD(APIAUX!L19 + APIAUX!M19 - (Configurações!$A$3 / 24), 1)), "")</f>
        <v/>
      </c>
    </row>
    <row r="31" spans="6:21" ht="18.75" customHeight="1" x14ac:dyDescent="0.25">
      <c r="F31" s="127" t="s">
        <v>113</v>
      </c>
      <c r="G31" s="121">
        <f>IF($C$8=5,OrganizadorAPI!P22,OrganizadorAPI!B22)</f>
        <v>0</v>
      </c>
      <c r="H31" s="139" t="str">
        <f>IFERROR(INT(APIAUX!F20+APIAUX!G20 - (Configurações!$A$3 / 24)),"")</f>
        <v/>
      </c>
      <c r="I31" s="140" t="str">
        <f>IFERROR(IF(MOD(APIAUX!F20 + APIAUX!G20 - (Configurações!$A$3 / 24), 1) = 0, "00:00:00", MOD(APIAUX!F20 + APIAUX!G20 - (Configurações!$A$3 / 24), 1)), "")</f>
        <v/>
      </c>
      <c r="J31" s="121">
        <f>IF($C$8=5,OrganizadorAPI!S22,OrganizadorAPI!E22)</f>
        <v>0</v>
      </c>
      <c r="K31" s="139" t="str">
        <f>IFERROR(INT(APIAUX!H20+APIAUX!I20 - (Configurações!$A$3 / 24)),"")</f>
        <v/>
      </c>
      <c r="L31" s="140" t="str">
        <f>IFERROR(IF(MOD(APIAUX!H20 + APIAUX!I20 - (Configurações!$A$3 / 24), 1) = 0, "00:00:00", MOD(APIAUX!H20 + APIAUX!I20 - (Configurações!$A$3 / 24), 1)), "")</f>
        <v/>
      </c>
      <c r="O31" s="127" t="s">
        <v>113</v>
      </c>
      <c r="P31" s="121">
        <f>IF($C$8=5,OrganizadorAPI!W22,OrganizadorAPI!I22)</f>
        <v>0</v>
      </c>
      <c r="Q31" s="139" t="str">
        <f>IFERROR(INT(APIAUX!J20+APIAUX!K20 - (Configurações!$A$3 / 24)),"")</f>
        <v/>
      </c>
      <c r="R31" s="140" t="str">
        <f>IFERROR(IF(MOD(APIAUX!J20 + APIAUX!K20 - (Configurações!$A$3 / 24), 1) = 0, "00:00:00", MOD(APIAUX!J20 + APIAUX!K20 - (Configurações!$A$3 / 24), 1)), "")</f>
        <v/>
      </c>
      <c r="S31" s="121">
        <f>IF($C$8=5,OrganizadorAPI!Z22,OrganizadorAPI!L22)</f>
        <v>0</v>
      </c>
      <c r="T31" s="139" t="str">
        <f>IFERROR(INT(APIAUX!L20+APIAUX!M20 - (Configurações!$A$3 / 24)),"")</f>
        <v/>
      </c>
      <c r="U31" s="140" t="str">
        <f>IFERROR(IF(MOD(APIAUX!L20 + APIAUX!M20 - (Configurações!$A$3 / 24), 1) = 0, "00:00:00", MOD(APIAUX!L20 + APIAUX!M20 - (Configurações!$A$3 / 24), 1)), "")</f>
        <v/>
      </c>
    </row>
    <row r="32" spans="6:21" ht="18.75" customHeight="1" x14ac:dyDescent="0.25">
      <c r="F32" s="127" t="s">
        <v>114</v>
      </c>
      <c r="G32" s="121">
        <f>IF($C$8=5,OrganizadorAPI!P23,OrganizadorAPI!B23)</f>
        <v>70044</v>
      </c>
      <c r="H32" s="139">
        <f>IFERROR(INT(APIAUX!F21+APIAUX!G21 - (Configurações!$A$3 / 24)),"")</f>
        <v>45650</v>
      </c>
      <c r="I32" s="140">
        <f>IFERROR(IF(MOD(APIAUX!F21 + APIAUX!G21 - (Configurações!$A$3 / 24), 1) = 0, "00:00:00", MOD(APIAUX!F21 + APIAUX!G21 - (Configurações!$A$3 / 24), 1)), "")</f>
        <v>0.82638888889050577</v>
      </c>
      <c r="J32" s="121">
        <f>IF($C$8=5,OrganizadorAPI!S23,OrganizadorAPI!E23)</f>
        <v>0</v>
      </c>
      <c r="K32" s="139" t="str">
        <f>IFERROR(INT(APIAUX!H21+APIAUX!I21 - (Configurações!$A$3 / 24)),"")</f>
        <v/>
      </c>
      <c r="L32" s="140" t="str">
        <f>IFERROR(IF(MOD(APIAUX!H21 + APIAUX!I21 - (Configurações!$A$3 / 24), 1) = 0, "00:00:00", MOD(APIAUX!H21 + APIAUX!I21 - (Configurações!$A$3 / 24), 1)), "")</f>
        <v/>
      </c>
      <c r="O32" s="127" t="s">
        <v>114</v>
      </c>
      <c r="P32" s="121">
        <f>IF($C$8=5,OrganizadorAPI!W23,OrganizadorAPI!I23)</f>
        <v>0</v>
      </c>
      <c r="Q32" s="139" t="str">
        <f>IFERROR(INT(APIAUX!J21+APIAUX!K21 - (Configurações!$A$3 / 24)),"")</f>
        <v/>
      </c>
      <c r="R32" s="140" t="str">
        <f>IFERROR(IF(MOD(APIAUX!J21 + APIAUX!K21 - (Configurações!$A$3 / 24), 1) = 0, "00:00:00", MOD(APIAUX!J21 + APIAUX!K21 - (Configurações!$A$3 / 24), 1)), "")</f>
        <v/>
      </c>
      <c r="S32" s="121">
        <f>IF($C$8=5,OrganizadorAPI!Z23,OrganizadorAPI!L23)</f>
        <v>0</v>
      </c>
      <c r="T32" s="139" t="str">
        <f>IFERROR(INT(APIAUX!L21+APIAUX!M21 - (Configurações!$A$3 / 24)),"")</f>
        <v/>
      </c>
      <c r="U32" s="140" t="str">
        <f>IFERROR(IF(MOD(APIAUX!L21 + APIAUX!M21 - (Configurações!$A$3 / 24), 1) = 0, "00:00:00", MOD(APIAUX!L21 + APIAUX!M21 - (Configurações!$A$3 / 24), 1)), "")</f>
        <v/>
      </c>
    </row>
    <row r="33" spans="6:21" ht="18.75" customHeight="1" x14ac:dyDescent="0.25">
      <c r="F33" s="127" t="s">
        <v>115</v>
      </c>
      <c r="G33" s="121">
        <f>IF($C$8=5,OrganizadorAPI!P24,OrganizadorAPI!B24)</f>
        <v>0</v>
      </c>
      <c r="H33" s="139" t="str">
        <f>IFERROR(INT(APIAUX!F22+APIAUX!G22 - (Configurações!$A$3 / 24)),"")</f>
        <v/>
      </c>
      <c r="I33" s="140" t="str">
        <f>IFERROR(IF(MOD(APIAUX!F22 + APIAUX!G22 - (Configurações!$A$3 / 24), 1) = 0, "00:00:00", MOD(APIAUX!F22 + APIAUX!G22 - (Configurações!$A$3 / 24), 1)), "")</f>
        <v/>
      </c>
      <c r="J33" s="121">
        <f>IF($C$8=5,OrganizadorAPI!S24,OrganizadorAPI!E24)</f>
        <v>0</v>
      </c>
      <c r="K33" s="139" t="str">
        <f>IFERROR(INT(APIAUX!H22+APIAUX!I22 - (Configurações!$A$3 / 24)),"")</f>
        <v/>
      </c>
      <c r="L33" s="140" t="str">
        <f>IFERROR(IF(MOD(APIAUX!H22 + APIAUX!I22 - (Configurações!$A$3 / 24), 1) = 0, "00:00:00", MOD(APIAUX!H22 + APIAUX!I22 - (Configurações!$A$3 / 24), 1)), "")</f>
        <v/>
      </c>
      <c r="O33" s="127" t="s">
        <v>115</v>
      </c>
      <c r="P33" s="121">
        <f>IF($C$8=5,OrganizadorAPI!W24,OrganizadorAPI!I24)</f>
        <v>0</v>
      </c>
      <c r="Q33" s="139" t="str">
        <f>IFERROR(INT(APIAUX!J22+APIAUX!K22 - (Configurações!$A$3 / 24)),"")</f>
        <v/>
      </c>
      <c r="R33" s="140" t="str">
        <f>IFERROR(IF(MOD(APIAUX!J22 + APIAUX!K22 - (Configurações!$A$3 / 24), 1) = 0, "00:00:00", MOD(APIAUX!J22 + APIAUX!K22 - (Configurações!$A$3 / 24), 1)), "")</f>
        <v/>
      </c>
      <c r="S33" s="121">
        <f>IF($C$8=5,OrganizadorAPI!Z24,OrganizadorAPI!L24)</f>
        <v>0</v>
      </c>
      <c r="T33" s="139" t="str">
        <f>IFERROR(INT(APIAUX!L22+APIAUX!M22 - (Configurações!$A$3 / 24)),"")</f>
        <v/>
      </c>
      <c r="U33" s="140" t="str">
        <f>IFERROR(IF(MOD(APIAUX!L22 + APIAUX!M22 - (Configurações!$A$3 / 24), 1) = 0, "00:00:00", MOD(APIAUX!L22 + APIAUX!M22 - (Configurações!$A$3 / 24), 1)), "")</f>
        <v/>
      </c>
    </row>
    <row r="34" spans="6:21" ht="18.75" customHeight="1" x14ac:dyDescent="0.25">
      <c r="F34" s="128" t="s">
        <v>116</v>
      </c>
      <c r="G34" s="121">
        <f>IF($C$8=5,OrganizadorAPI!P25,OrganizadorAPI!B25)</f>
        <v>0</v>
      </c>
      <c r="H34" s="139" t="str">
        <f>IFERROR(INT(APIAUX!F23+APIAUX!G23 - (Configurações!$A$3 / 24)),"")</f>
        <v/>
      </c>
      <c r="I34" s="140" t="str">
        <f>IFERROR(IF(MOD(APIAUX!F23 + APIAUX!G23 - (Configurações!$A$3 / 24), 1) = 0, "00:00:00", MOD(APIAUX!F23 + APIAUX!G23 - (Configurações!$A$3 / 24), 1)), "")</f>
        <v/>
      </c>
      <c r="J34" s="121">
        <f>IF($C$8=5,OrganizadorAPI!S25,OrganizadorAPI!E25)</f>
        <v>0</v>
      </c>
      <c r="K34" s="139" t="str">
        <f>IFERROR(INT(APIAUX!H23+APIAUX!I23 - (Configurações!$A$3 / 24)),"")</f>
        <v/>
      </c>
      <c r="L34" s="140" t="str">
        <f>IFERROR(IF(MOD(APIAUX!H23 + APIAUX!I23 - (Configurações!$A$3 / 24), 1) = 0, "00:00:00", MOD(APIAUX!H23 + APIAUX!I23 - (Configurações!$A$3 / 24), 1)), "")</f>
        <v/>
      </c>
      <c r="O34" s="128" t="s">
        <v>116</v>
      </c>
      <c r="P34" s="121">
        <f>IF($C$8=5,OrganizadorAPI!W25,OrganizadorAPI!I25)</f>
        <v>36486</v>
      </c>
      <c r="Q34" s="139">
        <f>IFERROR(INT(APIAUX!J23+APIAUX!K23 - (Configurações!$A$3 / 24)),"")</f>
        <v>45651</v>
      </c>
      <c r="R34" s="140">
        <f>IFERROR(IF(MOD(APIAUX!J23 + APIAUX!K23 - (Configurações!$A$3 / 24), 1) = 0, "00:00:00", MOD(APIAUX!J23 + APIAUX!K23 - (Configurações!$A$3 / 24), 1)), "")</f>
        <v>0.40625</v>
      </c>
      <c r="S34" s="121">
        <f>IF($C$8=5,OrganizadorAPI!Z25,OrganizadorAPI!L25)</f>
        <v>0</v>
      </c>
      <c r="T34" s="139" t="str">
        <f>IFERROR(INT(APIAUX!L23+APIAUX!M23 - (Configurações!$A$3 / 24)),"")</f>
        <v/>
      </c>
      <c r="U34" s="140" t="str">
        <f>IFERROR(IF(MOD(APIAUX!L23 + APIAUX!M23 - (Configurações!$A$3 / 24), 1) = 0, "00:00:00", MOD(APIAUX!L23 + APIAUX!M23 - (Configurações!$A$3 / 24), 1)), "")</f>
        <v/>
      </c>
    </row>
    <row r="35" spans="6:21" ht="18.75" customHeight="1" x14ac:dyDescent="0.25">
      <c r="F35" s="128" t="s">
        <v>117</v>
      </c>
      <c r="G35" s="121">
        <f>IF($C$8=5,OrganizadorAPI!P26,OrganizadorAPI!B26)</f>
        <v>0</v>
      </c>
      <c r="H35" s="139" t="str">
        <f>IFERROR(INT(APIAUX!F24+APIAUX!G24 - (Configurações!$A$3 / 24)),"")</f>
        <v/>
      </c>
      <c r="I35" s="140" t="str">
        <f>IFERROR(IF(MOD(APIAUX!F24 + APIAUX!G24 - (Configurações!$A$3 / 24), 1) = 0, "00:00:00", MOD(APIAUX!F24 + APIAUX!G24 - (Configurações!$A$3 / 24), 1)), "")</f>
        <v/>
      </c>
      <c r="J35" s="121">
        <f>IF($C$8=5,OrganizadorAPI!S26,OrganizadorAPI!E26)</f>
        <v>0</v>
      </c>
      <c r="K35" s="139" t="str">
        <f>IFERROR(INT(APIAUX!H24+APIAUX!I24 - (Configurações!$A$3 / 24)),"")</f>
        <v/>
      </c>
      <c r="L35" s="140" t="str">
        <f>IFERROR(IF(MOD(APIAUX!H24 + APIAUX!I24 - (Configurações!$A$3 / 24), 1) = 0, "00:00:00", MOD(APIAUX!H24 + APIAUX!I24 - (Configurações!$A$3 / 24), 1)), "")</f>
        <v/>
      </c>
      <c r="O35" s="128" t="s">
        <v>117</v>
      </c>
      <c r="P35" s="121">
        <f>IF($C$8=5,OrganizadorAPI!W26,OrganizadorAPI!I26)</f>
        <v>0</v>
      </c>
      <c r="Q35" s="139" t="str">
        <f>IFERROR(INT(APIAUX!J24+APIAUX!K24 - (Configurações!$A$3 / 24)),"")</f>
        <v/>
      </c>
      <c r="R35" s="140" t="str">
        <f>IFERROR(IF(MOD(APIAUX!J24 + APIAUX!K24 - (Configurações!$A$3 / 24), 1) = 0, "00:00:00", MOD(APIAUX!J24 + APIAUX!K24 - (Configurações!$A$3 / 24), 1)), "")</f>
        <v/>
      </c>
      <c r="S35" s="121">
        <f>IF($C$8=5,OrganizadorAPI!Z26,OrganizadorAPI!L26)</f>
        <v>0</v>
      </c>
      <c r="T35" s="139" t="str">
        <f>IFERROR(INT(APIAUX!L24+APIAUX!M24 - (Configurações!$A$3 / 24)),"")</f>
        <v/>
      </c>
      <c r="U35" s="140" t="str">
        <f>IFERROR(IF(MOD(APIAUX!L24 + APIAUX!M24 - (Configurações!$A$3 / 24), 1) = 0, "00:00:00", MOD(APIAUX!L24 + APIAUX!M24 - (Configurações!$A$3 / 24), 1)), "")</f>
        <v/>
      </c>
    </row>
    <row r="36" spans="6:21" ht="18.75" customHeight="1" x14ac:dyDescent="0.25">
      <c r="F36" s="128" t="s">
        <v>118</v>
      </c>
      <c r="G36" s="121">
        <f>IF($C$8=5,OrganizadorAPI!P27,OrganizadorAPI!B27)</f>
        <v>0</v>
      </c>
      <c r="H36" s="139" t="str">
        <f>IFERROR(INT(APIAUX!F25+APIAUX!G25 - (Configurações!$A$3 / 24)),"")</f>
        <v/>
      </c>
      <c r="I36" s="140" t="str">
        <f>IFERROR(IF(MOD(APIAUX!F25 + APIAUX!G25 - (Configurações!$A$3 / 24), 1) = 0, "00:00:00", MOD(APIAUX!F25 + APIAUX!G25 - (Configurações!$A$3 / 24), 1)), "")</f>
        <v/>
      </c>
      <c r="J36" s="121">
        <f>IF($C$8=5,OrganizadorAPI!S27,OrganizadorAPI!E27)</f>
        <v>0</v>
      </c>
      <c r="K36" s="139" t="str">
        <f>IFERROR(INT(APIAUX!H25+APIAUX!I25 - (Configurações!$A$3 / 24)),"")</f>
        <v/>
      </c>
      <c r="L36" s="140" t="str">
        <f>IFERROR(IF(MOD(APIAUX!H25 + APIAUX!I25 - (Configurações!$A$3 / 24), 1) = 0, "00:00:00", MOD(APIAUX!H25 + APIAUX!I25 - (Configurações!$A$3 / 24), 1)), "")</f>
        <v/>
      </c>
      <c r="O36" s="128" t="s">
        <v>118</v>
      </c>
      <c r="P36" s="121">
        <f>IF($C$8=5,OrganizadorAPI!W27,OrganizadorAPI!I27)</f>
        <v>0</v>
      </c>
      <c r="Q36" s="139" t="str">
        <f>IFERROR(INT(APIAUX!J25+APIAUX!K25 - (Configurações!$A$3 / 24)),"")</f>
        <v/>
      </c>
      <c r="R36" s="140" t="str">
        <f>IFERROR(IF(MOD(APIAUX!J25 + APIAUX!K25 - (Configurações!$A$3 / 24), 1) = 0, "00:00:00", MOD(APIAUX!J25 + APIAUX!K25 - (Configurações!$A$3 / 24), 1)), "")</f>
        <v/>
      </c>
      <c r="S36" s="121">
        <f>IF($C$8=5,OrganizadorAPI!Z27,OrganizadorAPI!L27)</f>
        <v>0</v>
      </c>
      <c r="T36" s="139" t="str">
        <f>IFERROR(INT(APIAUX!L25+APIAUX!M25 - (Configurações!$A$3 / 24)),"")</f>
        <v/>
      </c>
      <c r="U36" s="140" t="str">
        <f>IFERROR(IF(MOD(APIAUX!L25 + APIAUX!M25 - (Configurações!$A$3 / 24), 1) = 0, "00:00:00", MOD(APIAUX!L25 + APIAUX!M25 - (Configurações!$A$3 / 24), 1)), "")</f>
        <v/>
      </c>
    </row>
    <row r="37" spans="6:21" ht="18.75" customHeight="1" x14ac:dyDescent="0.25">
      <c r="F37" s="128" t="s">
        <v>119</v>
      </c>
      <c r="G37" s="121">
        <f>IF($C$8=5,OrganizadorAPI!P28,OrganizadorAPI!B28)</f>
        <v>0</v>
      </c>
      <c r="H37" s="139" t="str">
        <f>IFERROR(INT(APIAUX!F26+APIAUX!G26 - (Configurações!$A$3 / 24)),"")</f>
        <v/>
      </c>
      <c r="I37" s="140" t="str">
        <f>IFERROR(IF(MOD(APIAUX!F26 + APIAUX!G26 - (Configurações!$A$3 / 24), 1) = 0, "00:00:00", MOD(APIAUX!F26 + APIAUX!G26 - (Configurações!$A$3 / 24), 1)), "")</f>
        <v/>
      </c>
      <c r="J37" s="121">
        <f>IF($C$8=5,OrganizadorAPI!S28,OrganizadorAPI!E28)</f>
        <v>0</v>
      </c>
      <c r="K37" s="139" t="str">
        <f>IFERROR(INT(APIAUX!H26+APIAUX!I26 - (Configurações!$A$3 / 24)),"")</f>
        <v/>
      </c>
      <c r="L37" s="140" t="str">
        <f>IFERROR(IF(MOD(APIAUX!H26 + APIAUX!I26 - (Configurações!$A$3 / 24), 1) = 0, "00:00:00", MOD(APIAUX!H26 + APIAUX!I26 - (Configurações!$A$3 / 24), 1)), "")</f>
        <v/>
      </c>
      <c r="O37" s="128" t="s">
        <v>119</v>
      </c>
      <c r="P37" s="121">
        <f>IF($C$8=5,OrganizadorAPI!W28,OrganizadorAPI!I28)</f>
        <v>0</v>
      </c>
      <c r="Q37" s="139" t="str">
        <f>IFERROR(INT(APIAUX!J26+APIAUX!K26 - (Configurações!$A$3 / 24)),"")</f>
        <v/>
      </c>
      <c r="R37" s="140" t="str">
        <f>IFERROR(IF(MOD(APIAUX!J26 + APIAUX!K26 - (Configurações!$A$3 / 24), 1) = 0, "00:00:00", MOD(APIAUX!J26 + APIAUX!K26 - (Configurações!$A$3 / 24), 1)), "")</f>
        <v/>
      </c>
      <c r="S37" s="121">
        <f>IF($C$8=5,OrganizadorAPI!Z28,OrganizadorAPI!L28)</f>
        <v>0</v>
      </c>
      <c r="T37" s="139" t="str">
        <f>IFERROR(INT(APIAUX!L26+APIAUX!M26 - (Configurações!$A$3 / 24)),"")</f>
        <v/>
      </c>
      <c r="U37" s="140" t="str">
        <f>IFERROR(IF(MOD(APIAUX!L26 + APIAUX!M26 - (Configurações!$A$3 / 24), 1) = 0, "00:00:00", MOD(APIAUX!L26 + APIAUX!M26 - (Configurações!$A$3 / 24), 1)), "")</f>
        <v/>
      </c>
    </row>
    <row r="38" spans="6:21" ht="18.75" customHeight="1" x14ac:dyDescent="0.25">
      <c r="F38" s="128" t="s">
        <v>120</v>
      </c>
      <c r="G38" s="121">
        <f>IF($C$8=5,OrganizadorAPI!P29,OrganizadorAPI!B29)</f>
        <v>0</v>
      </c>
      <c r="H38" s="139" t="str">
        <f>IFERROR(INT(APIAUX!F27+APIAUX!G27 - (Configurações!$A$3 / 24)),"")</f>
        <v/>
      </c>
      <c r="I38" s="140" t="str">
        <f>IFERROR(IF(MOD(APIAUX!F27 + APIAUX!G27 - (Configurações!$A$3 / 24), 1) = 0, "00:00:00", MOD(APIAUX!F27 + APIAUX!G27 - (Configurações!$A$3 / 24), 1)), "")</f>
        <v/>
      </c>
      <c r="J38" s="121">
        <f>IF($C$8=5,OrganizadorAPI!S29,OrganizadorAPI!E29)</f>
        <v>0</v>
      </c>
      <c r="K38" s="139" t="str">
        <f>IFERROR(INT(APIAUX!H27+APIAUX!I27 - (Configurações!$A$3 / 24)),"")</f>
        <v/>
      </c>
      <c r="L38" s="140" t="str">
        <f>IFERROR(IF(MOD(APIAUX!H27 + APIAUX!I27 - (Configurações!$A$3 / 24), 1) = 0, "00:00:00", MOD(APIAUX!H27 + APIAUX!I27 - (Configurações!$A$3 / 24), 1)), "")</f>
        <v/>
      </c>
      <c r="O38" s="128" t="s">
        <v>120</v>
      </c>
      <c r="P38" s="121">
        <f>IF($C$8=5,OrganizadorAPI!W29,OrganizadorAPI!I29)</f>
        <v>0</v>
      </c>
      <c r="Q38" s="139" t="str">
        <f>IFERROR(INT(APIAUX!J27+APIAUX!K27 - (Configurações!$A$3 / 24)),"")</f>
        <v/>
      </c>
      <c r="R38" s="140" t="str">
        <f>IFERROR(IF(MOD(APIAUX!J27 + APIAUX!K27 - (Configurações!$A$3 / 24), 1) = 0, "00:00:00", MOD(APIAUX!J27 + APIAUX!K27 - (Configurações!$A$3 / 24), 1)), "")</f>
        <v/>
      </c>
      <c r="S38" s="121">
        <f>IF($C$8=5,OrganizadorAPI!Z29,OrganizadorAPI!L29)</f>
        <v>0</v>
      </c>
      <c r="T38" s="139" t="str">
        <f>IFERROR(INT(APIAUX!L27+APIAUX!M27 - (Configurações!$A$3 / 24)),"")</f>
        <v/>
      </c>
      <c r="U38" s="140" t="str">
        <f>IFERROR(IF(MOD(APIAUX!L27 + APIAUX!M27 - (Configurações!$A$3 / 24), 1) = 0, "00:00:00", MOD(APIAUX!L27 + APIAUX!M27 - (Configurações!$A$3 / 24), 1)), "")</f>
        <v/>
      </c>
    </row>
    <row r="39" spans="6:21" x14ac:dyDescent="0.25"/>
    <row r="40" spans="6:21" x14ac:dyDescent="0.25"/>
    <row r="41" spans="6:21" x14ac:dyDescent="0.25"/>
    <row r="42" spans="6:21" x14ac:dyDescent="0.25"/>
    <row r="43" spans="6:21" x14ac:dyDescent="0.25"/>
  </sheetData>
  <sheetProtection algorithmName="SHA-512" hashValue="oDu/Clwe6VITEGS7tGEGhTtwzpOVG4U9TrHlWhpVjUmZf7OZR9KKB6eJulRdW2lOEWp6eSykvSUt3wvBTwwj0g==" saltValue="K1Im/P27vYKONtfYw1xiMA==" spinCount="100000" sheet="1" objects="1" scenarios="1" selectLockedCells="1"/>
  <mergeCells count="7">
    <mergeCell ref="F10:L10"/>
    <mergeCell ref="O10:U10"/>
    <mergeCell ref="A6:D7"/>
    <mergeCell ref="A8:B9"/>
    <mergeCell ref="C8:D9"/>
    <mergeCell ref="A10:B11"/>
    <mergeCell ref="C10:D11"/>
  </mergeCells>
  <phoneticPr fontId="23" type="noConversion"/>
  <conditionalFormatting sqref="G18 J18 J23 G23 G28 J28 G33 J33 P15:P18 S15:S18 S20:S23 P20:P23 P25:P28 S25:S28 S30:S33 P30:P33 P35:P38 S35:S38 J38 G38">
    <cfRule type="expression" dxfId="0" priority="3">
      <formula>$C$8=5</formula>
    </cfRule>
  </conditionalFormatting>
  <conditionalFormatting sqref="A6:D7">
    <cfRule type="colorScale" priority="1">
      <colorScale>
        <cfvo type="min"/>
        <cfvo type="max"/>
        <color rgb="FF7030A0"/>
        <color theme="4" tint="-0.499984740745262"/>
      </colorScale>
    </cfRule>
    <cfRule type="colorScale" priority="2">
      <colorScale>
        <cfvo type="min"/>
        <cfvo type="max"/>
        <color rgb="FF7030A0"/>
        <color theme="4" tint="-0.499984740745262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2</xdr:col>
                    <xdr:colOff>104775</xdr:colOff>
                    <xdr:row>7</xdr:row>
                    <xdr:rowOff>123825</xdr:rowOff>
                  </from>
                  <to>
                    <xdr:col>3</xdr:col>
                    <xdr:colOff>571500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2</xdr:col>
                    <xdr:colOff>104775</xdr:colOff>
                    <xdr:row>9</xdr:row>
                    <xdr:rowOff>123825</xdr:rowOff>
                  </from>
                  <to>
                    <xdr:col>3</xdr:col>
                    <xdr:colOff>571500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E6F09-C50B-45B6-B26A-71598E438C5F}">
  <sheetPr codeName="Planilha9">
    <tabColor rgb="FFFFC000"/>
  </sheetPr>
  <dimension ref="A1:AA60"/>
  <sheetViews>
    <sheetView showGridLines="0" showRowColHeaders="0" showZeros="0" zoomScaleNormal="100" workbookViewId="0">
      <selection activeCell="O33" sqref="O33"/>
    </sheetView>
  </sheetViews>
  <sheetFormatPr defaultColWidth="0" defaultRowHeight="15" zeroHeight="1" x14ac:dyDescent="0.25"/>
  <cols>
    <col min="1" max="2" width="7.5703125" customWidth="1"/>
    <col min="3" max="3" width="18.28515625" customWidth="1"/>
    <col min="4" max="4" width="17.28515625" customWidth="1"/>
    <col min="5" max="5" width="18.85546875" customWidth="1"/>
    <col min="6" max="6" width="17.28515625" customWidth="1"/>
    <col min="7" max="7" width="18.85546875" customWidth="1"/>
    <col min="8" max="8" width="7.140625" customWidth="1"/>
    <col min="9" max="9" width="25.28515625" customWidth="1"/>
    <col min="10" max="11" width="7.5703125" customWidth="1"/>
    <col min="12" max="12" width="18.28515625" customWidth="1"/>
    <col min="13" max="13" width="17.28515625" customWidth="1"/>
    <col min="14" max="14" width="18.85546875" customWidth="1"/>
    <col min="15" max="15" width="17.28515625" customWidth="1"/>
    <col min="16" max="16" width="18.85546875" customWidth="1"/>
    <col min="17" max="17" width="7.140625" customWidth="1"/>
    <col min="18" max="18" width="25.28515625" customWidth="1"/>
    <col min="19" max="20" width="7.5703125" customWidth="1"/>
    <col min="21" max="21" width="18.28515625" customWidth="1"/>
    <col min="22" max="22" width="17.28515625" customWidth="1"/>
    <col min="23" max="23" width="18.85546875" customWidth="1"/>
    <col min="24" max="24" width="17.28515625" customWidth="1"/>
    <col min="25" max="25" width="18.85546875" customWidth="1"/>
    <col min="26" max="26" width="7.140625" customWidth="1"/>
    <col min="27" max="16384" width="9.140625" hidden="1"/>
  </cols>
  <sheetData>
    <row r="1" spans="1:27" ht="15.75" x14ac:dyDescent="0.25">
      <c r="A1" s="232" t="s">
        <v>412</v>
      </c>
      <c r="B1" s="232"/>
      <c r="C1" s="232"/>
      <c r="D1" s="232"/>
      <c r="E1" s="232"/>
      <c r="F1" s="232"/>
      <c r="G1" s="232"/>
      <c r="H1" s="232"/>
      <c r="I1" s="44"/>
      <c r="J1" s="232" t="s">
        <v>403</v>
      </c>
      <c r="K1" s="232"/>
      <c r="L1" s="232"/>
      <c r="M1" s="232"/>
      <c r="N1" s="232"/>
      <c r="O1" s="232"/>
      <c r="P1" s="232"/>
      <c r="Q1" s="232"/>
      <c r="R1" s="65"/>
      <c r="S1" s="232" t="s">
        <v>404</v>
      </c>
      <c r="T1" s="232"/>
      <c r="U1" s="232"/>
      <c r="V1" s="232"/>
      <c r="W1" s="232"/>
      <c r="X1" s="232"/>
      <c r="Y1" s="232"/>
      <c r="Z1" s="232"/>
    </row>
    <row r="2" spans="1:27" x14ac:dyDescent="0.25">
      <c r="A2" s="66" t="s">
        <v>365</v>
      </c>
      <c r="B2" s="66" t="s">
        <v>30</v>
      </c>
      <c r="C2" s="66" t="s">
        <v>378</v>
      </c>
      <c r="D2" s="66" t="s">
        <v>379</v>
      </c>
      <c r="E2" s="66" t="s">
        <v>376</v>
      </c>
      <c r="F2" s="66" t="s">
        <v>383</v>
      </c>
      <c r="G2" s="66" t="s">
        <v>376</v>
      </c>
      <c r="H2" s="66" t="s">
        <v>384</v>
      </c>
      <c r="I2" s="44"/>
      <c r="J2" s="66" t="s">
        <v>365</v>
      </c>
      <c r="K2" s="66" t="s">
        <v>30</v>
      </c>
      <c r="L2" s="66" t="s">
        <v>378</v>
      </c>
      <c r="M2" s="66" t="s">
        <v>390</v>
      </c>
      <c r="N2" s="66" t="s">
        <v>376</v>
      </c>
      <c r="O2" s="66" t="s">
        <v>391</v>
      </c>
      <c r="P2" s="66" t="s">
        <v>376</v>
      </c>
      <c r="Q2" s="66" t="s">
        <v>384</v>
      </c>
      <c r="R2" s="65"/>
      <c r="S2" s="66" t="s">
        <v>365</v>
      </c>
      <c r="T2" s="66" t="s">
        <v>30</v>
      </c>
      <c r="U2" s="66" t="s">
        <v>378</v>
      </c>
      <c r="V2" s="66" t="s">
        <v>390</v>
      </c>
      <c r="W2" s="66" t="s">
        <v>376</v>
      </c>
      <c r="X2" s="66" t="s">
        <v>391</v>
      </c>
      <c r="Y2" s="66" t="s">
        <v>376</v>
      </c>
      <c r="Z2" s="66" t="s">
        <v>384</v>
      </c>
    </row>
    <row r="3" spans="1:27" x14ac:dyDescent="0.25">
      <c r="A3" s="70">
        <v>0</v>
      </c>
      <c r="B3" s="67" t="s">
        <v>479</v>
      </c>
      <c r="C3" s="76" t="str">
        <f>_xlfn.CONCAT(API!$X$1,A3)</f>
        <v>BrecilienB0</v>
      </c>
      <c r="D3" s="68" cm="1">
        <f t="array" ref="D3">INDEX(CHOOSE(API!$C$8,PELEGO,FIBRA,MINERIO,MADEIRA,ROCHA,COURO,TECIDO,BARRA,TABUA,BLOCO),H3,1)</f>
        <v>198</v>
      </c>
      <c r="E3" s="68" t="str" cm="1">
        <f t="array" ref="E3">INDEX(CHOOSE(API!$C$8,PELEGO,FIBRA,MINERIO,MADEIRA,ROCHA,COURO,TECIDO,BARRA,TABUA,BLOCO),H3,2)</f>
        <v>2025-01-08T16:50:00</v>
      </c>
      <c r="F3" s="68" cm="1">
        <f t="array" ref="F3">INDEX(CHOOSE(API!$C$8,PELEGO,FIBRA,MINERIO,MADEIRA,ROCHA,COURO,TECIDO,BARRA,TABUA,BLOCO),H3,3)</f>
        <v>0</v>
      </c>
      <c r="G3" s="68" cm="1">
        <f t="array" ref="G3">INDEX(CHOOSE(API!$C$8,PELEGO,FIBRA,MINERIO,MADEIRA,ROCHA,COURO,TECIDO,BARRA,TABUA,BLOCO),H3,4)</f>
        <v>0</v>
      </c>
      <c r="H3" s="76">
        <f>MATCH(C3,CHOOSE(API!$C$8,codigo1,codigo3,codigo5,codigo7,codigo9,codigo2,codigo4,codigo6,codigo8,codigo10),0)</f>
        <v>1</v>
      </c>
      <c r="I3" s="44"/>
      <c r="J3" s="70">
        <v>0</v>
      </c>
      <c r="K3" s="67" t="s">
        <v>479</v>
      </c>
      <c r="L3" s="76" t="str">
        <f>_xlfn.CONCAT(CHOOSE(API!$C$10,"Brecilien","Bridgewatch","Caerleon","Fort Sterling","Lymhurst","Martlock","Thetford"),"B",J3)</f>
        <v>BrecilienB0</v>
      </c>
      <c r="M3" s="68" cm="1">
        <f t="array" ref="M3">INDEX(ROCHA,Q3,1)</f>
        <v>0</v>
      </c>
      <c r="N3" s="68" cm="1">
        <f t="array" ref="N3">INDEX(ROCHA,Q3,2)</f>
        <v>0</v>
      </c>
      <c r="O3" s="68" cm="1">
        <f t="array" ref="O3">INDEX(ROCHA,Q3,3)</f>
        <v>0</v>
      </c>
      <c r="P3" s="68" cm="1">
        <f t="array" ref="P3">INDEX(ROCHA,Q3,4)</f>
        <v>0</v>
      </c>
      <c r="Q3" s="76">
        <f t="shared" ref="Q3:Q8" si="0">MATCH(L3,codigo9,0)</f>
        <v>1</v>
      </c>
      <c r="R3" s="65"/>
      <c r="S3" s="70">
        <v>0</v>
      </c>
      <c r="T3" s="67" t="s">
        <v>479</v>
      </c>
      <c r="U3" s="76" t="str">
        <f>_xlfn.CONCAT(CHOOSE(API!$C$10,"Brecilien","Bridgewatch","Caerleon","Fort Sterling","Lymhurst","Martlock","Thetford"),"R",S3)</f>
        <v>BrecilienR0</v>
      </c>
      <c r="V3" s="68" cm="1">
        <f t="array" ref="V3">INDEX(BLOCO,Z3,1)</f>
        <v>0</v>
      </c>
      <c r="W3" s="68" cm="1">
        <f t="array" ref="W3">INDEX(BLOCO,Z3,2)</f>
        <v>0</v>
      </c>
      <c r="X3" s="68" cm="1">
        <f t="array" ref="X3">INDEX(BLOCO,Z3,3)</f>
        <v>0</v>
      </c>
      <c r="Y3" s="68" cm="1">
        <f t="array" ref="Y3">INDEX(BLOCO,Z3,4)</f>
        <v>0</v>
      </c>
      <c r="Z3" s="76">
        <f>MATCH(U3,codigo10,0)</f>
        <v>1</v>
      </c>
    </row>
    <row r="4" spans="1:27" x14ac:dyDescent="0.25">
      <c r="A4" s="70">
        <v>1</v>
      </c>
      <c r="B4" s="67" t="s">
        <v>95</v>
      </c>
      <c r="C4" s="76" t="str">
        <f>_xlfn.CONCAT(API!$X$1,A4)</f>
        <v>BrecilienB1</v>
      </c>
      <c r="D4" s="68" cm="1">
        <f t="array" ref="D4">INDEX(CHOOSE(API!$C$8,PELEGO,FIBRA,MINERIO,MADEIRA,ROCHA,COURO,TECIDO,BARRA,TABUA,BLOCO),H4,1)</f>
        <v>0</v>
      </c>
      <c r="E4" s="68" cm="1">
        <f t="array" ref="E4">INDEX(CHOOSE(API!$C$8,PELEGO,FIBRA,MINERIO,MADEIRA,ROCHA,COURO,TECIDO,BARRA,TABUA,BLOCO),H4,2)</f>
        <v>0</v>
      </c>
      <c r="F4" s="68" cm="1">
        <f t="array" ref="F4">INDEX(CHOOSE(API!$C$8,PELEGO,FIBRA,MINERIO,MADEIRA,ROCHA,COURO,TECIDO,BARRA,TABUA,BLOCO),H4,3)</f>
        <v>0</v>
      </c>
      <c r="G4" s="68" cm="1">
        <f t="array" ref="G4">INDEX(CHOOSE(API!$C$8,PELEGO,FIBRA,MINERIO,MADEIRA,ROCHA,COURO,TECIDO,BARRA,TABUA,BLOCO),H4,4)</f>
        <v>0</v>
      </c>
      <c r="H4" s="76">
        <f>MATCH(C4,CHOOSE(API!$C$8,codigo1,codigo3,codigo5,codigo7,codigo9,codigo2,codigo4,codigo6,codigo8,codigo10),0)</f>
        <v>8</v>
      </c>
      <c r="I4" s="44"/>
      <c r="J4" s="70">
        <v>1</v>
      </c>
      <c r="K4" s="67" t="s">
        <v>95</v>
      </c>
      <c r="L4" s="76" t="str">
        <f>_xlfn.CONCAT(CHOOSE(API!$C$10,"Brecilien","Bridgewatch","Caerleon","Fort Sterling","Lymhurst","Martlock","Thetford"),"B",J4)</f>
        <v>BrecilienB1</v>
      </c>
      <c r="M4" s="68" cm="1">
        <f t="array" ref="M4">INDEX(ROCHA,Q4,1)</f>
        <v>41</v>
      </c>
      <c r="N4" s="68" t="str" cm="1">
        <f t="array" ref="N4">INDEX(ROCHA,Q4,2)</f>
        <v>2024-09-08T17:10:00</v>
      </c>
      <c r="O4" s="68" cm="1">
        <f t="array" ref="O4">INDEX(ROCHA,Q4,3)</f>
        <v>0</v>
      </c>
      <c r="P4" s="68" cm="1">
        <f t="array" ref="P4">INDEX(ROCHA,Q4,4)</f>
        <v>0</v>
      </c>
      <c r="Q4" s="76">
        <f t="shared" si="0"/>
        <v>8</v>
      </c>
      <c r="R4" s="65"/>
      <c r="S4" s="70">
        <v>1</v>
      </c>
      <c r="T4" s="67" t="s">
        <v>95</v>
      </c>
      <c r="U4" s="76" t="str">
        <f>_xlfn.CONCAT(CHOOSE(API!$C$10,"Brecilien","Bridgewatch","Caerleon","Fort Sterling","Lymhurst","Martlock","Thetford"),"R",S4)</f>
        <v>BrecilienR1</v>
      </c>
      <c r="V4" s="68" cm="1">
        <f t="array" ref="V4">INDEX(BLOCO,Z4,1)</f>
        <v>0</v>
      </c>
      <c r="W4" s="68" cm="1">
        <f t="array" ref="W4">INDEX(BLOCO,Z4,2)</f>
        <v>0</v>
      </c>
      <c r="X4" s="68" cm="1">
        <f t="array" ref="X4">INDEX(BLOCO,Z4,3)</f>
        <v>0</v>
      </c>
      <c r="Y4" s="68" cm="1">
        <f t="array" ref="Y4">INDEX(BLOCO,Z4,4)</f>
        <v>0</v>
      </c>
      <c r="Z4" s="76">
        <f>MATCH(U4,codigo10,0)</f>
        <v>8</v>
      </c>
    </row>
    <row r="5" spans="1:27" x14ac:dyDescent="0.25">
      <c r="A5" s="70">
        <v>2</v>
      </c>
      <c r="B5" s="67" t="s">
        <v>96</v>
      </c>
      <c r="C5" s="76" t="str">
        <f>_xlfn.CONCAT(API!$X$1,A5)</f>
        <v>BrecilienB2</v>
      </c>
      <c r="D5" s="68" cm="1">
        <f t="array" ref="D5">INDEX(CHOOSE(API!$C$8,PELEGO,FIBRA,MINERIO,MADEIRA,ROCHA,COURO,TECIDO,BARRA,TABUA,BLOCO),H5,1)</f>
        <v>69</v>
      </c>
      <c r="E5" s="68" t="str" cm="1">
        <f t="array" ref="E5">INDEX(CHOOSE(API!$C$8,PELEGO,FIBRA,MINERIO,MADEIRA,ROCHA,COURO,TECIDO,BARRA,TABUA,BLOCO),H5,2)</f>
        <v>2025-01-08T01:30:00</v>
      </c>
      <c r="F5" s="68" cm="1">
        <f t="array" ref="F5">INDEX(CHOOSE(API!$C$8,PELEGO,FIBRA,MINERIO,MADEIRA,ROCHA,COURO,TECIDO,BARRA,TABUA,BLOCO),H5,3)</f>
        <v>68</v>
      </c>
      <c r="G5" s="68" t="str" cm="1">
        <f t="array" ref="G5">INDEX(CHOOSE(API!$C$8,PELEGO,FIBRA,MINERIO,MADEIRA,ROCHA,COURO,TECIDO,BARRA,TABUA,BLOCO),H5,4)</f>
        <v>2025-01-08T01:35:00</v>
      </c>
      <c r="H5" s="76">
        <f>MATCH(C5,CHOOSE(API!$C$8,codigo1,codigo3,codigo5,codigo7,codigo9,codigo2,codigo4,codigo6,codigo8,codigo10),0)</f>
        <v>15</v>
      </c>
      <c r="I5" s="44"/>
      <c r="J5" s="70">
        <v>2</v>
      </c>
      <c r="K5" s="67" t="s">
        <v>96</v>
      </c>
      <c r="L5" s="76" t="str">
        <f>_xlfn.CONCAT(CHOOSE(API!$C$10,"Brecilien","Bridgewatch","Caerleon","Fort Sterling","Lymhurst","Martlock","Thetford"),"B",J5)</f>
        <v>BrecilienB2</v>
      </c>
      <c r="M5" s="68" cm="1">
        <f t="array" ref="M5">INDEX(ROCHA,Q5,1)</f>
        <v>8</v>
      </c>
      <c r="N5" s="68" t="str" cm="1">
        <f t="array" ref="N5">INDEX(ROCHA,Q5,2)</f>
        <v>2024-09-08T19:00:00</v>
      </c>
      <c r="O5" s="68" cm="1">
        <f t="array" ref="O5">INDEX(ROCHA,Q5,3)</f>
        <v>0</v>
      </c>
      <c r="P5" s="68" cm="1">
        <f t="array" ref="P5">INDEX(ROCHA,Q5,4)</f>
        <v>0</v>
      </c>
      <c r="Q5" s="76">
        <f t="shared" si="0"/>
        <v>15</v>
      </c>
      <c r="R5" s="65"/>
      <c r="S5" s="70">
        <v>2</v>
      </c>
      <c r="T5" s="67" t="s">
        <v>96</v>
      </c>
      <c r="U5" s="76" t="str">
        <f>_xlfn.CONCAT(CHOOSE(API!$C$10,"Brecilien","Bridgewatch","Caerleon","Fort Sterling","Lymhurst","Martlock","Thetford"),"R",S5)</f>
        <v>BrecilienR2</v>
      </c>
      <c r="V5" s="68" cm="1">
        <f t="array" ref="V5">INDEX(BLOCO,Z5,1)</f>
        <v>0</v>
      </c>
      <c r="W5" s="68" cm="1">
        <f t="array" ref="W5">INDEX(BLOCO,Z5,2)</f>
        <v>0</v>
      </c>
      <c r="X5" s="68" cm="1">
        <f t="array" ref="X5">INDEX(BLOCO,Z5,3)</f>
        <v>0</v>
      </c>
      <c r="Y5" s="68" cm="1">
        <f t="array" ref="Y5">INDEX(BLOCO,Z5,4)</f>
        <v>0</v>
      </c>
      <c r="Z5" s="76">
        <f>MATCH(U5,codigo10,0)</f>
        <v>15</v>
      </c>
    </row>
    <row r="6" spans="1:27" x14ac:dyDescent="0.25">
      <c r="A6" s="70">
        <v>3</v>
      </c>
      <c r="B6" s="67" t="s">
        <v>97</v>
      </c>
      <c r="C6" s="76" t="str">
        <f>_xlfn.CONCAT(API!$X$1,A6)</f>
        <v>BrecilienB3</v>
      </c>
      <c r="D6" s="68" cm="1">
        <f t="array" ref="D6">INDEX(CHOOSE(API!$C$8,PELEGO,FIBRA,MINERIO,MADEIRA,ROCHA,COURO,TECIDO,BARRA,TABUA,BLOCO),H6,1)</f>
        <v>66</v>
      </c>
      <c r="E6" s="68" t="str" cm="1">
        <f t="array" ref="E6">INDEX(CHOOSE(API!$C$8,PELEGO,FIBRA,MINERIO,MADEIRA,ROCHA,COURO,TECIDO,BARRA,TABUA,BLOCO),H6,2)</f>
        <v>2025-01-08T08:00:00</v>
      </c>
      <c r="F6" s="68" cm="1">
        <f t="array" ref="F6">INDEX(CHOOSE(API!$C$8,PELEGO,FIBRA,MINERIO,MADEIRA,ROCHA,COURO,TECIDO,BARRA,TABUA,BLOCO),H6,3)</f>
        <v>67</v>
      </c>
      <c r="G6" s="68" t="str" cm="1">
        <f t="array" ref="G6">INDEX(CHOOSE(API!$C$8,PELEGO,FIBRA,MINERIO,MADEIRA,ROCHA,COURO,TECIDO,BARRA,TABUA,BLOCO),H6,4)</f>
        <v>2025-01-08T02:10:00</v>
      </c>
      <c r="H6" s="76">
        <f>MATCH(C6,CHOOSE(API!$C$8,codigo1,codigo3,codigo5,codigo7,codigo9,codigo2,codigo4,codigo6,codigo8,codigo10),0)</f>
        <v>22</v>
      </c>
      <c r="I6" s="44"/>
      <c r="J6" s="70">
        <v>3</v>
      </c>
      <c r="K6" s="67" t="s">
        <v>97</v>
      </c>
      <c r="L6" s="76" t="str">
        <f>_xlfn.CONCAT(CHOOSE(API!$C$10,"Brecilien","Bridgewatch","Caerleon","Fort Sterling","Lymhurst","Martlock","Thetford"),"B",J6)</f>
        <v>BrecilienB3</v>
      </c>
      <c r="M6" s="68" cm="1">
        <f t="array" ref="M6">INDEX(ROCHA,Q6,1)</f>
        <v>9</v>
      </c>
      <c r="N6" s="68" t="str" cm="1">
        <f t="array" ref="N6">INDEX(ROCHA,Q6,2)</f>
        <v>2024-09-08T18:30:00</v>
      </c>
      <c r="O6" s="68" cm="1">
        <f t="array" ref="O6">INDEX(ROCHA,Q6,3)</f>
        <v>0</v>
      </c>
      <c r="P6" s="68" cm="1">
        <f t="array" ref="P6">INDEX(ROCHA,Q6,4)</f>
        <v>0</v>
      </c>
      <c r="Q6" s="76">
        <f t="shared" si="0"/>
        <v>22</v>
      </c>
      <c r="R6" s="65"/>
      <c r="S6" s="70"/>
      <c r="T6" s="67" t="s">
        <v>97</v>
      </c>
      <c r="U6" s="76"/>
      <c r="V6" s="70"/>
      <c r="W6" s="70"/>
      <c r="X6" s="70"/>
      <c r="Y6" s="70"/>
      <c r="Z6" s="76"/>
    </row>
    <row r="7" spans="1:27" x14ac:dyDescent="0.25">
      <c r="A7" s="70">
        <v>4</v>
      </c>
      <c r="B7" s="67" t="s">
        <v>98</v>
      </c>
      <c r="C7" s="76" t="str">
        <f>_xlfn.CONCAT(API!$X$1,A7)</f>
        <v>BrecilienB4</v>
      </c>
      <c r="D7" s="68" cm="1">
        <f t="array" ref="D7">INDEX(CHOOSE(API!$C$8,PELEGO,FIBRA,MINERIO,MADEIRA,ROCHA,COURO,TECIDO,BARRA,TABUA,BLOCO),H7,1)</f>
        <v>371</v>
      </c>
      <c r="E7" s="68" t="str" cm="1">
        <f t="array" ref="E7">INDEX(CHOOSE(API!$C$8,PELEGO,FIBRA,MINERIO,MADEIRA,ROCHA,COURO,TECIDO,BARRA,TABUA,BLOCO),H7,2)</f>
        <v>2025-01-08T06:05:00</v>
      </c>
      <c r="F7" s="68" cm="1">
        <f t="array" ref="F7">INDEX(CHOOSE(API!$C$8,PELEGO,FIBRA,MINERIO,MADEIRA,ROCHA,COURO,TECIDO,BARRA,TABUA,BLOCO),H7,3)</f>
        <v>0</v>
      </c>
      <c r="G7" s="68" cm="1">
        <f t="array" ref="G7">INDEX(CHOOSE(API!$C$8,PELEGO,FIBRA,MINERIO,MADEIRA,ROCHA,COURO,TECIDO,BARRA,TABUA,BLOCO),H7,4)</f>
        <v>0</v>
      </c>
      <c r="H7" s="76">
        <f>MATCH(C7,CHOOSE(API!$C$8,codigo1,codigo3,codigo5,codigo7,codigo9,codigo2,codigo4,codigo6,codigo8,codigo10),0)</f>
        <v>29</v>
      </c>
      <c r="I7" s="44"/>
      <c r="J7" s="70">
        <v>4</v>
      </c>
      <c r="K7" s="67" t="s">
        <v>98</v>
      </c>
      <c r="L7" s="76" t="str">
        <f>_xlfn.CONCAT(CHOOSE(API!$C$10,"Brecilien","Bridgewatch","Caerleon","Fort Sterling","Lymhurst","Martlock","Thetford"),"B",J7)</f>
        <v>BrecilienB4</v>
      </c>
      <c r="M7" s="68" cm="1">
        <f t="array" ref="M7">INDEX(ROCHA,Q7,1)</f>
        <v>47</v>
      </c>
      <c r="N7" s="68" t="str" cm="1">
        <f t="array" ref="N7">INDEX(ROCHA,Q7,2)</f>
        <v>2024-09-08T18:40:00</v>
      </c>
      <c r="O7" s="68" cm="1">
        <f t="array" ref="O7">INDEX(ROCHA,Q7,3)</f>
        <v>0</v>
      </c>
      <c r="P7" s="68" cm="1">
        <f t="array" ref="P7">INDEX(ROCHA,Q7,4)</f>
        <v>0</v>
      </c>
      <c r="Q7" s="76">
        <f t="shared" si="0"/>
        <v>29</v>
      </c>
      <c r="R7" s="65"/>
      <c r="S7" s="70"/>
      <c r="T7" s="67" t="s">
        <v>98</v>
      </c>
      <c r="U7" s="76"/>
      <c r="V7" s="70"/>
      <c r="W7" s="70"/>
      <c r="X7" s="70"/>
      <c r="Y7" s="70"/>
      <c r="Z7" s="76"/>
    </row>
    <row r="8" spans="1:27" x14ac:dyDescent="0.25">
      <c r="A8" s="70">
        <v>5</v>
      </c>
      <c r="B8" s="67" t="s">
        <v>99</v>
      </c>
      <c r="C8" s="76" t="str">
        <f>_xlfn.CONCAT(API!$X$1,A8)</f>
        <v>BrecilienB5</v>
      </c>
      <c r="D8" s="68" cm="1">
        <f t="array" ref="D8">INDEX(CHOOSE(API!$C$8,PELEGO,FIBRA,MINERIO,MADEIRA,ROCHA,COURO,TECIDO,BARRA,TABUA,BLOCO),H8,1)</f>
        <v>5592</v>
      </c>
      <c r="E8" s="68" t="str" cm="1">
        <f t="array" ref="E8">INDEX(CHOOSE(API!$C$8,PELEGO,FIBRA,MINERIO,MADEIRA,ROCHA,COURO,TECIDO,BARRA,TABUA,BLOCO),H8,2)</f>
        <v>2025-01-08T06:00:00</v>
      </c>
      <c r="F8" s="68" cm="1">
        <f t="array" ref="F8">INDEX(CHOOSE(API!$C$8,PELEGO,FIBRA,MINERIO,MADEIRA,ROCHA,COURO,TECIDO,BARRA,TABUA,BLOCO),H8,3)</f>
        <v>0</v>
      </c>
      <c r="G8" s="68" cm="1">
        <f t="array" ref="G8">INDEX(CHOOSE(API!$C$8,PELEGO,FIBRA,MINERIO,MADEIRA,ROCHA,COURO,TECIDO,BARRA,TABUA,BLOCO),H8,4)</f>
        <v>0</v>
      </c>
      <c r="H8" s="76">
        <f>MATCH(C8,CHOOSE(API!$C$8,codigo1,codigo3,codigo5,codigo7,codigo9,codigo2,codigo4,codigo6,codigo8,codigo10),0)</f>
        <v>36</v>
      </c>
      <c r="I8" s="44"/>
      <c r="J8" s="70">
        <v>5</v>
      </c>
      <c r="K8" s="67" t="s">
        <v>99</v>
      </c>
      <c r="L8" s="76" t="str">
        <f>_xlfn.CONCAT(CHOOSE(API!$C$10,"Brecilien","Bridgewatch","Caerleon","Fort Sterling","Lymhurst","Martlock","Thetford"),"B",J8)</f>
        <v>BrecilienB5</v>
      </c>
      <c r="M8" s="68" cm="1">
        <f t="array" ref="M8">INDEX(ROCHA,Q8,1)</f>
        <v>42</v>
      </c>
      <c r="N8" s="68" t="str" cm="1">
        <f t="array" ref="N8">INDEX(ROCHA,Q8,2)</f>
        <v>2024-09-08T08:25:00</v>
      </c>
      <c r="O8" s="68" cm="1">
        <f t="array" ref="O8">INDEX(ROCHA,Q8,3)</f>
        <v>0</v>
      </c>
      <c r="P8" s="68" cm="1">
        <f t="array" ref="P8">INDEX(ROCHA,Q8,4)</f>
        <v>0</v>
      </c>
      <c r="Q8" s="76">
        <f t="shared" si="0"/>
        <v>36</v>
      </c>
      <c r="R8" s="65"/>
      <c r="S8" s="70"/>
      <c r="T8" s="67" t="s">
        <v>99</v>
      </c>
      <c r="U8" s="76"/>
      <c r="V8" s="70"/>
      <c r="W8" s="70"/>
      <c r="X8" s="70"/>
      <c r="Y8" s="70"/>
      <c r="Z8" s="76"/>
    </row>
    <row r="9" spans="1:27" x14ac:dyDescent="0.25">
      <c r="A9" s="70">
        <v>6</v>
      </c>
      <c r="B9" s="67" t="s">
        <v>100</v>
      </c>
      <c r="C9" s="76" t="str">
        <f>_xlfn.CONCAT(API!$X$1,A9)</f>
        <v>BrecilienB6</v>
      </c>
      <c r="D9" s="68" cm="1">
        <f t="array" ref="D9">INDEX(CHOOSE(API!$C$8,PELEGO,FIBRA,MINERIO,MADEIRA,ROCHA,COURO,TECIDO,BARRA,TABUA,BLOCO),H9,1)</f>
        <v>39999</v>
      </c>
      <c r="E9" s="68" t="str" cm="1">
        <f t="array" ref="E9">INDEX(CHOOSE(API!$C$8,PELEGO,FIBRA,MINERIO,MADEIRA,ROCHA,COURO,TECIDO,BARRA,TABUA,BLOCO),H9,2)</f>
        <v>2025-01-07T23:55:00</v>
      </c>
      <c r="F9" s="68" cm="1">
        <f t="array" ref="F9">INDEX(CHOOSE(API!$C$8,PELEGO,FIBRA,MINERIO,MADEIRA,ROCHA,COURO,TECIDO,BARRA,TABUA,BLOCO),H9,3)</f>
        <v>0</v>
      </c>
      <c r="G9" s="68" cm="1">
        <f t="array" ref="G9">INDEX(CHOOSE(API!$C$8,PELEGO,FIBRA,MINERIO,MADEIRA,ROCHA,COURO,TECIDO,BARRA,TABUA,BLOCO),H9,4)</f>
        <v>0</v>
      </c>
      <c r="H9" s="76">
        <f>MATCH(C9,CHOOSE(API!$C$8,codigo1,codigo3,codigo5,codigo7,codigo9,codigo2,codigo4,codigo6,codigo8,codigo10),0)</f>
        <v>43</v>
      </c>
      <c r="I9" s="44"/>
      <c r="J9" s="70"/>
      <c r="K9" s="67" t="s">
        <v>100</v>
      </c>
      <c r="L9" s="76"/>
      <c r="M9" s="70"/>
      <c r="N9" s="70"/>
      <c r="O9" s="70"/>
      <c r="P9" s="70"/>
      <c r="Q9" s="75"/>
      <c r="R9" s="65"/>
      <c r="S9" s="70"/>
      <c r="T9" s="67" t="s">
        <v>100</v>
      </c>
      <c r="U9" s="76"/>
      <c r="V9" s="70"/>
      <c r="W9" s="70"/>
      <c r="X9" s="70"/>
      <c r="Y9" s="70"/>
      <c r="Z9" s="76"/>
    </row>
    <row r="10" spans="1:27" x14ac:dyDescent="0.25">
      <c r="A10" s="70">
        <v>7</v>
      </c>
      <c r="B10" s="67" t="s">
        <v>101</v>
      </c>
      <c r="C10" s="76" t="str">
        <f>_xlfn.CONCAT(API!$X$1,A10)</f>
        <v>BrecilienB7</v>
      </c>
      <c r="D10" s="68" cm="1">
        <f t="array" ref="D10">INDEX(CHOOSE(API!$C$8,PELEGO,FIBRA,MINERIO,MADEIRA,ROCHA,COURO,TECIDO,BARRA,TABUA,BLOCO),H10,1)</f>
        <v>248</v>
      </c>
      <c r="E10" s="68" t="str" cm="1">
        <f t="array" ref="E10">INDEX(CHOOSE(API!$C$8,PELEGO,FIBRA,MINERIO,MADEIRA,ROCHA,COURO,TECIDO,BARRA,TABUA,BLOCO),H10,2)</f>
        <v>2025-01-08T10:00:00</v>
      </c>
      <c r="F10" s="68" cm="1">
        <f t="array" ref="F10">INDEX(CHOOSE(API!$C$8,PELEGO,FIBRA,MINERIO,MADEIRA,ROCHA,COURO,TECIDO,BARRA,TABUA,BLOCO),H10,3)</f>
        <v>245</v>
      </c>
      <c r="G10" s="68" t="str" cm="1">
        <f t="array" ref="G10">INDEX(CHOOSE(API!$C$8,PELEGO,FIBRA,MINERIO,MADEIRA,ROCHA,COURO,TECIDO,BARRA,TABUA,BLOCO),H10,4)</f>
        <v>2025-01-08T10:00:00</v>
      </c>
      <c r="H10" s="76">
        <f>MATCH(C10,CHOOSE(API!$C$8,codigo1,codigo3,codigo5,codigo7,codigo9,codigo2,codigo4,codigo6,codigo8,codigo10),0)</f>
        <v>50</v>
      </c>
      <c r="I10" s="44"/>
      <c r="J10" s="70">
        <v>6</v>
      </c>
      <c r="K10" s="67" t="s">
        <v>101</v>
      </c>
      <c r="L10" s="76" t="str">
        <f>_xlfn.CONCAT(CHOOSE(API!$C$10,"Brecilien","Bridgewatch","Caerleon","Fort Sterling","Lymhurst","Martlock","Thetford"),"B",J10)</f>
        <v>BrecilienB6</v>
      </c>
      <c r="M10" s="68" cm="1">
        <f t="array" ref="M10">INDEX(ROCHA,Q10,1)</f>
        <v>84</v>
      </c>
      <c r="N10" s="68" t="str" cm="1">
        <f t="array" ref="N10">INDEX(ROCHA,Q10,2)</f>
        <v>2024-09-08T19:00:00</v>
      </c>
      <c r="O10" s="68" cm="1">
        <f t="array" ref="O10">INDEX(ROCHA,Q10,3)</f>
        <v>47</v>
      </c>
      <c r="P10" s="68" t="str" cm="1">
        <f t="array" ref="P10">INDEX(ROCHA,Q10,4)</f>
        <v>2024-09-08T17:45:00</v>
      </c>
      <c r="Q10" s="76">
        <f>MATCH(L10,codigo9,0)</f>
        <v>43</v>
      </c>
      <c r="R10" s="65"/>
      <c r="S10" s="70">
        <v>3</v>
      </c>
      <c r="T10" s="67" t="s">
        <v>101</v>
      </c>
      <c r="U10" s="76" t="str">
        <f>_xlfn.CONCAT(CHOOSE(API!$C$10,"Brecilien","Bridgewatch","Caerleon","Fort Sterling","Lymhurst","Martlock","Thetford"),"R",S10)</f>
        <v>BrecilienR3</v>
      </c>
      <c r="V10" s="68" cm="1">
        <f t="array" ref="V10">INDEX(BLOCO,Z10,1)</f>
        <v>0</v>
      </c>
      <c r="W10" s="68" cm="1">
        <f t="array" ref="W10">INDEX(BLOCO,Z10,2)</f>
        <v>0</v>
      </c>
      <c r="X10" s="68" cm="1">
        <f t="array" ref="X10">INDEX(BLOCO,Z10,3)</f>
        <v>0</v>
      </c>
      <c r="Y10" s="68" cm="1">
        <f t="array" ref="Y10">INDEX(BLOCO,Z10,4)</f>
        <v>0</v>
      </c>
      <c r="Z10" s="76">
        <f>MATCH(U10,codigo10,0)</f>
        <v>22</v>
      </c>
      <c r="AA10" s="70"/>
    </row>
    <row r="11" spans="1:27" x14ac:dyDescent="0.25">
      <c r="A11" s="70">
        <v>8</v>
      </c>
      <c r="B11" s="67" t="s">
        <v>102</v>
      </c>
      <c r="C11" s="76" t="str">
        <f>_xlfn.CONCAT(API!$X$1,A11)</f>
        <v>BrecilienB8</v>
      </c>
      <c r="D11" s="68" cm="1">
        <f t="array" ref="D11">INDEX(CHOOSE(API!$C$8,PELEGO,FIBRA,MINERIO,MADEIRA,ROCHA,COURO,TECIDO,BARRA,TABUA,BLOCO),H11,1)</f>
        <v>319</v>
      </c>
      <c r="E11" s="68" t="str" cm="1">
        <f t="array" ref="E11">INDEX(CHOOSE(API!$C$8,PELEGO,FIBRA,MINERIO,MADEIRA,ROCHA,COURO,TECIDO,BARRA,TABUA,BLOCO),H11,2)</f>
        <v>2025-01-08T06:00:00</v>
      </c>
      <c r="F11" s="68" cm="1">
        <f t="array" ref="F11">INDEX(CHOOSE(API!$C$8,PELEGO,FIBRA,MINERIO,MADEIRA,ROCHA,COURO,TECIDO,BARRA,TABUA,BLOCO),H11,3)</f>
        <v>0</v>
      </c>
      <c r="G11" s="68" cm="1">
        <f t="array" ref="G11">INDEX(CHOOSE(API!$C$8,PELEGO,FIBRA,MINERIO,MADEIRA,ROCHA,COURO,TECIDO,BARRA,TABUA,BLOCO),H11,4)</f>
        <v>0</v>
      </c>
      <c r="H11" s="76">
        <f>MATCH(C11,CHOOSE(API!$C$8,codigo1,codigo3,codigo5,codigo7,codigo9,codigo2,codigo4,codigo6,codigo8,codigo10),0)</f>
        <v>57</v>
      </c>
      <c r="I11" s="44"/>
      <c r="J11" s="70">
        <v>7</v>
      </c>
      <c r="K11" s="67" t="s">
        <v>102</v>
      </c>
      <c r="L11" s="76" t="str">
        <f>_xlfn.CONCAT(CHOOSE(API!$C$10,"Brecilien","Bridgewatch","Caerleon","Fort Sterling","Lymhurst","Martlock","Thetford"),"B",J11)</f>
        <v>BrecilienB7</v>
      </c>
      <c r="M11" s="68" cm="1">
        <f t="array" ref="M11">INDEX(ROCHA,Q11,1)</f>
        <v>104</v>
      </c>
      <c r="N11" s="68" t="str" cm="1">
        <f t="array" ref="N11">INDEX(ROCHA,Q11,2)</f>
        <v>2024-09-08T14:15:00</v>
      </c>
      <c r="O11" s="68" cm="1">
        <f t="array" ref="O11">INDEX(ROCHA,Q11,3)</f>
        <v>0</v>
      </c>
      <c r="P11" s="68" cm="1">
        <f t="array" ref="P11">INDEX(ROCHA,Q11,4)</f>
        <v>0</v>
      </c>
      <c r="Q11" s="76">
        <f>MATCH(L11,codigo9,0)</f>
        <v>50</v>
      </c>
      <c r="R11" s="65"/>
      <c r="S11" s="70"/>
      <c r="T11" s="67" t="s">
        <v>102</v>
      </c>
      <c r="U11" s="76"/>
      <c r="V11" s="70"/>
      <c r="W11" s="70"/>
      <c r="X11" s="70"/>
      <c r="Y11" s="70"/>
      <c r="Z11" s="76"/>
      <c r="AA11" s="70"/>
    </row>
    <row r="12" spans="1:27" x14ac:dyDescent="0.25">
      <c r="A12" s="70">
        <v>9</v>
      </c>
      <c r="B12" s="67" t="s">
        <v>103</v>
      </c>
      <c r="C12" s="76" t="str">
        <f>_xlfn.CONCAT(API!$X$1,A12)</f>
        <v>BrecilienB9</v>
      </c>
      <c r="D12" s="68" cm="1">
        <f t="array" ref="D12">INDEX(CHOOSE(API!$C$8,PELEGO,FIBRA,MINERIO,MADEIRA,ROCHA,COURO,TECIDO,BARRA,TABUA,BLOCO),H12,1)</f>
        <v>0</v>
      </c>
      <c r="E12" s="68" cm="1">
        <f t="array" ref="E12">INDEX(CHOOSE(API!$C$8,PELEGO,FIBRA,MINERIO,MADEIRA,ROCHA,COURO,TECIDO,BARRA,TABUA,BLOCO),H12,2)</f>
        <v>0</v>
      </c>
      <c r="F12" s="68" cm="1">
        <f t="array" ref="F12">INDEX(CHOOSE(API!$C$8,PELEGO,FIBRA,MINERIO,MADEIRA,ROCHA,COURO,TECIDO,BARRA,TABUA,BLOCO),H12,3)</f>
        <v>0</v>
      </c>
      <c r="G12" s="68" cm="1">
        <f t="array" ref="G12">INDEX(CHOOSE(API!$C$8,PELEGO,FIBRA,MINERIO,MADEIRA,ROCHA,COURO,TECIDO,BARRA,TABUA,BLOCO),H12,4)</f>
        <v>0</v>
      </c>
      <c r="H12" s="76">
        <f>MATCH(C12,CHOOSE(API!$C$8,codigo1,codigo3,codigo5,codigo7,codigo9,codigo2,codigo4,codigo6,codigo8,codigo10),0)</f>
        <v>64</v>
      </c>
      <c r="I12" s="44"/>
      <c r="J12" s="70">
        <v>8</v>
      </c>
      <c r="K12" s="67" t="s">
        <v>103</v>
      </c>
      <c r="L12" s="76" t="str">
        <f>_xlfn.CONCAT(CHOOSE(API!$C$10,"Brecilien","Bridgewatch","Caerleon","Fort Sterling","Lymhurst","Martlock","Thetford"),"B",J12)</f>
        <v>BrecilienB8</v>
      </c>
      <c r="M12" s="68" cm="1">
        <f t="array" ref="M12">INDEX(ROCHA,Q12,1)</f>
        <v>193</v>
      </c>
      <c r="N12" s="68" t="str" cm="1">
        <f t="array" ref="N12">INDEX(ROCHA,Q12,2)</f>
        <v>2024-09-08T18:40:00</v>
      </c>
      <c r="O12" s="68" cm="1">
        <f t="array" ref="O12">INDEX(ROCHA,Q12,3)</f>
        <v>0</v>
      </c>
      <c r="P12" s="68" cm="1">
        <f t="array" ref="P12">INDEX(ROCHA,Q12,4)</f>
        <v>0</v>
      </c>
      <c r="Q12" s="76">
        <f>MATCH(L12,codigo9,0)</f>
        <v>57</v>
      </c>
      <c r="R12" s="65"/>
      <c r="S12" s="70"/>
      <c r="T12" s="67" t="s">
        <v>103</v>
      </c>
      <c r="U12" s="76"/>
      <c r="V12" s="70"/>
      <c r="W12" s="70"/>
      <c r="X12" s="70"/>
      <c r="Y12" s="70"/>
      <c r="Z12" s="76"/>
      <c r="AA12" s="70"/>
    </row>
    <row r="13" spans="1:27" x14ac:dyDescent="0.25">
      <c r="A13" s="70">
        <v>10</v>
      </c>
      <c r="B13" s="67" t="s">
        <v>104</v>
      </c>
      <c r="C13" s="76" t="str">
        <f>_xlfn.CONCAT(API!$X$1,A13)</f>
        <v>BrecilienB10</v>
      </c>
      <c r="D13" s="68" cm="1">
        <f t="array" ref="D13">INDEX(CHOOSE(API!$C$8,PELEGO,FIBRA,MINERIO,MADEIRA,ROCHA,COURO,TECIDO,BARRA,TABUA,BLOCO),H13,1)</f>
        <v>0</v>
      </c>
      <c r="E13" s="68" cm="1">
        <f t="array" ref="E13">INDEX(CHOOSE(API!$C$8,PELEGO,FIBRA,MINERIO,MADEIRA,ROCHA,COURO,TECIDO,BARRA,TABUA,BLOCO),H13,2)</f>
        <v>0</v>
      </c>
      <c r="F13" s="68" cm="1">
        <f t="array" ref="F13">INDEX(CHOOSE(API!$C$8,PELEGO,FIBRA,MINERIO,MADEIRA,ROCHA,COURO,TECIDO,BARRA,TABUA,BLOCO),H13,3)</f>
        <v>0</v>
      </c>
      <c r="G13" s="68" cm="1">
        <f t="array" ref="G13">INDEX(CHOOSE(API!$C$8,PELEGO,FIBRA,MINERIO,MADEIRA,ROCHA,COURO,TECIDO,BARRA,TABUA,BLOCO),H13,4)</f>
        <v>0</v>
      </c>
      <c r="H13" s="76">
        <f>MATCH(C13,CHOOSE(API!$C$8,codigo1,codigo3,codigo5,codigo7,codigo9,codigo2,codigo4,codigo6,codigo8,codigo10),0)</f>
        <v>71</v>
      </c>
      <c r="I13" s="44"/>
      <c r="J13" s="70">
        <v>9</v>
      </c>
      <c r="K13" s="67" t="s">
        <v>104</v>
      </c>
      <c r="L13" s="76" t="str">
        <f>_xlfn.CONCAT(CHOOSE(API!$C$10,"Brecilien","Bridgewatch","Caerleon","Fort Sterling","Lymhurst","Martlock","Thetford"),"B",J13)</f>
        <v>BrecilienB9</v>
      </c>
      <c r="M13" s="68" cm="1">
        <f t="array" ref="M13">INDEX(ROCHA,Q13,1)</f>
        <v>426</v>
      </c>
      <c r="N13" s="68" t="str" cm="1">
        <f t="array" ref="N13">INDEX(ROCHA,Q13,2)</f>
        <v>2024-09-08T17:05:00</v>
      </c>
      <c r="O13" s="68" cm="1">
        <f t="array" ref="O13">INDEX(ROCHA,Q13,3)</f>
        <v>0</v>
      </c>
      <c r="P13" s="68" cm="1">
        <f t="array" ref="P13">INDEX(ROCHA,Q13,4)</f>
        <v>0</v>
      </c>
      <c r="Q13" s="76">
        <f>MATCH(L13,codigo9,0)</f>
        <v>64</v>
      </c>
      <c r="R13" s="65"/>
      <c r="S13" s="70"/>
      <c r="T13" s="67" t="s">
        <v>104</v>
      </c>
      <c r="U13" s="76"/>
      <c r="V13" s="70"/>
      <c r="W13" s="70"/>
      <c r="X13" s="70"/>
      <c r="Y13" s="70"/>
      <c r="Z13" s="76"/>
      <c r="AA13" s="70"/>
    </row>
    <row r="14" spans="1:27" x14ac:dyDescent="0.25">
      <c r="A14" s="70">
        <v>11</v>
      </c>
      <c r="B14" s="67" t="s">
        <v>105</v>
      </c>
      <c r="C14" s="76" t="str">
        <f>_xlfn.CONCAT(API!$X$1,A14)</f>
        <v>BrecilienB11</v>
      </c>
      <c r="D14" s="68" cm="1">
        <f t="array" ref="D14">INDEX(CHOOSE(API!$C$8,PELEGO,FIBRA,MINERIO,MADEIRA,ROCHA,COURO,TECIDO,BARRA,TABUA,BLOCO),H14,1)</f>
        <v>0</v>
      </c>
      <c r="E14" s="68" cm="1">
        <f t="array" ref="E14">INDEX(CHOOSE(API!$C$8,PELEGO,FIBRA,MINERIO,MADEIRA,ROCHA,COURO,TECIDO,BARRA,TABUA,BLOCO),H14,2)</f>
        <v>0</v>
      </c>
      <c r="F14" s="68" cm="1">
        <f t="array" ref="F14">INDEX(CHOOSE(API!$C$8,PELEGO,FIBRA,MINERIO,MADEIRA,ROCHA,COURO,TECIDO,BARRA,TABUA,BLOCO),H14,3)</f>
        <v>0</v>
      </c>
      <c r="G14" s="68" cm="1">
        <f t="array" ref="G14">INDEX(CHOOSE(API!$C$8,PELEGO,FIBRA,MINERIO,MADEIRA,ROCHA,COURO,TECIDO,BARRA,TABUA,BLOCO),H14,4)</f>
        <v>0</v>
      </c>
      <c r="H14" s="76">
        <f>MATCH(C14,CHOOSE(API!$C$8,codigo1,codigo3,codigo5,codigo7,codigo9,codigo2,codigo4,codigo6,codigo8,codigo10),0)</f>
        <v>78</v>
      </c>
      <c r="I14" s="44"/>
      <c r="J14" s="70"/>
      <c r="K14" s="67" t="s">
        <v>105</v>
      </c>
      <c r="L14" s="76"/>
      <c r="M14" s="70"/>
      <c r="N14" s="70"/>
      <c r="O14" s="70"/>
      <c r="P14" s="70"/>
      <c r="Q14" s="75"/>
      <c r="R14" s="65"/>
      <c r="S14" s="70"/>
      <c r="T14" s="67" t="s">
        <v>105</v>
      </c>
      <c r="U14" s="76"/>
      <c r="V14" s="70"/>
      <c r="W14" s="70"/>
      <c r="X14" s="70"/>
      <c r="Y14" s="70"/>
      <c r="Z14" s="76"/>
    </row>
    <row r="15" spans="1:27" x14ac:dyDescent="0.25">
      <c r="A15" s="70">
        <v>12</v>
      </c>
      <c r="B15" s="67" t="s">
        <v>106</v>
      </c>
      <c r="C15" s="76" t="str">
        <f>_xlfn.CONCAT(API!$X$1,A15)</f>
        <v>BrecilienB12</v>
      </c>
      <c r="D15" s="68" cm="1">
        <f t="array" ref="D15">INDEX(CHOOSE(API!$C$8,PELEGO,FIBRA,MINERIO,MADEIRA,ROCHA,COURO,TECIDO,BARRA,TABUA,BLOCO),H15,1)</f>
        <v>546</v>
      </c>
      <c r="E15" s="68" t="str" cm="1">
        <f t="array" ref="E15">INDEX(CHOOSE(API!$C$8,PELEGO,FIBRA,MINERIO,MADEIRA,ROCHA,COURO,TECIDO,BARRA,TABUA,BLOCO),H15,2)</f>
        <v>2025-01-08T16:15:00</v>
      </c>
      <c r="F15" s="68" cm="1">
        <f t="array" ref="F15">INDEX(CHOOSE(API!$C$8,PELEGO,FIBRA,MINERIO,MADEIRA,ROCHA,COURO,TECIDO,BARRA,TABUA,BLOCO),H15,3)</f>
        <v>561</v>
      </c>
      <c r="G15" s="68" t="str" cm="1">
        <f t="array" ref="G15">INDEX(CHOOSE(API!$C$8,PELEGO,FIBRA,MINERIO,MADEIRA,ROCHA,COURO,TECIDO,BARRA,TABUA,BLOCO),H15,4)</f>
        <v>2025-01-08T02:10:00</v>
      </c>
      <c r="H15" s="76">
        <f>MATCH(C15,CHOOSE(API!$C$8,codigo1,codigo3,codigo5,codigo7,codigo9,codigo2,codigo4,codigo6,codigo8,codigo10),0)</f>
        <v>85</v>
      </c>
      <c r="I15" s="44"/>
      <c r="J15" s="70">
        <v>10</v>
      </c>
      <c r="K15" s="67" t="s">
        <v>106</v>
      </c>
      <c r="L15" s="76" t="str">
        <f>_xlfn.CONCAT(CHOOSE(API!$C$10,"Brecilien","Bridgewatch","Caerleon","Fort Sterling","Lymhurst","Martlock","Thetford"),"B",J15)</f>
        <v>BrecilienB10</v>
      </c>
      <c r="M15" s="68" cm="1">
        <f t="array" ref="M15">INDEX(ROCHA,Q15,1)</f>
        <v>272</v>
      </c>
      <c r="N15" s="68" t="str" cm="1">
        <f t="array" ref="N15">INDEX(ROCHA,Q15,2)</f>
        <v>2024-09-08T17:05:00</v>
      </c>
      <c r="O15" s="68" cm="1">
        <f t="array" ref="O15">INDEX(ROCHA,Q15,3)</f>
        <v>0</v>
      </c>
      <c r="P15" s="68" cm="1">
        <f t="array" ref="P15">INDEX(ROCHA,Q15,4)</f>
        <v>0</v>
      </c>
      <c r="Q15" s="76">
        <f>MATCH(L15,codigo9,0)</f>
        <v>71</v>
      </c>
      <c r="R15" s="65"/>
      <c r="S15" s="70">
        <v>4</v>
      </c>
      <c r="T15" s="67" t="s">
        <v>106</v>
      </c>
      <c r="U15" s="76" t="str">
        <f>_xlfn.CONCAT(CHOOSE(API!$C$10,"Brecilien","Bridgewatch","Caerleon","Fort Sterling","Lymhurst","Martlock","Thetford"),"R",S15)</f>
        <v>BrecilienR4</v>
      </c>
      <c r="V15" s="68" cm="1">
        <f t="array" ref="V15">INDEX(BLOCO,Z15,1)</f>
        <v>0</v>
      </c>
      <c r="W15" s="68" cm="1">
        <f t="array" ref="W15">INDEX(BLOCO,Z15,2)</f>
        <v>0</v>
      </c>
      <c r="X15" s="68" cm="1">
        <f t="array" ref="X15">INDEX(BLOCO,Z15,3)</f>
        <v>0</v>
      </c>
      <c r="Y15" s="68" cm="1">
        <f t="array" ref="Y15">INDEX(BLOCO,Z15,4)</f>
        <v>0</v>
      </c>
      <c r="Z15" s="76">
        <f>MATCH(U15,codigo10,0)</f>
        <v>29</v>
      </c>
      <c r="AA15" s="70"/>
    </row>
    <row r="16" spans="1:27" x14ac:dyDescent="0.25">
      <c r="A16" s="70">
        <v>13</v>
      </c>
      <c r="B16" s="67" t="s">
        <v>107</v>
      </c>
      <c r="C16" s="76" t="str">
        <f>_xlfn.CONCAT(API!$X$1,A16)</f>
        <v>BrecilienB13</v>
      </c>
      <c r="D16" s="68" cm="1">
        <f t="array" ref="D16">INDEX(CHOOSE(API!$C$8,PELEGO,FIBRA,MINERIO,MADEIRA,ROCHA,COURO,TECIDO,BARRA,TABUA,BLOCO),H16,1)</f>
        <v>978</v>
      </c>
      <c r="E16" s="68" t="str" cm="1">
        <f t="array" ref="E16">INDEX(CHOOSE(API!$C$8,PELEGO,FIBRA,MINERIO,MADEIRA,ROCHA,COURO,TECIDO,BARRA,TABUA,BLOCO),H16,2)</f>
        <v>2025-01-08T21:10:00</v>
      </c>
      <c r="F16" s="68" cm="1">
        <f t="array" ref="F16">INDEX(CHOOSE(API!$C$8,PELEGO,FIBRA,MINERIO,MADEIRA,ROCHA,COURO,TECIDO,BARRA,TABUA,BLOCO),H16,3)</f>
        <v>977</v>
      </c>
      <c r="G16" s="68" t="str" cm="1">
        <f t="array" ref="G16">INDEX(CHOOSE(API!$C$8,PELEGO,FIBRA,MINERIO,MADEIRA,ROCHA,COURO,TECIDO,BARRA,TABUA,BLOCO),H16,4)</f>
        <v>2025-01-08T21:10:00</v>
      </c>
      <c r="H16" s="76">
        <f>MATCH(C16,CHOOSE(API!$C$8,codigo1,codigo3,codigo5,codigo7,codigo9,codigo2,codigo4,codigo6,codigo8,codigo10),0)</f>
        <v>92</v>
      </c>
      <c r="I16" s="44"/>
      <c r="J16" s="70">
        <v>11</v>
      </c>
      <c r="K16" s="67" t="s">
        <v>107</v>
      </c>
      <c r="L16" s="76" t="str">
        <f>_xlfn.CONCAT(CHOOSE(API!$C$10,"Brecilien","Bridgewatch","Caerleon","Fort Sterling","Lymhurst","Martlock","Thetford"),"B",J16)</f>
        <v>BrecilienB11</v>
      </c>
      <c r="M16" s="68" cm="1">
        <f t="array" ref="M16">INDEX(ROCHA,Q16,1)</f>
        <v>489</v>
      </c>
      <c r="N16" s="68" t="str" cm="1">
        <f t="array" ref="N16">INDEX(ROCHA,Q16,2)</f>
        <v>2024-09-08T18:25:00</v>
      </c>
      <c r="O16" s="68" cm="1">
        <f t="array" ref="O16">INDEX(ROCHA,Q16,3)</f>
        <v>0</v>
      </c>
      <c r="P16" s="68" cm="1">
        <f t="array" ref="P16">INDEX(ROCHA,Q16,4)</f>
        <v>0</v>
      </c>
      <c r="Q16" s="76">
        <f>MATCH(L16,codigo9,0)</f>
        <v>78</v>
      </c>
      <c r="R16" s="65"/>
      <c r="S16" s="70"/>
      <c r="T16" s="67" t="s">
        <v>107</v>
      </c>
      <c r="U16" s="76"/>
      <c r="V16" s="70"/>
      <c r="W16" s="70"/>
      <c r="X16" s="70"/>
      <c r="Y16" s="70"/>
      <c r="Z16" s="76"/>
      <c r="AA16" s="70"/>
    </row>
    <row r="17" spans="1:27" x14ac:dyDescent="0.25">
      <c r="A17" s="70">
        <v>14</v>
      </c>
      <c r="B17" s="67" t="s">
        <v>108</v>
      </c>
      <c r="C17" s="76" t="str">
        <f>_xlfn.CONCAT(API!$X$1,A17)</f>
        <v>BrecilienB14</v>
      </c>
      <c r="D17" s="68" cm="1">
        <f t="array" ref="D17">INDEX(CHOOSE(API!$C$8,PELEGO,FIBRA,MINERIO,MADEIRA,ROCHA,COURO,TECIDO,BARRA,TABUA,BLOCO),H17,1)</f>
        <v>6290</v>
      </c>
      <c r="E17" s="68" t="str" cm="1">
        <f t="array" ref="E17">INDEX(CHOOSE(API!$C$8,PELEGO,FIBRA,MINERIO,MADEIRA,ROCHA,COURO,TECIDO,BARRA,TABUA,BLOCO),H17,2)</f>
        <v>2025-01-08T21:10:00</v>
      </c>
      <c r="F17" s="68" cm="1">
        <f t="array" ref="F17">INDEX(CHOOSE(API!$C$8,PELEGO,FIBRA,MINERIO,MADEIRA,ROCHA,COURO,TECIDO,BARRA,TABUA,BLOCO),H17,3)</f>
        <v>5801</v>
      </c>
      <c r="G17" s="68" t="str" cm="1">
        <f t="array" ref="G17">INDEX(CHOOSE(API!$C$8,PELEGO,FIBRA,MINERIO,MADEIRA,ROCHA,COURO,TECIDO,BARRA,TABUA,BLOCO),H17,4)</f>
        <v>2025-01-08T21:10:00</v>
      </c>
      <c r="H17" s="76">
        <f>MATCH(C17,CHOOSE(API!$C$8,codigo1,codigo3,codigo5,codigo7,codigo9,codigo2,codigo4,codigo6,codigo8,codigo10),0)</f>
        <v>99</v>
      </c>
      <c r="I17" s="44"/>
      <c r="J17" s="70">
        <v>12</v>
      </c>
      <c r="K17" s="67" t="s">
        <v>108</v>
      </c>
      <c r="L17" s="76" t="str">
        <f>_xlfn.CONCAT(CHOOSE(API!$C$10,"Brecilien","Bridgewatch","Caerleon","Fort Sterling","Lymhurst","Martlock","Thetford"),"B",J17)</f>
        <v>BrecilienB12</v>
      </c>
      <c r="M17" s="68" cm="1">
        <f t="array" ref="M17">INDEX(ROCHA,Q17,1)</f>
        <v>1974</v>
      </c>
      <c r="N17" s="68" t="str" cm="1">
        <f t="array" ref="N17">INDEX(ROCHA,Q17,2)</f>
        <v>2024-09-08T18:25:00</v>
      </c>
      <c r="O17" s="68" cm="1">
        <f t="array" ref="O17">INDEX(ROCHA,Q17,3)</f>
        <v>0</v>
      </c>
      <c r="P17" s="68" cm="1">
        <f t="array" ref="P17">INDEX(ROCHA,Q17,4)</f>
        <v>0</v>
      </c>
      <c r="Q17" s="76">
        <f>MATCH(L17,codigo9,0)</f>
        <v>85</v>
      </c>
      <c r="R17" s="65"/>
      <c r="S17" s="70"/>
      <c r="T17" s="67" t="s">
        <v>108</v>
      </c>
      <c r="U17" s="76"/>
      <c r="V17" s="70"/>
      <c r="W17" s="70"/>
      <c r="X17" s="70"/>
      <c r="Y17" s="70"/>
      <c r="Z17" s="76"/>
      <c r="AA17" s="70"/>
    </row>
    <row r="18" spans="1:27" x14ac:dyDescent="0.25">
      <c r="A18" s="70">
        <v>15</v>
      </c>
      <c r="B18" s="67" t="s">
        <v>109</v>
      </c>
      <c r="C18" s="76" t="str">
        <f>_xlfn.CONCAT(API!$X$1,A18)</f>
        <v>BrecilienB15</v>
      </c>
      <c r="D18" s="68" cm="1">
        <f t="array" ref="D18">INDEX(CHOOSE(API!$C$8,PELEGO,FIBRA,MINERIO,MADEIRA,ROCHA,COURO,TECIDO,BARRA,TABUA,BLOCO),H18,1)</f>
        <v>18888</v>
      </c>
      <c r="E18" s="68" t="str" cm="1">
        <f t="array" ref="E18">INDEX(CHOOSE(API!$C$8,PELEGO,FIBRA,MINERIO,MADEIRA,ROCHA,COURO,TECIDO,BARRA,TABUA,BLOCO),H18,2)</f>
        <v>2025-01-07T23:20:00</v>
      </c>
      <c r="F18" s="68" cm="1">
        <f t="array" ref="F18">INDEX(CHOOSE(API!$C$8,PELEGO,FIBRA,MINERIO,MADEIRA,ROCHA,COURO,TECIDO,BARRA,TABUA,BLOCO),H18,3)</f>
        <v>0</v>
      </c>
      <c r="G18" s="68" cm="1">
        <f t="array" ref="G18">INDEX(CHOOSE(API!$C$8,PELEGO,FIBRA,MINERIO,MADEIRA,ROCHA,COURO,TECIDO,BARRA,TABUA,BLOCO),H18,4)</f>
        <v>0</v>
      </c>
      <c r="H18" s="76">
        <f>MATCH(C18,CHOOSE(API!$C$8,codigo1,codigo3,codigo5,codigo7,codigo9,codigo2,codigo4,codigo6,codigo8,codigo10),0)</f>
        <v>106</v>
      </c>
      <c r="I18" s="44"/>
      <c r="J18" s="70">
        <v>13</v>
      </c>
      <c r="K18" s="67" t="s">
        <v>109</v>
      </c>
      <c r="L18" s="76" t="str">
        <f>_xlfn.CONCAT(CHOOSE(API!$C$10,"Brecilien","Bridgewatch","Caerleon","Fort Sterling","Lymhurst","Martlock","Thetford"),"B",J18)</f>
        <v>BrecilienB13</v>
      </c>
      <c r="M18" s="68" cm="1">
        <f t="array" ref="M18">INDEX(ROCHA,Q18,1)</f>
        <v>2047</v>
      </c>
      <c r="N18" s="68" t="str" cm="1">
        <f t="array" ref="N18">INDEX(ROCHA,Q18,2)</f>
        <v>2024-09-08T17:05:00</v>
      </c>
      <c r="O18" s="68" cm="1">
        <f t="array" ref="O18">INDEX(ROCHA,Q18,3)</f>
        <v>0</v>
      </c>
      <c r="P18" s="68" cm="1">
        <f t="array" ref="P18">INDEX(ROCHA,Q18,4)</f>
        <v>0</v>
      </c>
      <c r="Q18" s="76">
        <f>MATCH(L18,codigo9,0)</f>
        <v>92</v>
      </c>
      <c r="R18" s="65"/>
      <c r="S18" s="70"/>
      <c r="T18" s="67" t="s">
        <v>109</v>
      </c>
      <c r="U18" s="76"/>
      <c r="V18" s="70"/>
      <c r="W18" s="70"/>
      <c r="X18" s="70"/>
      <c r="Y18" s="70"/>
      <c r="Z18" s="76"/>
      <c r="AA18" s="70"/>
    </row>
    <row r="19" spans="1:27" x14ac:dyDescent="0.25">
      <c r="A19" s="70">
        <v>16</v>
      </c>
      <c r="B19" s="67" t="s">
        <v>110</v>
      </c>
      <c r="C19" s="76" t="str">
        <f>_xlfn.CONCAT(API!$X$1,A19)</f>
        <v>BrecilienB16</v>
      </c>
      <c r="D19" s="68" cm="1">
        <f t="array" ref="D19">INDEX(CHOOSE(API!$C$8,PELEGO,FIBRA,MINERIO,MADEIRA,ROCHA,COURO,TECIDO,BARRA,TABUA,BLOCO),H19,1)</f>
        <v>93998</v>
      </c>
      <c r="E19" s="68" t="str" cm="1">
        <f t="array" ref="E19">INDEX(CHOOSE(API!$C$8,PELEGO,FIBRA,MINERIO,MADEIRA,ROCHA,COURO,TECIDO,BARRA,TABUA,BLOCO),H19,2)</f>
        <v>2025-01-08T09:15:00</v>
      </c>
      <c r="F19" s="68" cm="1">
        <f t="array" ref="F19">INDEX(CHOOSE(API!$C$8,PELEGO,FIBRA,MINERIO,MADEIRA,ROCHA,COURO,TECIDO,BARRA,TABUA,BLOCO),H19,3)</f>
        <v>0</v>
      </c>
      <c r="G19" s="68" cm="1">
        <f t="array" ref="G19">INDEX(CHOOSE(API!$C$8,PELEGO,FIBRA,MINERIO,MADEIRA,ROCHA,COURO,TECIDO,BARRA,TABUA,BLOCO),H19,4)</f>
        <v>0</v>
      </c>
      <c r="H19" s="76">
        <f>MATCH(C19,CHOOSE(API!$C$8,codigo1,codigo3,codigo5,codigo7,codigo9,codigo2,codigo4,codigo6,codigo8,codigo10),0)</f>
        <v>113</v>
      </c>
      <c r="I19" s="44"/>
      <c r="J19" s="70"/>
      <c r="K19" s="67" t="s">
        <v>110</v>
      </c>
      <c r="L19" s="76"/>
      <c r="M19" s="70"/>
      <c r="N19" s="70"/>
      <c r="O19" s="70"/>
      <c r="P19" s="70"/>
      <c r="Q19" s="75"/>
      <c r="R19" s="65"/>
      <c r="S19" s="70"/>
      <c r="T19" s="67" t="s">
        <v>110</v>
      </c>
      <c r="U19" s="76"/>
      <c r="V19" s="70"/>
      <c r="W19" s="70"/>
      <c r="X19" s="70"/>
      <c r="Y19" s="70"/>
      <c r="Z19" s="76"/>
    </row>
    <row r="20" spans="1:27" x14ac:dyDescent="0.25">
      <c r="A20" s="70">
        <v>17</v>
      </c>
      <c r="B20" s="67" t="s">
        <v>111</v>
      </c>
      <c r="C20" s="76" t="str">
        <f>_xlfn.CONCAT(API!$X$1,A20)</f>
        <v>BrecilienB17</v>
      </c>
      <c r="D20" s="68" cm="1">
        <f t="array" ref="D20">INDEX(CHOOSE(API!$C$8,PELEGO,FIBRA,MINERIO,MADEIRA,ROCHA,COURO,TECIDO,BARRA,TABUA,BLOCO),H20,1)</f>
        <v>1717</v>
      </c>
      <c r="E20" s="68" t="str" cm="1">
        <f t="array" ref="E20">INDEX(CHOOSE(API!$C$8,PELEGO,FIBRA,MINERIO,MADEIRA,ROCHA,COURO,TECIDO,BARRA,TABUA,BLOCO),H20,2)</f>
        <v>2025-01-08T21:10:00</v>
      </c>
      <c r="F20" s="68" cm="1">
        <f t="array" ref="F20">INDEX(CHOOSE(API!$C$8,PELEGO,FIBRA,MINERIO,MADEIRA,ROCHA,COURO,TECIDO,BARRA,TABUA,BLOCO),H20,3)</f>
        <v>1612</v>
      </c>
      <c r="G20" s="68" t="str" cm="1">
        <f t="array" ref="G20">INDEX(CHOOSE(API!$C$8,PELEGO,FIBRA,MINERIO,MADEIRA,ROCHA,COURO,TECIDO,BARRA,TABUA,BLOCO),H20,4)</f>
        <v>2025-01-08T21:10:00</v>
      </c>
      <c r="H20" s="76">
        <f>MATCH(C20,CHOOSE(API!$C$8,codigo1,codigo3,codigo5,codigo7,codigo9,codigo2,codigo4,codigo6,codigo8,codigo10),0)</f>
        <v>120</v>
      </c>
      <c r="I20" s="44"/>
      <c r="J20" s="70">
        <v>14</v>
      </c>
      <c r="K20" s="67" t="s">
        <v>111</v>
      </c>
      <c r="L20" s="76" t="str">
        <f>_xlfn.CONCAT(CHOOSE(API!$C$10,"Brecilien","Bridgewatch","Caerleon","Fort Sterling","Lymhurst","Martlock","Thetford"),"B",J20)</f>
        <v>BrecilienB14</v>
      </c>
      <c r="M20" s="68" cm="1">
        <f t="array" ref="M20">INDEX(ROCHA,Q20,1)</f>
        <v>1149</v>
      </c>
      <c r="N20" s="68" t="str" cm="1">
        <f t="array" ref="N20">INDEX(ROCHA,Q20,2)</f>
        <v>2024-09-08T17:10:00</v>
      </c>
      <c r="O20" s="68" cm="1">
        <f t="array" ref="O20">INDEX(ROCHA,Q20,3)</f>
        <v>0</v>
      </c>
      <c r="P20" s="68" cm="1">
        <f t="array" ref="P20">INDEX(ROCHA,Q20,4)</f>
        <v>0</v>
      </c>
      <c r="Q20" s="76">
        <f>MATCH(L20,codigo9,0)</f>
        <v>99</v>
      </c>
      <c r="R20" s="65"/>
      <c r="S20" s="70">
        <v>5</v>
      </c>
      <c r="T20" s="67" t="s">
        <v>111</v>
      </c>
      <c r="U20" s="76" t="str">
        <f>_xlfn.CONCAT(CHOOSE(API!$C$10,"Brecilien","Bridgewatch","Caerleon","Fort Sterling","Lymhurst","Martlock","Thetford"),"R",S20)</f>
        <v>BrecilienR5</v>
      </c>
      <c r="V20" s="68" cm="1">
        <f t="array" ref="V20">INDEX(BLOCO,Z20,1)</f>
        <v>7400</v>
      </c>
      <c r="W20" s="68" t="str" cm="1">
        <f t="array" ref="W20">INDEX(BLOCO,Z20,2)</f>
        <v>2024-09-08T05:00:00</v>
      </c>
      <c r="X20" s="68" cm="1">
        <f t="array" ref="X20">INDEX(BLOCO,Z20,3)</f>
        <v>4301</v>
      </c>
      <c r="Y20" s="68" t="str" cm="1">
        <f t="array" ref="Y20">INDEX(BLOCO,Z20,4)</f>
        <v>2024-09-08T05:00:00</v>
      </c>
      <c r="Z20" s="76">
        <f>MATCH(U20,codigo10,0)</f>
        <v>36</v>
      </c>
      <c r="AA20" s="70"/>
    </row>
    <row r="21" spans="1:27" x14ac:dyDescent="0.25">
      <c r="A21" s="70">
        <v>18</v>
      </c>
      <c r="B21" s="67" t="s">
        <v>112</v>
      </c>
      <c r="C21" s="76" t="str">
        <f>_xlfn.CONCAT(API!$X$1,A21)</f>
        <v>BrecilienB18</v>
      </c>
      <c r="D21" s="68" cm="1">
        <f t="array" ref="D21">INDEX(CHOOSE(API!$C$8,PELEGO,FIBRA,MINERIO,MADEIRA,ROCHA,COURO,TECIDO,BARRA,TABUA,BLOCO),H21,1)</f>
        <v>3737</v>
      </c>
      <c r="E21" s="68" t="str" cm="1">
        <f t="array" ref="E21">INDEX(CHOOSE(API!$C$8,PELEGO,FIBRA,MINERIO,MADEIRA,ROCHA,COURO,TECIDO,BARRA,TABUA,BLOCO),H21,2)</f>
        <v>2025-01-08T21:10:00</v>
      </c>
      <c r="F21" s="68" cm="1">
        <f t="array" ref="F21">INDEX(CHOOSE(API!$C$8,PELEGO,FIBRA,MINERIO,MADEIRA,ROCHA,COURO,TECIDO,BARRA,TABUA,BLOCO),H21,3)</f>
        <v>3153</v>
      </c>
      <c r="G21" s="68" t="str" cm="1">
        <f t="array" ref="G21">INDEX(CHOOSE(API!$C$8,PELEGO,FIBRA,MINERIO,MADEIRA,ROCHA,COURO,TECIDO,BARRA,TABUA,BLOCO),H21,4)</f>
        <v>2025-01-08T21:10:00</v>
      </c>
      <c r="H21" s="76">
        <f>MATCH(C21,CHOOSE(API!$C$8,codigo1,codigo3,codigo5,codigo7,codigo9,codigo2,codigo4,codigo6,codigo8,codigo10),0)</f>
        <v>127</v>
      </c>
      <c r="I21" s="44"/>
      <c r="J21" s="70">
        <v>15</v>
      </c>
      <c r="K21" s="67" t="s">
        <v>112</v>
      </c>
      <c r="L21" s="76" t="str">
        <f>_xlfn.CONCAT(CHOOSE(API!$C$10,"Brecilien","Bridgewatch","Caerleon","Fort Sterling","Lymhurst","Martlock","Thetford"),"B",J21)</f>
        <v>BrecilienB15</v>
      </c>
      <c r="M21" s="68" cm="1">
        <f t="array" ref="M21">INDEX(ROCHA,Q21,1)</f>
        <v>3509</v>
      </c>
      <c r="N21" s="68" t="str" cm="1">
        <f t="array" ref="N21">INDEX(ROCHA,Q21,2)</f>
        <v>2024-09-08T17:05:00</v>
      </c>
      <c r="O21" s="68" cm="1">
        <f t="array" ref="O21">INDEX(ROCHA,Q21,3)</f>
        <v>0</v>
      </c>
      <c r="P21" s="68" cm="1">
        <f t="array" ref="P21">INDEX(ROCHA,Q21,4)</f>
        <v>0</v>
      </c>
      <c r="Q21" s="76">
        <f>MATCH(L21,codigo9,0)</f>
        <v>106</v>
      </c>
      <c r="R21" s="65"/>
      <c r="S21" s="70"/>
      <c r="T21" s="67" t="s">
        <v>112</v>
      </c>
      <c r="U21" s="76"/>
      <c r="V21" s="70"/>
      <c r="W21" s="70"/>
      <c r="X21" s="70"/>
      <c r="Y21" s="70"/>
      <c r="Z21" s="76"/>
      <c r="AA21" s="70"/>
    </row>
    <row r="22" spans="1:27" x14ac:dyDescent="0.25">
      <c r="A22" s="70">
        <v>19</v>
      </c>
      <c r="B22" s="67" t="s">
        <v>113</v>
      </c>
      <c r="C22" s="76" t="str">
        <f>_xlfn.CONCAT(API!$X$1,A22)</f>
        <v>BrecilienB19</v>
      </c>
      <c r="D22" s="68" cm="1">
        <f t="array" ref="D22">INDEX(CHOOSE(API!$C$8,PELEGO,FIBRA,MINERIO,MADEIRA,ROCHA,COURO,TECIDO,BARRA,TABUA,BLOCO),H22,1)</f>
        <v>9000</v>
      </c>
      <c r="E22" s="68" t="str" cm="1">
        <f t="array" ref="E22">INDEX(CHOOSE(API!$C$8,PELEGO,FIBRA,MINERIO,MADEIRA,ROCHA,COURO,TECIDO,BARRA,TABUA,BLOCO),H22,2)</f>
        <v>2025-01-08T09:15:00</v>
      </c>
      <c r="F22" s="68" cm="1">
        <f t="array" ref="F22">INDEX(CHOOSE(API!$C$8,PELEGO,FIBRA,MINERIO,MADEIRA,ROCHA,COURO,TECIDO,BARRA,TABUA,BLOCO),H22,3)</f>
        <v>0</v>
      </c>
      <c r="G22" s="68" cm="1">
        <f t="array" ref="G22">INDEX(CHOOSE(API!$C$8,PELEGO,FIBRA,MINERIO,MADEIRA,ROCHA,COURO,TECIDO,BARRA,TABUA,BLOCO),H22,4)</f>
        <v>0</v>
      </c>
      <c r="H22" s="76">
        <f>MATCH(C22,CHOOSE(API!$C$8,codigo1,codigo3,codigo5,codigo7,codigo9,codigo2,codigo4,codigo6,codigo8,codigo10),0)</f>
        <v>134</v>
      </c>
      <c r="I22" s="44"/>
      <c r="J22" s="70">
        <v>16</v>
      </c>
      <c r="K22" s="67" t="s">
        <v>113</v>
      </c>
      <c r="L22" s="76" t="str">
        <f>_xlfn.CONCAT(CHOOSE(API!$C$10,"Brecilien","Bridgewatch","Caerleon","Fort Sterling","Lymhurst","Martlock","Thetford"),"B",J22)</f>
        <v>BrecilienB16</v>
      </c>
      <c r="M22" s="68" cm="1">
        <f t="array" ref="M22">INDEX(ROCHA,Q22,1)</f>
        <v>4749</v>
      </c>
      <c r="N22" s="68" t="str" cm="1">
        <f t="array" ref="N22">INDEX(ROCHA,Q22,2)</f>
        <v>2024-09-08T17:05:00</v>
      </c>
      <c r="O22" s="68" cm="1">
        <f t="array" ref="O22">INDEX(ROCHA,Q22,3)</f>
        <v>0</v>
      </c>
      <c r="P22" s="68" cm="1">
        <f t="array" ref="P22">INDEX(ROCHA,Q22,4)</f>
        <v>0</v>
      </c>
      <c r="Q22" s="76">
        <f>MATCH(L22,codigo9,0)</f>
        <v>113</v>
      </c>
      <c r="R22" s="65"/>
      <c r="S22" s="70"/>
      <c r="T22" s="67" t="s">
        <v>113</v>
      </c>
      <c r="U22" s="76"/>
      <c r="V22" s="70"/>
      <c r="W22" s="70"/>
      <c r="X22" s="70"/>
      <c r="Y22" s="70"/>
      <c r="Z22" s="76"/>
      <c r="AA22" s="70"/>
    </row>
    <row r="23" spans="1:27" x14ac:dyDescent="0.25">
      <c r="A23" s="70">
        <v>20</v>
      </c>
      <c r="B23" s="67" t="s">
        <v>114</v>
      </c>
      <c r="C23" s="76" t="str">
        <f>_xlfn.CONCAT(API!$X$1,A23)</f>
        <v>BrecilienB20</v>
      </c>
      <c r="D23" s="68" cm="1">
        <f t="array" ref="D23">INDEX(CHOOSE(API!$C$8,PELEGO,FIBRA,MINERIO,MADEIRA,ROCHA,COURO,TECIDO,BARRA,TABUA,BLOCO),H23,1)</f>
        <v>57987</v>
      </c>
      <c r="E23" s="68" t="str" cm="1">
        <f t="array" ref="E23">INDEX(CHOOSE(API!$C$8,PELEGO,FIBRA,MINERIO,MADEIRA,ROCHA,COURO,TECIDO,BARRA,TABUA,BLOCO),H23,2)</f>
        <v>2025-01-08T13:25:00</v>
      </c>
      <c r="F23" s="68" cm="1">
        <f t="array" ref="F23">INDEX(CHOOSE(API!$C$8,PELEGO,FIBRA,MINERIO,MADEIRA,ROCHA,COURO,TECIDO,BARRA,TABUA,BLOCO),H23,3)</f>
        <v>0</v>
      </c>
      <c r="G23" s="68" cm="1">
        <f t="array" ref="G23">INDEX(CHOOSE(API!$C$8,PELEGO,FIBRA,MINERIO,MADEIRA,ROCHA,COURO,TECIDO,BARRA,TABUA,BLOCO),H23,4)</f>
        <v>0</v>
      </c>
      <c r="H23" s="76">
        <f>MATCH(C23,CHOOSE(API!$C$8,codigo1,codigo3,codigo5,codigo7,codigo9,codigo2,codigo4,codigo6,codigo8,codigo10),0)</f>
        <v>141</v>
      </c>
      <c r="I23" s="44"/>
      <c r="J23" s="70">
        <v>17</v>
      </c>
      <c r="K23" s="67" t="s">
        <v>114</v>
      </c>
      <c r="L23" s="76" t="str">
        <f>_xlfn.CONCAT(CHOOSE(API!$C$10,"Brecilien","Bridgewatch","Caerleon","Fort Sterling","Lymhurst","Martlock","Thetford"),"B",J23)</f>
        <v>BrecilienB17</v>
      </c>
      <c r="M23" s="68" cm="1">
        <f t="array" ref="M23">INDEX(ROCHA,Q23,1)</f>
        <v>9759</v>
      </c>
      <c r="N23" s="68" t="str" cm="1">
        <f t="array" ref="N23">INDEX(ROCHA,Q23,2)</f>
        <v>2024-09-08T17:00:00</v>
      </c>
      <c r="O23" s="68" cm="1">
        <f t="array" ref="O23">INDEX(ROCHA,Q23,3)</f>
        <v>0</v>
      </c>
      <c r="P23" s="68" cm="1">
        <f t="array" ref="P23">INDEX(ROCHA,Q23,4)</f>
        <v>0</v>
      </c>
      <c r="Q23" s="76">
        <f>MATCH(L23,codigo9,0)</f>
        <v>120</v>
      </c>
      <c r="R23" s="65"/>
      <c r="S23" s="70"/>
      <c r="T23" s="67" t="s">
        <v>114</v>
      </c>
      <c r="U23" s="76"/>
      <c r="V23" s="70"/>
      <c r="W23" s="70"/>
      <c r="X23" s="70"/>
      <c r="Y23" s="70"/>
      <c r="Z23" s="76"/>
      <c r="AA23" s="70"/>
    </row>
    <row r="24" spans="1:27" x14ac:dyDescent="0.25">
      <c r="A24" s="70">
        <v>21</v>
      </c>
      <c r="B24" s="67" t="s">
        <v>115</v>
      </c>
      <c r="C24" s="76" t="str">
        <f>_xlfn.CONCAT(API!$X$1,A24)</f>
        <v>BrecilienB21</v>
      </c>
      <c r="D24" s="68" cm="1">
        <f t="array" ref="D24">INDEX(CHOOSE(API!$C$8,PELEGO,FIBRA,MINERIO,MADEIRA,ROCHA,COURO,TECIDO,BARRA,TABUA,BLOCO),H24,1)</f>
        <v>0</v>
      </c>
      <c r="E24" s="68" cm="1">
        <f t="array" ref="E24">INDEX(CHOOSE(API!$C$8,PELEGO,FIBRA,MINERIO,MADEIRA,ROCHA,COURO,TECIDO,BARRA,TABUA,BLOCO),H24,2)</f>
        <v>0</v>
      </c>
      <c r="F24" s="68" cm="1">
        <f t="array" ref="F24">INDEX(CHOOSE(API!$C$8,PELEGO,FIBRA,MINERIO,MADEIRA,ROCHA,COURO,TECIDO,BARRA,TABUA,BLOCO),H24,3)</f>
        <v>0</v>
      </c>
      <c r="G24" s="68" cm="1">
        <f t="array" ref="G24">INDEX(CHOOSE(API!$C$8,PELEGO,FIBRA,MINERIO,MADEIRA,ROCHA,COURO,TECIDO,BARRA,TABUA,BLOCO),H24,4)</f>
        <v>0</v>
      </c>
      <c r="H24" s="76">
        <f>MATCH(C24,CHOOSE(API!$C$8,codigo1,codigo3,codigo5,codigo7,codigo9,codigo2,codigo4,codigo6,codigo8,codigo10),0)</f>
        <v>148</v>
      </c>
      <c r="I24" s="44"/>
      <c r="J24" s="70"/>
      <c r="K24" s="67" t="s">
        <v>115</v>
      </c>
      <c r="L24" s="76"/>
      <c r="M24" s="70"/>
      <c r="N24" s="70"/>
      <c r="O24" s="70"/>
      <c r="P24" s="70"/>
      <c r="Q24" s="75"/>
      <c r="R24" s="65"/>
      <c r="S24" s="70"/>
      <c r="T24" s="67" t="s">
        <v>115</v>
      </c>
      <c r="U24" s="76"/>
      <c r="V24" s="70"/>
      <c r="W24" s="70"/>
      <c r="X24" s="70"/>
      <c r="Y24" s="70"/>
      <c r="Z24" s="76"/>
    </row>
    <row r="25" spans="1:27" x14ac:dyDescent="0.25">
      <c r="A25" s="70">
        <v>22</v>
      </c>
      <c r="B25" s="67" t="s">
        <v>116</v>
      </c>
      <c r="C25" s="76" t="str">
        <f>_xlfn.CONCAT(API!$X$1,A25)</f>
        <v>BrecilienB22</v>
      </c>
      <c r="D25" s="68" cm="1">
        <f t="array" ref="D25">INDEX(CHOOSE(API!$C$8,PELEGO,FIBRA,MINERIO,MADEIRA,ROCHA,COURO,TECIDO,BARRA,TABUA,BLOCO),H25,1)</f>
        <v>7218</v>
      </c>
      <c r="E25" s="68" t="str" cm="1">
        <f t="array" ref="E25">INDEX(CHOOSE(API!$C$8,PELEGO,FIBRA,MINERIO,MADEIRA,ROCHA,COURO,TECIDO,BARRA,TABUA,BLOCO),H25,2)</f>
        <v>2025-01-08T21:10:00</v>
      </c>
      <c r="F25" s="68" cm="1">
        <f t="array" ref="F25">INDEX(CHOOSE(API!$C$8,PELEGO,FIBRA,MINERIO,MADEIRA,ROCHA,COURO,TECIDO,BARRA,TABUA,BLOCO),H25,3)</f>
        <v>6386</v>
      </c>
      <c r="G25" s="68" t="str" cm="1">
        <f t="array" ref="G25">INDEX(CHOOSE(API!$C$8,PELEGO,FIBRA,MINERIO,MADEIRA,ROCHA,COURO,TECIDO,BARRA,TABUA,BLOCO),H25,4)</f>
        <v>2025-01-08T21:10:00</v>
      </c>
      <c r="H25" s="76">
        <f>MATCH(C25,CHOOSE(API!$C$8,codigo1,codigo3,codigo5,codigo7,codigo9,codigo2,codigo4,codigo6,codigo8,codigo10),0)</f>
        <v>155</v>
      </c>
      <c r="I25" s="44"/>
      <c r="J25" s="70">
        <v>18</v>
      </c>
      <c r="K25" s="67" t="s">
        <v>116</v>
      </c>
      <c r="L25" s="76" t="str">
        <f>_xlfn.CONCAT(CHOOSE(API!$C$10,"Brecilien","Bridgewatch","Caerleon","Fort Sterling","Lymhurst","Martlock","Thetford"),"B",J25)</f>
        <v>BrecilienB18</v>
      </c>
      <c r="M25" s="68" cm="1">
        <f t="array" ref="M25">INDEX(ROCHA,Q25,1)</f>
        <v>0</v>
      </c>
      <c r="N25" s="68" cm="1">
        <f t="array" ref="N25">INDEX(ROCHA,Q25,2)</f>
        <v>0</v>
      </c>
      <c r="O25" s="68" cm="1">
        <f t="array" ref="O25">INDEX(ROCHA,Q25,3)</f>
        <v>0</v>
      </c>
      <c r="P25" s="68" cm="1">
        <f t="array" ref="P25">INDEX(ROCHA,Q25,4)</f>
        <v>0</v>
      </c>
      <c r="Q25" s="76">
        <f>MATCH(L25,codigo9,0)</f>
        <v>127</v>
      </c>
      <c r="R25" s="65"/>
      <c r="S25" s="70">
        <v>6</v>
      </c>
      <c r="T25" s="67" t="s">
        <v>116</v>
      </c>
      <c r="U25" s="76" t="str">
        <f>_xlfn.CONCAT(CHOOSE(API!$C$10,"Brecilien","Bridgewatch","Caerleon","Fort Sterling","Lymhurst","Martlock","Thetford"),"R",S25)</f>
        <v>BrecilienR6</v>
      </c>
      <c r="V25" s="68" cm="1">
        <f t="array" ref="V25">INDEX(BLOCO,Z25,1)</f>
        <v>24475</v>
      </c>
      <c r="W25" s="68" t="str" cm="1">
        <f t="array" ref="W25">INDEX(BLOCO,Z25,2)</f>
        <v>2024-09-08T05:00:00</v>
      </c>
      <c r="X25" s="68" cm="1">
        <f t="array" ref="X25">INDEX(BLOCO,Z25,3)</f>
        <v>13008</v>
      </c>
      <c r="Y25" s="68" t="str" cm="1">
        <f t="array" ref="Y25">INDEX(BLOCO,Z25,4)</f>
        <v>2024-09-08T05:00:00</v>
      </c>
      <c r="Z25" s="76">
        <f>MATCH(U25,codigo10,0)</f>
        <v>43</v>
      </c>
      <c r="AA25" s="70"/>
    </row>
    <row r="26" spans="1:27" x14ac:dyDescent="0.25">
      <c r="A26" s="70">
        <v>23</v>
      </c>
      <c r="B26" s="67" t="s">
        <v>117</v>
      </c>
      <c r="C26" s="76" t="str">
        <f>_xlfn.CONCAT(API!$X$1,A26)</f>
        <v>BrecilienB23</v>
      </c>
      <c r="D26" s="68" cm="1">
        <f t="array" ref="D26">INDEX(CHOOSE(API!$C$8,PELEGO,FIBRA,MINERIO,MADEIRA,ROCHA,COURO,TECIDO,BARRA,TABUA,BLOCO),H26,1)</f>
        <v>14489</v>
      </c>
      <c r="E26" s="68" t="str" cm="1">
        <f t="array" ref="E26">INDEX(CHOOSE(API!$C$8,PELEGO,FIBRA,MINERIO,MADEIRA,ROCHA,COURO,TECIDO,BARRA,TABUA,BLOCO),H26,2)</f>
        <v>2025-01-08T21:10:00</v>
      </c>
      <c r="F26" s="68" cm="1">
        <f t="array" ref="F26">INDEX(CHOOSE(API!$C$8,PELEGO,FIBRA,MINERIO,MADEIRA,ROCHA,COURO,TECIDO,BARRA,TABUA,BLOCO),H26,3)</f>
        <v>7240</v>
      </c>
      <c r="G26" s="68" t="str" cm="1">
        <f t="array" ref="G26">INDEX(CHOOSE(API!$C$8,PELEGO,FIBRA,MINERIO,MADEIRA,ROCHA,COURO,TECIDO,BARRA,TABUA,BLOCO),H26,4)</f>
        <v>2025-01-08T21:10:00</v>
      </c>
      <c r="H26" s="76">
        <f>MATCH(C26,CHOOSE(API!$C$8,codigo1,codigo3,codigo5,codigo7,codigo9,codigo2,codigo4,codigo6,codigo8,codigo10),0)</f>
        <v>162</v>
      </c>
      <c r="I26" s="44"/>
      <c r="J26" s="70">
        <v>19</v>
      </c>
      <c r="K26" s="67" t="s">
        <v>117</v>
      </c>
      <c r="L26" s="76" t="str">
        <f>_xlfn.CONCAT(CHOOSE(API!$C$10,"Brecilien","Bridgewatch","Caerleon","Fort Sterling","Lymhurst","Martlock","Thetford"),"B",J26)</f>
        <v>BrecilienB19</v>
      </c>
      <c r="M26" s="68" cm="1">
        <f t="array" ref="M26">INDEX(ROCHA,Q26,1)</f>
        <v>7979</v>
      </c>
      <c r="N26" s="68" t="str" cm="1">
        <f t="array" ref="N26">INDEX(ROCHA,Q26,2)</f>
        <v>2024-09-08T17:00:00</v>
      </c>
      <c r="O26" s="68" cm="1">
        <f t="array" ref="O26">INDEX(ROCHA,Q26,3)</f>
        <v>0</v>
      </c>
      <c r="P26" s="68" cm="1">
        <f t="array" ref="P26">INDEX(ROCHA,Q26,4)</f>
        <v>0</v>
      </c>
      <c r="Q26" s="76">
        <f>MATCH(L26,codigo9,0)</f>
        <v>134</v>
      </c>
      <c r="R26" s="65"/>
      <c r="S26" s="70"/>
      <c r="T26" s="67" t="s">
        <v>117</v>
      </c>
      <c r="U26" s="76"/>
      <c r="V26" s="70"/>
      <c r="W26" s="70"/>
      <c r="X26" s="70"/>
      <c r="Y26" s="70"/>
      <c r="Z26" s="76"/>
      <c r="AA26" s="70"/>
    </row>
    <row r="27" spans="1:27" x14ac:dyDescent="0.25">
      <c r="A27" s="70">
        <v>24</v>
      </c>
      <c r="B27" s="67" t="s">
        <v>118</v>
      </c>
      <c r="C27" s="76" t="str">
        <f>_xlfn.CONCAT(API!$X$1,A27)</f>
        <v>BrecilienB24</v>
      </c>
      <c r="D27" s="68" cm="1">
        <f t="array" ref="D27">INDEX(CHOOSE(API!$C$8,PELEGO,FIBRA,MINERIO,MADEIRA,ROCHA,COURO,TECIDO,BARRA,TABUA,BLOCO),H27,1)</f>
        <v>53890</v>
      </c>
      <c r="E27" s="68" t="str" cm="1">
        <f t="array" ref="E27">INDEX(CHOOSE(API!$C$8,PELEGO,FIBRA,MINERIO,MADEIRA,ROCHA,COURO,TECIDO,BARRA,TABUA,BLOCO),H27,2)</f>
        <v>2025-01-08T09:15:00</v>
      </c>
      <c r="F27" s="68" cm="1">
        <f t="array" ref="F27">INDEX(CHOOSE(API!$C$8,PELEGO,FIBRA,MINERIO,MADEIRA,ROCHA,COURO,TECIDO,BARRA,TABUA,BLOCO),H27,3)</f>
        <v>0</v>
      </c>
      <c r="G27" s="68" cm="1">
        <f t="array" ref="G27">INDEX(CHOOSE(API!$C$8,PELEGO,FIBRA,MINERIO,MADEIRA,ROCHA,COURO,TECIDO,BARRA,TABUA,BLOCO),H27,4)</f>
        <v>0</v>
      </c>
      <c r="H27" s="76">
        <f>MATCH(C27,CHOOSE(API!$C$8,codigo1,codigo3,codigo5,codigo7,codigo9,codigo2,codigo4,codigo6,codigo8,codigo10),0)</f>
        <v>169</v>
      </c>
      <c r="I27" s="44"/>
      <c r="J27" s="70">
        <v>20</v>
      </c>
      <c r="K27" s="67" t="s">
        <v>118</v>
      </c>
      <c r="L27" s="76" t="str">
        <f>_xlfn.CONCAT(CHOOSE(API!$C$10,"Brecilien","Bridgewatch","Caerleon","Fort Sterling","Lymhurst","Martlock","Thetford"),"B",J27)</f>
        <v>BrecilienB20</v>
      </c>
      <c r="M27" s="68" cm="1">
        <f t="array" ref="M27">INDEX(ROCHA,Q27,1)</f>
        <v>19694</v>
      </c>
      <c r="N27" s="68" t="str" cm="1">
        <f t="array" ref="N27">INDEX(ROCHA,Q27,2)</f>
        <v>2024-09-08T17:00:00</v>
      </c>
      <c r="O27" s="68" cm="1">
        <f t="array" ref="O27">INDEX(ROCHA,Q27,3)</f>
        <v>0</v>
      </c>
      <c r="P27" s="68" cm="1">
        <f t="array" ref="P27">INDEX(ROCHA,Q27,4)</f>
        <v>0</v>
      </c>
      <c r="Q27" s="76">
        <f>MATCH(L27,codigo9,0)</f>
        <v>141</v>
      </c>
      <c r="R27" s="65"/>
      <c r="S27" s="70"/>
      <c r="T27" s="67" t="s">
        <v>118</v>
      </c>
      <c r="U27" s="76"/>
      <c r="V27" s="70"/>
      <c r="W27" s="70"/>
      <c r="X27" s="70"/>
      <c r="Y27" s="70"/>
      <c r="Z27" s="76"/>
      <c r="AA27" s="70"/>
    </row>
    <row r="28" spans="1:27" x14ac:dyDescent="0.25">
      <c r="A28" s="70">
        <v>25</v>
      </c>
      <c r="B28" s="67" t="s">
        <v>119</v>
      </c>
      <c r="C28" s="76" t="str">
        <f>_xlfn.CONCAT(API!$X$1,A28)</f>
        <v>BrecilienB25</v>
      </c>
      <c r="D28" s="68" cm="1">
        <f t="array" ref="D28">INDEX(CHOOSE(API!$C$8,PELEGO,FIBRA,MINERIO,MADEIRA,ROCHA,COURO,TECIDO,BARRA,TABUA,BLOCO),H28,1)</f>
        <v>178000</v>
      </c>
      <c r="E28" s="68" t="str" cm="1">
        <f t="array" ref="E28">INDEX(CHOOSE(API!$C$8,PELEGO,FIBRA,MINERIO,MADEIRA,ROCHA,COURO,TECIDO,BARRA,TABUA,BLOCO),H28,2)</f>
        <v>2025-01-08T12:45:00</v>
      </c>
      <c r="F28" s="68" cm="1">
        <f t="array" ref="F28">INDEX(CHOOSE(API!$C$8,PELEGO,FIBRA,MINERIO,MADEIRA,ROCHA,COURO,TECIDO,BARRA,TABUA,BLOCO),H28,3)</f>
        <v>0</v>
      </c>
      <c r="G28" s="68" cm="1">
        <f t="array" ref="G28">INDEX(CHOOSE(API!$C$8,PELEGO,FIBRA,MINERIO,MADEIRA,ROCHA,COURO,TECIDO,BARRA,TABUA,BLOCO),H28,4)</f>
        <v>0</v>
      </c>
      <c r="H28" s="76">
        <f>MATCH(C28,CHOOSE(API!$C$8,codigo1,codigo3,codigo5,codigo7,codigo9,codigo2,codigo4,codigo6,codigo8,codigo10),0)</f>
        <v>176</v>
      </c>
      <c r="I28" s="44"/>
      <c r="J28" s="70">
        <v>21</v>
      </c>
      <c r="K28" s="67" t="s">
        <v>119</v>
      </c>
      <c r="L28" s="76" t="str">
        <f>_xlfn.CONCAT(CHOOSE(API!$C$10,"Brecilien","Bridgewatch","Caerleon","Fort Sterling","Lymhurst","Martlock","Thetford"),"B",J28)</f>
        <v>BrecilienB21</v>
      </c>
      <c r="M28" s="68" cm="1">
        <f t="array" ref="M28">INDEX(ROCHA,Q28,1)</f>
        <v>110000</v>
      </c>
      <c r="N28" s="68" t="str" cm="1">
        <f t="array" ref="N28">INDEX(ROCHA,Q28,2)</f>
        <v>2024-09-08T16:55:00</v>
      </c>
      <c r="O28" s="68" cm="1">
        <f t="array" ref="O28">INDEX(ROCHA,Q28,3)</f>
        <v>0</v>
      </c>
      <c r="P28" s="68" cm="1">
        <f t="array" ref="P28">INDEX(ROCHA,Q28,4)</f>
        <v>0</v>
      </c>
      <c r="Q28" s="76">
        <f>MATCH(L28,codigo9,0)</f>
        <v>148</v>
      </c>
      <c r="R28" s="65"/>
      <c r="S28" s="70"/>
      <c r="T28" s="67" t="s">
        <v>119</v>
      </c>
      <c r="U28" s="76"/>
      <c r="V28" s="70"/>
      <c r="W28" s="70"/>
      <c r="X28" s="70"/>
      <c r="Y28" s="70"/>
      <c r="Z28" s="76"/>
      <c r="AA28" s="70"/>
    </row>
    <row r="29" spans="1:27" x14ac:dyDescent="0.25">
      <c r="A29" s="70">
        <v>26</v>
      </c>
      <c r="B29" s="67" t="s">
        <v>120</v>
      </c>
      <c r="C29" s="76" t="str">
        <f>_xlfn.CONCAT(API!$X$1,A29)</f>
        <v>BrecilienB26</v>
      </c>
      <c r="D29" s="68" cm="1">
        <f t="array" ref="D29">INDEX(CHOOSE(API!$C$8,PELEGO,FIBRA,MINERIO,MADEIRA,ROCHA,COURO,TECIDO,BARRA,TABUA,BLOCO),H29,1)</f>
        <v>850000</v>
      </c>
      <c r="E29" s="68" t="str" cm="1">
        <f t="array" ref="E29">INDEX(CHOOSE(API!$C$8,PELEGO,FIBRA,MINERIO,MADEIRA,ROCHA,COURO,TECIDO,BARRA,TABUA,BLOCO),H29,2)</f>
        <v>2025-01-08T09:15:00</v>
      </c>
      <c r="F29" s="68" cm="1">
        <f t="array" ref="F29">INDEX(CHOOSE(API!$C$8,PELEGO,FIBRA,MINERIO,MADEIRA,ROCHA,COURO,TECIDO,BARRA,TABUA,BLOCO),H29,3)</f>
        <v>0</v>
      </c>
      <c r="G29" s="68" cm="1">
        <f t="array" ref="G29">INDEX(CHOOSE(API!$C$8,PELEGO,FIBRA,MINERIO,MADEIRA,ROCHA,COURO,TECIDO,BARRA,TABUA,BLOCO),H29,4)</f>
        <v>0</v>
      </c>
      <c r="H29" s="76">
        <f>MATCH(C29,CHOOSE(API!$C$8,codigo1,codigo3,codigo5,codigo7,codigo9,codigo2,codigo4,codigo6,codigo8,codigo10),0)</f>
        <v>183</v>
      </c>
      <c r="I29" s="44"/>
      <c r="J29" s="70"/>
      <c r="K29" s="67" t="s">
        <v>120</v>
      </c>
      <c r="L29" s="76"/>
      <c r="M29" s="70"/>
      <c r="N29" s="70"/>
      <c r="O29" s="70"/>
      <c r="P29" s="70"/>
      <c r="Q29" s="76"/>
      <c r="R29" s="65"/>
      <c r="S29" s="70"/>
      <c r="T29" s="67" t="s">
        <v>120</v>
      </c>
      <c r="U29" s="76"/>
      <c r="V29" s="70"/>
      <c r="W29" s="70"/>
      <c r="X29" s="70"/>
      <c r="Y29" s="70"/>
      <c r="Z29" s="76"/>
    </row>
    <row r="30" spans="1:27" x14ac:dyDescent="0.25">
      <c r="A30" s="5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spans="1:27" x14ac:dyDescent="0.25">
      <c r="A31" s="53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spans="1:27" x14ac:dyDescent="0.25">
      <c r="A32" s="53"/>
      <c r="B32" s="44"/>
      <c r="C32" s="66" t="s">
        <v>409</v>
      </c>
      <c r="D32" s="66" t="s">
        <v>411</v>
      </c>
      <c r="E32" s="66" t="s">
        <v>410</v>
      </c>
      <c r="F32" s="66" t="s">
        <v>410</v>
      </c>
      <c r="G32" s="44"/>
      <c r="H32" s="44"/>
      <c r="I32" s="44"/>
      <c r="J32" s="44"/>
      <c r="K32" s="44"/>
      <c r="L32" s="66" t="s">
        <v>409</v>
      </c>
      <c r="M32" s="66" t="s">
        <v>411</v>
      </c>
      <c r="N32" s="66" t="s">
        <v>410</v>
      </c>
      <c r="O32" s="66" t="s">
        <v>410</v>
      </c>
      <c r="P32" s="44"/>
      <c r="Q32" s="44"/>
      <c r="R32" s="44"/>
      <c r="S32" s="44"/>
      <c r="T32" s="44"/>
      <c r="U32" s="66" t="s">
        <v>409</v>
      </c>
      <c r="V32" s="66" t="s">
        <v>411</v>
      </c>
      <c r="W32" s="66" t="s">
        <v>410</v>
      </c>
      <c r="X32" s="66" t="s">
        <v>410</v>
      </c>
      <c r="Y32" s="44"/>
      <c r="Z32" s="44"/>
    </row>
    <row r="33" spans="1:26" x14ac:dyDescent="0.25">
      <c r="A33" s="53"/>
      <c r="B33" s="44"/>
      <c r="C33" s="68" t="str">
        <f>IF(E3=0,"",_xlfn.CONCAT(RIGHT(LEFT(E3,10),2),"/",LEFT(RIGHT(LEFT(E3,10),5),2),"/",LEFT(LEFT(E3,10),4)))</f>
        <v>08/01/2025</v>
      </c>
      <c r="D33" s="68" t="str">
        <f>IF(E3=0,"",RIGHT(E3,8))</f>
        <v>16:50:00</v>
      </c>
      <c r="E33" s="68" t="str">
        <f>IF(G3=0,"",_xlfn.CONCAT(RIGHT(LEFT(G3,10),2),"/",LEFT(RIGHT(LEFT(G3,10),5),2),"/",LEFT(LEFT(G3,10),4)))</f>
        <v/>
      </c>
      <c r="F33" s="68" t="str">
        <f>IF(G3=0,"",RIGHT(G3,8))</f>
        <v/>
      </c>
      <c r="G33" s="44"/>
      <c r="H33" s="44"/>
      <c r="I33" s="44"/>
      <c r="J33" s="44"/>
      <c r="K33" s="44"/>
      <c r="L33" s="68" t="str">
        <f>IF(N3=0,"",_xlfn.CONCAT(RIGHT(LEFT(N3,10),2),"/",LEFT(RIGHT(LEFT(N3,10),5),2),"/",LEFT(LEFT(N3,10),4)))</f>
        <v/>
      </c>
      <c r="M33" s="68" t="str">
        <f>IF(N3=0,"",RIGHT(N3,8))</f>
        <v/>
      </c>
      <c r="N33" s="68" t="str">
        <f>IF(P3=0,"",_xlfn.CONCAT(RIGHT(LEFT(P3,10),2),"/",LEFT(RIGHT(LEFT(P3,10),5),2),"/",LEFT(LEFT(P3,10),4)))</f>
        <v/>
      </c>
      <c r="O33" s="68" t="str">
        <f>IF(P3=0,"",RIGHT(P3,8))</f>
        <v/>
      </c>
      <c r="P33" s="44"/>
      <c r="Q33" s="44"/>
      <c r="R33" s="44"/>
      <c r="S33" s="44"/>
      <c r="T33" s="44"/>
      <c r="U33" s="68" t="str">
        <f>IF(W3=0,"",_xlfn.CONCAT(RIGHT(LEFT(W3,10),2),"/",LEFT(RIGHT(LEFT(W3,10),5),2),"/",LEFT(LEFT(W3,10),4)))</f>
        <v/>
      </c>
      <c r="V33" s="68" t="str">
        <f>IF(W3=0,"",RIGHT(W3,8))</f>
        <v/>
      </c>
      <c r="W33" s="68" t="str">
        <f>IF(Y3=0,"",_xlfn.CONCAT(RIGHT(LEFT(Y3,10),2),"/",LEFT(RIGHT(LEFT(Y3,10),5),2),"/",LEFT(LEFT(Y3,10),4)))</f>
        <v/>
      </c>
      <c r="X33" s="68" t="str">
        <f>IF(Y3=0,"",RIGHT(Y3,8))</f>
        <v/>
      </c>
      <c r="Y33" s="44"/>
      <c r="Z33" s="44"/>
    </row>
    <row r="34" spans="1:26" x14ac:dyDescent="0.25">
      <c r="A34" s="53"/>
      <c r="B34" s="44"/>
      <c r="C34" s="68" t="str">
        <f t="shared" ref="C34:C59" si="1">IF(E4=0,"",_xlfn.CONCAT(RIGHT(LEFT(E4,10),2),"/",LEFT(RIGHT(LEFT(E4,10),5),2),"/",LEFT(LEFT(E4,10),4)))</f>
        <v/>
      </c>
      <c r="D34" s="68" t="str">
        <f t="shared" ref="D34:D59" si="2">IF(E4=0,"",RIGHT(E4,8))</f>
        <v/>
      </c>
      <c r="E34" s="68" t="str">
        <f t="shared" ref="E34:E59" si="3">IF(G4=0,"",_xlfn.CONCAT(RIGHT(LEFT(G4,10),2),"/",LEFT(RIGHT(LEFT(G4,10),5),2),"/",LEFT(LEFT(G4,10),4)))</f>
        <v/>
      </c>
      <c r="F34" s="68" t="str">
        <f t="shared" ref="F34:F59" si="4">IF(G4=0,"",RIGHT(G4,8))</f>
        <v/>
      </c>
      <c r="G34" s="44"/>
      <c r="H34" s="44"/>
      <c r="I34" s="44"/>
      <c r="J34" s="44"/>
      <c r="K34" s="44"/>
      <c r="L34" s="68" t="str">
        <f t="shared" ref="L34:L58" si="5">IF(N4=0,"",_xlfn.CONCAT(RIGHT(LEFT(N4,10),2),"/",LEFT(RIGHT(LEFT(N4,10),5),2),"/",LEFT(LEFT(N4,10),4)))</f>
        <v>08/09/2024</v>
      </c>
      <c r="M34" s="68" t="str">
        <f t="shared" ref="M34:M58" si="6">IF(N4=0,"",RIGHT(N4,8))</f>
        <v>17:10:00</v>
      </c>
      <c r="N34" s="68" t="str">
        <f t="shared" ref="N34:N58" si="7">IF(P4=0,"",_xlfn.CONCAT(RIGHT(LEFT(P4,10),2),"/",LEFT(RIGHT(LEFT(P4,10),5),2),"/",LEFT(LEFT(P4,10),4)))</f>
        <v/>
      </c>
      <c r="O34" s="68" t="str">
        <f t="shared" ref="O34:O58" si="8">IF(P4=0,"",RIGHT(P4,8))</f>
        <v/>
      </c>
      <c r="P34" s="44"/>
      <c r="Q34" s="44"/>
      <c r="R34" s="44"/>
      <c r="S34" s="44"/>
      <c r="T34" s="44"/>
      <c r="U34" s="68" t="str">
        <f t="shared" ref="U34:U55" si="9">IF(W4=0,"",_xlfn.CONCAT(RIGHT(LEFT(W4,10),2),"/",LEFT(RIGHT(LEFT(W4,10),5),2),"/",LEFT(LEFT(W4,10),4)))</f>
        <v/>
      </c>
      <c r="V34" s="68" t="str">
        <f t="shared" ref="V34:V55" si="10">IF(W4=0,"",RIGHT(W4,8))</f>
        <v/>
      </c>
      <c r="W34" s="68" t="str">
        <f t="shared" ref="W34:W55" si="11">IF(Y4=0,"",_xlfn.CONCAT(RIGHT(LEFT(Y4,10),2),"/",LEFT(RIGHT(LEFT(Y4,10),5),2),"/",LEFT(LEFT(Y4,10),4)))</f>
        <v/>
      </c>
      <c r="X34" s="68" t="str">
        <f t="shared" ref="X34:X55" si="12">IF(Y4=0,"",RIGHT(Y4,8))</f>
        <v/>
      </c>
      <c r="Y34" s="44"/>
      <c r="Z34" s="44"/>
    </row>
    <row r="35" spans="1:26" x14ac:dyDescent="0.25">
      <c r="A35" s="53"/>
      <c r="B35" s="44"/>
      <c r="C35" s="68" t="str">
        <f t="shared" si="1"/>
        <v>08/01/2025</v>
      </c>
      <c r="D35" s="68" t="str">
        <f t="shared" si="2"/>
        <v>01:30:00</v>
      </c>
      <c r="E35" s="68" t="str">
        <f t="shared" si="3"/>
        <v>08/01/2025</v>
      </c>
      <c r="F35" s="68" t="str">
        <f t="shared" si="4"/>
        <v>01:35:00</v>
      </c>
      <c r="G35" s="44"/>
      <c r="H35" s="44"/>
      <c r="I35" s="44"/>
      <c r="J35" s="44"/>
      <c r="K35" s="44"/>
      <c r="L35" s="68" t="str">
        <f t="shared" si="5"/>
        <v>08/09/2024</v>
      </c>
      <c r="M35" s="68" t="str">
        <f t="shared" si="6"/>
        <v>19:00:00</v>
      </c>
      <c r="N35" s="68" t="str">
        <f t="shared" si="7"/>
        <v/>
      </c>
      <c r="O35" s="68" t="str">
        <f t="shared" si="8"/>
        <v/>
      </c>
      <c r="P35" s="44"/>
      <c r="Q35" s="44"/>
      <c r="R35" s="44"/>
      <c r="S35" s="44"/>
      <c r="T35" s="44"/>
      <c r="U35" s="68" t="str">
        <f t="shared" si="9"/>
        <v/>
      </c>
      <c r="V35" s="68" t="str">
        <f t="shared" si="10"/>
        <v/>
      </c>
      <c r="W35" s="68" t="str">
        <f t="shared" si="11"/>
        <v/>
      </c>
      <c r="X35" s="68" t="str">
        <f t="shared" si="12"/>
        <v/>
      </c>
      <c r="Y35" s="44"/>
      <c r="Z35" s="44"/>
    </row>
    <row r="36" spans="1:26" x14ac:dyDescent="0.25">
      <c r="A36" s="53"/>
      <c r="B36" s="44"/>
      <c r="C36" s="68" t="str">
        <f t="shared" si="1"/>
        <v>08/01/2025</v>
      </c>
      <c r="D36" s="68" t="str">
        <f t="shared" si="2"/>
        <v>08:00:00</v>
      </c>
      <c r="E36" s="68" t="str">
        <f t="shared" si="3"/>
        <v>08/01/2025</v>
      </c>
      <c r="F36" s="68" t="str">
        <f t="shared" si="4"/>
        <v>02:10:00</v>
      </c>
      <c r="G36" s="44"/>
      <c r="H36" s="44"/>
      <c r="I36" s="44"/>
      <c r="J36" s="44"/>
      <c r="K36" s="44"/>
      <c r="L36" s="68" t="str">
        <f t="shared" si="5"/>
        <v>08/09/2024</v>
      </c>
      <c r="M36" s="68" t="str">
        <f t="shared" si="6"/>
        <v>18:30:00</v>
      </c>
      <c r="N36" s="68" t="str">
        <f t="shared" si="7"/>
        <v/>
      </c>
      <c r="O36" s="68" t="str">
        <f t="shared" si="8"/>
        <v/>
      </c>
      <c r="P36" s="44"/>
      <c r="Q36" s="44"/>
      <c r="R36" s="44"/>
      <c r="S36" s="44"/>
      <c r="T36" s="44"/>
      <c r="U36" s="134"/>
      <c r="V36" s="134"/>
      <c r="W36" s="134"/>
      <c r="X36" s="134"/>
      <c r="Y36" s="44"/>
      <c r="Z36" s="44"/>
    </row>
    <row r="37" spans="1:26" x14ac:dyDescent="0.25">
      <c r="A37" s="53"/>
      <c r="B37" s="44"/>
      <c r="C37" s="68" t="str">
        <f t="shared" si="1"/>
        <v>08/01/2025</v>
      </c>
      <c r="D37" s="68" t="str">
        <f t="shared" si="2"/>
        <v>06:05:00</v>
      </c>
      <c r="E37" s="68" t="str">
        <f t="shared" si="3"/>
        <v/>
      </c>
      <c r="F37" s="68" t="str">
        <f t="shared" si="4"/>
        <v/>
      </c>
      <c r="G37" s="44"/>
      <c r="H37" s="44"/>
      <c r="I37" s="44"/>
      <c r="J37" s="44"/>
      <c r="K37" s="44"/>
      <c r="L37" s="68" t="str">
        <f t="shared" si="5"/>
        <v>08/09/2024</v>
      </c>
      <c r="M37" s="68" t="str">
        <f t="shared" si="6"/>
        <v>18:40:00</v>
      </c>
      <c r="N37" s="68" t="str">
        <f t="shared" si="7"/>
        <v/>
      </c>
      <c r="O37" s="68" t="str">
        <f t="shared" si="8"/>
        <v/>
      </c>
      <c r="P37" s="44"/>
      <c r="Q37" s="44"/>
      <c r="R37" s="44"/>
      <c r="S37" s="44"/>
      <c r="T37" s="44"/>
      <c r="U37" s="134"/>
      <c r="V37" s="134"/>
      <c r="W37" s="134"/>
      <c r="X37" s="134"/>
      <c r="Y37" s="44"/>
      <c r="Z37" s="44"/>
    </row>
    <row r="38" spans="1:26" x14ac:dyDescent="0.25">
      <c r="A38" s="44"/>
      <c r="B38" s="44"/>
      <c r="C38" s="68" t="str">
        <f t="shared" si="1"/>
        <v>08/01/2025</v>
      </c>
      <c r="D38" s="68" t="str">
        <f t="shared" si="2"/>
        <v>06:00:00</v>
      </c>
      <c r="E38" s="68" t="str">
        <f t="shared" si="3"/>
        <v/>
      </c>
      <c r="F38" s="68" t="str">
        <f t="shared" si="4"/>
        <v/>
      </c>
      <c r="G38" s="44"/>
      <c r="H38" s="44"/>
      <c r="I38" s="44"/>
      <c r="J38" s="44"/>
      <c r="K38" s="44"/>
      <c r="L38" s="68" t="str">
        <f t="shared" si="5"/>
        <v>08/09/2024</v>
      </c>
      <c r="M38" s="68" t="str">
        <f t="shared" si="6"/>
        <v>08:25:00</v>
      </c>
      <c r="N38" s="68" t="str">
        <f t="shared" si="7"/>
        <v/>
      </c>
      <c r="O38" s="68" t="str">
        <f t="shared" si="8"/>
        <v/>
      </c>
      <c r="P38" s="44"/>
      <c r="Q38" s="44"/>
      <c r="R38" s="44"/>
      <c r="S38" s="44"/>
      <c r="T38" s="44"/>
      <c r="U38" s="134"/>
      <c r="V38" s="134"/>
      <c r="W38" s="134"/>
      <c r="X38" s="134"/>
      <c r="Y38" s="44"/>
      <c r="Z38" s="44"/>
    </row>
    <row r="39" spans="1:26" x14ac:dyDescent="0.25">
      <c r="A39" s="44"/>
      <c r="B39" s="44"/>
      <c r="C39" s="68" t="str">
        <f t="shared" si="1"/>
        <v>07/01/2025</v>
      </c>
      <c r="D39" s="68" t="str">
        <f t="shared" si="2"/>
        <v>23:55:00</v>
      </c>
      <c r="E39" s="68" t="str">
        <f t="shared" si="3"/>
        <v/>
      </c>
      <c r="F39" s="68" t="str">
        <f t="shared" si="4"/>
        <v/>
      </c>
      <c r="G39" s="44"/>
      <c r="H39" s="44"/>
      <c r="I39" s="44"/>
      <c r="J39" s="44"/>
      <c r="K39" s="44"/>
      <c r="L39" s="134"/>
      <c r="M39" s="134"/>
      <c r="N39" s="134"/>
      <c r="O39" s="134"/>
      <c r="P39" s="44"/>
      <c r="Q39" s="44"/>
      <c r="R39" s="44"/>
      <c r="S39" s="44"/>
      <c r="T39" s="44"/>
      <c r="U39" s="134"/>
      <c r="V39" s="134"/>
      <c r="W39" s="134"/>
      <c r="X39" s="134"/>
      <c r="Y39" s="44"/>
      <c r="Z39" s="44"/>
    </row>
    <row r="40" spans="1:26" x14ac:dyDescent="0.25">
      <c r="A40" s="44"/>
      <c r="B40" s="44"/>
      <c r="C40" s="68" t="str">
        <f t="shared" si="1"/>
        <v>08/01/2025</v>
      </c>
      <c r="D40" s="68" t="str">
        <f t="shared" si="2"/>
        <v>10:00:00</v>
      </c>
      <c r="E40" s="68" t="str">
        <f t="shared" si="3"/>
        <v>08/01/2025</v>
      </c>
      <c r="F40" s="68" t="str">
        <f t="shared" si="4"/>
        <v>10:00:00</v>
      </c>
      <c r="G40" s="44"/>
      <c r="H40" s="44"/>
      <c r="I40" s="44"/>
      <c r="J40" s="44"/>
      <c r="K40" s="44"/>
      <c r="L40" s="68" t="str">
        <f t="shared" si="5"/>
        <v>08/09/2024</v>
      </c>
      <c r="M40" s="68" t="str">
        <f t="shared" si="6"/>
        <v>19:00:00</v>
      </c>
      <c r="N40" s="68" t="str">
        <f t="shared" si="7"/>
        <v>08/09/2024</v>
      </c>
      <c r="O40" s="68" t="str">
        <f t="shared" si="8"/>
        <v>17:45:00</v>
      </c>
      <c r="P40" s="44"/>
      <c r="Q40" s="44"/>
      <c r="R40" s="44"/>
      <c r="S40" s="44"/>
      <c r="T40" s="44"/>
      <c r="U40" s="68" t="str">
        <f t="shared" si="9"/>
        <v/>
      </c>
      <c r="V40" s="68" t="str">
        <f t="shared" si="10"/>
        <v/>
      </c>
      <c r="W40" s="68" t="str">
        <f t="shared" si="11"/>
        <v/>
      </c>
      <c r="X40" s="68" t="str">
        <f t="shared" si="12"/>
        <v/>
      </c>
      <c r="Y40" s="44"/>
      <c r="Z40" s="44"/>
    </row>
    <row r="41" spans="1:26" x14ac:dyDescent="0.25">
      <c r="A41" s="44"/>
      <c r="B41" s="44"/>
      <c r="C41" s="68" t="str">
        <f t="shared" si="1"/>
        <v>08/01/2025</v>
      </c>
      <c r="D41" s="68" t="str">
        <f t="shared" si="2"/>
        <v>06:00:00</v>
      </c>
      <c r="E41" s="68" t="str">
        <f t="shared" si="3"/>
        <v/>
      </c>
      <c r="F41" s="68" t="str">
        <f t="shared" si="4"/>
        <v/>
      </c>
      <c r="G41" s="44"/>
      <c r="H41" s="44"/>
      <c r="I41" s="44"/>
      <c r="J41" s="44"/>
      <c r="K41" s="44"/>
      <c r="L41" s="68" t="str">
        <f t="shared" si="5"/>
        <v>08/09/2024</v>
      </c>
      <c r="M41" s="68" t="str">
        <f t="shared" si="6"/>
        <v>14:15:00</v>
      </c>
      <c r="N41" s="68" t="str">
        <f t="shared" si="7"/>
        <v/>
      </c>
      <c r="O41" s="68" t="str">
        <f t="shared" si="8"/>
        <v/>
      </c>
      <c r="P41" s="44"/>
      <c r="Q41" s="44"/>
      <c r="R41" s="44"/>
      <c r="S41" s="44"/>
      <c r="T41" s="44"/>
      <c r="U41" s="134"/>
      <c r="V41" s="134"/>
      <c r="W41" s="134"/>
      <c r="X41" s="134"/>
      <c r="Y41" s="44"/>
      <c r="Z41" s="44"/>
    </row>
    <row r="42" spans="1:26" x14ac:dyDescent="0.25">
      <c r="A42" s="44"/>
      <c r="B42" s="44"/>
      <c r="C42" s="68" t="str">
        <f t="shared" si="1"/>
        <v/>
      </c>
      <c r="D42" s="68" t="str">
        <f t="shared" si="2"/>
        <v/>
      </c>
      <c r="E42" s="68" t="str">
        <f t="shared" si="3"/>
        <v/>
      </c>
      <c r="F42" s="68" t="str">
        <f t="shared" si="4"/>
        <v/>
      </c>
      <c r="G42" s="44"/>
      <c r="H42" s="44"/>
      <c r="I42" s="44"/>
      <c r="J42" s="44"/>
      <c r="K42" s="44"/>
      <c r="L42" s="68" t="str">
        <f t="shared" si="5"/>
        <v>08/09/2024</v>
      </c>
      <c r="M42" s="68" t="str">
        <f t="shared" si="6"/>
        <v>18:40:00</v>
      </c>
      <c r="N42" s="68" t="str">
        <f t="shared" si="7"/>
        <v/>
      </c>
      <c r="O42" s="68" t="str">
        <f t="shared" si="8"/>
        <v/>
      </c>
      <c r="P42" s="44"/>
      <c r="Q42" s="44"/>
      <c r="R42" s="44"/>
      <c r="S42" s="44"/>
      <c r="T42" s="44"/>
      <c r="U42" s="134"/>
      <c r="V42" s="134"/>
      <c r="W42" s="134"/>
      <c r="X42" s="134"/>
      <c r="Y42" s="44"/>
      <c r="Z42" s="44"/>
    </row>
    <row r="43" spans="1:26" x14ac:dyDescent="0.25">
      <c r="A43" s="44"/>
      <c r="B43" s="44"/>
      <c r="C43" s="68" t="str">
        <f t="shared" si="1"/>
        <v/>
      </c>
      <c r="D43" s="68" t="str">
        <f t="shared" si="2"/>
        <v/>
      </c>
      <c r="E43" s="68" t="str">
        <f t="shared" si="3"/>
        <v/>
      </c>
      <c r="F43" s="68" t="str">
        <f t="shared" si="4"/>
        <v/>
      </c>
      <c r="G43" s="44"/>
      <c r="H43" s="44"/>
      <c r="I43" s="44"/>
      <c r="J43" s="44"/>
      <c r="K43" s="44"/>
      <c r="L43" s="68" t="str">
        <f t="shared" si="5"/>
        <v>08/09/2024</v>
      </c>
      <c r="M43" s="68" t="str">
        <f t="shared" si="6"/>
        <v>17:05:00</v>
      </c>
      <c r="N43" s="68" t="str">
        <f t="shared" si="7"/>
        <v/>
      </c>
      <c r="O43" s="68" t="str">
        <f t="shared" si="8"/>
        <v/>
      </c>
      <c r="P43" s="44"/>
      <c r="Q43" s="44"/>
      <c r="R43" s="44"/>
      <c r="S43" s="44"/>
      <c r="T43" s="44"/>
      <c r="U43" s="134"/>
      <c r="V43" s="134"/>
      <c r="W43" s="134"/>
      <c r="X43" s="134"/>
      <c r="Y43" s="44"/>
      <c r="Z43" s="44"/>
    </row>
    <row r="44" spans="1:26" x14ac:dyDescent="0.25">
      <c r="A44" s="44"/>
      <c r="B44" s="44"/>
      <c r="C44" s="68" t="str">
        <f t="shared" si="1"/>
        <v/>
      </c>
      <c r="D44" s="68" t="str">
        <f t="shared" si="2"/>
        <v/>
      </c>
      <c r="E44" s="68" t="str">
        <f t="shared" si="3"/>
        <v/>
      </c>
      <c r="F44" s="68" t="str">
        <f t="shared" si="4"/>
        <v/>
      </c>
      <c r="G44" s="44"/>
      <c r="H44" s="44"/>
      <c r="I44" s="44"/>
      <c r="J44" s="44"/>
      <c r="K44" s="44"/>
      <c r="L44" s="68"/>
      <c r="M44" s="68"/>
      <c r="N44" s="68"/>
      <c r="O44" s="68"/>
      <c r="P44" s="44"/>
      <c r="Q44" s="44"/>
      <c r="R44" s="44"/>
      <c r="S44" s="44"/>
      <c r="T44" s="44"/>
      <c r="U44" s="134"/>
      <c r="V44" s="134"/>
      <c r="W44" s="134"/>
      <c r="X44" s="134"/>
      <c r="Y44" s="44"/>
      <c r="Z44" s="44"/>
    </row>
    <row r="45" spans="1:26" x14ac:dyDescent="0.25">
      <c r="A45" s="44"/>
      <c r="B45" s="44"/>
      <c r="C45" s="68" t="str">
        <f t="shared" si="1"/>
        <v>08/01/2025</v>
      </c>
      <c r="D45" s="68" t="str">
        <f t="shared" si="2"/>
        <v>16:15:00</v>
      </c>
      <c r="E45" s="68" t="str">
        <f t="shared" si="3"/>
        <v>08/01/2025</v>
      </c>
      <c r="F45" s="68" t="str">
        <f t="shared" si="4"/>
        <v>02:10:00</v>
      </c>
      <c r="G45" s="44"/>
      <c r="H45" s="44"/>
      <c r="I45" s="44"/>
      <c r="J45" s="44"/>
      <c r="K45" s="44"/>
      <c r="L45" s="68" t="str">
        <f t="shared" si="5"/>
        <v>08/09/2024</v>
      </c>
      <c r="M45" s="68" t="str">
        <f t="shared" si="6"/>
        <v>17:05:00</v>
      </c>
      <c r="N45" s="68" t="str">
        <f t="shared" si="7"/>
        <v/>
      </c>
      <c r="O45" s="68" t="str">
        <f t="shared" si="8"/>
        <v/>
      </c>
      <c r="P45" s="44"/>
      <c r="Q45" s="44"/>
      <c r="R45" s="44"/>
      <c r="S45" s="44"/>
      <c r="T45" s="44"/>
      <c r="U45" s="68" t="str">
        <f t="shared" si="9"/>
        <v/>
      </c>
      <c r="V45" s="68" t="str">
        <f t="shared" si="10"/>
        <v/>
      </c>
      <c r="W45" s="68" t="str">
        <f t="shared" si="11"/>
        <v/>
      </c>
      <c r="X45" s="68" t="str">
        <f t="shared" si="12"/>
        <v/>
      </c>
      <c r="Y45" s="44"/>
      <c r="Z45" s="44"/>
    </row>
    <row r="46" spans="1:26" x14ac:dyDescent="0.25">
      <c r="A46" s="44"/>
      <c r="B46" s="44"/>
      <c r="C46" s="68" t="str">
        <f t="shared" si="1"/>
        <v>08/01/2025</v>
      </c>
      <c r="D46" s="68" t="str">
        <f t="shared" si="2"/>
        <v>21:10:00</v>
      </c>
      <c r="E46" s="68" t="str">
        <f t="shared" si="3"/>
        <v>08/01/2025</v>
      </c>
      <c r="F46" s="68" t="str">
        <f t="shared" si="4"/>
        <v>21:10:00</v>
      </c>
      <c r="G46" s="44"/>
      <c r="H46" s="44"/>
      <c r="I46" s="44"/>
      <c r="J46" s="44"/>
      <c r="K46" s="44"/>
      <c r="L46" s="68" t="str">
        <f t="shared" si="5"/>
        <v>08/09/2024</v>
      </c>
      <c r="M46" s="68" t="str">
        <f t="shared" si="6"/>
        <v>18:25:00</v>
      </c>
      <c r="N46" s="68" t="str">
        <f t="shared" si="7"/>
        <v/>
      </c>
      <c r="O46" s="68" t="str">
        <f t="shared" si="8"/>
        <v/>
      </c>
      <c r="P46" s="44"/>
      <c r="Q46" s="44"/>
      <c r="R46" s="44"/>
      <c r="S46" s="44"/>
      <c r="T46" s="44"/>
      <c r="U46" s="134"/>
      <c r="V46" s="134"/>
      <c r="W46" s="134"/>
      <c r="X46" s="134"/>
      <c r="Y46" s="44"/>
      <c r="Z46" s="44"/>
    </row>
    <row r="47" spans="1:26" x14ac:dyDescent="0.25">
      <c r="A47" s="44"/>
      <c r="B47" s="44"/>
      <c r="C47" s="68" t="str">
        <f t="shared" si="1"/>
        <v>08/01/2025</v>
      </c>
      <c r="D47" s="68" t="str">
        <f t="shared" si="2"/>
        <v>21:10:00</v>
      </c>
      <c r="E47" s="68" t="str">
        <f t="shared" si="3"/>
        <v>08/01/2025</v>
      </c>
      <c r="F47" s="68" t="str">
        <f t="shared" si="4"/>
        <v>21:10:00</v>
      </c>
      <c r="G47" s="44"/>
      <c r="H47" s="44"/>
      <c r="I47" s="44"/>
      <c r="J47" s="44"/>
      <c r="K47" s="44"/>
      <c r="L47" s="68" t="str">
        <f t="shared" si="5"/>
        <v>08/09/2024</v>
      </c>
      <c r="M47" s="68" t="str">
        <f t="shared" si="6"/>
        <v>18:25:00</v>
      </c>
      <c r="N47" s="68" t="str">
        <f t="shared" si="7"/>
        <v/>
      </c>
      <c r="O47" s="68" t="str">
        <f t="shared" si="8"/>
        <v/>
      </c>
      <c r="P47" s="44"/>
      <c r="Q47" s="44"/>
      <c r="R47" s="44"/>
      <c r="S47" s="44"/>
      <c r="T47" s="44"/>
      <c r="U47" s="134"/>
      <c r="V47" s="134"/>
      <c r="W47" s="134"/>
      <c r="X47" s="134"/>
      <c r="Y47" s="44"/>
      <c r="Z47" s="44"/>
    </row>
    <row r="48" spans="1:26" x14ac:dyDescent="0.25">
      <c r="A48" s="44"/>
      <c r="B48" s="44"/>
      <c r="C48" s="68" t="str">
        <f t="shared" si="1"/>
        <v>07/01/2025</v>
      </c>
      <c r="D48" s="68" t="str">
        <f t="shared" si="2"/>
        <v>23:20:00</v>
      </c>
      <c r="E48" s="68" t="str">
        <f t="shared" si="3"/>
        <v/>
      </c>
      <c r="F48" s="68" t="str">
        <f t="shared" si="4"/>
        <v/>
      </c>
      <c r="G48" s="44"/>
      <c r="H48" s="44"/>
      <c r="I48" s="44"/>
      <c r="J48" s="44"/>
      <c r="K48" s="44"/>
      <c r="L48" s="68" t="str">
        <f t="shared" si="5"/>
        <v>08/09/2024</v>
      </c>
      <c r="M48" s="68" t="str">
        <f t="shared" si="6"/>
        <v>17:05:00</v>
      </c>
      <c r="N48" s="68" t="str">
        <f t="shared" si="7"/>
        <v/>
      </c>
      <c r="O48" s="68" t="str">
        <f t="shared" si="8"/>
        <v/>
      </c>
      <c r="P48" s="44"/>
      <c r="Q48" s="44"/>
      <c r="R48" s="44"/>
      <c r="S48" s="44"/>
      <c r="T48" s="44"/>
      <c r="U48" s="134"/>
      <c r="V48" s="134"/>
      <c r="W48" s="134"/>
      <c r="X48" s="134"/>
      <c r="Y48" s="44"/>
      <c r="Z48" s="44"/>
    </row>
    <row r="49" spans="1:26" x14ac:dyDescent="0.25">
      <c r="A49" s="44"/>
      <c r="B49" s="44"/>
      <c r="C49" s="68" t="str">
        <f t="shared" si="1"/>
        <v>08/01/2025</v>
      </c>
      <c r="D49" s="68" t="str">
        <f t="shared" si="2"/>
        <v>09:15:00</v>
      </c>
      <c r="E49" s="68" t="str">
        <f t="shared" si="3"/>
        <v/>
      </c>
      <c r="F49" s="68" t="str">
        <f t="shared" si="4"/>
        <v/>
      </c>
      <c r="G49" s="44"/>
      <c r="H49" s="44"/>
      <c r="I49" s="44"/>
      <c r="J49" s="44"/>
      <c r="K49" s="44"/>
      <c r="L49" s="134"/>
      <c r="M49" s="134"/>
      <c r="N49" s="134"/>
      <c r="O49" s="134"/>
      <c r="P49" s="44"/>
      <c r="Q49" s="44"/>
      <c r="R49" s="44"/>
      <c r="S49" s="44"/>
      <c r="T49" s="44"/>
      <c r="U49" s="134"/>
      <c r="V49" s="134"/>
      <c r="W49" s="134"/>
      <c r="X49" s="134"/>
      <c r="Y49" s="44"/>
      <c r="Z49" s="44"/>
    </row>
    <row r="50" spans="1:26" x14ac:dyDescent="0.25">
      <c r="A50" s="44"/>
      <c r="B50" s="44"/>
      <c r="C50" s="68" t="str">
        <f t="shared" si="1"/>
        <v>08/01/2025</v>
      </c>
      <c r="D50" s="68" t="str">
        <f t="shared" si="2"/>
        <v>21:10:00</v>
      </c>
      <c r="E50" s="68" t="str">
        <f t="shared" si="3"/>
        <v>08/01/2025</v>
      </c>
      <c r="F50" s="68" t="str">
        <f t="shared" si="4"/>
        <v>21:10:00</v>
      </c>
      <c r="G50" s="44"/>
      <c r="H50" s="44"/>
      <c r="I50" s="44"/>
      <c r="J50" s="44"/>
      <c r="K50" s="44"/>
      <c r="L50" s="68" t="str">
        <f t="shared" si="5"/>
        <v>08/09/2024</v>
      </c>
      <c r="M50" s="68" t="str">
        <f t="shared" si="6"/>
        <v>17:10:00</v>
      </c>
      <c r="N50" s="68" t="str">
        <f t="shared" si="7"/>
        <v/>
      </c>
      <c r="O50" s="68" t="str">
        <f t="shared" si="8"/>
        <v/>
      </c>
      <c r="P50" s="44"/>
      <c r="Q50" s="44"/>
      <c r="R50" s="44"/>
      <c r="S50" s="44"/>
      <c r="T50" s="44"/>
      <c r="U50" s="68" t="str">
        <f t="shared" si="9"/>
        <v>08/09/2024</v>
      </c>
      <c r="V50" s="68" t="str">
        <f t="shared" si="10"/>
        <v>05:00:00</v>
      </c>
      <c r="W50" s="68" t="str">
        <f t="shared" si="11"/>
        <v>08/09/2024</v>
      </c>
      <c r="X50" s="68" t="str">
        <f t="shared" si="12"/>
        <v>05:00:00</v>
      </c>
      <c r="Y50" s="44"/>
      <c r="Z50" s="44"/>
    </row>
    <row r="51" spans="1:26" x14ac:dyDescent="0.25">
      <c r="A51" s="44"/>
      <c r="B51" s="44"/>
      <c r="C51" s="68" t="str">
        <f t="shared" si="1"/>
        <v>08/01/2025</v>
      </c>
      <c r="D51" s="68" t="str">
        <f t="shared" si="2"/>
        <v>21:10:00</v>
      </c>
      <c r="E51" s="68" t="str">
        <f t="shared" si="3"/>
        <v>08/01/2025</v>
      </c>
      <c r="F51" s="68" t="str">
        <f t="shared" si="4"/>
        <v>21:10:00</v>
      </c>
      <c r="G51" s="44"/>
      <c r="H51" s="44"/>
      <c r="I51" s="44"/>
      <c r="J51" s="44"/>
      <c r="K51" s="44"/>
      <c r="L51" s="68" t="str">
        <f t="shared" si="5"/>
        <v>08/09/2024</v>
      </c>
      <c r="M51" s="68" t="str">
        <f t="shared" si="6"/>
        <v>17:05:00</v>
      </c>
      <c r="N51" s="68" t="str">
        <f t="shared" si="7"/>
        <v/>
      </c>
      <c r="O51" s="68" t="str">
        <f t="shared" si="8"/>
        <v/>
      </c>
      <c r="P51" s="44"/>
      <c r="Q51" s="44"/>
      <c r="R51" s="44"/>
      <c r="S51" s="44"/>
      <c r="T51" s="44"/>
      <c r="U51" s="134"/>
      <c r="V51" s="134"/>
      <c r="W51" s="134"/>
      <c r="X51" s="134"/>
      <c r="Y51" s="44"/>
      <c r="Z51" s="44"/>
    </row>
    <row r="52" spans="1:26" x14ac:dyDescent="0.25">
      <c r="A52" s="44"/>
      <c r="B52" s="44"/>
      <c r="C52" s="68" t="str">
        <f t="shared" si="1"/>
        <v>08/01/2025</v>
      </c>
      <c r="D52" s="68" t="str">
        <f t="shared" si="2"/>
        <v>09:15:00</v>
      </c>
      <c r="E52" s="68" t="str">
        <f t="shared" si="3"/>
        <v/>
      </c>
      <c r="F52" s="68" t="str">
        <f t="shared" si="4"/>
        <v/>
      </c>
      <c r="G52" s="44"/>
      <c r="H52" s="44"/>
      <c r="I52" s="44"/>
      <c r="J52" s="44"/>
      <c r="K52" s="44"/>
      <c r="L52" s="68" t="str">
        <f t="shared" si="5"/>
        <v>08/09/2024</v>
      </c>
      <c r="M52" s="68" t="str">
        <f t="shared" si="6"/>
        <v>17:05:00</v>
      </c>
      <c r="N52" s="68" t="str">
        <f t="shared" si="7"/>
        <v/>
      </c>
      <c r="O52" s="68" t="str">
        <f t="shared" si="8"/>
        <v/>
      </c>
      <c r="P52" s="44"/>
      <c r="Q52" s="44"/>
      <c r="R52" s="44"/>
      <c r="S52" s="44"/>
      <c r="T52" s="44"/>
      <c r="U52" s="134"/>
      <c r="V52" s="134"/>
      <c r="W52" s="134"/>
      <c r="X52" s="134"/>
      <c r="Y52" s="44"/>
      <c r="Z52" s="44"/>
    </row>
    <row r="53" spans="1:26" x14ac:dyDescent="0.25">
      <c r="A53" s="44"/>
      <c r="B53" s="44"/>
      <c r="C53" s="68" t="str">
        <f t="shared" si="1"/>
        <v>08/01/2025</v>
      </c>
      <c r="D53" s="68" t="str">
        <f t="shared" si="2"/>
        <v>13:25:00</v>
      </c>
      <c r="E53" s="68" t="str">
        <f t="shared" si="3"/>
        <v/>
      </c>
      <c r="F53" s="68" t="str">
        <f t="shared" si="4"/>
        <v/>
      </c>
      <c r="G53" s="44"/>
      <c r="H53" s="44"/>
      <c r="I53" s="44"/>
      <c r="J53" s="44"/>
      <c r="K53" s="44"/>
      <c r="L53" s="68" t="str">
        <f t="shared" si="5"/>
        <v>08/09/2024</v>
      </c>
      <c r="M53" s="68" t="str">
        <f t="shared" si="6"/>
        <v>17:00:00</v>
      </c>
      <c r="N53" s="68" t="str">
        <f t="shared" si="7"/>
        <v/>
      </c>
      <c r="O53" s="68" t="str">
        <f t="shared" si="8"/>
        <v/>
      </c>
      <c r="P53" s="44"/>
      <c r="Q53" s="44"/>
      <c r="R53" s="44"/>
      <c r="S53" s="44"/>
      <c r="T53" s="44"/>
      <c r="U53" s="134"/>
      <c r="V53" s="134"/>
      <c r="W53" s="134"/>
      <c r="X53" s="134"/>
      <c r="Y53" s="44"/>
      <c r="Z53" s="44"/>
    </row>
    <row r="54" spans="1:26" x14ac:dyDescent="0.25">
      <c r="A54" s="44"/>
      <c r="B54" s="44"/>
      <c r="C54" s="68" t="str">
        <f t="shared" si="1"/>
        <v/>
      </c>
      <c r="D54" s="68" t="str">
        <f t="shared" si="2"/>
        <v/>
      </c>
      <c r="E54" s="68" t="str">
        <f t="shared" si="3"/>
        <v/>
      </c>
      <c r="F54" s="68" t="str">
        <f t="shared" si="4"/>
        <v/>
      </c>
      <c r="G54" s="44"/>
      <c r="H54" s="44"/>
      <c r="I54" s="44"/>
      <c r="J54" s="44"/>
      <c r="K54" s="44"/>
      <c r="L54" s="134"/>
      <c r="M54" s="134"/>
      <c r="N54" s="134"/>
      <c r="O54" s="134"/>
      <c r="P54" s="44"/>
      <c r="Q54" s="44"/>
      <c r="R54" s="44"/>
      <c r="S54" s="44"/>
      <c r="T54" s="44"/>
      <c r="U54" s="134"/>
      <c r="V54" s="134"/>
      <c r="W54" s="134"/>
      <c r="X54" s="134"/>
      <c r="Y54" s="44"/>
      <c r="Z54" s="44"/>
    </row>
    <row r="55" spans="1:26" x14ac:dyDescent="0.25">
      <c r="A55" s="44"/>
      <c r="B55" s="44"/>
      <c r="C55" s="68" t="str">
        <f t="shared" si="1"/>
        <v>08/01/2025</v>
      </c>
      <c r="D55" s="68" t="str">
        <f t="shared" si="2"/>
        <v>21:10:00</v>
      </c>
      <c r="E55" s="68" t="str">
        <f t="shared" si="3"/>
        <v>08/01/2025</v>
      </c>
      <c r="F55" s="68" t="str">
        <f t="shared" si="4"/>
        <v>21:10:00</v>
      </c>
      <c r="G55" s="44"/>
      <c r="H55" s="44"/>
      <c r="I55" s="44"/>
      <c r="J55" s="44"/>
      <c r="K55" s="44"/>
      <c r="L55" s="68" t="str">
        <f t="shared" si="5"/>
        <v/>
      </c>
      <c r="M55" s="68" t="str">
        <f t="shared" si="6"/>
        <v/>
      </c>
      <c r="N55" s="68" t="str">
        <f t="shared" si="7"/>
        <v/>
      </c>
      <c r="O55" s="68" t="str">
        <f t="shared" si="8"/>
        <v/>
      </c>
      <c r="P55" s="44"/>
      <c r="Q55" s="44"/>
      <c r="R55" s="44"/>
      <c r="S55" s="44"/>
      <c r="T55" s="44"/>
      <c r="U55" s="68" t="str">
        <f t="shared" si="9"/>
        <v>08/09/2024</v>
      </c>
      <c r="V55" s="68" t="str">
        <f t="shared" si="10"/>
        <v>05:00:00</v>
      </c>
      <c r="W55" s="68" t="str">
        <f t="shared" si="11"/>
        <v>08/09/2024</v>
      </c>
      <c r="X55" s="68" t="str">
        <f t="shared" si="12"/>
        <v>05:00:00</v>
      </c>
      <c r="Y55" s="44"/>
      <c r="Z55" s="44"/>
    </row>
    <row r="56" spans="1:26" x14ac:dyDescent="0.25">
      <c r="A56" s="44"/>
      <c r="B56" s="44"/>
      <c r="C56" s="68" t="str">
        <f t="shared" si="1"/>
        <v>08/01/2025</v>
      </c>
      <c r="D56" s="68" t="str">
        <f t="shared" si="2"/>
        <v>21:10:00</v>
      </c>
      <c r="E56" s="68" t="str">
        <f t="shared" si="3"/>
        <v>08/01/2025</v>
      </c>
      <c r="F56" s="68" t="str">
        <f t="shared" si="4"/>
        <v>21:10:00</v>
      </c>
      <c r="G56" s="44"/>
      <c r="H56" s="44"/>
      <c r="I56" s="44"/>
      <c r="J56" s="44"/>
      <c r="K56" s="44"/>
      <c r="L56" s="68" t="str">
        <f t="shared" si="5"/>
        <v>08/09/2024</v>
      </c>
      <c r="M56" s="68" t="str">
        <f t="shared" si="6"/>
        <v>17:00:00</v>
      </c>
      <c r="N56" s="68" t="str">
        <f t="shared" si="7"/>
        <v/>
      </c>
      <c r="O56" s="68" t="str">
        <f t="shared" si="8"/>
        <v/>
      </c>
      <c r="P56" s="44"/>
      <c r="Q56" s="44"/>
      <c r="R56" s="44"/>
      <c r="S56" s="44"/>
      <c r="T56" s="44"/>
      <c r="U56" s="134"/>
      <c r="V56" s="134"/>
      <c r="W56" s="134"/>
      <c r="X56" s="134"/>
      <c r="Y56" s="44"/>
      <c r="Z56" s="44"/>
    </row>
    <row r="57" spans="1:26" x14ac:dyDescent="0.25">
      <c r="A57" s="44"/>
      <c r="B57" s="44"/>
      <c r="C57" s="68" t="str">
        <f t="shared" si="1"/>
        <v>08/01/2025</v>
      </c>
      <c r="D57" s="68" t="str">
        <f t="shared" si="2"/>
        <v>09:15:00</v>
      </c>
      <c r="E57" s="68" t="str">
        <f t="shared" si="3"/>
        <v/>
      </c>
      <c r="F57" s="68" t="str">
        <f t="shared" si="4"/>
        <v/>
      </c>
      <c r="G57" s="44"/>
      <c r="H57" s="44"/>
      <c r="I57" s="44"/>
      <c r="J57" s="44"/>
      <c r="K57" s="44"/>
      <c r="L57" s="68" t="str">
        <f t="shared" si="5"/>
        <v>08/09/2024</v>
      </c>
      <c r="M57" s="68" t="str">
        <f t="shared" si="6"/>
        <v>17:00:00</v>
      </c>
      <c r="N57" s="68" t="str">
        <f t="shared" si="7"/>
        <v/>
      </c>
      <c r="O57" s="68" t="str">
        <f t="shared" si="8"/>
        <v/>
      </c>
      <c r="P57" s="44"/>
      <c r="Q57" s="44"/>
      <c r="R57" s="44"/>
      <c r="S57" s="44"/>
      <c r="T57" s="44"/>
      <c r="U57" s="134"/>
      <c r="V57" s="134"/>
      <c r="W57" s="134"/>
      <c r="X57" s="134"/>
      <c r="Y57" s="44"/>
      <c r="Z57" s="44"/>
    </row>
    <row r="58" spans="1:26" x14ac:dyDescent="0.25">
      <c r="A58" s="44"/>
      <c r="B58" s="44"/>
      <c r="C58" s="68" t="str">
        <f t="shared" si="1"/>
        <v>08/01/2025</v>
      </c>
      <c r="D58" s="68" t="str">
        <f t="shared" si="2"/>
        <v>12:45:00</v>
      </c>
      <c r="E58" s="68" t="str">
        <f t="shared" si="3"/>
        <v/>
      </c>
      <c r="F58" s="68" t="str">
        <f t="shared" si="4"/>
        <v/>
      </c>
      <c r="G58" s="44"/>
      <c r="H58" s="44"/>
      <c r="I58" s="44"/>
      <c r="J58" s="44"/>
      <c r="K58" s="44"/>
      <c r="L58" s="68" t="str">
        <f t="shared" si="5"/>
        <v>08/09/2024</v>
      </c>
      <c r="M58" s="68" t="str">
        <f t="shared" si="6"/>
        <v>16:55:00</v>
      </c>
      <c r="N58" s="68" t="str">
        <f t="shared" si="7"/>
        <v/>
      </c>
      <c r="O58" s="68" t="str">
        <f t="shared" si="8"/>
        <v/>
      </c>
      <c r="P58" s="44"/>
      <c r="Q58" s="44"/>
      <c r="R58" s="44"/>
      <c r="S58" s="44"/>
      <c r="T58" s="44"/>
      <c r="U58" s="134"/>
      <c r="V58" s="134"/>
      <c r="W58" s="134"/>
      <c r="X58" s="134"/>
      <c r="Y58" s="44"/>
      <c r="Z58" s="44"/>
    </row>
    <row r="59" spans="1:26" x14ac:dyDescent="0.25">
      <c r="A59" s="44"/>
      <c r="B59" s="44"/>
      <c r="C59" s="68" t="str">
        <f t="shared" si="1"/>
        <v>08/01/2025</v>
      </c>
      <c r="D59" s="68" t="str">
        <f t="shared" si="2"/>
        <v>09:15:00</v>
      </c>
      <c r="E59" s="68" t="str">
        <f t="shared" si="3"/>
        <v/>
      </c>
      <c r="F59" s="68" t="str">
        <f t="shared" si="4"/>
        <v/>
      </c>
      <c r="G59" s="44"/>
      <c r="H59" s="44"/>
      <c r="I59" s="44"/>
      <c r="J59" s="44"/>
      <c r="K59" s="44"/>
      <c r="L59" s="134"/>
      <c r="M59" s="134"/>
      <c r="N59" s="134"/>
      <c r="O59" s="134"/>
      <c r="P59" s="44"/>
      <c r="Q59" s="44"/>
      <c r="R59" s="44"/>
      <c r="S59" s="44"/>
      <c r="T59" s="44"/>
      <c r="U59" s="134"/>
      <c r="V59" s="134"/>
      <c r="W59" s="134"/>
      <c r="X59" s="134"/>
      <c r="Y59" s="44"/>
      <c r="Z59" s="44"/>
    </row>
    <row r="60" spans="1:26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</row>
  </sheetData>
  <sheetProtection selectLockedCells="1" selectUnlockedCells="1"/>
  <mergeCells count="3">
    <mergeCell ref="J1:Q1"/>
    <mergeCell ref="S1:Z1"/>
    <mergeCell ref="A1:H1"/>
  </mergeCells>
  <pageMargins left="0.511811024" right="0.511811024" top="0.78740157499999996" bottom="0.78740157499999996" header="0.31496062000000002" footer="0.31496062000000002"/>
  <ignoredErrors>
    <ignoredError sqref="D33:E33 M33:M58 D34:D59 V33:V35 N33:N59 E34:E59 V40 V45 V50 V55 W33:W55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94524-8093-4094-BD8E-7AE08A51505F}">
  <sheetPr codeName="Planilha11">
    <tabColor rgb="FFFFC000"/>
  </sheetPr>
  <dimension ref="A1:I381"/>
  <sheetViews>
    <sheetView showGridLines="0" showRowColHeaders="0" topLeftCell="A185" workbookViewId="0">
      <selection activeCell="F7" sqref="F7:G7"/>
    </sheetView>
  </sheetViews>
  <sheetFormatPr defaultColWidth="0" defaultRowHeight="15" zeroHeight="1" x14ac:dyDescent="0.25"/>
  <cols>
    <col min="1" max="6" width="18.42578125" customWidth="1"/>
    <col min="7" max="7" width="15.28515625" customWidth="1"/>
    <col min="8" max="9" width="6.85546875" customWidth="1"/>
    <col min="10" max="16384" width="9.140625" hidden="1"/>
  </cols>
  <sheetData>
    <row r="1" spans="1:9" x14ac:dyDescent="0.25">
      <c r="A1" s="71"/>
      <c r="B1" s="71"/>
      <c r="C1" s="71"/>
      <c r="D1" s="71"/>
      <c r="E1" s="71"/>
      <c r="F1" s="71"/>
      <c r="G1" s="71" t="s">
        <v>381</v>
      </c>
      <c r="H1" s="71" t="s">
        <v>382</v>
      </c>
      <c r="I1" s="71" t="s">
        <v>365</v>
      </c>
    </row>
    <row r="2" spans="1:9" x14ac:dyDescent="0.25">
      <c r="A2" s="93" t="s">
        <v>436</v>
      </c>
      <c r="B2" s="93" t="s">
        <v>127</v>
      </c>
      <c r="C2" s="93"/>
      <c r="D2" s="93"/>
      <c r="E2" s="93"/>
      <c r="F2" s="93"/>
      <c r="G2" s="93" t="str">
        <f>_xlfn.CONCAT(B2,H2,I2)</f>
        <v>BrecilienB0</v>
      </c>
      <c r="H2" s="94" t="s">
        <v>377</v>
      </c>
      <c r="I2" s="94">
        <v>0</v>
      </c>
    </row>
    <row r="3" spans="1:9" x14ac:dyDescent="0.25">
      <c r="A3" s="93" t="s">
        <v>436</v>
      </c>
      <c r="B3" s="93" t="s">
        <v>128</v>
      </c>
      <c r="C3" s="93">
        <v>61</v>
      </c>
      <c r="D3" s="93" t="s">
        <v>701</v>
      </c>
      <c r="E3" s="93">
        <v>57</v>
      </c>
      <c r="F3" s="93" t="s">
        <v>701</v>
      </c>
      <c r="G3" s="93" t="str">
        <f t="shared" ref="G3:G66" si="0">_xlfn.CONCAT(B3,H3,I3)</f>
        <v>BridgewatchB0</v>
      </c>
      <c r="H3" s="94" t="s">
        <v>377</v>
      </c>
      <c r="I3" s="94">
        <v>0</v>
      </c>
    </row>
    <row r="4" spans="1:9" x14ac:dyDescent="0.25">
      <c r="A4" s="93" t="s">
        <v>436</v>
      </c>
      <c r="B4" s="93" t="s">
        <v>129</v>
      </c>
      <c r="C4" s="93">
        <v>100</v>
      </c>
      <c r="D4" s="93" t="s">
        <v>741</v>
      </c>
      <c r="E4" s="93"/>
      <c r="F4" s="93"/>
      <c r="G4" s="93" t="str">
        <f t="shared" si="0"/>
        <v>CaerleonB0</v>
      </c>
      <c r="H4" s="94" t="s">
        <v>377</v>
      </c>
      <c r="I4" s="94">
        <v>0</v>
      </c>
    </row>
    <row r="5" spans="1:9" x14ac:dyDescent="0.25">
      <c r="A5" s="93" t="s">
        <v>436</v>
      </c>
      <c r="B5" s="93" t="s">
        <v>130</v>
      </c>
      <c r="C5" s="93"/>
      <c r="D5" s="93"/>
      <c r="E5" s="93">
        <v>56</v>
      </c>
      <c r="F5" s="93" t="s">
        <v>788</v>
      </c>
      <c r="G5" s="93" t="str">
        <f t="shared" si="0"/>
        <v>Fort SterlingB0</v>
      </c>
      <c r="H5" s="94" t="s">
        <v>377</v>
      </c>
      <c r="I5" s="94">
        <v>0</v>
      </c>
    </row>
    <row r="6" spans="1:9" x14ac:dyDescent="0.25">
      <c r="A6" s="93" t="s">
        <v>436</v>
      </c>
      <c r="B6" s="93" t="s">
        <v>131</v>
      </c>
      <c r="C6" s="93"/>
      <c r="D6" s="93"/>
      <c r="E6" s="93"/>
      <c r="F6" s="93"/>
      <c r="G6" s="93" t="str">
        <f t="shared" si="0"/>
        <v>LymhurstB0</v>
      </c>
      <c r="H6" s="94" t="s">
        <v>377</v>
      </c>
      <c r="I6" s="94">
        <v>0</v>
      </c>
    </row>
    <row r="7" spans="1:9" x14ac:dyDescent="0.25">
      <c r="A7" s="93" t="s">
        <v>436</v>
      </c>
      <c r="B7" s="93" t="s">
        <v>132</v>
      </c>
      <c r="C7" s="93"/>
      <c r="D7" s="93"/>
      <c r="E7" s="93"/>
      <c r="F7" s="93"/>
      <c r="G7" s="93" t="str">
        <f t="shared" si="0"/>
        <v>MartlockB0</v>
      </c>
      <c r="H7" s="94" t="s">
        <v>377</v>
      </c>
      <c r="I7" s="94">
        <v>0</v>
      </c>
    </row>
    <row r="8" spans="1:9" x14ac:dyDescent="0.25">
      <c r="A8" s="93" t="s">
        <v>436</v>
      </c>
      <c r="B8" s="93" t="s">
        <v>133</v>
      </c>
      <c r="C8" s="93"/>
      <c r="D8" s="93"/>
      <c r="E8" s="93"/>
      <c r="F8" s="93"/>
      <c r="G8" s="93" t="str">
        <f t="shared" si="0"/>
        <v>ThetfordB0</v>
      </c>
      <c r="H8" s="94" t="s">
        <v>377</v>
      </c>
      <c r="I8" s="94">
        <v>0</v>
      </c>
    </row>
    <row r="9" spans="1:9" x14ac:dyDescent="0.25">
      <c r="A9" s="93" t="s">
        <v>144</v>
      </c>
      <c r="B9" s="93" t="s">
        <v>127</v>
      </c>
      <c r="C9" s="93"/>
      <c r="D9" s="93"/>
      <c r="E9" s="93"/>
      <c r="F9" s="93"/>
      <c r="G9" s="93" t="str">
        <f t="shared" si="0"/>
        <v>BrecilienB1</v>
      </c>
      <c r="H9" s="94" t="s">
        <v>377</v>
      </c>
      <c r="I9" s="94">
        <v>1</v>
      </c>
    </row>
    <row r="10" spans="1:9" x14ac:dyDescent="0.25">
      <c r="A10" s="93" t="s">
        <v>144</v>
      </c>
      <c r="B10" s="93" t="s">
        <v>128</v>
      </c>
      <c r="C10" s="93">
        <v>65</v>
      </c>
      <c r="D10" s="93" t="s">
        <v>702</v>
      </c>
      <c r="E10" s="93">
        <v>64</v>
      </c>
      <c r="F10" s="93" t="s">
        <v>702</v>
      </c>
      <c r="G10" s="93" t="str">
        <f t="shared" si="0"/>
        <v>BridgewatchB1</v>
      </c>
      <c r="H10" s="94" t="s">
        <v>377</v>
      </c>
      <c r="I10" s="94">
        <v>1</v>
      </c>
    </row>
    <row r="11" spans="1:9" x14ac:dyDescent="0.25">
      <c r="A11" s="93" t="s">
        <v>144</v>
      </c>
      <c r="B11" s="93" t="s">
        <v>129</v>
      </c>
      <c r="C11" s="93">
        <v>122</v>
      </c>
      <c r="D11" s="93" t="s">
        <v>742</v>
      </c>
      <c r="E11" s="93">
        <v>98</v>
      </c>
      <c r="F11" s="93" t="s">
        <v>742</v>
      </c>
      <c r="G11" s="93" t="str">
        <f t="shared" si="0"/>
        <v>CaerleonB1</v>
      </c>
      <c r="H11" s="94" t="s">
        <v>377</v>
      </c>
      <c r="I11" s="94">
        <v>1</v>
      </c>
    </row>
    <row r="12" spans="1:9" x14ac:dyDescent="0.25">
      <c r="A12" s="93" t="s">
        <v>144</v>
      </c>
      <c r="B12" s="93" t="s">
        <v>130</v>
      </c>
      <c r="C12" s="93"/>
      <c r="D12" s="93"/>
      <c r="E12" s="93">
        <v>57</v>
      </c>
      <c r="F12" s="93" t="s">
        <v>788</v>
      </c>
      <c r="G12" s="93" t="str">
        <f t="shared" si="0"/>
        <v>Fort SterlingB1</v>
      </c>
      <c r="H12" s="94" t="s">
        <v>377</v>
      </c>
      <c r="I12" s="94">
        <v>1</v>
      </c>
    </row>
    <row r="13" spans="1:9" x14ac:dyDescent="0.25">
      <c r="A13" s="93" t="s">
        <v>144</v>
      </c>
      <c r="B13" s="93" t="s">
        <v>131</v>
      </c>
      <c r="C13" s="93">
        <v>67</v>
      </c>
      <c r="D13" s="93" t="s">
        <v>726</v>
      </c>
      <c r="E13" s="93">
        <v>66</v>
      </c>
      <c r="F13" s="93" t="s">
        <v>727</v>
      </c>
      <c r="G13" s="93" t="str">
        <f t="shared" si="0"/>
        <v>LymhurstB1</v>
      </c>
      <c r="H13" s="94" t="s">
        <v>377</v>
      </c>
      <c r="I13" s="94">
        <v>1</v>
      </c>
    </row>
    <row r="14" spans="1:9" x14ac:dyDescent="0.25">
      <c r="A14" s="93" t="s">
        <v>144</v>
      </c>
      <c r="B14" s="93" t="s">
        <v>132</v>
      </c>
      <c r="C14" s="93"/>
      <c r="D14" s="93"/>
      <c r="E14" s="93"/>
      <c r="F14" s="93"/>
      <c r="G14" s="93" t="str">
        <f t="shared" si="0"/>
        <v>MartlockB1</v>
      </c>
      <c r="H14" s="94" t="s">
        <v>377</v>
      </c>
      <c r="I14" s="94">
        <v>1</v>
      </c>
    </row>
    <row r="15" spans="1:9" x14ac:dyDescent="0.25">
      <c r="A15" s="93" t="s">
        <v>144</v>
      </c>
      <c r="B15" s="93" t="s">
        <v>133</v>
      </c>
      <c r="C15" s="93">
        <v>71</v>
      </c>
      <c r="D15" s="93" t="s">
        <v>743</v>
      </c>
      <c r="E15" s="93"/>
      <c r="F15" s="93"/>
      <c r="G15" s="93" t="str">
        <f t="shared" si="0"/>
        <v>ThetfordB1</v>
      </c>
      <c r="H15" s="94" t="s">
        <v>377</v>
      </c>
      <c r="I15" s="94">
        <v>1</v>
      </c>
    </row>
    <row r="16" spans="1:9" x14ac:dyDescent="0.25">
      <c r="A16" s="93" t="s">
        <v>145</v>
      </c>
      <c r="B16" s="93" t="s">
        <v>127</v>
      </c>
      <c r="C16" s="93">
        <v>39</v>
      </c>
      <c r="D16" s="93" t="s">
        <v>744</v>
      </c>
      <c r="E16" s="93"/>
      <c r="F16" s="93"/>
      <c r="G16" s="93" t="str">
        <f t="shared" si="0"/>
        <v>BrecilienB2</v>
      </c>
      <c r="H16" s="94" t="s">
        <v>377</v>
      </c>
      <c r="I16" s="94">
        <v>2</v>
      </c>
    </row>
    <row r="17" spans="1:9" x14ac:dyDescent="0.25">
      <c r="A17" s="93" t="s">
        <v>145</v>
      </c>
      <c r="B17" s="93" t="s">
        <v>128</v>
      </c>
      <c r="C17" s="93">
        <v>45</v>
      </c>
      <c r="D17" s="93" t="s">
        <v>703</v>
      </c>
      <c r="E17" s="93">
        <v>36</v>
      </c>
      <c r="F17" s="93" t="s">
        <v>703</v>
      </c>
      <c r="G17" s="93" t="str">
        <f t="shared" si="0"/>
        <v>BridgewatchB2</v>
      </c>
      <c r="H17" s="94" t="s">
        <v>377</v>
      </c>
      <c r="I17" s="94">
        <v>2</v>
      </c>
    </row>
    <row r="18" spans="1:9" x14ac:dyDescent="0.25">
      <c r="A18" s="93" t="s">
        <v>145</v>
      </c>
      <c r="B18" s="93" t="s">
        <v>129</v>
      </c>
      <c r="C18" s="93">
        <v>56</v>
      </c>
      <c r="D18" s="93" t="s">
        <v>745</v>
      </c>
      <c r="E18" s="93">
        <v>55</v>
      </c>
      <c r="F18" s="93" t="s">
        <v>745</v>
      </c>
      <c r="G18" s="93" t="str">
        <f t="shared" si="0"/>
        <v>CaerleonB2</v>
      </c>
      <c r="H18" s="94" t="s">
        <v>377</v>
      </c>
      <c r="I18" s="94">
        <v>2</v>
      </c>
    </row>
    <row r="19" spans="1:9" x14ac:dyDescent="0.25">
      <c r="A19" s="93" t="s">
        <v>145</v>
      </c>
      <c r="B19" s="93" t="s">
        <v>130</v>
      </c>
      <c r="C19" s="93"/>
      <c r="D19" s="93"/>
      <c r="E19" s="93">
        <v>31</v>
      </c>
      <c r="F19" s="93" t="s">
        <v>788</v>
      </c>
      <c r="G19" s="93" t="str">
        <f t="shared" si="0"/>
        <v>Fort SterlingB2</v>
      </c>
      <c r="H19" s="94" t="s">
        <v>377</v>
      </c>
      <c r="I19" s="94">
        <v>2</v>
      </c>
    </row>
    <row r="20" spans="1:9" x14ac:dyDescent="0.25">
      <c r="A20" s="93" t="s">
        <v>145</v>
      </c>
      <c r="B20" s="93" t="s">
        <v>131</v>
      </c>
      <c r="C20" s="93">
        <v>50</v>
      </c>
      <c r="D20" s="93" t="s">
        <v>728</v>
      </c>
      <c r="E20" s="93">
        <v>38</v>
      </c>
      <c r="F20" s="93" t="s">
        <v>728</v>
      </c>
      <c r="G20" s="93" t="str">
        <f t="shared" si="0"/>
        <v>LymhurstB2</v>
      </c>
      <c r="H20" s="94" t="s">
        <v>377</v>
      </c>
      <c r="I20" s="94">
        <v>2</v>
      </c>
    </row>
    <row r="21" spans="1:9" x14ac:dyDescent="0.25">
      <c r="A21" s="93" t="s">
        <v>145</v>
      </c>
      <c r="B21" s="93" t="s">
        <v>132</v>
      </c>
      <c r="C21" s="93">
        <v>68</v>
      </c>
      <c r="D21" s="93" t="s">
        <v>724</v>
      </c>
      <c r="E21" s="93">
        <v>51</v>
      </c>
      <c r="F21" s="93" t="s">
        <v>746</v>
      </c>
      <c r="G21" s="93" t="str">
        <f t="shared" si="0"/>
        <v>MartlockB2</v>
      </c>
      <c r="H21" s="94" t="s">
        <v>377</v>
      </c>
      <c r="I21" s="94">
        <v>2</v>
      </c>
    </row>
    <row r="22" spans="1:9" x14ac:dyDescent="0.25">
      <c r="A22" s="93" t="s">
        <v>145</v>
      </c>
      <c r="B22" s="93" t="s">
        <v>133</v>
      </c>
      <c r="C22" s="93">
        <v>53</v>
      </c>
      <c r="D22" s="93" t="s">
        <v>743</v>
      </c>
      <c r="E22" s="93">
        <v>35</v>
      </c>
      <c r="F22" s="93" t="s">
        <v>743</v>
      </c>
      <c r="G22" s="93" t="str">
        <f t="shared" si="0"/>
        <v>ThetfordB2</v>
      </c>
      <c r="H22" s="94" t="s">
        <v>377</v>
      </c>
      <c r="I22" s="94">
        <v>2</v>
      </c>
    </row>
    <row r="23" spans="1:9" x14ac:dyDescent="0.25">
      <c r="A23" s="93" t="s">
        <v>146</v>
      </c>
      <c r="B23" s="93" t="s">
        <v>127</v>
      </c>
      <c r="C23" s="93">
        <v>73</v>
      </c>
      <c r="D23" s="93" t="s">
        <v>747</v>
      </c>
      <c r="E23" s="93"/>
      <c r="F23" s="93"/>
      <c r="G23" s="93" t="str">
        <f t="shared" si="0"/>
        <v>BrecilienB3</v>
      </c>
      <c r="H23" s="94" t="s">
        <v>377</v>
      </c>
      <c r="I23" s="94">
        <v>3</v>
      </c>
    </row>
    <row r="24" spans="1:9" x14ac:dyDescent="0.25">
      <c r="A24" s="93" t="s">
        <v>146</v>
      </c>
      <c r="B24" s="93" t="s">
        <v>128</v>
      </c>
      <c r="C24" s="93">
        <v>173</v>
      </c>
      <c r="D24" s="93" t="s">
        <v>703</v>
      </c>
      <c r="E24" s="93">
        <v>1</v>
      </c>
      <c r="F24" s="93" t="s">
        <v>704</v>
      </c>
      <c r="G24" s="93" t="str">
        <f t="shared" si="0"/>
        <v>BridgewatchB3</v>
      </c>
      <c r="H24" s="94" t="s">
        <v>377</v>
      </c>
      <c r="I24" s="94">
        <v>3</v>
      </c>
    </row>
    <row r="25" spans="1:9" x14ac:dyDescent="0.25">
      <c r="A25" s="93" t="s">
        <v>146</v>
      </c>
      <c r="B25" s="93" t="s">
        <v>129</v>
      </c>
      <c r="C25" s="93"/>
      <c r="D25" s="93"/>
      <c r="E25" s="93"/>
      <c r="F25" s="93"/>
      <c r="G25" s="93" t="str">
        <f t="shared" si="0"/>
        <v>CaerleonB3</v>
      </c>
      <c r="H25" s="94" t="s">
        <v>377</v>
      </c>
      <c r="I25" s="94">
        <v>3</v>
      </c>
    </row>
    <row r="26" spans="1:9" x14ac:dyDescent="0.25">
      <c r="A26" s="93" t="s">
        <v>146</v>
      </c>
      <c r="B26" s="93" t="s">
        <v>130</v>
      </c>
      <c r="C26" s="93"/>
      <c r="D26" s="93"/>
      <c r="E26" s="93">
        <v>152</v>
      </c>
      <c r="F26" s="93" t="s">
        <v>789</v>
      </c>
      <c r="G26" s="93" t="str">
        <f t="shared" si="0"/>
        <v>Fort SterlingB3</v>
      </c>
      <c r="H26" s="94" t="s">
        <v>377</v>
      </c>
      <c r="I26" s="94">
        <v>3</v>
      </c>
    </row>
    <row r="27" spans="1:9" x14ac:dyDescent="0.25">
      <c r="A27" s="93" t="s">
        <v>146</v>
      </c>
      <c r="B27" s="93" t="s">
        <v>131</v>
      </c>
      <c r="C27" s="93">
        <v>168</v>
      </c>
      <c r="D27" s="93" t="s">
        <v>728</v>
      </c>
      <c r="E27" s="93">
        <v>166</v>
      </c>
      <c r="F27" s="93" t="s">
        <v>728</v>
      </c>
      <c r="G27" s="93" t="str">
        <f t="shared" si="0"/>
        <v>LymhurstB3</v>
      </c>
      <c r="H27" s="94" t="s">
        <v>377</v>
      </c>
      <c r="I27" s="94">
        <v>3</v>
      </c>
    </row>
    <row r="28" spans="1:9" x14ac:dyDescent="0.25">
      <c r="A28" s="93" t="s">
        <v>146</v>
      </c>
      <c r="B28" s="93" t="s">
        <v>132</v>
      </c>
      <c r="C28" s="93">
        <v>204</v>
      </c>
      <c r="D28" s="93" t="s">
        <v>724</v>
      </c>
      <c r="E28" s="93">
        <v>191</v>
      </c>
      <c r="F28" s="93" t="s">
        <v>748</v>
      </c>
      <c r="G28" s="93" t="str">
        <f t="shared" si="0"/>
        <v>MartlockB3</v>
      </c>
      <c r="H28" s="94" t="s">
        <v>377</v>
      </c>
      <c r="I28" s="94">
        <v>3</v>
      </c>
    </row>
    <row r="29" spans="1:9" x14ac:dyDescent="0.25">
      <c r="A29" s="93" t="s">
        <v>146</v>
      </c>
      <c r="B29" s="93" t="s">
        <v>133</v>
      </c>
      <c r="C29" s="93">
        <v>194</v>
      </c>
      <c r="D29" s="93" t="s">
        <v>743</v>
      </c>
      <c r="E29" s="93">
        <v>179</v>
      </c>
      <c r="F29" s="93" t="s">
        <v>743</v>
      </c>
      <c r="G29" s="93" t="str">
        <f t="shared" si="0"/>
        <v>ThetfordB3</v>
      </c>
      <c r="H29" s="94" t="s">
        <v>377</v>
      </c>
      <c r="I29" s="94">
        <v>3</v>
      </c>
    </row>
    <row r="30" spans="1:9" x14ac:dyDescent="0.25">
      <c r="A30" s="93" t="s">
        <v>147</v>
      </c>
      <c r="B30" s="93" t="s">
        <v>127</v>
      </c>
      <c r="C30" s="93">
        <v>631</v>
      </c>
      <c r="D30" s="93" t="s">
        <v>714</v>
      </c>
      <c r="E30" s="93"/>
      <c r="F30" s="93"/>
      <c r="G30" s="93" t="str">
        <f t="shared" si="0"/>
        <v>BrecilienB4</v>
      </c>
      <c r="H30" s="94" t="s">
        <v>377</v>
      </c>
      <c r="I30" s="94">
        <v>4</v>
      </c>
    </row>
    <row r="31" spans="1:9" x14ac:dyDescent="0.25">
      <c r="A31" s="93" t="s">
        <v>147</v>
      </c>
      <c r="B31" s="93" t="s">
        <v>128</v>
      </c>
      <c r="C31" s="93">
        <v>869</v>
      </c>
      <c r="D31" s="93" t="s">
        <v>705</v>
      </c>
      <c r="E31" s="93">
        <v>868</v>
      </c>
      <c r="F31" s="93" t="s">
        <v>705</v>
      </c>
      <c r="G31" s="93" t="str">
        <f t="shared" si="0"/>
        <v>BridgewatchB4</v>
      </c>
      <c r="H31" s="94" t="s">
        <v>377</v>
      </c>
      <c r="I31" s="94">
        <v>4</v>
      </c>
    </row>
    <row r="32" spans="1:9" x14ac:dyDescent="0.25">
      <c r="A32" s="93" t="s">
        <v>147</v>
      </c>
      <c r="B32" s="93" t="s">
        <v>129</v>
      </c>
      <c r="C32" s="93">
        <v>599</v>
      </c>
      <c r="D32" s="93" t="s">
        <v>749</v>
      </c>
      <c r="E32" s="93">
        <v>505</v>
      </c>
      <c r="F32" s="93" t="s">
        <v>749</v>
      </c>
      <c r="G32" s="93" t="str">
        <f t="shared" si="0"/>
        <v>CaerleonB4</v>
      </c>
      <c r="H32" s="94" t="s">
        <v>377</v>
      </c>
      <c r="I32" s="94">
        <v>4</v>
      </c>
    </row>
    <row r="33" spans="1:9" x14ac:dyDescent="0.25">
      <c r="A33" s="93" t="s">
        <v>147</v>
      </c>
      <c r="B33" s="93" t="s">
        <v>130</v>
      </c>
      <c r="C33" s="93"/>
      <c r="D33" s="93"/>
      <c r="E33" s="93">
        <v>800</v>
      </c>
      <c r="F33" s="93" t="s">
        <v>789</v>
      </c>
      <c r="G33" s="93" t="str">
        <f t="shared" si="0"/>
        <v>Fort SterlingB4</v>
      </c>
      <c r="H33" s="94" t="s">
        <v>377</v>
      </c>
      <c r="I33" s="94">
        <v>4</v>
      </c>
    </row>
    <row r="34" spans="1:9" x14ac:dyDescent="0.25">
      <c r="A34" s="93" t="s">
        <v>147</v>
      </c>
      <c r="B34" s="93" t="s">
        <v>131</v>
      </c>
      <c r="C34" s="93">
        <v>789</v>
      </c>
      <c r="D34" s="93" t="s">
        <v>729</v>
      </c>
      <c r="E34" s="93"/>
      <c r="F34" s="93"/>
      <c r="G34" s="93" t="str">
        <f t="shared" si="0"/>
        <v>LymhurstB4</v>
      </c>
      <c r="H34" s="94" t="s">
        <v>377</v>
      </c>
      <c r="I34" s="94">
        <v>4</v>
      </c>
    </row>
    <row r="35" spans="1:9" x14ac:dyDescent="0.25">
      <c r="A35" s="93" t="s">
        <v>147</v>
      </c>
      <c r="B35" s="93" t="s">
        <v>132</v>
      </c>
      <c r="C35" s="93">
        <v>955</v>
      </c>
      <c r="D35" s="93" t="s">
        <v>750</v>
      </c>
      <c r="E35" s="93">
        <v>954</v>
      </c>
      <c r="F35" s="93" t="s">
        <v>750</v>
      </c>
      <c r="G35" s="93" t="str">
        <f t="shared" si="0"/>
        <v>MartlockB4</v>
      </c>
      <c r="H35" s="94" t="s">
        <v>377</v>
      </c>
      <c r="I35" s="94">
        <v>4</v>
      </c>
    </row>
    <row r="36" spans="1:9" x14ac:dyDescent="0.25">
      <c r="A36" s="93" t="s">
        <v>147</v>
      </c>
      <c r="B36" s="93" t="s">
        <v>133</v>
      </c>
      <c r="C36" s="93">
        <v>724</v>
      </c>
      <c r="D36" s="93" t="s">
        <v>743</v>
      </c>
      <c r="E36" s="93">
        <v>722</v>
      </c>
      <c r="F36" s="93" t="s">
        <v>743</v>
      </c>
      <c r="G36" s="93" t="str">
        <f t="shared" si="0"/>
        <v>ThetfordB4</v>
      </c>
      <c r="H36" s="94" t="s">
        <v>377</v>
      </c>
      <c r="I36" s="94">
        <v>4</v>
      </c>
    </row>
    <row r="37" spans="1:9" x14ac:dyDescent="0.25">
      <c r="A37" s="93" t="s">
        <v>148</v>
      </c>
      <c r="B37" s="93" t="s">
        <v>127</v>
      </c>
      <c r="C37" s="93">
        <v>6289</v>
      </c>
      <c r="D37" s="93" t="s">
        <v>726</v>
      </c>
      <c r="E37" s="93"/>
      <c r="F37" s="93"/>
      <c r="G37" s="93" t="str">
        <f t="shared" si="0"/>
        <v>BrecilienB5</v>
      </c>
      <c r="H37" s="94" t="s">
        <v>377</v>
      </c>
      <c r="I37" s="94">
        <v>5</v>
      </c>
    </row>
    <row r="38" spans="1:9" x14ac:dyDescent="0.25">
      <c r="A38" s="93" t="s">
        <v>148</v>
      </c>
      <c r="B38" s="93" t="s">
        <v>128</v>
      </c>
      <c r="C38" s="93">
        <v>6197</v>
      </c>
      <c r="D38" s="93" t="s">
        <v>703</v>
      </c>
      <c r="E38" s="93">
        <v>6074</v>
      </c>
      <c r="F38" s="93" t="s">
        <v>706</v>
      </c>
      <c r="G38" s="93" t="str">
        <f t="shared" si="0"/>
        <v>BridgewatchB5</v>
      </c>
      <c r="H38" s="94" t="s">
        <v>377</v>
      </c>
      <c r="I38" s="94">
        <v>5</v>
      </c>
    </row>
    <row r="39" spans="1:9" x14ac:dyDescent="0.25">
      <c r="A39" s="93" t="s">
        <v>148</v>
      </c>
      <c r="B39" s="93" t="s">
        <v>129</v>
      </c>
      <c r="C39" s="93">
        <v>6500</v>
      </c>
      <c r="D39" s="93" t="s">
        <v>749</v>
      </c>
      <c r="E39" s="93">
        <v>4534</v>
      </c>
      <c r="F39" s="93" t="s">
        <v>749</v>
      </c>
      <c r="G39" s="93" t="str">
        <f t="shared" si="0"/>
        <v>CaerleonB5</v>
      </c>
      <c r="H39" s="94" t="s">
        <v>377</v>
      </c>
      <c r="I39" s="94">
        <v>5</v>
      </c>
    </row>
    <row r="40" spans="1:9" x14ac:dyDescent="0.25">
      <c r="A40" s="93" t="s">
        <v>148</v>
      </c>
      <c r="B40" s="93" t="s">
        <v>130</v>
      </c>
      <c r="C40" s="93"/>
      <c r="D40" s="93"/>
      <c r="E40" s="93"/>
      <c r="F40" s="93"/>
      <c r="G40" s="93" t="str">
        <f t="shared" si="0"/>
        <v>Fort SterlingB5</v>
      </c>
      <c r="H40" s="94" t="s">
        <v>377</v>
      </c>
      <c r="I40" s="94">
        <v>5</v>
      </c>
    </row>
    <row r="41" spans="1:9" x14ac:dyDescent="0.25">
      <c r="A41" s="93" t="s">
        <v>148</v>
      </c>
      <c r="B41" s="93" t="s">
        <v>131</v>
      </c>
      <c r="C41" s="93">
        <v>6135</v>
      </c>
      <c r="D41" s="93" t="s">
        <v>730</v>
      </c>
      <c r="E41" s="93">
        <v>6016</v>
      </c>
      <c r="F41" s="93" t="s">
        <v>731</v>
      </c>
      <c r="G41" s="93" t="str">
        <f t="shared" si="0"/>
        <v>LymhurstB5</v>
      </c>
      <c r="H41" s="94" t="s">
        <v>377</v>
      </c>
      <c r="I41" s="94">
        <v>5</v>
      </c>
    </row>
    <row r="42" spans="1:9" x14ac:dyDescent="0.25">
      <c r="A42" s="93" t="s">
        <v>148</v>
      </c>
      <c r="B42" s="93" t="s">
        <v>132</v>
      </c>
      <c r="C42" s="93">
        <v>7086</v>
      </c>
      <c r="D42" s="93" t="s">
        <v>750</v>
      </c>
      <c r="E42" s="93">
        <v>6298</v>
      </c>
      <c r="F42" s="93" t="s">
        <v>750</v>
      </c>
      <c r="G42" s="93" t="str">
        <f t="shared" si="0"/>
        <v>MartlockB5</v>
      </c>
      <c r="H42" s="94" t="s">
        <v>377</v>
      </c>
      <c r="I42" s="94">
        <v>5</v>
      </c>
    </row>
    <row r="43" spans="1:9" x14ac:dyDescent="0.25">
      <c r="A43" s="93" t="s">
        <v>148</v>
      </c>
      <c r="B43" s="93" t="s">
        <v>133</v>
      </c>
      <c r="C43" s="93">
        <v>6794</v>
      </c>
      <c r="D43" s="93" t="s">
        <v>701</v>
      </c>
      <c r="E43" s="93"/>
      <c r="F43" s="93"/>
      <c r="G43" s="93" t="str">
        <f t="shared" si="0"/>
        <v>ThetfordB5</v>
      </c>
      <c r="H43" s="94" t="s">
        <v>377</v>
      </c>
      <c r="I43" s="94">
        <v>5</v>
      </c>
    </row>
    <row r="44" spans="1:9" x14ac:dyDescent="0.25">
      <c r="A44" s="93" t="s">
        <v>149</v>
      </c>
      <c r="B44" s="93" t="s">
        <v>127</v>
      </c>
      <c r="C44" s="93"/>
      <c r="D44" s="93"/>
      <c r="E44" s="93"/>
      <c r="F44" s="93"/>
      <c r="G44" s="93" t="str">
        <f t="shared" si="0"/>
        <v>BrecilienB6</v>
      </c>
      <c r="H44" s="94" t="s">
        <v>377</v>
      </c>
      <c r="I44" s="94">
        <v>6</v>
      </c>
    </row>
    <row r="45" spans="1:9" x14ac:dyDescent="0.25">
      <c r="A45" s="93" t="s">
        <v>149</v>
      </c>
      <c r="B45" s="93" t="s">
        <v>128</v>
      </c>
      <c r="C45" s="93">
        <v>34775</v>
      </c>
      <c r="D45" s="93" t="s">
        <v>707</v>
      </c>
      <c r="E45" s="93"/>
      <c r="F45" s="93"/>
      <c r="G45" s="93" t="str">
        <f t="shared" si="0"/>
        <v>BridgewatchB6</v>
      </c>
      <c r="H45" s="94" t="s">
        <v>377</v>
      </c>
      <c r="I45" s="94">
        <v>6</v>
      </c>
    </row>
    <row r="46" spans="1:9" x14ac:dyDescent="0.25">
      <c r="A46" s="93" t="s">
        <v>149</v>
      </c>
      <c r="B46" s="93" t="s">
        <v>129</v>
      </c>
      <c r="C46" s="93">
        <v>36999</v>
      </c>
      <c r="D46" s="93" t="s">
        <v>751</v>
      </c>
      <c r="E46" s="93">
        <v>26000</v>
      </c>
      <c r="F46" s="93" t="s">
        <v>741</v>
      </c>
      <c r="G46" s="93" t="str">
        <f t="shared" si="0"/>
        <v>CaerleonB6</v>
      </c>
      <c r="H46" s="94" t="s">
        <v>377</v>
      </c>
      <c r="I46" s="94">
        <v>6</v>
      </c>
    </row>
    <row r="47" spans="1:9" x14ac:dyDescent="0.25">
      <c r="A47" s="93" t="s">
        <v>149</v>
      </c>
      <c r="B47" s="93" t="s">
        <v>130</v>
      </c>
      <c r="C47" s="93">
        <v>33690</v>
      </c>
      <c r="D47" s="93" t="s">
        <v>752</v>
      </c>
      <c r="E47" s="93"/>
      <c r="F47" s="93"/>
      <c r="G47" s="93" t="str">
        <f t="shared" si="0"/>
        <v>Fort SterlingB6</v>
      </c>
      <c r="H47" s="94" t="s">
        <v>377</v>
      </c>
      <c r="I47" s="94">
        <v>6</v>
      </c>
    </row>
    <row r="48" spans="1:9" x14ac:dyDescent="0.25">
      <c r="A48" s="93" t="s">
        <v>149</v>
      </c>
      <c r="B48" s="93" t="s">
        <v>131</v>
      </c>
      <c r="C48" s="93"/>
      <c r="D48" s="93"/>
      <c r="E48" s="93"/>
      <c r="F48" s="93"/>
      <c r="G48" s="93" t="str">
        <f t="shared" si="0"/>
        <v>LymhurstB6</v>
      </c>
      <c r="H48" s="94" t="s">
        <v>377</v>
      </c>
      <c r="I48" s="94">
        <v>6</v>
      </c>
    </row>
    <row r="49" spans="1:9" x14ac:dyDescent="0.25">
      <c r="A49" s="93" t="s">
        <v>149</v>
      </c>
      <c r="B49" s="93" t="s">
        <v>132</v>
      </c>
      <c r="C49" s="93">
        <v>34729</v>
      </c>
      <c r="D49" s="93" t="s">
        <v>724</v>
      </c>
      <c r="E49" s="93"/>
      <c r="F49" s="93"/>
      <c r="G49" s="93" t="str">
        <f t="shared" si="0"/>
        <v>MartlockB6</v>
      </c>
      <c r="H49" s="94" t="s">
        <v>377</v>
      </c>
      <c r="I49" s="94">
        <v>6</v>
      </c>
    </row>
    <row r="50" spans="1:9" x14ac:dyDescent="0.25">
      <c r="A50" s="93" t="s">
        <v>149</v>
      </c>
      <c r="B50" s="93" t="s">
        <v>133</v>
      </c>
      <c r="C50" s="93"/>
      <c r="D50" s="93"/>
      <c r="E50" s="93"/>
      <c r="F50" s="93"/>
      <c r="G50" s="93" t="str">
        <f t="shared" si="0"/>
        <v>ThetfordB6</v>
      </c>
      <c r="H50" s="94" t="s">
        <v>377</v>
      </c>
      <c r="I50" s="94">
        <v>6</v>
      </c>
    </row>
    <row r="51" spans="1:9" x14ac:dyDescent="0.25">
      <c r="A51" s="93" t="s">
        <v>150</v>
      </c>
      <c r="B51" s="93" t="s">
        <v>127</v>
      </c>
      <c r="C51" s="93">
        <v>349</v>
      </c>
      <c r="D51" s="93" t="s">
        <v>753</v>
      </c>
      <c r="E51" s="93"/>
      <c r="F51" s="93"/>
      <c r="G51" s="93" t="str">
        <f t="shared" si="0"/>
        <v>BrecilienB7</v>
      </c>
      <c r="H51" s="94" t="s">
        <v>377</v>
      </c>
      <c r="I51" s="94">
        <v>7</v>
      </c>
    </row>
    <row r="52" spans="1:9" x14ac:dyDescent="0.25">
      <c r="A52" s="93" t="s">
        <v>150</v>
      </c>
      <c r="B52" s="93" t="s">
        <v>128</v>
      </c>
      <c r="C52" s="93">
        <v>413</v>
      </c>
      <c r="D52" s="93" t="s">
        <v>703</v>
      </c>
      <c r="E52" s="93">
        <v>412</v>
      </c>
      <c r="F52" s="93" t="s">
        <v>703</v>
      </c>
      <c r="G52" s="93" t="str">
        <f t="shared" si="0"/>
        <v>BridgewatchB7</v>
      </c>
      <c r="H52" s="94" t="s">
        <v>377</v>
      </c>
      <c r="I52" s="94">
        <v>7</v>
      </c>
    </row>
    <row r="53" spans="1:9" x14ac:dyDescent="0.25">
      <c r="A53" s="93" t="s">
        <v>150</v>
      </c>
      <c r="B53" s="93" t="s">
        <v>129</v>
      </c>
      <c r="C53" s="93">
        <v>355</v>
      </c>
      <c r="D53" s="93" t="s">
        <v>754</v>
      </c>
      <c r="E53" s="93">
        <v>351</v>
      </c>
      <c r="F53" s="93" t="s">
        <v>754</v>
      </c>
      <c r="G53" s="93" t="str">
        <f t="shared" si="0"/>
        <v>CaerleonB7</v>
      </c>
      <c r="H53" s="94" t="s">
        <v>377</v>
      </c>
      <c r="I53" s="94">
        <v>7</v>
      </c>
    </row>
    <row r="54" spans="1:9" x14ac:dyDescent="0.25">
      <c r="A54" s="93" t="s">
        <v>150</v>
      </c>
      <c r="B54" s="93" t="s">
        <v>130</v>
      </c>
      <c r="C54" s="93"/>
      <c r="D54" s="93"/>
      <c r="E54" s="93">
        <v>402</v>
      </c>
      <c r="F54" s="93" t="s">
        <v>789</v>
      </c>
      <c r="G54" s="93" t="str">
        <f t="shared" si="0"/>
        <v>Fort SterlingB7</v>
      </c>
      <c r="H54" s="94" t="s">
        <v>377</v>
      </c>
      <c r="I54" s="94">
        <v>7</v>
      </c>
    </row>
    <row r="55" spans="1:9" x14ac:dyDescent="0.25">
      <c r="A55" s="93" t="s">
        <v>150</v>
      </c>
      <c r="B55" s="93" t="s">
        <v>131</v>
      </c>
      <c r="C55" s="93">
        <v>415</v>
      </c>
      <c r="D55" s="93" t="s">
        <v>732</v>
      </c>
      <c r="E55" s="93">
        <v>414</v>
      </c>
      <c r="F55" s="93" t="s">
        <v>732</v>
      </c>
      <c r="G55" s="93" t="str">
        <f t="shared" si="0"/>
        <v>LymhurstB7</v>
      </c>
      <c r="H55" s="94" t="s">
        <v>377</v>
      </c>
      <c r="I55" s="94">
        <v>7</v>
      </c>
    </row>
    <row r="56" spans="1:9" x14ac:dyDescent="0.25">
      <c r="A56" s="93" t="s">
        <v>150</v>
      </c>
      <c r="B56" s="93" t="s">
        <v>132</v>
      </c>
      <c r="C56" s="93">
        <v>441</v>
      </c>
      <c r="D56" s="93" t="s">
        <v>724</v>
      </c>
      <c r="E56" s="93"/>
      <c r="F56" s="93"/>
      <c r="G56" s="93" t="str">
        <f t="shared" si="0"/>
        <v>MartlockB7</v>
      </c>
      <c r="H56" s="94" t="s">
        <v>377</v>
      </c>
      <c r="I56" s="94">
        <v>7</v>
      </c>
    </row>
    <row r="57" spans="1:9" x14ac:dyDescent="0.25">
      <c r="A57" s="93" t="s">
        <v>150</v>
      </c>
      <c r="B57" s="93" t="s">
        <v>133</v>
      </c>
      <c r="C57" s="93">
        <v>439</v>
      </c>
      <c r="D57" s="93" t="s">
        <v>755</v>
      </c>
      <c r="E57" s="93">
        <v>409</v>
      </c>
      <c r="F57" s="93" t="s">
        <v>743</v>
      </c>
      <c r="G57" s="93" t="str">
        <f t="shared" si="0"/>
        <v>ThetfordB7</v>
      </c>
      <c r="H57" s="94" t="s">
        <v>377</v>
      </c>
      <c r="I57" s="94">
        <v>7</v>
      </c>
    </row>
    <row r="58" spans="1:9" x14ac:dyDescent="0.25">
      <c r="A58" s="93" t="s">
        <v>151</v>
      </c>
      <c r="B58" s="93" t="s">
        <v>127</v>
      </c>
      <c r="C58" s="93">
        <v>478</v>
      </c>
      <c r="D58" s="93" t="s">
        <v>753</v>
      </c>
      <c r="E58" s="93"/>
      <c r="F58" s="93"/>
      <c r="G58" s="93" t="str">
        <f t="shared" si="0"/>
        <v>BrecilienB8</v>
      </c>
      <c r="H58" s="94" t="s">
        <v>377</v>
      </c>
      <c r="I58" s="94">
        <v>8</v>
      </c>
    </row>
    <row r="59" spans="1:9" x14ac:dyDescent="0.25">
      <c r="A59" s="93" t="s">
        <v>151</v>
      </c>
      <c r="B59" s="93" t="s">
        <v>128</v>
      </c>
      <c r="C59" s="93">
        <v>636</v>
      </c>
      <c r="D59" s="93" t="s">
        <v>703</v>
      </c>
      <c r="E59" s="93">
        <v>635</v>
      </c>
      <c r="F59" s="93" t="s">
        <v>703</v>
      </c>
      <c r="G59" s="93" t="str">
        <f t="shared" si="0"/>
        <v>BridgewatchB8</v>
      </c>
      <c r="H59" s="94" t="s">
        <v>377</v>
      </c>
      <c r="I59" s="94">
        <v>8</v>
      </c>
    </row>
    <row r="60" spans="1:9" x14ac:dyDescent="0.25">
      <c r="A60" s="93" t="s">
        <v>151</v>
      </c>
      <c r="B60" s="93" t="s">
        <v>129</v>
      </c>
      <c r="C60" s="93">
        <v>486</v>
      </c>
      <c r="D60" s="93" t="s">
        <v>749</v>
      </c>
      <c r="E60" s="93">
        <v>464</v>
      </c>
      <c r="F60" s="93" t="s">
        <v>749</v>
      </c>
      <c r="G60" s="93" t="str">
        <f t="shared" si="0"/>
        <v>CaerleonB8</v>
      </c>
      <c r="H60" s="94" t="s">
        <v>377</v>
      </c>
      <c r="I60" s="94">
        <v>8</v>
      </c>
    </row>
    <row r="61" spans="1:9" x14ac:dyDescent="0.25">
      <c r="A61" s="93" t="s">
        <v>151</v>
      </c>
      <c r="B61" s="93" t="s">
        <v>130</v>
      </c>
      <c r="C61" s="93"/>
      <c r="D61" s="93"/>
      <c r="E61" s="93"/>
      <c r="F61" s="93"/>
      <c r="G61" s="93" t="str">
        <f t="shared" si="0"/>
        <v>Fort SterlingB8</v>
      </c>
      <c r="H61" s="94" t="s">
        <v>377</v>
      </c>
      <c r="I61" s="94">
        <v>8</v>
      </c>
    </row>
    <row r="62" spans="1:9" x14ac:dyDescent="0.25">
      <c r="A62" s="93" t="s">
        <v>151</v>
      </c>
      <c r="B62" s="93" t="s">
        <v>131</v>
      </c>
      <c r="C62" s="93">
        <v>655</v>
      </c>
      <c r="D62" s="93" t="s">
        <v>790</v>
      </c>
      <c r="E62" s="93">
        <v>649</v>
      </c>
      <c r="F62" s="93" t="s">
        <v>790</v>
      </c>
      <c r="G62" s="93" t="str">
        <f t="shared" si="0"/>
        <v>LymhurstB8</v>
      </c>
      <c r="H62" s="94" t="s">
        <v>377</v>
      </c>
      <c r="I62" s="94">
        <v>8</v>
      </c>
    </row>
    <row r="63" spans="1:9" x14ac:dyDescent="0.25">
      <c r="A63" s="93" t="s">
        <v>151</v>
      </c>
      <c r="B63" s="93" t="s">
        <v>132</v>
      </c>
      <c r="C63" s="93">
        <v>640</v>
      </c>
      <c r="D63" s="93" t="s">
        <v>750</v>
      </c>
      <c r="E63" s="93">
        <v>639</v>
      </c>
      <c r="F63" s="93" t="s">
        <v>750</v>
      </c>
      <c r="G63" s="93" t="str">
        <f t="shared" si="0"/>
        <v>MartlockB8</v>
      </c>
      <c r="H63" s="94" t="s">
        <v>377</v>
      </c>
      <c r="I63" s="94">
        <v>8</v>
      </c>
    </row>
    <row r="64" spans="1:9" x14ac:dyDescent="0.25">
      <c r="A64" s="93" t="s">
        <v>151</v>
      </c>
      <c r="B64" s="93" t="s">
        <v>133</v>
      </c>
      <c r="C64" s="93">
        <v>651</v>
      </c>
      <c r="D64" s="93" t="s">
        <v>750</v>
      </c>
      <c r="E64" s="93"/>
      <c r="F64" s="93"/>
      <c r="G64" s="93" t="str">
        <f t="shared" si="0"/>
        <v>ThetfordB8</v>
      </c>
      <c r="H64" s="94" t="s">
        <v>377</v>
      </c>
      <c r="I64" s="94">
        <v>8</v>
      </c>
    </row>
    <row r="65" spans="1:9" x14ac:dyDescent="0.25">
      <c r="A65" s="93" t="s">
        <v>152</v>
      </c>
      <c r="B65" s="93" t="s">
        <v>127</v>
      </c>
      <c r="C65" s="93">
        <v>2709</v>
      </c>
      <c r="D65" s="93" t="s">
        <v>753</v>
      </c>
      <c r="E65" s="93"/>
      <c r="F65" s="93"/>
      <c r="G65" s="93" t="str">
        <f t="shared" si="0"/>
        <v>BrecilienB9</v>
      </c>
      <c r="H65" s="94" t="s">
        <v>377</v>
      </c>
      <c r="I65" s="94">
        <v>9</v>
      </c>
    </row>
    <row r="66" spans="1:9" x14ac:dyDescent="0.25">
      <c r="A66" s="93" t="s">
        <v>152</v>
      </c>
      <c r="B66" s="93" t="s">
        <v>128</v>
      </c>
      <c r="C66" s="93">
        <v>3009</v>
      </c>
      <c r="D66" s="93" t="s">
        <v>702</v>
      </c>
      <c r="E66" s="93">
        <v>3008</v>
      </c>
      <c r="F66" s="93" t="s">
        <v>702</v>
      </c>
      <c r="G66" s="93" t="str">
        <f t="shared" si="0"/>
        <v>BridgewatchB9</v>
      </c>
      <c r="H66" s="94" t="s">
        <v>377</v>
      </c>
      <c r="I66" s="94">
        <v>9</v>
      </c>
    </row>
    <row r="67" spans="1:9" x14ac:dyDescent="0.25">
      <c r="A67" s="93" t="s">
        <v>152</v>
      </c>
      <c r="B67" s="93" t="s">
        <v>129</v>
      </c>
      <c r="C67" s="93">
        <v>2486</v>
      </c>
      <c r="D67" s="93" t="s">
        <v>749</v>
      </c>
      <c r="E67" s="93">
        <v>2259</v>
      </c>
      <c r="F67" s="93" t="s">
        <v>749</v>
      </c>
      <c r="G67" s="93" t="str">
        <f t="shared" ref="G67:G130" si="1">_xlfn.CONCAT(B67,H67,I67)</f>
        <v>CaerleonB9</v>
      </c>
      <c r="H67" s="94" t="s">
        <v>377</v>
      </c>
      <c r="I67" s="94">
        <v>9</v>
      </c>
    </row>
    <row r="68" spans="1:9" x14ac:dyDescent="0.25">
      <c r="A68" s="93" t="s">
        <v>152</v>
      </c>
      <c r="B68" s="93" t="s">
        <v>130</v>
      </c>
      <c r="C68" s="93"/>
      <c r="D68" s="93"/>
      <c r="E68" s="93"/>
      <c r="F68" s="93"/>
      <c r="G68" s="93" t="str">
        <f t="shared" si="1"/>
        <v>Fort SterlingB9</v>
      </c>
      <c r="H68" s="94" t="s">
        <v>377</v>
      </c>
      <c r="I68" s="94">
        <v>9</v>
      </c>
    </row>
    <row r="69" spans="1:9" x14ac:dyDescent="0.25">
      <c r="A69" s="93" t="s">
        <v>152</v>
      </c>
      <c r="B69" s="93" t="s">
        <v>131</v>
      </c>
      <c r="C69" s="93"/>
      <c r="D69" s="93"/>
      <c r="E69" s="93"/>
      <c r="F69" s="93"/>
      <c r="G69" s="93" t="str">
        <f t="shared" si="1"/>
        <v>LymhurstB9</v>
      </c>
      <c r="H69" s="94" t="s">
        <v>377</v>
      </c>
      <c r="I69" s="94">
        <v>9</v>
      </c>
    </row>
    <row r="70" spans="1:9" x14ac:dyDescent="0.25">
      <c r="A70" s="93" t="s">
        <v>152</v>
      </c>
      <c r="B70" s="93" t="s">
        <v>132</v>
      </c>
      <c r="C70" s="93">
        <v>3101</v>
      </c>
      <c r="D70" s="93" t="s">
        <v>750</v>
      </c>
      <c r="E70" s="93">
        <v>3001</v>
      </c>
      <c r="F70" s="93" t="s">
        <v>750</v>
      </c>
      <c r="G70" s="93" t="str">
        <f t="shared" si="1"/>
        <v>MartlockB9</v>
      </c>
      <c r="H70" s="94" t="s">
        <v>377</v>
      </c>
      <c r="I70" s="94">
        <v>9</v>
      </c>
    </row>
    <row r="71" spans="1:9" x14ac:dyDescent="0.25">
      <c r="A71" s="93" t="s">
        <v>152</v>
      </c>
      <c r="B71" s="93" t="s">
        <v>133</v>
      </c>
      <c r="C71" s="93"/>
      <c r="D71" s="93"/>
      <c r="E71" s="93"/>
      <c r="F71" s="93"/>
      <c r="G71" s="93" t="str">
        <f t="shared" si="1"/>
        <v>ThetfordB9</v>
      </c>
      <c r="H71" s="94" t="s">
        <v>377</v>
      </c>
      <c r="I71" s="94">
        <v>9</v>
      </c>
    </row>
    <row r="72" spans="1:9" x14ac:dyDescent="0.25">
      <c r="A72" s="93" t="s">
        <v>153</v>
      </c>
      <c r="B72" s="93" t="s">
        <v>127</v>
      </c>
      <c r="C72" s="93"/>
      <c r="D72" s="93"/>
      <c r="E72" s="93"/>
      <c r="F72" s="93"/>
      <c r="G72" s="93" t="str">
        <f t="shared" si="1"/>
        <v>BrecilienB10</v>
      </c>
      <c r="H72" s="94" t="s">
        <v>377</v>
      </c>
      <c r="I72" s="94">
        <v>10</v>
      </c>
    </row>
    <row r="73" spans="1:9" x14ac:dyDescent="0.25">
      <c r="A73" s="93" t="s">
        <v>153</v>
      </c>
      <c r="B73" s="93" t="s">
        <v>128</v>
      </c>
      <c r="C73" s="93"/>
      <c r="D73" s="93"/>
      <c r="E73" s="93">
        <v>1</v>
      </c>
      <c r="F73" s="93" t="s">
        <v>704</v>
      </c>
      <c r="G73" s="93" t="str">
        <f t="shared" si="1"/>
        <v>BridgewatchB10</v>
      </c>
      <c r="H73" s="94" t="s">
        <v>377</v>
      </c>
      <c r="I73" s="94">
        <v>10</v>
      </c>
    </row>
    <row r="74" spans="1:9" x14ac:dyDescent="0.25">
      <c r="A74" s="93" t="s">
        <v>153</v>
      </c>
      <c r="B74" s="93" t="s">
        <v>129</v>
      </c>
      <c r="C74" s="93">
        <v>9399</v>
      </c>
      <c r="D74" s="93" t="s">
        <v>749</v>
      </c>
      <c r="E74" s="93">
        <v>8879</v>
      </c>
      <c r="F74" s="93" t="s">
        <v>749</v>
      </c>
      <c r="G74" s="93" t="str">
        <f t="shared" si="1"/>
        <v>CaerleonB10</v>
      </c>
      <c r="H74" s="94" t="s">
        <v>377</v>
      </c>
      <c r="I74" s="94">
        <v>10</v>
      </c>
    </row>
    <row r="75" spans="1:9" x14ac:dyDescent="0.25">
      <c r="A75" s="93" t="s">
        <v>153</v>
      </c>
      <c r="B75" s="93" t="s">
        <v>130</v>
      </c>
      <c r="C75" s="93"/>
      <c r="D75" s="93"/>
      <c r="E75" s="93">
        <v>10313</v>
      </c>
      <c r="F75" s="93" t="s">
        <v>756</v>
      </c>
      <c r="G75" s="93" t="str">
        <f t="shared" si="1"/>
        <v>Fort SterlingB10</v>
      </c>
      <c r="H75" s="94" t="s">
        <v>377</v>
      </c>
      <c r="I75" s="94">
        <v>10</v>
      </c>
    </row>
    <row r="76" spans="1:9" x14ac:dyDescent="0.25">
      <c r="A76" s="93" t="s">
        <v>153</v>
      </c>
      <c r="B76" s="93" t="s">
        <v>131</v>
      </c>
      <c r="C76" s="93"/>
      <c r="D76" s="93"/>
      <c r="E76" s="93"/>
      <c r="F76" s="93"/>
      <c r="G76" s="93" t="str">
        <f t="shared" si="1"/>
        <v>LymhurstB10</v>
      </c>
      <c r="H76" s="94" t="s">
        <v>377</v>
      </c>
      <c r="I76" s="94">
        <v>10</v>
      </c>
    </row>
    <row r="77" spans="1:9" x14ac:dyDescent="0.25">
      <c r="A77" s="93" t="s">
        <v>153</v>
      </c>
      <c r="B77" s="93" t="s">
        <v>132</v>
      </c>
      <c r="C77" s="93">
        <v>10989</v>
      </c>
      <c r="D77" s="93" t="s">
        <v>750</v>
      </c>
      <c r="E77" s="93">
        <v>10960</v>
      </c>
      <c r="F77" s="93" t="s">
        <v>750</v>
      </c>
      <c r="G77" s="93" t="str">
        <f t="shared" si="1"/>
        <v>MartlockB10</v>
      </c>
      <c r="H77" s="94" t="s">
        <v>377</v>
      </c>
      <c r="I77" s="94">
        <v>10</v>
      </c>
    </row>
    <row r="78" spans="1:9" x14ac:dyDescent="0.25">
      <c r="A78" s="93" t="s">
        <v>153</v>
      </c>
      <c r="B78" s="93" t="s">
        <v>133</v>
      </c>
      <c r="C78" s="93">
        <v>10896</v>
      </c>
      <c r="D78" s="93" t="s">
        <v>701</v>
      </c>
      <c r="E78" s="93"/>
      <c r="F78" s="93"/>
      <c r="G78" s="93" t="str">
        <f t="shared" si="1"/>
        <v>ThetfordB10</v>
      </c>
      <c r="H78" s="94" t="s">
        <v>377</v>
      </c>
      <c r="I78" s="94">
        <v>10</v>
      </c>
    </row>
    <row r="79" spans="1:9" x14ac:dyDescent="0.25">
      <c r="A79" s="93" t="s">
        <v>154</v>
      </c>
      <c r="B79" s="93" t="s">
        <v>127</v>
      </c>
      <c r="C79" s="93"/>
      <c r="D79" s="93"/>
      <c r="E79" s="93"/>
      <c r="F79" s="93"/>
      <c r="G79" s="93" t="str">
        <f t="shared" si="1"/>
        <v>BrecilienB11</v>
      </c>
      <c r="H79" s="94" t="s">
        <v>377</v>
      </c>
      <c r="I79" s="94">
        <v>11</v>
      </c>
    </row>
    <row r="80" spans="1:9" x14ac:dyDescent="0.25">
      <c r="A80" s="93" t="s">
        <v>154</v>
      </c>
      <c r="B80" s="93" t="s">
        <v>128</v>
      </c>
      <c r="C80" s="93"/>
      <c r="D80" s="93"/>
      <c r="E80" s="93"/>
      <c r="F80" s="93"/>
      <c r="G80" s="93" t="str">
        <f t="shared" si="1"/>
        <v>BridgewatchB11</v>
      </c>
      <c r="H80" s="94" t="s">
        <v>377</v>
      </c>
      <c r="I80" s="94">
        <v>11</v>
      </c>
    </row>
    <row r="81" spans="1:9" x14ac:dyDescent="0.25">
      <c r="A81" s="93" t="s">
        <v>154</v>
      </c>
      <c r="B81" s="93" t="s">
        <v>129</v>
      </c>
      <c r="C81" s="93">
        <v>46999</v>
      </c>
      <c r="D81" s="93" t="s">
        <v>701</v>
      </c>
      <c r="E81" s="93"/>
      <c r="F81" s="93"/>
      <c r="G81" s="93" t="str">
        <f t="shared" si="1"/>
        <v>CaerleonB11</v>
      </c>
      <c r="H81" s="94" t="s">
        <v>377</v>
      </c>
      <c r="I81" s="94">
        <v>11</v>
      </c>
    </row>
    <row r="82" spans="1:9" x14ac:dyDescent="0.25">
      <c r="A82" s="93" t="s">
        <v>154</v>
      </c>
      <c r="B82" s="93" t="s">
        <v>130</v>
      </c>
      <c r="C82" s="93">
        <v>44984</v>
      </c>
      <c r="D82" s="93" t="s">
        <v>757</v>
      </c>
      <c r="E82" s="93"/>
      <c r="F82" s="93"/>
      <c r="G82" s="93" t="str">
        <f t="shared" si="1"/>
        <v>Fort SterlingB11</v>
      </c>
      <c r="H82" s="94" t="s">
        <v>377</v>
      </c>
      <c r="I82" s="94">
        <v>11</v>
      </c>
    </row>
    <row r="83" spans="1:9" x14ac:dyDescent="0.25">
      <c r="A83" s="93" t="s">
        <v>154</v>
      </c>
      <c r="B83" s="93" t="s">
        <v>131</v>
      </c>
      <c r="C83" s="93"/>
      <c r="D83" s="93"/>
      <c r="E83" s="93"/>
      <c r="F83" s="93"/>
      <c r="G83" s="93" t="str">
        <f t="shared" si="1"/>
        <v>LymhurstB11</v>
      </c>
      <c r="H83" s="94" t="s">
        <v>377</v>
      </c>
      <c r="I83" s="94">
        <v>11</v>
      </c>
    </row>
    <row r="84" spans="1:9" x14ac:dyDescent="0.25">
      <c r="A84" s="93" t="s">
        <v>154</v>
      </c>
      <c r="B84" s="93" t="s">
        <v>132</v>
      </c>
      <c r="C84" s="93">
        <v>42204</v>
      </c>
      <c r="D84" s="93" t="s">
        <v>724</v>
      </c>
      <c r="E84" s="93"/>
      <c r="F84" s="93"/>
      <c r="G84" s="93" t="str">
        <f t="shared" si="1"/>
        <v>MartlockB11</v>
      </c>
      <c r="H84" s="94" t="s">
        <v>377</v>
      </c>
      <c r="I84" s="94">
        <v>11</v>
      </c>
    </row>
    <row r="85" spans="1:9" x14ac:dyDescent="0.25">
      <c r="A85" s="93" t="s">
        <v>154</v>
      </c>
      <c r="B85" s="93" t="s">
        <v>133</v>
      </c>
      <c r="C85" s="93"/>
      <c r="D85" s="93"/>
      <c r="E85" s="93"/>
      <c r="F85" s="93"/>
      <c r="G85" s="93" t="str">
        <f t="shared" si="1"/>
        <v>ThetfordB11</v>
      </c>
      <c r="H85" s="94" t="s">
        <v>377</v>
      </c>
      <c r="I85" s="94">
        <v>11</v>
      </c>
    </row>
    <row r="86" spans="1:9" x14ac:dyDescent="0.25">
      <c r="A86" s="93" t="s">
        <v>155</v>
      </c>
      <c r="B86" s="93" t="s">
        <v>127</v>
      </c>
      <c r="C86" s="93">
        <v>1303</v>
      </c>
      <c r="D86" s="93" t="s">
        <v>753</v>
      </c>
      <c r="E86" s="93"/>
      <c r="F86" s="93"/>
      <c r="G86" s="93" t="str">
        <f t="shared" si="1"/>
        <v>BrecilienB12</v>
      </c>
      <c r="H86" s="94" t="s">
        <v>377</v>
      </c>
      <c r="I86" s="94">
        <v>12</v>
      </c>
    </row>
    <row r="87" spans="1:9" x14ac:dyDescent="0.25">
      <c r="A87" s="93" t="s">
        <v>155</v>
      </c>
      <c r="B87" s="93" t="s">
        <v>128</v>
      </c>
      <c r="C87" s="93">
        <v>1352</v>
      </c>
      <c r="D87" s="93" t="s">
        <v>702</v>
      </c>
      <c r="E87" s="93">
        <v>1351</v>
      </c>
      <c r="F87" s="93" t="s">
        <v>702</v>
      </c>
      <c r="G87" s="93" t="str">
        <f t="shared" si="1"/>
        <v>BridgewatchB12</v>
      </c>
      <c r="H87" s="94" t="s">
        <v>377</v>
      </c>
      <c r="I87" s="94">
        <v>12</v>
      </c>
    </row>
    <row r="88" spans="1:9" x14ac:dyDescent="0.25">
      <c r="A88" s="93" t="s">
        <v>155</v>
      </c>
      <c r="B88" s="93" t="s">
        <v>129</v>
      </c>
      <c r="C88" s="93">
        <v>1295</v>
      </c>
      <c r="D88" s="93" t="s">
        <v>749</v>
      </c>
      <c r="E88" s="93">
        <v>1250</v>
      </c>
      <c r="F88" s="93" t="s">
        <v>749</v>
      </c>
      <c r="G88" s="93" t="str">
        <f t="shared" si="1"/>
        <v>CaerleonB12</v>
      </c>
      <c r="H88" s="94" t="s">
        <v>377</v>
      </c>
      <c r="I88" s="94">
        <v>12</v>
      </c>
    </row>
    <row r="89" spans="1:9" x14ac:dyDescent="0.25">
      <c r="A89" s="93" t="s">
        <v>155</v>
      </c>
      <c r="B89" s="93" t="s">
        <v>130</v>
      </c>
      <c r="C89" s="93"/>
      <c r="D89" s="93"/>
      <c r="E89" s="93"/>
      <c r="F89" s="93"/>
      <c r="G89" s="93" t="str">
        <f t="shared" si="1"/>
        <v>Fort SterlingB12</v>
      </c>
      <c r="H89" s="94" t="s">
        <v>377</v>
      </c>
      <c r="I89" s="94">
        <v>12</v>
      </c>
    </row>
    <row r="90" spans="1:9" x14ac:dyDescent="0.25">
      <c r="A90" s="93" t="s">
        <v>155</v>
      </c>
      <c r="B90" s="93" t="s">
        <v>131</v>
      </c>
      <c r="C90" s="93">
        <v>1388</v>
      </c>
      <c r="D90" s="93" t="s">
        <v>732</v>
      </c>
      <c r="E90" s="93">
        <v>1351</v>
      </c>
      <c r="F90" s="93" t="s">
        <v>732</v>
      </c>
      <c r="G90" s="93" t="str">
        <f t="shared" si="1"/>
        <v>LymhurstB12</v>
      </c>
      <c r="H90" s="94" t="s">
        <v>377</v>
      </c>
      <c r="I90" s="94">
        <v>12</v>
      </c>
    </row>
    <row r="91" spans="1:9" x14ac:dyDescent="0.25">
      <c r="A91" s="93" t="s">
        <v>155</v>
      </c>
      <c r="B91" s="93" t="s">
        <v>132</v>
      </c>
      <c r="C91" s="93">
        <v>1445</v>
      </c>
      <c r="D91" s="93" t="s">
        <v>728</v>
      </c>
      <c r="E91" s="93">
        <v>1358</v>
      </c>
      <c r="F91" s="93" t="s">
        <v>750</v>
      </c>
      <c r="G91" s="93" t="str">
        <f t="shared" si="1"/>
        <v>MartlockB12</v>
      </c>
      <c r="H91" s="94" t="s">
        <v>377</v>
      </c>
      <c r="I91" s="94">
        <v>12</v>
      </c>
    </row>
    <row r="92" spans="1:9" x14ac:dyDescent="0.25">
      <c r="A92" s="93" t="s">
        <v>155</v>
      </c>
      <c r="B92" s="93" t="s">
        <v>133</v>
      </c>
      <c r="C92" s="93">
        <v>1334</v>
      </c>
      <c r="D92" s="93" t="s">
        <v>750</v>
      </c>
      <c r="E92" s="93">
        <v>1311</v>
      </c>
      <c r="F92" s="93" t="s">
        <v>743</v>
      </c>
      <c r="G92" s="93" t="str">
        <f t="shared" si="1"/>
        <v>ThetfordB12</v>
      </c>
      <c r="H92" s="94" t="s">
        <v>377</v>
      </c>
      <c r="I92" s="94">
        <v>12</v>
      </c>
    </row>
    <row r="93" spans="1:9" x14ac:dyDescent="0.25">
      <c r="A93" s="93" t="s">
        <v>156</v>
      </c>
      <c r="B93" s="93" t="s">
        <v>127</v>
      </c>
      <c r="C93" s="93">
        <v>2470</v>
      </c>
      <c r="D93" s="93" t="s">
        <v>753</v>
      </c>
      <c r="E93" s="93"/>
      <c r="F93" s="93"/>
      <c r="G93" s="93" t="str">
        <f t="shared" si="1"/>
        <v>BrecilienB13</v>
      </c>
      <c r="H93" s="94" t="s">
        <v>377</v>
      </c>
      <c r="I93" s="94">
        <v>13</v>
      </c>
    </row>
    <row r="94" spans="1:9" x14ac:dyDescent="0.25">
      <c r="A94" s="93" t="s">
        <v>156</v>
      </c>
      <c r="B94" s="93" t="s">
        <v>128</v>
      </c>
      <c r="C94" s="93">
        <v>3271</v>
      </c>
      <c r="D94" s="93" t="s">
        <v>708</v>
      </c>
      <c r="E94" s="93">
        <v>3227</v>
      </c>
      <c r="F94" s="93" t="s">
        <v>709</v>
      </c>
      <c r="G94" s="93" t="str">
        <f t="shared" si="1"/>
        <v>BridgewatchB13</v>
      </c>
      <c r="H94" s="94" t="s">
        <v>377</v>
      </c>
      <c r="I94" s="94">
        <v>13</v>
      </c>
    </row>
    <row r="95" spans="1:9" x14ac:dyDescent="0.25">
      <c r="A95" s="93" t="s">
        <v>156</v>
      </c>
      <c r="B95" s="93" t="s">
        <v>129</v>
      </c>
      <c r="C95" s="93">
        <v>12789</v>
      </c>
      <c r="D95" s="93" t="s">
        <v>749</v>
      </c>
      <c r="E95" s="93">
        <v>1973</v>
      </c>
      <c r="F95" s="93" t="s">
        <v>749</v>
      </c>
      <c r="G95" s="93" t="str">
        <f t="shared" si="1"/>
        <v>CaerleonB13</v>
      </c>
      <c r="H95" s="94" t="s">
        <v>377</v>
      </c>
      <c r="I95" s="94">
        <v>13</v>
      </c>
    </row>
    <row r="96" spans="1:9" x14ac:dyDescent="0.25">
      <c r="A96" s="93" t="s">
        <v>156</v>
      </c>
      <c r="B96" s="93" t="s">
        <v>130</v>
      </c>
      <c r="C96" s="93"/>
      <c r="D96" s="93"/>
      <c r="E96" s="93"/>
      <c r="F96" s="93"/>
      <c r="G96" s="93" t="str">
        <f t="shared" si="1"/>
        <v>Fort SterlingB13</v>
      </c>
      <c r="H96" s="94" t="s">
        <v>377</v>
      </c>
      <c r="I96" s="94">
        <v>13</v>
      </c>
    </row>
    <row r="97" spans="1:9" x14ac:dyDescent="0.25">
      <c r="A97" s="93" t="s">
        <v>156</v>
      </c>
      <c r="B97" s="93" t="s">
        <v>131</v>
      </c>
      <c r="C97" s="93"/>
      <c r="D97" s="93"/>
      <c r="E97" s="93">
        <v>2820</v>
      </c>
      <c r="F97" s="93" t="s">
        <v>709</v>
      </c>
      <c r="G97" s="93" t="str">
        <f t="shared" si="1"/>
        <v>LymhurstB13</v>
      </c>
      <c r="H97" s="94" t="s">
        <v>377</v>
      </c>
      <c r="I97" s="94">
        <v>13</v>
      </c>
    </row>
    <row r="98" spans="1:9" x14ac:dyDescent="0.25">
      <c r="A98" s="93" t="s">
        <v>156</v>
      </c>
      <c r="B98" s="93" t="s">
        <v>132</v>
      </c>
      <c r="C98" s="93">
        <v>3026</v>
      </c>
      <c r="D98" s="93" t="s">
        <v>750</v>
      </c>
      <c r="E98" s="93">
        <v>2856</v>
      </c>
      <c r="F98" s="93" t="s">
        <v>750</v>
      </c>
      <c r="G98" s="93" t="str">
        <f t="shared" si="1"/>
        <v>MartlockB13</v>
      </c>
      <c r="H98" s="94" t="s">
        <v>377</v>
      </c>
      <c r="I98" s="94">
        <v>13</v>
      </c>
    </row>
    <row r="99" spans="1:9" x14ac:dyDescent="0.25">
      <c r="A99" s="93" t="s">
        <v>156</v>
      </c>
      <c r="B99" s="93" t="s">
        <v>133</v>
      </c>
      <c r="C99" s="93">
        <v>2849</v>
      </c>
      <c r="D99" s="93" t="s">
        <v>750</v>
      </c>
      <c r="E99" s="93"/>
      <c r="F99" s="93"/>
      <c r="G99" s="93" t="str">
        <f t="shared" si="1"/>
        <v>ThetfordB13</v>
      </c>
      <c r="H99" s="94" t="s">
        <v>377</v>
      </c>
      <c r="I99" s="94">
        <v>13</v>
      </c>
    </row>
    <row r="100" spans="1:9" x14ac:dyDescent="0.25">
      <c r="A100" s="93" t="s">
        <v>157</v>
      </c>
      <c r="B100" s="93" t="s">
        <v>127</v>
      </c>
      <c r="C100" s="93">
        <v>8278</v>
      </c>
      <c r="D100" s="93" t="s">
        <v>758</v>
      </c>
      <c r="E100" s="93"/>
      <c r="F100" s="93"/>
      <c r="G100" s="93" t="str">
        <f t="shared" si="1"/>
        <v>BrecilienB14</v>
      </c>
      <c r="H100" s="94" t="s">
        <v>377</v>
      </c>
      <c r="I100" s="94">
        <v>14</v>
      </c>
    </row>
    <row r="101" spans="1:9" x14ac:dyDescent="0.25">
      <c r="A101" s="93" t="s">
        <v>157</v>
      </c>
      <c r="B101" s="93" t="s">
        <v>128</v>
      </c>
      <c r="C101" s="93">
        <v>8890</v>
      </c>
      <c r="D101" s="93" t="s">
        <v>710</v>
      </c>
      <c r="E101" s="93">
        <v>8600</v>
      </c>
      <c r="F101" s="93" t="s">
        <v>709</v>
      </c>
      <c r="G101" s="93" t="str">
        <f t="shared" si="1"/>
        <v>BridgewatchB14</v>
      </c>
      <c r="H101" s="94" t="s">
        <v>377</v>
      </c>
      <c r="I101" s="94">
        <v>14</v>
      </c>
    </row>
    <row r="102" spans="1:9" x14ac:dyDescent="0.25">
      <c r="A102" s="93" t="s">
        <v>157</v>
      </c>
      <c r="B102" s="93" t="s">
        <v>129</v>
      </c>
      <c r="C102" s="93">
        <v>7582</v>
      </c>
      <c r="D102" s="93" t="s">
        <v>759</v>
      </c>
      <c r="E102" s="93"/>
      <c r="F102" s="93"/>
      <c r="G102" s="93" t="str">
        <f t="shared" si="1"/>
        <v>CaerleonB14</v>
      </c>
      <c r="H102" s="94" t="s">
        <v>377</v>
      </c>
      <c r="I102" s="94">
        <v>14</v>
      </c>
    </row>
    <row r="103" spans="1:9" x14ac:dyDescent="0.25">
      <c r="A103" s="93" t="s">
        <v>157</v>
      </c>
      <c r="B103" s="93" t="s">
        <v>130</v>
      </c>
      <c r="C103" s="93"/>
      <c r="D103" s="93"/>
      <c r="E103" s="93"/>
      <c r="F103" s="93"/>
      <c r="G103" s="93" t="str">
        <f t="shared" si="1"/>
        <v>Fort SterlingB14</v>
      </c>
      <c r="H103" s="94" t="s">
        <v>377</v>
      </c>
      <c r="I103" s="94">
        <v>14</v>
      </c>
    </row>
    <row r="104" spans="1:9" x14ac:dyDescent="0.25">
      <c r="A104" s="93" t="s">
        <v>157</v>
      </c>
      <c r="B104" s="93" t="s">
        <v>131</v>
      </c>
      <c r="C104" s="93">
        <v>8549</v>
      </c>
      <c r="D104" s="93" t="s">
        <v>734</v>
      </c>
      <c r="E104" s="93">
        <v>8545</v>
      </c>
      <c r="F104" s="93" t="s">
        <v>734</v>
      </c>
      <c r="G104" s="93" t="str">
        <f t="shared" si="1"/>
        <v>LymhurstB14</v>
      </c>
      <c r="H104" s="94" t="s">
        <v>377</v>
      </c>
      <c r="I104" s="94">
        <v>14</v>
      </c>
    </row>
    <row r="105" spans="1:9" x14ac:dyDescent="0.25">
      <c r="A105" s="93" t="s">
        <v>157</v>
      </c>
      <c r="B105" s="93" t="s">
        <v>132</v>
      </c>
      <c r="C105" s="93">
        <v>9035</v>
      </c>
      <c r="D105" s="93" t="s">
        <v>724</v>
      </c>
      <c r="E105" s="93">
        <v>8601</v>
      </c>
      <c r="F105" s="93" t="s">
        <v>746</v>
      </c>
      <c r="G105" s="93" t="str">
        <f t="shared" si="1"/>
        <v>MartlockB14</v>
      </c>
      <c r="H105" s="94" t="s">
        <v>377</v>
      </c>
      <c r="I105" s="94">
        <v>14</v>
      </c>
    </row>
    <row r="106" spans="1:9" x14ac:dyDescent="0.25">
      <c r="A106" s="93" t="s">
        <v>157</v>
      </c>
      <c r="B106" s="93" t="s">
        <v>133</v>
      </c>
      <c r="C106" s="93">
        <v>8713</v>
      </c>
      <c r="D106" s="93" t="s">
        <v>701</v>
      </c>
      <c r="E106" s="93">
        <v>8357</v>
      </c>
      <c r="F106" s="93" t="s">
        <v>743</v>
      </c>
      <c r="G106" s="93" t="str">
        <f t="shared" si="1"/>
        <v>ThetfordB14</v>
      </c>
      <c r="H106" s="94" t="s">
        <v>377</v>
      </c>
      <c r="I106" s="94">
        <v>14</v>
      </c>
    </row>
    <row r="107" spans="1:9" x14ac:dyDescent="0.25">
      <c r="A107" s="93" t="s">
        <v>158</v>
      </c>
      <c r="B107" s="93" t="s">
        <v>127</v>
      </c>
      <c r="C107" s="93"/>
      <c r="D107" s="93"/>
      <c r="E107" s="93"/>
      <c r="F107" s="93"/>
      <c r="G107" s="93" t="str">
        <f t="shared" si="1"/>
        <v>BrecilienB15</v>
      </c>
      <c r="H107" s="94" t="s">
        <v>377</v>
      </c>
      <c r="I107" s="94">
        <v>15</v>
      </c>
    </row>
    <row r="108" spans="1:9" x14ac:dyDescent="0.25">
      <c r="A108" s="93" t="s">
        <v>158</v>
      </c>
      <c r="B108" s="93" t="s">
        <v>128</v>
      </c>
      <c r="C108" s="93"/>
      <c r="D108" s="93"/>
      <c r="E108" s="93"/>
      <c r="F108" s="93"/>
      <c r="G108" s="93" t="str">
        <f t="shared" si="1"/>
        <v>BridgewatchB15</v>
      </c>
      <c r="H108" s="94" t="s">
        <v>377</v>
      </c>
      <c r="I108" s="94">
        <v>15</v>
      </c>
    </row>
    <row r="109" spans="1:9" x14ac:dyDescent="0.25">
      <c r="A109" s="93" t="s">
        <v>158</v>
      </c>
      <c r="B109" s="93" t="s">
        <v>129</v>
      </c>
      <c r="C109" s="93">
        <v>29085</v>
      </c>
      <c r="D109" s="93" t="s">
        <v>759</v>
      </c>
      <c r="E109" s="93"/>
      <c r="F109" s="93"/>
      <c r="G109" s="93" t="str">
        <f t="shared" si="1"/>
        <v>CaerleonB15</v>
      </c>
      <c r="H109" s="94" t="s">
        <v>377</v>
      </c>
      <c r="I109" s="94">
        <v>15</v>
      </c>
    </row>
    <row r="110" spans="1:9" x14ac:dyDescent="0.25">
      <c r="A110" s="93" t="s">
        <v>158</v>
      </c>
      <c r="B110" s="93" t="s">
        <v>130</v>
      </c>
      <c r="C110" s="93"/>
      <c r="D110" s="93"/>
      <c r="E110" s="93"/>
      <c r="F110" s="93"/>
      <c r="G110" s="93" t="str">
        <f t="shared" si="1"/>
        <v>Fort SterlingB15</v>
      </c>
      <c r="H110" s="94" t="s">
        <v>377</v>
      </c>
      <c r="I110" s="94">
        <v>15</v>
      </c>
    </row>
    <row r="111" spans="1:9" x14ac:dyDescent="0.25">
      <c r="A111" s="93" t="s">
        <v>158</v>
      </c>
      <c r="B111" s="93" t="s">
        <v>131</v>
      </c>
      <c r="C111" s="93"/>
      <c r="D111" s="93"/>
      <c r="E111" s="93"/>
      <c r="F111" s="93"/>
      <c r="G111" s="93" t="str">
        <f t="shared" si="1"/>
        <v>LymhurstB15</v>
      </c>
      <c r="H111" s="94" t="s">
        <v>377</v>
      </c>
      <c r="I111" s="94">
        <v>15</v>
      </c>
    </row>
    <row r="112" spans="1:9" x14ac:dyDescent="0.25">
      <c r="A112" s="93" t="s">
        <v>158</v>
      </c>
      <c r="B112" s="93" t="s">
        <v>132</v>
      </c>
      <c r="C112" s="93">
        <v>32263</v>
      </c>
      <c r="D112" s="93" t="s">
        <v>724</v>
      </c>
      <c r="E112" s="93"/>
      <c r="F112" s="93"/>
      <c r="G112" s="93" t="str">
        <f t="shared" si="1"/>
        <v>MartlockB15</v>
      </c>
      <c r="H112" s="94" t="s">
        <v>377</v>
      </c>
      <c r="I112" s="94">
        <v>15</v>
      </c>
    </row>
    <row r="113" spans="1:9" x14ac:dyDescent="0.25">
      <c r="A113" s="93" t="s">
        <v>158</v>
      </c>
      <c r="B113" s="93" t="s">
        <v>133</v>
      </c>
      <c r="C113" s="93">
        <v>29880</v>
      </c>
      <c r="D113" s="93" t="s">
        <v>755</v>
      </c>
      <c r="E113" s="93"/>
      <c r="F113" s="93"/>
      <c r="G113" s="93" t="str">
        <f t="shared" si="1"/>
        <v>ThetfordB15</v>
      </c>
      <c r="H113" s="94" t="s">
        <v>377</v>
      </c>
      <c r="I113" s="94">
        <v>15</v>
      </c>
    </row>
    <row r="114" spans="1:9" x14ac:dyDescent="0.25">
      <c r="A114" s="93" t="s">
        <v>159</v>
      </c>
      <c r="B114" s="93" t="s">
        <v>127</v>
      </c>
      <c r="C114" s="93"/>
      <c r="D114" s="93"/>
      <c r="E114" s="93"/>
      <c r="F114" s="93"/>
      <c r="G114" s="93" t="str">
        <f t="shared" si="1"/>
        <v>BrecilienB16</v>
      </c>
      <c r="H114" s="94" t="s">
        <v>377</v>
      </c>
      <c r="I114" s="94">
        <v>16</v>
      </c>
    </row>
    <row r="115" spans="1:9" x14ac:dyDescent="0.25">
      <c r="A115" s="93" t="s">
        <v>159</v>
      </c>
      <c r="B115" s="93" t="s">
        <v>128</v>
      </c>
      <c r="C115" s="93"/>
      <c r="D115" s="93"/>
      <c r="E115" s="93"/>
      <c r="F115" s="93"/>
      <c r="G115" s="93" t="str">
        <f t="shared" si="1"/>
        <v>BridgewatchB16</v>
      </c>
      <c r="H115" s="94" t="s">
        <v>377</v>
      </c>
      <c r="I115" s="94">
        <v>16</v>
      </c>
    </row>
    <row r="116" spans="1:9" x14ac:dyDescent="0.25">
      <c r="A116" s="93" t="s">
        <v>159</v>
      </c>
      <c r="B116" s="93" t="s">
        <v>129</v>
      </c>
      <c r="C116" s="93"/>
      <c r="D116" s="93"/>
      <c r="E116" s="93"/>
      <c r="F116" s="93"/>
      <c r="G116" s="93" t="str">
        <f t="shared" si="1"/>
        <v>CaerleonB16</v>
      </c>
      <c r="H116" s="94" t="s">
        <v>377</v>
      </c>
      <c r="I116" s="94">
        <v>16</v>
      </c>
    </row>
    <row r="117" spans="1:9" x14ac:dyDescent="0.25">
      <c r="A117" s="93" t="s">
        <v>159</v>
      </c>
      <c r="B117" s="93" t="s">
        <v>130</v>
      </c>
      <c r="C117" s="93"/>
      <c r="D117" s="93"/>
      <c r="E117" s="93"/>
      <c r="F117" s="93"/>
      <c r="G117" s="93" t="str">
        <f t="shared" si="1"/>
        <v>Fort SterlingB16</v>
      </c>
      <c r="H117" s="94" t="s">
        <v>377</v>
      </c>
      <c r="I117" s="94">
        <v>16</v>
      </c>
    </row>
    <row r="118" spans="1:9" x14ac:dyDescent="0.25">
      <c r="A118" s="93" t="s">
        <v>159</v>
      </c>
      <c r="B118" s="93" t="s">
        <v>131</v>
      </c>
      <c r="C118" s="93"/>
      <c r="D118" s="93"/>
      <c r="E118" s="93"/>
      <c r="F118" s="93"/>
      <c r="G118" s="93" t="str">
        <f t="shared" si="1"/>
        <v>LymhurstB16</v>
      </c>
      <c r="H118" s="94" t="s">
        <v>377</v>
      </c>
      <c r="I118" s="94">
        <v>16</v>
      </c>
    </row>
    <row r="119" spans="1:9" x14ac:dyDescent="0.25">
      <c r="A119" s="93" t="s">
        <v>159</v>
      </c>
      <c r="B119" s="93" t="s">
        <v>132</v>
      </c>
      <c r="C119" s="93">
        <v>115332</v>
      </c>
      <c r="D119" s="93" t="s">
        <v>724</v>
      </c>
      <c r="E119" s="93"/>
      <c r="F119" s="93"/>
      <c r="G119" s="93" t="str">
        <f t="shared" si="1"/>
        <v>MartlockB16</v>
      </c>
      <c r="H119" s="94" t="s">
        <v>377</v>
      </c>
      <c r="I119" s="94">
        <v>16</v>
      </c>
    </row>
    <row r="120" spans="1:9" x14ac:dyDescent="0.25">
      <c r="A120" s="93" t="s">
        <v>159</v>
      </c>
      <c r="B120" s="93" t="s">
        <v>133</v>
      </c>
      <c r="C120" s="93"/>
      <c r="D120" s="93"/>
      <c r="E120" s="93"/>
      <c r="F120" s="93"/>
      <c r="G120" s="93" t="str">
        <f t="shared" si="1"/>
        <v>ThetfordB16</v>
      </c>
      <c r="H120" s="94" t="s">
        <v>377</v>
      </c>
      <c r="I120" s="94">
        <v>16</v>
      </c>
    </row>
    <row r="121" spans="1:9" x14ac:dyDescent="0.25">
      <c r="A121" s="93" t="s">
        <v>160</v>
      </c>
      <c r="B121" s="93" t="s">
        <v>127</v>
      </c>
      <c r="C121" s="93"/>
      <c r="D121" s="93"/>
      <c r="E121" s="93"/>
      <c r="F121" s="93"/>
      <c r="G121" s="93" t="str">
        <f t="shared" si="1"/>
        <v>BrecilienB17</v>
      </c>
      <c r="H121" s="94" t="s">
        <v>377</v>
      </c>
      <c r="I121" s="94">
        <v>17</v>
      </c>
    </row>
    <row r="122" spans="1:9" x14ac:dyDescent="0.25">
      <c r="A122" s="93" t="s">
        <v>160</v>
      </c>
      <c r="B122" s="93" t="s">
        <v>128</v>
      </c>
      <c r="C122" s="93">
        <v>3790</v>
      </c>
      <c r="D122" s="93" t="s">
        <v>708</v>
      </c>
      <c r="E122" s="93">
        <v>3600</v>
      </c>
      <c r="F122" s="93" t="s">
        <v>709</v>
      </c>
      <c r="G122" s="93" t="str">
        <f t="shared" si="1"/>
        <v>BridgewatchB17</v>
      </c>
      <c r="H122" s="94" t="s">
        <v>377</v>
      </c>
      <c r="I122" s="94">
        <v>17</v>
      </c>
    </row>
    <row r="123" spans="1:9" x14ac:dyDescent="0.25">
      <c r="A123" s="93" t="s">
        <v>160</v>
      </c>
      <c r="B123" s="93" t="s">
        <v>129</v>
      </c>
      <c r="C123" s="93">
        <v>2797</v>
      </c>
      <c r="D123" s="93" t="s">
        <v>760</v>
      </c>
      <c r="E123" s="93"/>
      <c r="F123" s="93"/>
      <c r="G123" s="93" t="str">
        <f t="shared" si="1"/>
        <v>CaerleonB17</v>
      </c>
      <c r="H123" s="94" t="s">
        <v>377</v>
      </c>
      <c r="I123" s="94">
        <v>17</v>
      </c>
    </row>
    <row r="124" spans="1:9" x14ac:dyDescent="0.25">
      <c r="A124" s="93" t="s">
        <v>160</v>
      </c>
      <c r="B124" s="93" t="s">
        <v>130</v>
      </c>
      <c r="C124" s="93"/>
      <c r="D124" s="93"/>
      <c r="E124" s="93"/>
      <c r="F124" s="93"/>
      <c r="G124" s="93" t="str">
        <f t="shared" si="1"/>
        <v>Fort SterlingB17</v>
      </c>
      <c r="H124" s="94" t="s">
        <v>377</v>
      </c>
      <c r="I124" s="94">
        <v>17</v>
      </c>
    </row>
    <row r="125" spans="1:9" x14ac:dyDescent="0.25">
      <c r="A125" s="93" t="s">
        <v>160</v>
      </c>
      <c r="B125" s="93" t="s">
        <v>131</v>
      </c>
      <c r="C125" s="93"/>
      <c r="D125" s="93"/>
      <c r="E125" s="93"/>
      <c r="F125" s="93"/>
      <c r="G125" s="93" t="str">
        <f t="shared" si="1"/>
        <v>LymhurstB17</v>
      </c>
      <c r="H125" s="94" t="s">
        <v>377</v>
      </c>
      <c r="I125" s="94">
        <v>17</v>
      </c>
    </row>
    <row r="126" spans="1:9" x14ac:dyDescent="0.25">
      <c r="A126" s="93" t="s">
        <v>160</v>
      </c>
      <c r="B126" s="93" t="s">
        <v>132</v>
      </c>
      <c r="C126" s="93">
        <v>3859</v>
      </c>
      <c r="D126" s="93" t="s">
        <v>724</v>
      </c>
      <c r="E126" s="93">
        <v>3629</v>
      </c>
      <c r="F126" s="93" t="s">
        <v>746</v>
      </c>
      <c r="G126" s="93" t="str">
        <f t="shared" si="1"/>
        <v>MartlockB17</v>
      </c>
      <c r="H126" s="94" t="s">
        <v>377</v>
      </c>
      <c r="I126" s="94">
        <v>17</v>
      </c>
    </row>
    <row r="127" spans="1:9" x14ac:dyDescent="0.25">
      <c r="A127" s="93" t="s">
        <v>160</v>
      </c>
      <c r="B127" s="93" t="s">
        <v>133</v>
      </c>
      <c r="C127" s="93">
        <v>3887</v>
      </c>
      <c r="D127" s="93" t="s">
        <v>750</v>
      </c>
      <c r="E127" s="93"/>
      <c r="F127" s="93"/>
      <c r="G127" s="93" t="str">
        <f t="shared" si="1"/>
        <v>ThetfordB17</v>
      </c>
      <c r="H127" s="94" t="s">
        <v>377</v>
      </c>
      <c r="I127" s="94">
        <v>17</v>
      </c>
    </row>
    <row r="128" spans="1:9" x14ac:dyDescent="0.25">
      <c r="A128" s="93" t="s">
        <v>161</v>
      </c>
      <c r="B128" s="93" t="s">
        <v>127</v>
      </c>
      <c r="C128" s="93"/>
      <c r="D128" s="93"/>
      <c r="E128" s="93"/>
      <c r="F128" s="93"/>
      <c r="G128" s="93" t="str">
        <f t="shared" si="1"/>
        <v>BrecilienB18</v>
      </c>
      <c r="H128" s="94" t="s">
        <v>377</v>
      </c>
      <c r="I128" s="94">
        <v>18</v>
      </c>
    </row>
    <row r="129" spans="1:9" x14ac:dyDescent="0.25">
      <c r="A129" s="93" t="s">
        <v>161</v>
      </c>
      <c r="B129" s="93" t="s">
        <v>128</v>
      </c>
      <c r="C129" s="93"/>
      <c r="D129" s="93"/>
      <c r="E129" s="93"/>
      <c r="F129" s="93"/>
      <c r="G129" s="93" t="str">
        <f t="shared" si="1"/>
        <v>BridgewatchB18</v>
      </c>
      <c r="H129" s="94" t="s">
        <v>377</v>
      </c>
      <c r="I129" s="94">
        <v>18</v>
      </c>
    </row>
    <row r="130" spans="1:9" x14ac:dyDescent="0.25">
      <c r="A130" s="93" t="s">
        <v>161</v>
      </c>
      <c r="B130" s="93" t="s">
        <v>129</v>
      </c>
      <c r="C130" s="93">
        <v>7337</v>
      </c>
      <c r="D130" s="93" t="s">
        <v>760</v>
      </c>
      <c r="E130" s="93"/>
      <c r="F130" s="93"/>
      <c r="G130" s="93" t="str">
        <f t="shared" si="1"/>
        <v>CaerleonB18</v>
      </c>
      <c r="H130" s="94" t="s">
        <v>377</v>
      </c>
      <c r="I130" s="94">
        <v>18</v>
      </c>
    </row>
    <row r="131" spans="1:9" x14ac:dyDescent="0.25">
      <c r="A131" s="93" t="s">
        <v>161</v>
      </c>
      <c r="B131" s="93" t="s">
        <v>130</v>
      </c>
      <c r="C131" s="93"/>
      <c r="D131" s="93"/>
      <c r="E131" s="93"/>
      <c r="F131" s="93"/>
      <c r="G131" s="93" t="str">
        <f t="shared" ref="G131:G194" si="2">_xlfn.CONCAT(B131,H131,I131)</f>
        <v>Fort SterlingB18</v>
      </c>
      <c r="H131" s="94" t="s">
        <v>377</v>
      </c>
      <c r="I131" s="94">
        <v>18</v>
      </c>
    </row>
    <row r="132" spans="1:9" x14ac:dyDescent="0.25">
      <c r="A132" s="93" t="s">
        <v>161</v>
      </c>
      <c r="B132" s="93" t="s">
        <v>131</v>
      </c>
      <c r="C132" s="93"/>
      <c r="D132" s="93"/>
      <c r="E132" s="93"/>
      <c r="F132" s="93"/>
      <c r="G132" s="93" t="str">
        <f t="shared" si="2"/>
        <v>LymhurstB18</v>
      </c>
      <c r="H132" s="94" t="s">
        <v>377</v>
      </c>
      <c r="I132" s="94">
        <v>18</v>
      </c>
    </row>
    <row r="133" spans="1:9" x14ac:dyDescent="0.25">
      <c r="A133" s="93" t="s">
        <v>161</v>
      </c>
      <c r="B133" s="93" t="s">
        <v>132</v>
      </c>
      <c r="C133" s="93">
        <v>8267</v>
      </c>
      <c r="D133" s="93" t="s">
        <v>724</v>
      </c>
      <c r="E133" s="93">
        <v>7757</v>
      </c>
      <c r="F133" s="93" t="s">
        <v>724</v>
      </c>
      <c r="G133" s="93" t="str">
        <f t="shared" si="2"/>
        <v>MartlockB18</v>
      </c>
      <c r="H133" s="94" t="s">
        <v>377</v>
      </c>
      <c r="I133" s="94">
        <v>18</v>
      </c>
    </row>
    <row r="134" spans="1:9" x14ac:dyDescent="0.25">
      <c r="A134" s="93" t="s">
        <v>161</v>
      </c>
      <c r="B134" s="93" t="s">
        <v>133</v>
      </c>
      <c r="C134" s="93">
        <v>7689</v>
      </c>
      <c r="D134" s="93" t="s">
        <v>761</v>
      </c>
      <c r="E134" s="93"/>
      <c r="F134" s="93"/>
      <c r="G134" s="93" t="str">
        <f t="shared" si="2"/>
        <v>ThetfordB18</v>
      </c>
      <c r="H134" s="94" t="s">
        <v>377</v>
      </c>
      <c r="I134" s="94">
        <v>18</v>
      </c>
    </row>
    <row r="135" spans="1:9" x14ac:dyDescent="0.25">
      <c r="A135" s="93" t="s">
        <v>162</v>
      </c>
      <c r="B135" s="93" t="s">
        <v>127</v>
      </c>
      <c r="C135" s="93"/>
      <c r="D135" s="93"/>
      <c r="E135" s="93"/>
      <c r="F135" s="93"/>
      <c r="G135" s="93" t="str">
        <f t="shared" si="2"/>
        <v>BrecilienB19</v>
      </c>
      <c r="H135" s="94" t="s">
        <v>377</v>
      </c>
      <c r="I135" s="94">
        <v>19</v>
      </c>
    </row>
    <row r="136" spans="1:9" x14ac:dyDescent="0.25">
      <c r="A136" s="93" t="s">
        <v>162</v>
      </c>
      <c r="B136" s="93" t="s">
        <v>128</v>
      </c>
      <c r="C136" s="93"/>
      <c r="D136" s="93"/>
      <c r="E136" s="93"/>
      <c r="F136" s="93"/>
      <c r="G136" s="93" t="str">
        <f t="shared" si="2"/>
        <v>BridgewatchB19</v>
      </c>
      <c r="H136" s="94" t="s">
        <v>377</v>
      </c>
      <c r="I136" s="94">
        <v>19</v>
      </c>
    </row>
    <row r="137" spans="1:9" x14ac:dyDescent="0.25">
      <c r="A137" s="93" t="s">
        <v>162</v>
      </c>
      <c r="B137" s="93" t="s">
        <v>129</v>
      </c>
      <c r="C137" s="93">
        <v>22206</v>
      </c>
      <c r="D137" s="93" t="s">
        <v>762</v>
      </c>
      <c r="E137" s="93"/>
      <c r="F137" s="93"/>
      <c r="G137" s="93" t="str">
        <f t="shared" si="2"/>
        <v>CaerleonB19</v>
      </c>
      <c r="H137" s="94" t="s">
        <v>377</v>
      </c>
      <c r="I137" s="94">
        <v>19</v>
      </c>
    </row>
    <row r="138" spans="1:9" x14ac:dyDescent="0.25">
      <c r="A138" s="93" t="s">
        <v>162</v>
      </c>
      <c r="B138" s="93" t="s">
        <v>130</v>
      </c>
      <c r="C138" s="93"/>
      <c r="D138" s="93"/>
      <c r="E138" s="93"/>
      <c r="F138" s="93"/>
      <c r="G138" s="93" t="str">
        <f t="shared" si="2"/>
        <v>Fort SterlingB19</v>
      </c>
      <c r="H138" s="94" t="s">
        <v>377</v>
      </c>
      <c r="I138" s="94">
        <v>19</v>
      </c>
    </row>
    <row r="139" spans="1:9" x14ac:dyDescent="0.25">
      <c r="A139" s="93" t="s">
        <v>162</v>
      </c>
      <c r="B139" s="93" t="s">
        <v>131</v>
      </c>
      <c r="C139" s="93"/>
      <c r="D139" s="93"/>
      <c r="E139" s="93"/>
      <c r="F139" s="93"/>
      <c r="G139" s="93" t="str">
        <f t="shared" si="2"/>
        <v>LymhurstB19</v>
      </c>
      <c r="H139" s="94" t="s">
        <v>377</v>
      </c>
      <c r="I139" s="94">
        <v>19</v>
      </c>
    </row>
    <row r="140" spans="1:9" x14ac:dyDescent="0.25">
      <c r="A140" s="93" t="s">
        <v>162</v>
      </c>
      <c r="B140" s="93" t="s">
        <v>132</v>
      </c>
      <c r="C140" s="93">
        <v>24100</v>
      </c>
      <c r="D140" s="93" t="s">
        <v>724</v>
      </c>
      <c r="E140" s="93"/>
      <c r="F140" s="93"/>
      <c r="G140" s="93" t="str">
        <f t="shared" si="2"/>
        <v>MartlockB19</v>
      </c>
      <c r="H140" s="94" t="s">
        <v>377</v>
      </c>
      <c r="I140" s="94">
        <v>19</v>
      </c>
    </row>
    <row r="141" spans="1:9" x14ac:dyDescent="0.25">
      <c r="A141" s="93" t="s">
        <v>162</v>
      </c>
      <c r="B141" s="93" t="s">
        <v>133</v>
      </c>
      <c r="C141" s="93"/>
      <c r="D141" s="93"/>
      <c r="E141" s="93"/>
      <c r="F141" s="93"/>
      <c r="G141" s="93" t="str">
        <f t="shared" si="2"/>
        <v>ThetfordB19</v>
      </c>
      <c r="H141" s="94" t="s">
        <v>377</v>
      </c>
      <c r="I141" s="94">
        <v>19</v>
      </c>
    </row>
    <row r="142" spans="1:9" x14ac:dyDescent="0.25">
      <c r="A142" s="93" t="s">
        <v>163</v>
      </c>
      <c r="B142" s="93" t="s">
        <v>127</v>
      </c>
      <c r="C142" s="93"/>
      <c r="D142" s="93"/>
      <c r="E142" s="93"/>
      <c r="F142" s="93"/>
      <c r="G142" s="93" t="str">
        <f t="shared" si="2"/>
        <v>BrecilienB20</v>
      </c>
      <c r="H142" s="94" t="s">
        <v>377</v>
      </c>
      <c r="I142" s="94">
        <v>20</v>
      </c>
    </row>
    <row r="143" spans="1:9" x14ac:dyDescent="0.25">
      <c r="A143" s="93" t="s">
        <v>163</v>
      </c>
      <c r="B143" s="93" t="s">
        <v>128</v>
      </c>
      <c r="C143" s="93"/>
      <c r="D143" s="93"/>
      <c r="E143" s="93"/>
      <c r="F143" s="93"/>
      <c r="G143" s="93" t="str">
        <f t="shared" si="2"/>
        <v>BridgewatchB20</v>
      </c>
      <c r="H143" s="94" t="s">
        <v>377</v>
      </c>
      <c r="I143" s="94">
        <v>20</v>
      </c>
    </row>
    <row r="144" spans="1:9" x14ac:dyDescent="0.25">
      <c r="A144" s="93" t="s">
        <v>163</v>
      </c>
      <c r="B144" s="93" t="s">
        <v>129</v>
      </c>
      <c r="C144" s="93">
        <v>96997</v>
      </c>
      <c r="D144" s="93" t="s">
        <v>760</v>
      </c>
      <c r="E144" s="93"/>
      <c r="F144" s="93"/>
      <c r="G144" s="93" t="str">
        <f t="shared" si="2"/>
        <v>CaerleonB20</v>
      </c>
      <c r="H144" s="94" t="s">
        <v>377</v>
      </c>
      <c r="I144" s="94">
        <v>20</v>
      </c>
    </row>
    <row r="145" spans="1:9" x14ac:dyDescent="0.25">
      <c r="A145" s="93" t="s">
        <v>163</v>
      </c>
      <c r="B145" s="93" t="s">
        <v>130</v>
      </c>
      <c r="C145" s="93"/>
      <c r="D145" s="93"/>
      <c r="E145" s="93"/>
      <c r="F145" s="93"/>
      <c r="G145" s="93" t="str">
        <f t="shared" si="2"/>
        <v>Fort SterlingB20</v>
      </c>
      <c r="H145" s="94" t="s">
        <v>377</v>
      </c>
      <c r="I145" s="94">
        <v>20</v>
      </c>
    </row>
    <row r="146" spans="1:9" x14ac:dyDescent="0.25">
      <c r="A146" s="93" t="s">
        <v>163</v>
      </c>
      <c r="B146" s="93" t="s">
        <v>131</v>
      </c>
      <c r="C146" s="93">
        <v>70044</v>
      </c>
      <c r="D146" s="93" t="s">
        <v>727</v>
      </c>
      <c r="E146" s="93"/>
      <c r="F146" s="93"/>
      <c r="G146" s="93" t="str">
        <f t="shared" si="2"/>
        <v>LymhurstB20</v>
      </c>
      <c r="H146" s="94" t="s">
        <v>377</v>
      </c>
      <c r="I146" s="94">
        <v>20</v>
      </c>
    </row>
    <row r="147" spans="1:9" x14ac:dyDescent="0.25">
      <c r="A147" s="93" t="s">
        <v>163</v>
      </c>
      <c r="B147" s="93" t="s">
        <v>132</v>
      </c>
      <c r="C147" s="93">
        <v>71981</v>
      </c>
      <c r="D147" s="93" t="s">
        <v>724</v>
      </c>
      <c r="E147" s="93"/>
      <c r="F147" s="93"/>
      <c r="G147" s="93" t="str">
        <f t="shared" si="2"/>
        <v>MartlockB20</v>
      </c>
      <c r="H147" s="94" t="s">
        <v>377</v>
      </c>
      <c r="I147" s="94">
        <v>20</v>
      </c>
    </row>
    <row r="148" spans="1:9" x14ac:dyDescent="0.25">
      <c r="A148" s="93" t="s">
        <v>163</v>
      </c>
      <c r="B148" s="93" t="s">
        <v>133</v>
      </c>
      <c r="C148" s="93"/>
      <c r="D148" s="93"/>
      <c r="E148" s="93"/>
      <c r="F148" s="93"/>
      <c r="G148" s="93" t="str">
        <f t="shared" si="2"/>
        <v>ThetfordB20</v>
      </c>
      <c r="H148" s="94" t="s">
        <v>377</v>
      </c>
      <c r="I148" s="94">
        <v>20</v>
      </c>
    </row>
    <row r="149" spans="1:9" x14ac:dyDescent="0.25">
      <c r="A149" s="93" t="s">
        <v>164</v>
      </c>
      <c r="B149" s="93" t="s">
        <v>127</v>
      </c>
      <c r="C149" s="93"/>
      <c r="D149" s="93"/>
      <c r="E149" s="93"/>
      <c r="F149" s="93"/>
      <c r="G149" s="93" t="str">
        <f t="shared" si="2"/>
        <v>BrecilienB21</v>
      </c>
      <c r="H149" s="94" t="s">
        <v>377</v>
      </c>
      <c r="I149" s="94">
        <v>21</v>
      </c>
    </row>
    <row r="150" spans="1:9" x14ac:dyDescent="0.25">
      <c r="A150" s="93" t="s">
        <v>164</v>
      </c>
      <c r="B150" s="93" t="s">
        <v>128</v>
      </c>
      <c r="C150" s="93"/>
      <c r="D150" s="93"/>
      <c r="E150" s="93"/>
      <c r="F150" s="93"/>
      <c r="G150" s="93" t="str">
        <f t="shared" si="2"/>
        <v>BridgewatchB21</v>
      </c>
      <c r="H150" s="94" t="s">
        <v>377</v>
      </c>
      <c r="I150" s="94">
        <v>21</v>
      </c>
    </row>
    <row r="151" spans="1:9" x14ac:dyDescent="0.25">
      <c r="A151" s="93" t="s">
        <v>164</v>
      </c>
      <c r="B151" s="93" t="s">
        <v>129</v>
      </c>
      <c r="C151" s="93">
        <v>299995</v>
      </c>
      <c r="D151" s="93" t="s">
        <v>751</v>
      </c>
      <c r="E151" s="93"/>
      <c r="F151" s="93"/>
      <c r="G151" s="93" t="str">
        <f t="shared" si="2"/>
        <v>CaerleonB21</v>
      </c>
      <c r="H151" s="94" t="s">
        <v>377</v>
      </c>
      <c r="I151" s="94">
        <v>21</v>
      </c>
    </row>
    <row r="152" spans="1:9" x14ac:dyDescent="0.25">
      <c r="A152" s="93" t="s">
        <v>164</v>
      </c>
      <c r="B152" s="93" t="s">
        <v>130</v>
      </c>
      <c r="C152" s="93"/>
      <c r="D152" s="93"/>
      <c r="E152" s="93"/>
      <c r="F152" s="93"/>
      <c r="G152" s="93" t="str">
        <f t="shared" si="2"/>
        <v>Fort SterlingB21</v>
      </c>
      <c r="H152" s="94" t="s">
        <v>377</v>
      </c>
      <c r="I152" s="94">
        <v>21</v>
      </c>
    </row>
    <row r="153" spans="1:9" x14ac:dyDescent="0.25">
      <c r="A153" s="93" t="s">
        <v>164</v>
      </c>
      <c r="B153" s="93" t="s">
        <v>131</v>
      </c>
      <c r="C153" s="93"/>
      <c r="D153" s="93"/>
      <c r="E153" s="93"/>
      <c r="F153" s="93"/>
      <c r="G153" s="93" t="str">
        <f t="shared" si="2"/>
        <v>LymhurstB21</v>
      </c>
      <c r="H153" s="94" t="s">
        <v>377</v>
      </c>
      <c r="I153" s="94">
        <v>21</v>
      </c>
    </row>
    <row r="154" spans="1:9" x14ac:dyDescent="0.25">
      <c r="A154" s="93" t="s">
        <v>164</v>
      </c>
      <c r="B154" s="93" t="s">
        <v>132</v>
      </c>
      <c r="C154" s="93">
        <v>269000</v>
      </c>
      <c r="D154" s="93" t="s">
        <v>724</v>
      </c>
      <c r="E154" s="93"/>
      <c r="F154" s="93"/>
      <c r="G154" s="93" t="str">
        <f t="shared" si="2"/>
        <v>MartlockB21</v>
      </c>
      <c r="H154" s="94" t="s">
        <v>377</v>
      </c>
      <c r="I154" s="94">
        <v>21</v>
      </c>
    </row>
    <row r="155" spans="1:9" x14ac:dyDescent="0.25">
      <c r="A155" s="93" t="s">
        <v>164</v>
      </c>
      <c r="B155" s="93" t="s">
        <v>133</v>
      </c>
      <c r="C155" s="93"/>
      <c r="D155" s="93"/>
      <c r="E155" s="93"/>
      <c r="F155" s="93"/>
      <c r="G155" s="93" t="str">
        <f t="shared" si="2"/>
        <v>ThetfordB21</v>
      </c>
      <c r="H155" s="94" t="s">
        <v>377</v>
      </c>
      <c r="I155" s="94">
        <v>21</v>
      </c>
    </row>
    <row r="156" spans="1:9" x14ac:dyDescent="0.25">
      <c r="A156" s="93" t="s">
        <v>134</v>
      </c>
      <c r="B156" s="93" t="s">
        <v>127</v>
      </c>
      <c r="C156" s="93">
        <v>9198</v>
      </c>
      <c r="D156" s="93" t="s">
        <v>734</v>
      </c>
      <c r="E156" s="93"/>
      <c r="F156" s="93"/>
      <c r="G156" s="93" t="str">
        <f t="shared" si="2"/>
        <v>BrecilienB22</v>
      </c>
      <c r="H156" s="94" t="s">
        <v>377</v>
      </c>
      <c r="I156" s="94">
        <v>22</v>
      </c>
    </row>
    <row r="157" spans="1:9" x14ac:dyDescent="0.25">
      <c r="A157" s="93" t="s">
        <v>134</v>
      </c>
      <c r="B157" s="93" t="s">
        <v>128</v>
      </c>
      <c r="C157" s="93">
        <v>10482</v>
      </c>
      <c r="D157" s="93" t="s">
        <v>709</v>
      </c>
      <c r="E157" s="93">
        <v>9507</v>
      </c>
      <c r="F157" s="93" t="s">
        <v>709</v>
      </c>
      <c r="G157" s="93" t="str">
        <f t="shared" si="2"/>
        <v>BridgewatchB22</v>
      </c>
      <c r="H157" s="94" t="s">
        <v>377</v>
      </c>
      <c r="I157" s="94">
        <v>22</v>
      </c>
    </row>
    <row r="158" spans="1:9" x14ac:dyDescent="0.25">
      <c r="A158" s="93" t="s">
        <v>134</v>
      </c>
      <c r="B158" s="93" t="s">
        <v>129</v>
      </c>
      <c r="C158" s="93">
        <v>8497</v>
      </c>
      <c r="D158" s="93" t="s">
        <v>760</v>
      </c>
      <c r="E158" s="93"/>
      <c r="F158" s="93"/>
      <c r="G158" s="93" t="str">
        <f t="shared" si="2"/>
        <v>CaerleonB22</v>
      </c>
      <c r="H158" s="94" t="s">
        <v>377</v>
      </c>
      <c r="I158" s="94">
        <v>22</v>
      </c>
    </row>
    <row r="159" spans="1:9" x14ac:dyDescent="0.25">
      <c r="A159" s="93" t="s">
        <v>134</v>
      </c>
      <c r="B159" s="93" t="s">
        <v>130</v>
      </c>
      <c r="C159" s="93"/>
      <c r="D159" s="93"/>
      <c r="E159" s="93"/>
      <c r="F159" s="93"/>
      <c r="G159" s="93" t="str">
        <f t="shared" si="2"/>
        <v>Fort SterlingB22</v>
      </c>
      <c r="H159" s="94" t="s">
        <v>377</v>
      </c>
      <c r="I159" s="94">
        <v>22</v>
      </c>
    </row>
    <row r="160" spans="1:9" x14ac:dyDescent="0.25">
      <c r="A160" s="93" t="s">
        <v>134</v>
      </c>
      <c r="B160" s="93" t="s">
        <v>131</v>
      </c>
      <c r="C160" s="93"/>
      <c r="D160" s="93"/>
      <c r="E160" s="93"/>
      <c r="F160" s="93"/>
      <c r="G160" s="93" t="str">
        <f t="shared" si="2"/>
        <v>LymhurstB22</v>
      </c>
      <c r="H160" s="94" t="s">
        <v>377</v>
      </c>
      <c r="I160" s="94">
        <v>22</v>
      </c>
    </row>
    <row r="161" spans="1:9" x14ac:dyDescent="0.25">
      <c r="A161" s="93" t="s">
        <v>134</v>
      </c>
      <c r="B161" s="93" t="s">
        <v>132</v>
      </c>
      <c r="C161" s="93">
        <v>10765</v>
      </c>
      <c r="D161" s="93" t="s">
        <v>724</v>
      </c>
      <c r="E161" s="93"/>
      <c r="F161" s="93"/>
      <c r="G161" s="93" t="str">
        <f t="shared" si="2"/>
        <v>MartlockB22</v>
      </c>
      <c r="H161" s="94" t="s">
        <v>377</v>
      </c>
      <c r="I161" s="94">
        <v>22</v>
      </c>
    </row>
    <row r="162" spans="1:9" x14ac:dyDescent="0.25">
      <c r="A162" s="93" t="s">
        <v>134</v>
      </c>
      <c r="B162" s="93" t="s">
        <v>133</v>
      </c>
      <c r="C162" s="93"/>
      <c r="D162" s="93"/>
      <c r="E162" s="93"/>
      <c r="F162" s="93"/>
      <c r="G162" s="93" t="str">
        <f t="shared" si="2"/>
        <v>ThetfordB22</v>
      </c>
      <c r="H162" s="94" t="s">
        <v>377</v>
      </c>
      <c r="I162" s="94">
        <v>22</v>
      </c>
    </row>
    <row r="163" spans="1:9" x14ac:dyDescent="0.25">
      <c r="A163" s="93" t="s">
        <v>135</v>
      </c>
      <c r="B163" s="93" t="s">
        <v>127</v>
      </c>
      <c r="C163" s="93">
        <v>27997</v>
      </c>
      <c r="D163" s="93" t="s">
        <v>763</v>
      </c>
      <c r="E163" s="93"/>
      <c r="F163" s="93"/>
      <c r="G163" s="93" t="str">
        <f t="shared" si="2"/>
        <v>BrecilienB23</v>
      </c>
      <c r="H163" s="94" t="s">
        <v>377</v>
      </c>
      <c r="I163" s="94">
        <v>23</v>
      </c>
    </row>
    <row r="164" spans="1:9" x14ac:dyDescent="0.25">
      <c r="A164" s="93" t="s">
        <v>135</v>
      </c>
      <c r="B164" s="93" t="s">
        <v>128</v>
      </c>
      <c r="C164" s="93">
        <v>26998</v>
      </c>
      <c r="D164" s="93" t="s">
        <v>711</v>
      </c>
      <c r="E164" s="93">
        <v>25000</v>
      </c>
      <c r="F164" s="93" t="s">
        <v>709</v>
      </c>
      <c r="G164" s="93" t="str">
        <f t="shared" si="2"/>
        <v>BridgewatchB23</v>
      </c>
      <c r="H164" s="94" t="s">
        <v>377</v>
      </c>
      <c r="I164" s="94">
        <v>23</v>
      </c>
    </row>
    <row r="165" spans="1:9" x14ac:dyDescent="0.25">
      <c r="A165" s="93" t="s">
        <v>135</v>
      </c>
      <c r="B165" s="93" t="s">
        <v>129</v>
      </c>
      <c r="C165" s="93">
        <v>25964</v>
      </c>
      <c r="D165" s="93" t="s">
        <v>760</v>
      </c>
      <c r="E165" s="93"/>
      <c r="F165" s="93"/>
      <c r="G165" s="93" t="str">
        <f t="shared" si="2"/>
        <v>CaerleonB23</v>
      </c>
      <c r="H165" s="94" t="s">
        <v>377</v>
      </c>
      <c r="I165" s="94">
        <v>23</v>
      </c>
    </row>
    <row r="166" spans="1:9" x14ac:dyDescent="0.25">
      <c r="A166" s="93" t="s">
        <v>135</v>
      </c>
      <c r="B166" s="93" t="s">
        <v>130</v>
      </c>
      <c r="C166" s="93"/>
      <c r="D166" s="93"/>
      <c r="E166" s="93"/>
      <c r="F166" s="93"/>
      <c r="G166" s="93" t="str">
        <f t="shared" si="2"/>
        <v>Fort SterlingB23</v>
      </c>
      <c r="H166" s="94" t="s">
        <v>377</v>
      </c>
      <c r="I166" s="94">
        <v>23</v>
      </c>
    </row>
    <row r="167" spans="1:9" x14ac:dyDescent="0.25">
      <c r="A167" s="93" t="s">
        <v>135</v>
      </c>
      <c r="B167" s="93" t="s">
        <v>131</v>
      </c>
      <c r="C167" s="93"/>
      <c r="D167" s="93"/>
      <c r="E167" s="93"/>
      <c r="F167" s="93"/>
      <c r="G167" s="93" t="str">
        <f t="shared" si="2"/>
        <v>LymhurstB23</v>
      </c>
      <c r="H167" s="94" t="s">
        <v>377</v>
      </c>
      <c r="I167" s="94">
        <v>23</v>
      </c>
    </row>
    <row r="168" spans="1:9" x14ac:dyDescent="0.25">
      <c r="A168" s="93" t="s">
        <v>135</v>
      </c>
      <c r="B168" s="93" t="s">
        <v>132</v>
      </c>
      <c r="C168" s="93">
        <v>27379</v>
      </c>
      <c r="D168" s="93" t="s">
        <v>724</v>
      </c>
      <c r="E168" s="93"/>
      <c r="F168" s="93"/>
      <c r="G168" s="93" t="str">
        <f t="shared" si="2"/>
        <v>MartlockB23</v>
      </c>
      <c r="H168" s="94" t="s">
        <v>377</v>
      </c>
      <c r="I168" s="94">
        <v>23</v>
      </c>
    </row>
    <row r="169" spans="1:9" x14ac:dyDescent="0.25">
      <c r="A169" s="93" t="s">
        <v>135</v>
      </c>
      <c r="B169" s="93" t="s">
        <v>133</v>
      </c>
      <c r="C169" s="93"/>
      <c r="D169" s="93"/>
      <c r="E169" s="93"/>
      <c r="F169" s="93"/>
      <c r="G169" s="93" t="str">
        <f t="shared" si="2"/>
        <v>ThetfordB23</v>
      </c>
      <c r="H169" s="94" t="s">
        <v>377</v>
      </c>
      <c r="I169" s="94">
        <v>23</v>
      </c>
    </row>
    <row r="170" spans="1:9" x14ac:dyDescent="0.25">
      <c r="A170" s="93" t="s">
        <v>136</v>
      </c>
      <c r="B170" s="93" t="s">
        <v>127</v>
      </c>
      <c r="C170" s="93"/>
      <c r="D170" s="93"/>
      <c r="E170" s="93"/>
      <c r="F170" s="93"/>
      <c r="G170" s="93" t="str">
        <f t="shared" si="2"/>
        <v>BrecilienB24</v>
      </c>
      <c r="H170" s="94" t="s">
        <v>377</v>
      </c>
      <c r="I170" s="94">
        <v>24</v>
      </c>
    </row>
    <row r="171" spans="1:9" x14ac:dyDescent="0.25">
      <c r="A171" s="93" t="s">
        <v>136</v>
      </c>
      <c r="B171" s="93" t="s">
        <v>128</v>
      </c>
      <c r="C171" s="93"/>
      <c r="D171" s="93"/>
      <c r="E171" s="93"/>
      <c r="F171" s="93"/>
      <c r="G171" s="93" t="str">
        <f t="shared" si="2"/>
        <v>BridgewatchB24</v>
      </c>
      <c r="H171" s="94" t="s">
        <v>377</v>
      </c>
      <c r="I171" s="94">
        <v>24</v>
      </c>
    </row>
    <row r="172" spans="1:9" x14ac:dyDescent="0.25">
      <c r="A172" s="93" t="s">
        <v>136</v>
      </c>
      <c r="B172" s="93" t="s">
        <v>129</v>
      </c>
      <c r="C172" s="93">
        <v>73999</v>
      </c>
      <c r="D172" s="93" t="s">
        <v>760</v>
      </c>
      <c r="E172" s="93"/>
      <c r="F172" s="93"/>
      <c r="G172" s="93" t="str">
        <f t="shared" si="2"/>
        <v>CaerleonB24</v>
      </c>
      <c r="H172" s="94" t="s">
        <v>377</v>
      </c>
      <c r="I172" s="94">
        <v>24</v>
      </c>
    </row>
    <row r="173" spans="1:9" x14ac:dyDescent="0.25">
      <c r="A173" s="93" t="s">
        <v>136</v>
      </c>
      <c r="B173" s="93" t="s">
        <v>130</v>
      </c>
      <c r="C173" s="93"/>
      <c r="D173" s="93"/>
      <c r="E173" s="93"/>
      <c r="F173" s="93"/>
      <c r="G173" s="93" t="str">
        <f t="shared" si="2"/>
        <v>Fort SterlingB24</v>
      </c>
      <c r="H173" s="94" t="s">
        <v>377</v>
      </c>
      <c r="I173" s="94">
        <v>24</v>
      </c>
    </row>
    <row r="174" spans="1:9" x14ac:dyDescent="0.25">
      <c r="A174" s="93" t="s">
        <v>136</v>
      </c>
      <c r="B174" s="93" t="s">
        <v>131</v>
      </c>
      <c r="C174" s="93"/>
      <c r="D174" s="93"/>
      <c r="E174" s="93"/>
      <c r="F174" s="93"/>
      <c r="G174" s="93" t="str">
        <f t="shared" si="2"/>
        <v>LymhurstB24</v>
      </c>
      <c r="H174" s="94" t="s">
        <v>377</v>
      </c>
      <c r="I174" s="94">
        <v>24</v>
      </c>
    </row>
    <row r="175" spans="1:9" x14ac:dyDescent="0.25">
      <c r="A175" s="93" t="s">
        <v>136</v>
      </c>
      <c r="B175" s="93" t="s">
        <v>132</v>
      </c>
      <c r="C175" s="93">
        <v>74836</v>
      </c>
      <c r="D175" s="93" t="s">
        <v>724</v>
      </c>
      <c r="E175" s="93"/>
      <c r="F175" s="93"/>
      <c r="G175" s="93" t="str">
        <f t="shared" si="2"/>
        <v>MartlockB24</v>
      </c>
      <c r="H175" s="94" t="s">
        <v>377</v>
      </c>
      <c r="I175" s="94">
        <v>24</v>
      </c>
    </row>
    <row r="176" spans="1:9" x14ac:dyDescent="0.25">
      <c r="A176" s="93" t="s">
        <v>136</v>
      </c>
      <c r="B176" s="93" t="s">
        <v>133</v>
      </c>
      <c r="C176" s="93"/>
      <c r="D176" s="93"/>
      <c r="E176" s="93"/>
      <c r="F176" s="93"/>
      <c r="G176" s="93" t="str">
        <f t="shared" si="2"/>
        <v>ThetfordB24</v>
      </c>
      <c r="H176" s="94" t="s">
        <v>377</v>
      </c>
      <c r="I176" s="94">
        <v>24</v>
      </c>
    </row>
    <row r="177" spans="1:9" x14ac:dyDescent="0.25">
      <c r="A177" s="93" t="s">
        <v>137</v>
      </c>
      <c r="B177" s="93" t="s">
        <v>127</v>
      </c>
      <c r="C177" s="93"/>
      <c r="D177" s="93"/>
      <c r="E177" s="93"/>
      <c r="F177" s="93"/>
      <c r="G177" s="93" t="str">
        <f t="shared" si="2"/>
        <v>BrecilienB25</v>
      </c>
      <c r="H177" s="94" t="s">
        <v>377</v>
      </c>
      <c r="I177" s="94">
        <v>25</v>
      </c>
    </row>
    <row r="178" spans="1:9" x14ac:dyDescent="0.25">
      <c r="A178" s="93" t="s">
        <v>137</v>
      </c>
      <c r="B178" s="93" t="s">
        <v>128</v>
      </c>
      <c r="C178" s="93"/>
      <c r="D178" s="93"/>
      <c r="E178" s="93"/>
      <c r="F178" s="93"/>
      <c r="G178" s="93" t="str">
        <f t="shared" si="2"/>
        <v>BridgewatchB25</v>
      </c>
      <c r="H178" s="94" t="s">
        <v>377</v>
      </c>
      <c r="I178" s="94">
        <v>25</v>
      </c>
    </row>
    <row r="179" spans="1:9" x14ac:dyDescent="0.25">
      <c r="A179" s="93" t="s">
        <v>137</v>
      </c>
      <c r="B179" s="93" t="s">
        <v>129</v>
      </c>
      <c r="C179" s="93">
        <v>244991</v>
      </c>
      <c r="D179" s="93" t="s">
        <v>760</v>
      </c>
      <c r="E179" s="93"/>
      <c r="F179" s="93"/>
      <c r="G179" s="93" t="str">
        <f t="shared" si="2"/>
        <v>CaerleonB25</v>
      </c>
      <c r="H179" s="94" t="s">
        <v>377</v>
      </c>
      <c r="I179" s="94">
        <v>25</v>
      </c>
    </row>
    <row r="180" spans="1:9" x14ac:dyDescent="0.25">
      <c r="A180" s="93" t="s">
        <v>137</v>
      </c>
      <c r="B180" s="93" t="s">
        <v>130</v>
      </c>
      <c r="C180" s="93"/>
      <c r="D180" s="93"/>
      <c r="E180" s="93"/>
      <c r="F180" s="93"/>
      <c r="G180" s="93" t="str">
        <f t="shared" si="2"/>
        <v>Fort SterlingB25</v>
      </c>
      <c r="H180" s="94" t="s">
        <v>377</v>
      </c>
      <c r="I180" s="94">
        <v>25</v>
      </c>
    </row>
    <row r="181" spans="1:9" x14ac:dyDescent="0.25">
      <c r="A181" s="93" t="s">
        <v>137</v>
      </c>
      <c r="B181" s="93" t="s">
        <v>131</v>
      </c>
      <c r="C181" s="93"/>
      <c r="D181" s="93"/>
      <c r="E181" s="93"/>
      <c r="F181" s="93"/>
      <c r="G181" s="93" t="str">
        <f t="shared" si="2"/>
        <v>LymhurstB25</v>
      </c>
      <c r="H181" s="94" t="s">
        <v>377</v>
      </c>
      <c r="I181" s="94">
        <v>25</v>
      </c>
    </row>
    <row r="182" spans="1:9" x14ac:dyDescent="0.25">
      <c r="A182" s="93" t="s">
        <v>137</v>
      </c>
      <c r="B182" s="93" t="s">
        <v>132</v>
      </c>
      <c r="C182" s="93">
        <v>239969</v>
      </c>
      <c r="D182" s="93" t="s">
        <v>724</v>
      </c>
      <c r="E182" s="93"/>
      <c r="F182" s="93"/>
      <c r="G182" s="93" t="str">
        <f t="shared" si="2"/>
        <v>MartlockB25</v>
      </c>
      <c r="H182" s="94" t="s">
        <v>377</v>
      </c>
      <c r="I182" s="94">
        <v>25</v>
      </c>
    </row>
    <row r="183" spans="1:9" x14ac:dyDescent="0.25">
      <c r="A183" s="93" t="s">
        <v>137</v>
      </c>
      <c r="B183" s="93" t="s">
        <v>133</v>
      </c>
      <c r="C183" s="93"/>
      <c r="D183" s="93"/>
      <c r="E183" s="93"/>
      <c r="F183" s="93"/>
      <c r="G183" s="93" t="str">
        <f t="shared" si="2"/>
        <v>ThetfordB25</v>
      </c>
      <c r="H183" s="94" t="s">
        <v>377</v>
      </c>
      <c r="I183" s="94">
        <v>25</v>
      </c>
    </row>
    <row r="184" spans="1:9" x14ac:dyDescent="0.25">
      <c r="A184" s="93" t="s">
        <v>138</v>
      </c>
      <c r="B184" s="93" t="s">
        <v>127</v>
      </c>
      <c r="C184" s="93"/>
      <c r="D184" s="93"/>
      <c r="E184" s="93"/>
      <c r="F184" s="93"/>
      <c r="G184" s="93" t="str">
        <f t="shared" si="2"/>
        <v>BrecilienB26</v>
      </c>
      <c r="H184" s="94" t="s">
        <v>377</v>
      </c>
      <c r="I184" s="94">
        <v>26</v>
      </c>
    </row>
    <row r="185" spans="1:9" x14ac:dyDescent="0.25">
      <c r="A185" s="93" t="s">
        <v>138</v>
      </c>
      <c r="B185" s="93" t="s">
        <v>128</v>
      </c>
      <c r="C185" s="93">
        <v>999997</v>
      </c>
      <c r="D185" s="93" t="s">
        <v>712</v>
      </c>
      <c r="E185" s="93"/>
      <c r="F185" s="93"/>
      <c r="G185" s="93" t="str">
        <f t="shared" si="2"/>
        <v>BridgewatchB26</v>
      </c>
      <c r="H185" s="94" t="s">
        <v>377</v>
      </c>
      <c r="I185" s="94">
        <v>26</v>
      </c>
    </row>
    <row r="186" spans="1:9" x14ac:dyDescent="0.25">
      <c r="A186" s="93" t="s">
        <v>138</v>
      </c>
      <c r="B186" s="93" t="s">
        <v>129</v>
      </c>
      <c r="C186" s="93">
        <v>1500000</v>
      </c>
      <c r="D186" s="93" t="s">
        <v>764</v>
      </c>
      <c r="E186" s="93"/>
      <c r="F186" s="93"/>
      <c r="G186" s="93" t="str">
        <f t="shared" si="2"/>
        <v>CaerleonB26</v>
      </c>
      <c r="H186" s="94" t="s">
        <v>377</v>
      </c>
      <c r="I186" s="94">
        <v>26</v>
      </c>
    </row>
    <row r="187" spans="1:9" x14ac:dyDescent="0.25">
      <c r="A187" s="93" t="s">
        <v>138</v>
      </c>
      <c r="B187" s="93" t="s">
        <v>130</v>
      </c>
      <c r="C187" s="93"/>
      <c r="D187" s="93"/>
      <c r="E187" s="93"/>
      <c r="F187" s="93"/>
      <c r="G187" s="93" t="str">
        <f t="shared" si="2"/>
        <v>Fort SterlingB26</v>
      </c>
      <c r="H187" s="94" t="s">
        <v>377</v>
      </c>
      <c r="I187" s="94">
        <v>26</v>
      </c>
    </row>
    <row r="188" spans="1:9" x14ac:dyDescent="0.25">
      <c r="A188" s="93" t="s">
        <v>138</v>
      </c>
      <c r="B188" s="93" t="s">
        <v>131</v>
      </c>
      <c r="C188" s="93"/>
      <c r="D188" s="93"/>
      <c r="E188" s="93"/>
      <c r="F188" s="93"/>
      <c r="G188" s="93" t="str">
        <f t="shared" si="2"/>
        <v>LymhurstB26</v>
      </c>
      <c r="H188" s="94" t="s">
        <v>377</v>
      </c>
      <c r="I188" s="94">
        <v>26</v>
      </c>
    </row>
    <row r="189" spans="1:9" x14ac:dyDescent="0.25">
      <c r="A189" s="93" t="s">
        <v>138</v>
      </c>
      <c r="B189" s="93" t="s">
        <v>132</v>
      </c>
      <c r="C189" s="93">
        <v>1019927</v>
      </c>
      <c r="D189" s="93" t="s">
        <v>724</v>
      </c>
      <c r="E189" s="93"/>
      <c r="F189" s="93"/>
      <c r="G189" s="93" t="str">
        <f t="shared" si="2"/>
        <v>MartlockB26</v>
      </c>
      <c r="H189" s="94" t="s">
        <v>377</v>
      </c>
      <c r="I189" s="94">
        <v>26</v>
      </c>
    </row>
    <row r="190" spans="1:9" x14ac:dyDescent="0.25">
      <c r="A190" s="93" t="s">
        <v>138</v>
      </c>
      <c r="B190" s="93" t="s">
        <v>133</v>
      </c>
      <c r="C190" s="93"/>
      <c r="D190" s="93"/>
      <c r="E190" s="93"/>
      <c r="F190" s="93"/>
      <c r="G190" s="93" t="str">
        <f t="shared" si="2"/>
        <v>ThetfordB26</v>
      </c>
      <c r="H190" s="94" t="s">
        <v>377</v>
      </c>
      <c r="I190" s="94">
        <v>26</v>
      </c>
    </row>
    <row r="191" spans="1:9" x14ac:dyDescent="0.25">
      <c r="A191" s="93"/>
      <c r="B191" s="93"/>
      <c r="C191" s="93"/>
      <c r="D191" s="93"/>
      <c r="E191" s="93"/>
      <c r="F191" s="93"/>
      <c r="G191" s="93"/>
      <c r="H191" s="94"/>
      <c r="I191" s="94"/>
    </row>
    <row r="192" spans="1:9" x14ac:dyDescent="0.25">
      <c r="A192" s="93" t="s">
        <v>443</v>
      </c>
      <c r="B192" s="93" t="s">
        <v>127</v>
      </c>
      <c r="C192" s="93">
        <v>44</v>
      </c>
      <c r="D192" s="93" t="s">
        <v>728</v>
      </c>
      <c r="E192" s="93"/>
      <c r="F192" s="93"/>
      <c r="G192" s="93" t="str">
        <f t="shared" si="2"/>
        <v>BrecilienR0</v>
      </c>
      <c r="H192" s="94" t="s">
        <v>380</v>
      </c>
      <c r="I192" s="94">
        <v>0</v>
      </c>
    </row>
    <row r="193" spans="1:9" x14ac:dyDescent="0.25">
      <c r="A193" s="93" t="s">
        <v>443</v>
      </c>
      <c r="B193" s="93" t="s">
        <v>128</v>
      </c>
      <c r="C193" s="93">
        <v>36</v>
      </c>
      <c r="D193" s="93" t="s">
        <v>704</v>
      </c>
      <c r="E193" s="93">
        <v>33</v>
      </c>
      <c r="F193" s="93" t="s">
        <v>713</v>
      </c>
      <c r="G193" s="93" t="str">
        <f t="shared" si="2"/>
        <v>BridgewatchR0</v>
      </c>
      <c r="H193" s="94" t="s">
        <v>380</v>
      </c>
      <c r="I193" s="94">
        <v>0</v>
      </c>
    </row>
    <row r="194" spans="1:9" x14ac:dyDescent="0.25">
      <c r="A194" s="93" t="s">
        <v>443</v>
      </c>
      <c r="B194" s="93" t="s">
        <v>129</v>
      </c>
      <c r="C194" s="93">
        <v>65</v>
      </c>
      <c r="D194" s="93" t="s">
        <v>765</v>
      </c>
      <c r="E194" s="93"/>
      <c r="F194" s="93"/>
      <c r="G194" s="93" t="str">
        <f t="shared" si="2"/>
        <v>CaerleonR0</v>
      </c>
      <c r="H194" s="94" t="s">
        <v>380</v>
      </c>
      <c r="I194" s="94">
        <v>0</v>
      </c>
    </row>
    <row r="195" spans="1:9" x14ac:dyDescent="0.25">
      <c r="A195" s="93" t="s">
        <v>443</v>
      </c>
      <c r="B195" s="93" t="s">
        <v>130</v>
      </c>
      <c r="C195" s="93"/>
      <c r="D195" s="93"/>
      <c r="E195" s="93"/>
      <c r="F195" s="93"/>
      <c r="G195" s="93" t="str">
        <f t="shared" ref="G195:G258" si="3">_xlfn.CONCAT(B195,H195,I195)</f>
        <v>Fort SterlingR0</v>
      </c>
      <c r="H195" s="94" t="s">
        <v>380</v>
      </c>
      <c r="I195" s="94">
        <v>0</v>
      </c>
    </row>
    <row r="196" spans="1:9" x14ac:dyDescent="0.25">
      <c r="A196" s="93" t="s">
        <v>443</v>
      </c>
      <c r="B196" s="93" t="s">
        <v>131</v>
      </c>
      <c r="C196" s="93">
        <v>46</v>
      </c>
      <c r="D196" s="93" t="s">
        <v>735</v>
      </c>
      <c r="E196" s="93"/>
      <c r="F196" s="93"/>
      <c r="G196" s="93" t="str">
        <f t="shared" si="3"/>
        <v>LymhurstR0</v>
      </c>
      <c r="H196" s="94" t="s">
        <v>380</v>
      </c>
      <c r="I196" s="94">
        <v>0</v>
      </c>
    </row>
    <row r="197" spans="1:9" x14ac:dyDescent="0.25">
      <c r="A197" s="93" t="s">
        <v>443</v>
      </c>
      <c r="B197" s="93" t="s">
        <v>132</v>
      </c>
      <c r="C197" s="93">
        <v>52</v>
      </c>
      <c r="D197" s="93" t="s">
        <v>758</v>
      </c>
      <c r="E197" s="93"/>
      <c r="F197" s="93"/>
      <c r="G197" s="93" t="str">
        <f t="shared" si="3"/>
        <v>MartlockR0</v>
      </c>
      <c r="H197" s="94" t="s">
        <v>380</v>
      </c>
      <c r="I197" s="94">
        <v>0</v>
      </c>
    </row>
    <row r="198" spans="1:9" x14ac:dyDescent="0.25">
      <c r="A198" s="93" t="s">
        <v>443</v>
      </c>
      <c r="B198" s="93" t="s">
        <v>133</v>
      </c>
      <c r="C198" s="93">
        <v>38</v>
      </c>
      <c r="D198" s="93" t="s">
        <v>743</v>
      </c>
      <c r="E198" s="93"/>
      <c r="F198" s="93"/>
      <c r="G198" s="93" t="str">
        <f t="shared" si="3"/>
        <v>ThetfordR0</v>
      </c>
      <c r="H198" s="94" t="s">
        <v>380</v>
      </c>
      <c r="I198" s="94">
        <v>0</v>
      </c>
    </row>
    <row r="199" spans="1:9" x14ac:dyDescent="0.25">
      <c r="A199" s="93" t="s">
        <v>165</v>
      </c>
      <c r="B199" s="93" t="s">
        <v>127</v>
      </c>
      <c r="C199" s="93">
        <v>299</v>
      </c>
      <c r="D199" s="93" t="s">
        <v>728</v>
      </c>
      <c r="E199" s="93"/>
      <c r="F199" s="93"/>
      <c r="G199" s="93" t="str">
        <f t="shared" si="3"/>
        <v>BrecilienR1</v>
      </c>
      <c r="H199" s="94" t="s">
        <v>380</v>
      </c>
      <c r="I199" s="94">
        <v>1</v>
      </c>
    </row>
    <row r="200" spans="1:9" x14ac:dyDescent="0.25">
      <c r="A200" s="93" t="s">
        <v>165</v>
      </c>
      <c r="B200" s="93" t="s">
        <v>128</v>
      </c>
      <c r="C200" s="93">
        <v>169</v>
      </c>
      <c r="D200" s="93" t="s">
        <v>714</v>
      </c>
      <c r="E200" s="93">
        <v>163</v>
      </c>
      <c r="F200" s="93" t="s">
        <v>714</v>
      </c>
      <c r="G200" s="93" t="str">
        <f t="shared" si="3"/>
        <v>BridgewatchR1</v>
      </c>
      <c r="H200" s="94" t="s">
        <v>380</v>
      </c>
      <c r="I200" s="94">
        <v>1</v>
      </c>
    </row>
    <row r="201" spans="1:9" x14ac:dyDescent="0.25">
      <c r="A201" s="93" t="s">
        <v>165</v>
      </c>
      <c r="B201" s="93" t="s">
        <v>129</v>
      </c>
      <c r="C201" s="93">
        <v>283</v>
      </c>
      <c r="D201" s="93" t="s">
        <v>748</v>
      </c>
      <c r="E201" s="93">
        <v>225</v>
      </c>
      <c r="F201" s="93" t="s">
        <v>748</v>
      </c>
      <c r="G201" s="93" t="str">
        <f t="shared" si="3"/>
        <v>CaerleonR1</v>
      </c>
      <c r="H201" s="94" t="s">
        <v>380</v>
      </c>
      <c r="I201" s="94">
        <v>1</v>
      </c>
    </row>
    <row r="202" spans="1:9" x14ac:dyDescent="0.25">
      <c r="A202" s="93" t="s">
        <v>165</v>
      </c>
      <c r="B202" s="93" t="s">
        <v>130</v>
      </c>
      <c r="C202" s="93">
        <v>191</v>
      </c>
      <c r="D202" s="93" t="s">
        <v>708</v>
      </c>
      <c r="E202" s="93"/>
      <c r="F202" s="93"/>
      <c r="G202" s="93" t="str">
        <f t="shared" si="3"/>
        <v>Fort SterlingR1</v>
      </c>
      <c r="H202" s="94" t="s">
        <v>380</v>
      </c>
      <c r="I202" s="94">
        <v>1</v>
      </c>
    </row>
    <row r="203" spans="1:9" x14ac:dyDescent="0.25">
      <c r="A203" s="93" t="s">
        <v>165</v>
      </c>
      <c r="B203" s="93" t="s">
        <v>131</v>
      </c>
      <c r="C203" s="93"/>
      <c r="D203" s="93"/>
      <c r="E203" s="93"/>
      <c r="F203" s="93"/>
      <c r="G203" s="93" t="str">
        <f t="shared" si="3"/>
        <v>LymhurstR1</v>
      </c>
      <c r="H203" s="94" t="s">
        <v>380</v>
      </c>
      <c r="I203" s="94">
        <v>1</v>
      </c>
    </row>
    <row r="204" spans="1:9" x14ac:dyDescent="0.25">
      <c r="A204" s="93" t="s">
        <v>165</v>
      </c>
      <c r="B204" s="93" t="s">
        <v>132</v>
      </c>
      <c r="C204" s="93">
        <v>156</v>
      </c>
      <c r="D204" s="93" t="s">
        <v>758</v>
      </c>
      <c r="E204" s="93">
        <v>148</v>
      </c>
      <c r="F204" s="93" t="s">
        <v>766</v>
      </c>
      <c r="G204" s="93" t="str">
        <f t="shared" si="3"/>
        <v>MartlockR1</v>
      </c>
      <c r="H204" s="94" t="s">
        <v>380</v>
      </c>
      <c r="I204" s="94">
        <v>1</v>
      </c>
    </row>
    <row r="205" spans="1:9" x14ac:dyDescent="0.25">
      <c r="A205" s="93" t="s">
        <v>165</v>
      </c>
      <c r="B205" s="93" t="s">
        <v>133</v>
      </c>
      <c r="C205" s="93"/>
      <c r="D205" s="93"/>
      <c r="E205" s="93"/>
      <c r="F205" s="93"/>
      <c r="G205" s="93" t="str">
        <f t="shared" si="3"/>
        <v>ThetfordR1</v>
      </c>
      <c r="H205" s="94" t="s">
        <v>380</v>
      </c>
      <c r="I205" s="94">
        <v>1</v>
      </c>
    </row>
    <row r="206" spans="1:9" x14ac:dyDescent="0.25">
      <c r="A206" s="93" t="s">
        <v>166</v>
      </c>
      <c r="B206" s="93" t="s">
        <v>127</v>
      </c>
      <c r="C206" s="93"/>
      <c r="D206" s="93"/>
      <c r="E206" s="93"/>
      <c r="F206" s="93"/>
      <c r="G206" s="93" t="str">
        <f t="shared" si="3"/>
        <v>BrecilienR2</v>
      </c>
      <c r="H206" s="94" t="s">
        <v>380</v>
      </c>
      <c r="I206" s="94">
        <v>2</v>
      </c>
    </row>
    <row r="207" spans="1:9" x14ac:dyDescent="0.25">
      <c r="A207" s="93" t="s">
        <v>166</v>
      </c>
      <c r="B207" s="93" t="s">
        <v>128</v>
      </c>
      <c r="C207" s="93">
        <v>203</v>
      </c>
      <c r="D207" s="93" t="s">
        <v>715</v>
      </c>
      <c r="E207" s="93">
        <v>192</v>
      </c>
      <c r="F207" s="93" t="s">
        <v>715</v>
      </c>
      <c r="G207" s="93" t="str">
        <f t="shared" si="3"/>
        <v>BridgewatchR2</v>
      </c>
      <c r="H207" s="94" t="s">
        <v>380</v>
      </c>
      <c r="I207" s="94">
        <v>2</v>
      </c>
    </row>
    <row r="208" spans="1:9" x14ac:dyDescent="0.25">
      <c r="A208" s="93" t="s">
        <v>166</v>
      </c>
      <c r="B208" s="93" t="s">
        <v>129</v>
      </c>
      <c r="C208" s="93"/>
      <c r="D208" s="93"/>
      <c r="E208" s="93"/>
      <c r="F208" s="93"/>
      <c r="G208" s="93" t="str">
        <f t="shared" si="3"/>
        <v>CaerleonR2</v>
      </c>
      <c r="H208" s="94" t="s">
        <v>380</v>
      </c>
      <c r="I208" s="94">
        <v>2</v>
      </c>
    </row>
    <row r="209" spans="1:9" x14ac:dyDescent="0.25">
      <c r="A209" s="93" t="s">
        <v>166</v>
      </c>
      <c r="B209" s="93" t="s">
        <v>130</v>
      </c>
      <c r="C209" s="93">
        <v>201</v>
      </c>
      <c r="D209" s="93" t="s">
        <v>767</v>
      </c>
      <c r="E209" s="93">
        <v>185</v>
      </c>
      <c r="F209" s="93" t="s">
        <v>767</v>
      </c>
      <c r="G209" s="93" t="str">
        <f t="shared" si="3"/>
        <v>Fort SterlingR2</v>
      </c>
      <c r="H209" s="94" t="s">
        <v>380</v>
      </c>
      <c r="I209" s="94">
        <v>2</v>
      </c>
    </row>
    <row r="210" spans="1:9" x14ac:dyDescent="0.25">
      <c r="A210" s="93" t="s">
        <v>166</v>
      </c>
      <c r="B210" s="93" t="s">
        <v>131</v>
      </c>
      <c r="C210" s="93">
        <v>199</v>
      </c>
      <c r="D210" s="93" t="s">
        <v>709</v>
      </c>
      <c r="E210" s="93">
        <v>175</v>
      </c>
      <c r="F210" s="93" t="s">
        <v>709</v>
      </c>
      <c r="G210" s="93" t="str">
        <f t="shared" si="3"/>
        <v>LymhurstR2</v>
      </c>
      <c r="H210" s="94" t="s">
        <v>380</v>
      </c>
      <c r="I210" s="94">
        <v>2</v>
      </c>
    </row>
    <row r="211" spans="1:9" x14ac:dyDescent="0.25">
      <c r="A211" s="93" t="s">
        <v>166</v>
      </c>
      <c r="B211" s="93" t="s">
        <v>132</v>
      </c>
      <c r="C211" s="93">
        <v>201</v>
      </c>
      <c r="D211" s="93" t="s">
        <v>724</v>
      </c>
      <c r="E211" s="93"/>
      <c r="F211" s="93"/>
      <c r="G211" s="93" t="str">
        <f t="shared" si="3"/>
        <v>MartlockR2</v>
      </c>
      <c r="H211" s="94" t="s">
        <v>380</v>
      </c>
      <c r="I211" s="94">
        <v>2</v>
      </c>
    </row>
    <row r="212" spans="1:9" x14ac:dyDescent="0.25">
      <c r="A212" s="93" t="s">
        <v>166</v>
      </c>
      <c r="B212" s="93" t="s">
        <v>133</v>
      </c>
      <c r="C212" s="93"/>
      <c r="D212" s="93"/>
      <c r="E212" s="93"/>
      <c r="F212" s="93"/>
      <c r="G212" s="93" t="str">
        <f t="shared" si="3"/>
        <v>ThetfordR2</v>
      </c>
      <c r="H212" s="94" t="s">
        <v>380</v>
      </c>
      <c r="I212" s="94">
        <v>2</v>
      </c>
    </row>
    <row r="213" spans="1:9" x14ac:dyDescent="0.25">
      <c r="A213" s="93" t="s">
        <v>167</v>
      </c>
      <c r="B213" s="93" t="s">
        <v>127</v>
      </c>
      <c r="C213" s="93"/>
      <c r="D213" s="93"/>
      <c r="E213" s="93"/>
      <c r="F213" s="93"/>
      <c r="G213" s="93" t="str">
        <f t="shared" si="3"/>
        <v>BrecilienR3</v>
      </c>
      <c r="H213" s="94" t="s">
        <v>380</v>
      </c>
      <c r="I213" s="94">
        <v>3</v>
      </c>
    </row>
    <row r="214" spans="1:9" x14ac:dyDescent="0.25">
      <c r="A214" s="93" t="s">
        <v>167</v>
      </c>
      <c r="B214" s="93" t="s">
        <v>128</v>
      </c>
      <c r="C214" s="93">
        <v>439</v>
      </c>
      <c r="D214" s="93" t="s">
        <v>710</v>
      </c>
      <c r="E214" s="93">
        <v>283</v>
      </c>
      <c r="F214" s="93" t="s">
        <v>716</v>
      </c>
      <c r="G214" s="93" t="str">
        <f t="shared" si="3"/>
        <v>BridgewatchR3</v>
      </c>
      <c r="H214" s="94" t="s">
        <v>380</v>
      </c>
      <c r="I214" s="94">
        <v>3</v>
      </c>
    </row>
    <row r="215" spans="1:9" x14ac:dyDescent="0.25">
      <c r="A215" s="93" t="s">
        <v>167</v>
      </c>
      <c r="B215" s="93" t="s">
        <v>129</v>
      </c>
      <c r="C215" s="93"/>
      <c r="D215" s="93"/>
      <c r="E215" s="93"/>
      <c r="F215" s="93"/>
      <c r="G215" s="93" t="str">
        <f t="shared" si="3"/>
        <v>CaerleonR3</v>
      </c>
      <c r="H215" s="94" t="s">
        <v>380</v>
      </c>
      <c r="I215" s="94">
        <v>3</v>
      </c>
    </row>
    <row r="216" spans="1:9" x14ac:dyDescent="0.25">
      <c r="A216" s="93" t="s">
        <v>167</v>
      </c>
      <c r="B216" s="93" t="s">
        <v>130</v>
      </c>
      <c r="C216" s="93">
        <v>407</v>
      </c>
      <c r="D216" s="93" t="s">
        <v>739</v>
      </c>
      <c r="E216" s="93"/>
      <c r="F216" s="93"/>
      <c r="G216" s="93" t="str">
        <f t="shared" si="3"/>
        <v>Fort SterlingR3</v>
      </c>
      <c r="H216" s="94" t="s">
        <v>380</v>
      </c>
      <c r="I216" s="94">
        <v>3</v>
      </c>
    </row>
    <row r="217" spans="1:9" x14ac:dyDescent="0.25">
      <c r="A217" s="93" t="s">
        <v>167</v>
      </c>
      <c r="B217" s="93" t="s">
        <v>131</v>
      </c>
      <c r="C217" s="93">
        <v>530</v>
      </c>
      <c r="D217" s="93" t="s">
        <v>709</v>
      </c>
      <c r="E217" s="93">
        <v>401</v>
      </c>
      <c r="F217" s="93" t="s">
        <v>709</v>
      </c>
      <c r="G217" s="93" t="str">
        <f t="shared" si="3"/>
        <v>LymhurstR3</v>
      </c>
      <c r="H217" s="94" t="s">
        <v>380</v>
      </c>
      <c r="I217" s="94">
        <v>3</v>
      </c>
    </row>
    <row r="218" spans="1:9" x14ac:dyDescent="0.25">
      <c r="A218" s="93" t="s">
        <v>167</v>
      </c>
      <c r="B218" s="93" t="s">
        <v>132</v>
      </c>
      <c r="C218" s="93">
        <v>460</v>
      </c>
      <c r="D218" s="93" t="s">
        <v>724</v>
      </c>
      <c r="E218" s="93"/>
      <c r="F218" s="93"/>
      <c r="G218" s="93" t="str">
        <f t="shared" si="3"/>
        <v>MartlockR3</v>
      </c>
      <c r="H218" s="94" t="s">
        <v>380</v>
      </c>
      <c r="I218" s="94">
        <v>3</v>
      </c>
    </row>
    <row r="219" spans="1:9" x14ac:dyDescent="0.25">
      <c r="A219" s="93" t="s">
        <v>167</v>
      </c>
      <c r="B219" s="93" t="s">
        <v>133</v>
      </c>
      <c r="C219" s="93">
        <v>456</v>
      </c>
      <c r="D219" s="93" t="s">
        <v>768</v>
      </c>
      <c r="E219" s="93"/>
      <c r="F219" s="93"/>
      <c r="G219" s="93" t="str">
        <f t="shared" si="3"/>
        <v>ThetfordR3</v>
      </c>
      <c r="H219" s="94" t="s">
        <v>380</v>
      </c>
      <c r="I219" s="94">
        <v>3</v>
      </c>
    </row>
    <row r="220" spans="1:9" x14ac:dyDescent="0.25">
      <c r="A220" s="93" t="s">
        <v>168</v>
      </c>
      <c r="B220" s="93" t="s">
        <v>127</v>
      </c>
      <c r="C220" s="93"/>
      <c r="D220" s="93"/>
      <c r="E220" s="93"/>
      <c r="F220" s="93"/>
      <c r="G220" s="93" t="str">
        <f t="shared" si="3"/>
        <v>BrecilienR4</v>
      </c>
      <c r="H220" s="94" t="s">
        <v>380</v>
      </c>
      <c r="I220" s="94">
        <v>4</v>
      </c>
    </row>
    <row r="221" spans="1:9" x14ac:dyDescent="0.25">
      <c r="A221" s="93" t="s">
        <v>168</v>
      </c>
      <c r="B221" s="93" t="s">
        <v>128</v>
      </c>
      <c r="C221" s="93">
        <v>1578</v>
      </c>
      <c r="D221" s="93" t="s">
        <v>717</v>
      </c>
      <c r="E221" s="93">
        <v>1313</v>
      </c>
      <c r="F221" s="93" t="s">
        <v>718</v>
      </c>
      <c r="G221" s="93" t="str">
        <f t="shared" si="3"/>
        <v>BridgewatchR4</v>
      </c>
      <c r="H221" s="94" t="s">
        <v>380</v>
      </c>
      <c r="I221" s="94">
        <v>4</v>
      </c>
    </row>
    <row r="222" spans="1:9" x14ac:dyDescent="0.25">
      <c r="A222" s="93" t="s">
        <v>168</v>
      </c>
      <c r="B222" s="93" t="s">
        <v>129</v>
      </c>
      <c r="C222" s="93">
        <v>1700</v>
      </c>
      <c r="D222" s="93" t="s">
        <v>769</v>
      </c>
      <c r="E222" s="93"/>
      <c r="F222" s="93"/>
      <c r="G222" s="93" t="str">
        <f t="shared" si="3"/>
        <v>CaerleonR4</v>
      </c>
      <c r="H222" s="94" t="s">
        <v>380</v>
      </c>
      <c r="I222" s="94">
        <v>4</v>
      </c>
    </row>
    <row r="223" spans="1:9" x14ac:dyDescent="0.25">
      <c r="A223" s="93" t="s">
        <v>168</v>
      </c>
      <c r="B223" s="93" t="s">
        <v>130</v>
      </c>
      <c r="C223" s="93">
        <v>1599</v>
      </c>
      <c r="D223" s="93" t="s">
        <v>770</v>
      </c>
      <c r="E223" s="93">
        <v>1203</v>
      </c>
      <c r="F223" s="93" t="s">
        <v>771</v>
      </c>
      <c r="G223" s="93" t="str">
        <f t="shared" si="3"/>
        <v>Fort SterlingR4</v>
      </c>
      <c r="H223" s="94" t="s">
        <v>380</v>
      </c>
      <c r="I223" s="94">
        <v>4</v>
      </c>
    </row>
    <row r="224" spans="1:9" x14ac:dyDescent="0.25">
      <c r="A224" s="93" t="s">
        <v>168</v>
      </c>
      <c r="B224" s="93" t="s">
        <v>131</v>
      </c>
      <c r="C224" s="93">
        <v>1658</v>
      </c>
      <c r="D224" s="93" t="s">
        <v>736</v>
      </c>
      <c r="E224" s="93">
        <v>1307</v>
      </c>
      <c r="F224" s="93" t="s">
        <v>718</v>
      </c>
      <c r="G224" s="93" t="str">
        <f t="shared" si="3"/>
        <v>LymhurstR4</v>
      </c>
      <c r="H224" s="94" t="s">
        <v>380</v>
      </c>
      <c r="I224" s="94">
        <v>4</v>
      </c>
    </row>
    <row r="225" spans="1:9" x14ac:dyDescent="0.25">
      <c r="A225" s="93" t="s">
        <v>168</v>
      </c>
      <c r="B225" s="93" t="s">
        <v>132</v>
      </c>
      <c r="C225" s="93">
        <v>1493</v>
      </c>
      <c r="D225" s="93" t="s">
        <v>724</v>
      </c>
      <c r="E225" s="93"/>
      <c r="F225" s="93"/>
      <c r="G225" s="93" t="str">
        <f t="shared" si="3"/>
        <v>MartlockR4</v>
      </c>
      <c r="H225" s="94" t="s">
        <v>380</v>
      </c>
      <c r="I225" s="94">
        <v>4</v>
      </c>
    </row>
    <row r="226" spans="1:9" x14ac:dyDescent="0.25">
      <c r="A226" s="93" t="s">
        <v>168</v>
      </c>
      <c r="B226" s="93" t="s">
        <v>133</v>
      </c>
      <c r="C226" s="93"/>
      <c r="D226" s="93"/>
      <c r="E226" s="93"/>
      <c r="F226" s="93"/>
      <c r="G226" s="93" t="str">
        <f t="shared" si="3"/>
        <v>ThetfordR4</v>
      </c>
      <c r="H226" s="94" t="s">
        <v>380</v>
      </c>
      <c r="I226" s="94">
        <v>4</v>
      </c>
    </row>
    <row r="227" spans="1:9" x14ac:dyDescent="0.25">
      <c r="A227" s="93" t="s">
        <v>169</v>
      </c>
      <c r="B227" s="93" t="s">
        <v>127</v>
      </c>
      <c r="C227" s="93">
        <v>9990</v>
      </c>
      <c r="D227" s="93" t="s">
        <v>772</v>
      </c>
      <c r="E227" s="93">
        <v>8101</v>
      </c>
      <c r="F227" s="93" t="s">
        <v>726</v>
      </c>
      <c r="G227" s="93" t="str">
        <f t="shared" si="3"/>
        <v>BrecilienR5</v>
      </c>
      <c r="H227" s="94" t="s">
        <v>380</v>
      </c>
      <c r="I227" s="94">
        <v>5</v>
      </c>
    </row>
    <row r="228" spans="1:9" x14ac:dyDescent="0.25">
      <c r="A228" s="93" t="s">
        <v>169</v>
      </c>
      <c r="B228" s="93" t="s">
        <v>128</v>
      </c>
      <c r="C228" s="93"/>
      <c r="D228" s="93"/>
      <c r="E228" s="93"/>
      <c r="F228" s="93"/>
      <c r="G228" s="93" t="str">
        <f t="shared" si="3"/>
        <v>BridgewatchR5</v>
      </c>
      <c r="H228" s="94" t="s">
        <v>380</v>
      </c>
      <c r="I228" s="94">
        <v>5</v>
      </c>
    </row>
    <row r="229" spans="1:9" x14ac:dyDescent="0.25">
      <c r="A229" s="93" t="s">
        <v>169</v>
      </c>
      <c r="B229" s="93" t="s">
        <v>129</v>
      </c>
      <c r="C229" s="93"/>
      <c r="D229" s="93"/>
      <c r="E229" s="93"/>
      <c r="F229" s="93"/>
      <c r="G229" s="93" t="str">
        <f t="shared" si="3"/>
        <v>CaerleonR5</v>
      </c>
      <c r="H229" s="94" t="s">
        <v>380</v>
      </c>
      <c r="I229" s="94">
        <v>5</v>
      </c>
    </row>
    <row r="230" spans="1:9" x14ac:dyDescent="0.25">
      <c r="A230" s="93" t="s">
        <v>169</v>
      </c>
      <c r="B230" s="93" t="s">
        <v>130</v>
      </c>
      <c r="C230" s="93">
        <v>7594</v>
      </c>
      <c r="D230" s="93" t="s">
        <v>773</v>
      </c>
      <c r="E230" s="93">
        <v>7028</v>
      </c>
      <c r="F230" s="93" t="s">
        <v>774</v>
      </c>
      <c r="G230" s="93" t="str">
        <f t="shared" si="3"/>
        <v>Fort SterlingR5</v>
      </c>
      <c r="H230" s="94" t="s">
        <v>380</v>
      </c>
      <c r="I230" s="94">
        <v>5</v>
      </c>
    </row>
    <row r="231" spans="1:9" x14ac:dyDescent="0.25">
      <c r="A231" s="93" t="s">
        <v>169</v>
      </c>
      <c r="B231" s="93" t="s">
        <v>131</v>
      </c>
      <c r="C231" s="93">
        <v>8731</v>
      </c>
      <c r="D231" s="93" t="s">
        <v>709</v>
      </c>
      <c r="E231" s="93">
        <v>8600</v>
      </c>
      <c r="F231" s="93" t="s">
        <v>709</v>
      </c>
      <c r="G231" s="93" t="str">
        <f t="shared" si="3"/>
        <v>LymhurstR5</v>
      </c>
      <c r="H231" s="94" t="s">
        <v>380</v>
      </c>
      <c r="I231" s="94">
        <v>5</v>
      </c>
    </row>
    <row r="232" spans="1:9" x14ac:dyDescent="0.25">
      <c r="A232" s="93" t="s">
        <v>169</v>
      </c>
      <c r="B232" s="93" t="s">
        <v>132</v>
      </c>
      <c r="C232" s="93">
        <v>8279</v>
      </c>
      <c r="D232" s="93" t="s">
        <v>775</v>
      </c>
      <c r="E232" s="93"/>
      <c r="F232" s="93"/>
      <c r="G232" s="93" t="str">
        <f t="shared" si="3"/>
        <v>MartlockR5</v>
      </c>
      <c r="H232" s="94" t="s">
        <v>380</v>
      </c>
      <c r="I232" s="94">
        <v>5</v>
      </c>
    </row>
    <row r="233" spans="1:9" x14ac:dyDescent="0.25">
      <c r="A233" s="93" t="s">
        <v>169</v>
      </c>
      <c r="B233" s="93" t="s">
        <v>133</v>
      </c>
      <c r="C233" s="93"/>
      <c r="D233" s="93"/>
      <c r="E233" s="93"/>
      <c r="F233" s="93"/>
      <c r="G233" s="93" t="str">
        <f t="shared" si="3"/>
        <v>ThetfordR5</v>
      </c>
      <c r="H233" s="94" t="s">
        <v>380</v>
      </c>
      <c r="I233" s="94">
        <v>5</v>
      </c>
    </row>
    <row r="234" spans="1:9" x14ac:dyDescent="0.25">
      <c r="A234" s="93" t="s">
        <v>170</v>
      </c>
      <c r="B234" s="93" t="s">
        <v>127</v>
      </c>
      <c r="C234" s="93"/>
      <c r="D234" s="93"/>
      <c r="E234" s="93"/>
      <c r="F234" s="93"/>
      <c r="G234" s="93" t="str">
        <f t="shared" si="3"/>
        <v>BrecilienR6</v>
      </c>
      <c r="H234" s="94" t="s">
        <v>380</v>
      </c>
      <c r="I234" s="94">
        <v>6</v>
      </c>
    </row>
    <row r="235" spans="1:9" x14ac:dyDescent="0.25">
      <c r="A235" s="93" t="s">
        <v>170</v>
      </c>
      <c r="B235" s="93" t="s">
        <v>128</v>
      </c>
      <c r="C235" s="93"/>
      <c r="D235" s="93"/>
      <c r="E235" s="93"/>
      <c r="F235" s="93"/>
      <c r="G235" s="93" t="str">
        <f t="shared" si="3"/>
        <v>BridgewatchR6</v>
      </c>
      <c r="H235" s="94" t="s">
        <v>380</v>
      </c>
      <c r="I235" s="94">
        <v>6</v>
      </c>
    </row>
    <row r="236" spans="1:9" x14ac:dyDescent="0.25">
      <c r="A236" s="93" t="s">
        <v>170</v>
      </c>
      <c r="B236" s="93" t="s">
        <v>129</v>
      </c>
      <c r="C236" s="93">
        <v>38989</v>
      </c>
      <c r="D236" s="93" t="s">
        <v>751</v>
      </c>
      <c r="E236" s="93"/>
      <c r="F236" s="93"/>
      <c r="G236" s="93" t="str">
        <f t="shared" si="3"/>
        <v>CaerleonR6</v>
      </c>
      <c r="H236" s="94" t="s">
        <v>380</v>
      </c>
      <c r="I236" s="94">
        <v>6</v>
      </c>
    </row>
    <row r="237" spans="1:9" x14ac:dyDescent="0.25">
      <c r="A237" s="93" t="s">
        <v>170</v>
      </c>
      <c r="B237" s="93" t="s">
        <v>130</v>
      </c>
      <c r="C237" s="93">
        <v>39979</v>
      </c>
      <c r="D237" s="93" t="s">
        <v>773</v>
      </c>
      <c r="E237" s="93">
        <v>33124</v>
      </c>
      <c r="F237" s="93" t="s">
        <v>776</v>
      </c>
      <c r="G237" s="93" t="str">
        <f t="shared" si="3"/>
        <v>Fort SterlingR6</v>
      </c>
      <c r="H237" s="94" t="s">
        <v>380</v>
      </c>
      <c r="I237" s="94">
        <v>6</v>
      </c>
    </row>
    <row r="238" spans="1:9" x14ac:dyDescent="0.25">
      <c r="A238" s="93" t="s">
        <v>170</v>
      </c>
      <c r="B238" s="93" t="s">
        <v>131</v>
      </c>
      <c r="C238" s="93">
        <v>36369</v>
      </c>
      <c r="D238" s="93" t="s">
        <v>709</v>
      </c>
      <c r="E238" s="93">
        <v>32036</v>
      </c>
      <c r="F238" s="93" t="s">
        <v>709</v>
      </c>
      <c r="G238" s="93" t="str">
        <f t="shared" si="3"/>
        <v>LymhurstR6</v>
      </c>
      <c r="H238" s="94" t="s">
        <v>380</v>
      </c>
      <c r="I238" s="94">
        <v>6</v>
      </c>
    </row>
    <row r="239" spans="1:9" x14ac:dyDescent="0.25">
      <c r="A239" s="93" t="s">
        <v>170</v>
      </c>
      <c r="B239" s="93" t="s">
        <v>132</v>
      </c>
      <c r="C239" s="93">
        <v>36819</v>
      </c>
      <c r="D239" s="93" t="s">
        <v>724</v>
      </c>
      <c r="E239" s="93"/>
      <c r="F239" s="93"/>
      <c r="G239" s="93" t="str">
        <f t="shared" si="3"/>
        <v>MartlockR6</v>
      </c>
      <c r="H239" s="94" t="s">
        <v>380</v>
      </c>
      <c r="I239" s="94">
        <v>6</v>
      </c>
    </row>
    <row r="240" spans="1:9" x14ac:dyDescent="0.25">
      <c r="A240" s="93" t="s">
        <v>170</v>
      </c>
      <c r="B240" s="93" t="s">
        <v>133</v>
      </c>
      <c r="C240" s="93">
        <v>47994</v>
      </c>
      <c r="D240" s="93" t="s">
        <v>743</v>
      </c>
      <c r="E240" s="93"/>
      <c r="F240" s="93"/>
      <c r="G240" s="93" t="str">
        <f t="shared" si="3"/>
        <v>ThetfordR6</v>
      </c>
      <c r="H240" s="94" t="s">
        <v>380</v>
      </c>
      <c r="I240" s="94">
        <v>6</v>
      </c>
    </row>
    <row r="241" spans="1:9" x14ac:dyDescent="0.25">
      <c r="A241" s="93" t="s">
        <v>171</v>
      </c>
      <c r="B241" s="93" t="s">
        <v>127</v>
      </c>
      <c r="C241" s="93">
        <v>1181</v>
      </c>
      <c r="D241" s="93" t="s">
        <v>728</v>
      </c>
      <c r="E241" s="93"/>
      <c r="F241" s="93"/>
      <c r="G241" s="93" t="str">
        <f t="shared" si="3"/>
        <v>BrecilienR7</v>
      </c>
      <c r="H241" s="94" t="s">
        <v>380</v>
      </c>
      <c r="I241" s="94">
        <v>7</v>
      </c>
    </row>
    <row r="242" spans="1:9" x14ac:dyDescent="0.25">
      <c r="A242" s="93" t="s">
        <v>171</v>
      </c>
      <c r="B242" s="93" t="s">
        <v>128</v>
      </c>
      <c r="C242" s="93">
        <v>999</v>
      </c>
      <c r="D242" s="93" t="s">
        <v>719</v>
      </c>
      <c r="E242" s="93">
        <v>985</v>
      </c>
      <c r="F242" s="93" t="s">
        <v>720</v>
      </c>
      <c r="G242" s="93" t="str">
        <f t="shared" si="3"/>
        <v>BridgewatchR7</v>
      </c>
      <c r="H242" s="94" t="s">
        <v>380</v>
      </c>
      <c r="I242" s="94">
        <v>7</v>
      </c>
    </row>
    <row r="243" spans="1:9" x14ac:dyDescent="0.25">
      <c r="A243" s="93" t="s">
        <v>171</v>
      </c>
      <c r="B243" s="93" t="s">
        <v>129</v>
      </c>
      <c r="C243" s="93"/>
      <c r="D243" s="93"/>
      <c r="E243" s="93"/>
      <c r="F243" s="93"/>
      <c r="G243" s="93" t="str">
        <f t="shared" si="3"/>
        <v>CaerleonR7</v>
      </c>
      <c r="H243" s="94" t="s">
        <v>380</v>
      </c>
      <c r="I243" s="94">
        <v>7</v>
      </c>
    </row>
    <row r="244" spans="1:9" x14ac:dyDescent="0.25">
      <c r="A244" s="93" t="s">
        <v>171</v>
      </c>
      <c r="B244" s="93" t="s">
        <v>130</v>
      </c>
      <c r="C244" s="93">
        <v>1128</v>
      </c>
      <c r="D244" s="93" t="s">
        <v>767</v>
      </c>
      <c r="E244" s="93">
        <v>936</v>
      </c>
      <c r="F244" s="93" t="s">
        <v>767</v>
      </c>
      <c r="G244" s="93" t="str">
        <f t="shared" si="3"/>
        <v>Fort SterlingR7</v>
      </c>
      <c r="H244" s="94" t="s">
        <v>380</v>
      </c>
      <c r="I244" s="94">
        <v>7</v>
      </c>
    </row>
    <row r="245" spans="1:9" x14ac:dyDescent="0.25">
      <c r="A245" s="93" t="s">
        <v>171</v>
      </c>
      <c r="B245" s="93" t="s">
        <v>131</v>
      </c>
      <c r="C245" s="93">
        <v>1052</v>
      </c>
      <c r="D245" s="93" t="s">
        <v>737</v>
      </c>
      <c r="E245" s="93">
        <v>1011</v>
      </c>
      <c r="F245" s="93" t="s">
        <v>738</v>
      </c>
      <c r="G245" s="93" t="str">
        <f t="shared" si="3"/>
        <v>LymhurstR7</v>
      </c>
      <c r="H245" s="94" t="s">
        <v>380</v>
      </c>
      <c r="I245" s="94">
        <v>7</v>
      </c>
    </row>
    <row r="246" spans="1:9" x14ac:dyDescent="0.25">
      <c r="A246" s="93" t="s">
        <v>171</v>
      </c>
      <c r="B246" s="93" t="s">
        <v>132</v>
      </c>
      <c r="C246" s="93">
        <v>917</v>
      </c>
      <c r="D246" s="93" t="s">
        <v>724</v>
      </c>
      <c r="E246" s="93">
        <v>876</v>
      </c>
      <c r="F246" s="93" t="s">
        <v>777</v>
      </c>
      <c r="G246" s="93" t="str">
        <f t="shared" si="3"/>
        <v>MartlockR7</v>
      </c>
      <c r="H246" s="94" t="s">
        <v>380</v>
      </c>
      <c r="I246" s="94">
        <v>7</v>
      </c>
    </row>
    <row r="247" spans="1:9" x14ac:dyDescent="0.25">
      <c r="A247" s="93" t="s">
        <v>171</v>
      </c>
      <c r="B247" s="93" t="s">
        <v>133</v>
      </c>
      <c r="C247" s="93">
        <v>1035</v>
      </c>
      <c r="D247" s="93" t="s">
        <v>768</v>
      </c>
      <c r="E247" s="93"/>
      <c r="F247" s="93"/>
      <c r="G247" s="93" t="str">
        <f t="shared" si="3"/>
        <v>ThetfordR7</v>
      </c>
      <c r="H247" s="94" t="s">
        <v>380</v>
      </c>
      <c r="I247" s="94">
        <v>7</v>
      </c>
    </row>
    <row r="248" spans="1:9" x14ac:dyDescent="0.25">
      <c r="A248" s="93" t="s">
        <v>172</v>
      </c>
      <c r="B248" s="93" t="s">
        <v>127</v>
      </c>
      <c r="C248" s="93"/>
      <c r="D248" s="93"/>
      <c r="E248" s="93"/>
      <c r="F248" s="93"/>
      <c r="G248" s="93" t="str">
        <f t="shared" si="3"/>
        <v>BrecilienR8</v>
      </c>
      <c r="H248" s="94" t="s">
        <v>380</v>
      </c>
      <c r="I248" s="94">
        <v>8</v>
      </c>
    </row>
    <row r="249" spans="1:9" x14ac:dyDescent="0.25">
      <c r="A249" s="93" t="s">
        <v>172</v>
      </c>
      <c r="B249" s="93" t="s">
        <v>128</v>
      </c>
      <c r="C249" s="93">
        <v>1499</v>
      </c>
      <c r="D249" s="93" t="s">
        <v>720</v>
      </c>
      <c r="E249" s="93">
        <v>1449</v>
      </c>
      <c r="F249" s="93" t="s">
        <v>721</v>
      </c>
      <c r="G249" s="93" t="str">
        <f t="shared" si="3"/>
        <v>BridgewatchR8</v>
      </c>
      <c r="H249" s="94" t="s">
        <v>380</v>
      </c>
      <c r="I249" s="94">
        <v>8</v>
      </c>
    </row>
    <row r="250" spans="1:9" x14ac:dyDescent="0.25">
      <c r="A250" s="93" t="s">
        <v>172</v>
      </c>
      <c r="B250" s="93" t="s">
        <v>129</v>
      </c>
      <c r="C250" s="93"/>
      <c r="D250" s="93"/>
      <c r="E250" s="93"/>
      <c r="F250" s="93"/>
      <c r="G250" s="93" t="str">
        <f t="shared" si="3"/>
        <v>CaerleonR8</v>
      </c>
      <c r="H250" s="94" t="s">
        <v>380</v>
      </c>
      <c r="I250" s="94">
        <v>8</v>
      </c>
    </row>
    <row r="251" spans="1:9" x14ac:dyDescent="0.25">
      <c r="A251" s="93" t="s">
        <v>172</v>
      </c>
      <c r="B251" s="93" t="s">
        <v>130</v>
      </c>
      <c r="C251" s="93">
        <v>1792</v>
      </c>
      <c r="D251" s="93" t="s">
        <v>770</v>
      </c>
      <c r="E251" s="93">
        <v>1243</v>
      </c>
      <c r="F251" s="93" t="s">
        <v>711</v>
      </c>
      <c r="G251" s="93" t="str">
        <f t="shared" si="3"/>
        <v>Fort SterlingR8</v>
      </c>
      <c r="H251" s="94" t="s">
        <v>380</v>
      </c>
      <c r="I251" s="94">
        <v>8</v>
      </c>
    </row>
    <row r="252" spans="1:9" x14ac:dyDescent="0.25">
      <c r="A252" s="93" t="s">
        <v>172</v>
      </c>
      <c r="B252" s="93" t="s">
        <v>131</v>
      </c>
      <c r="C252" s="93">
        <v>1754</v>
      </c>
      <c r="D252" s="93" t="s">
        <v>739</v>
      </c>
      <c r="E252" s="93"/>
      <c r="F252" s="93"/>
      <c r="G252" s="93" t="str">
        <f t="shared" si="3"/>
        <v>LymhurstR8</v>
      </c>
      <c r="H252" s="94" t="s">
        <v>380</v>
      </c>
      <c r="I252" s="94">
        <v>8</v>
      </c>
    </row>
    <row r="253" spans="1:9" x14ac:dyDescent="0.25">
      <c r="A253" s="93" t="s">
        <v>172</v>
      </c>
      <c r="B253" s="93" t="s">
        <v>132</v>
      </c>
      <c r="C253" s="93">
        <v>1490</v>
      </c>
      <c r="D253" s="93" t="s">
        <v>724</v>
      </c>
      <c r="E253" s="93"/>
      <c r="F253" s="93"/>
      <c r="G253" s="93" t="str">
        <f t="shared" si="3"/>
        <v>MartlockR8</v>
      </c>
      <c r="H253" s="94" t="s">
        <v>380</v>
      </c>
      <c r="I253" s="94">
        <v>8</v>
      </c>
    </row>
    <row r="254" spans="1:9" x14ac:dyDescent="0.25">
      <c r="A254" s="93" t="s">
        <v>172</v>
      </c>
      <c r="B254" s="93" t="s">
        <v>133</v>
      </c>
      <c r="C254" s="93">
        <v>1644</v>
      </c>
      <c r="D254" s="93" t="s">
        <v>768</v>
      </c>
      <c r="E254" s="93"/>
      <c r="F254" s="93"/>
      <c r="G254" s="93" t="str">
        <f t="shared" si="3"/>
        <v>ThetfordR8</v>
      </c>
      <c r="H254" s="94" t="s">
        <v>380</v>
      </c>
      <c r="I254" s="94">
        <v>8</v>
      </c>
    </row>
    <row r="255" spans="1:9" x14ac:dyDescent="0.25">
      <c r="A255" s="93" t="s">
        <v>173</v>
      </c>
      <c r="B255" s="93" t="s">
        <v>127</v>
      </c>
      <c r="C255" s="93"/>
      <c r="D255" s="93"/>
      <c r="E255" s="93"/>
      <c r="F255" s="93"/>
      <c r="G255" s="93" t="str">
        <f t="shared" si="3"/>
        <v>BrecilienR9</v>
      </c>
      <c r="H255" s="94" t="s">
        <v>380</v>
      </c>
      <c r="I255" s="94">
        <v>9</v>
      </c>
    </row>
    <row r="256" spans="1:9" x14ac:dyDescent="0.25">
      <c r="A256" s="93" t="s">
        <v>173</v>
      </c>
      <c r="B256" s="93" t="s">
        <v>128</v>
      </c>
      <c r="C256" s="93">
        <v>8936</v>
      </c>
      <c r="D256" s="93" t="s">
        <v>722</v>
      </c>
      <c r="E256" s="93"/>
      <c r="F256" s="93"/>
      <c r="G256" s="93" t="str">
        <f t="shared" si="3"/>
        <v>BridgewatchR9</v>
      </c>
      <c r="H256" s="94" t="s">
        <v>380</v>
      </c>
      <c r="I256" s="94">
        <v>9</v>
      </c>
    </row>
    <row r="257" spans="1:9" x14ac:dyDescent="0.25">
      <c r="A257" s="93" t="s">
        <v>173</v>
      </c>
      <c r="B257" s="93" t="s">
        <v>129</v>
      </c>
      <c r="C257" s="93"/>
      <c r="D257" s="93"/>
      <c r="E257" s="93"/>
      <c r="F257" s="93"/>
      <c r="G257" s="93" t="str">
        <f t="shared" si="3"/>
        <v>CaerleonR9</v>
      </c>
      <c r="H257" s="94" t="s">
        <v>380</v>
      </c>
      <c r="I257" s="94">
        <v>9</v>
      </c>
    </row>
    <row r="258" spans="1:9" x14ac:dyDescent="0.25">
      <c r="A258" s="93" t="s">
        <v>173</v>
      </c>
      <c r="B258" s="93" t="s">
        <v>130</v>
      </c>
      <c r="C258" s="93">
        <v>8663</v>
      </c>
      <c r="D258" s="93" t="s">
        <v>739</v>
      </c>
      <c r="E258" s="93">
        <v>6004</v>
      </c>
      <c r="F258" s="93" t="s">
        <v>770</v>
      </c>
      <c r="G258" s="93" t="str">
        <f t="shared" si="3"/>
        <v>Fort SterlingR9</v>
      </c>
      <c r="H258" s="94" t="s">
        <v>380</v>
      </c>
      <c r="I258" s="94">
        <v>9</v>
      </c>
    </row>
    <row r="259" spans="1:9" x14ac:dyDescent="0.25">
      <c r="A259" s="93" t="s">
        <v>173</v>
      </c>
      <c r="B259" s="93" t="s">
        <v>131</v>
      </c>
      <c r="C259" s="93">
        <v>7395</v>
      </c>
      <c r="D259" s="93" t="s">
        <v>736</v>
      </c>
      <c r="E259" s="93">
        <v>6121</v>
      </c>
      <c r="F259" s="93" t="s">
        <v>740</v>
      </c>
      <c r="G259" s="93" t="str">
        <f t="shared" ref="G259:G322" si="4">_xlfn.CONCAT(B259,H259,I259)</f>
        <v>LymhurstR9</v>
      </c>
      <c r="H259" s="94" t="s">
        <v>380</v>
      </c>
      <c r="I259" s="94">
        <v>9</v>
      </c>
    </row>
    <row r="260" spans="1:9" x14ac:dyDescent="0.25">
      <c r="A260" s="93" t="s">
        <v>173</v>
      </c>
      <c r="B260" s="93" t="s">
        <v>132</v>
      </c>
      <c r="C260" s="93">
        <v>7782</v>
      </c>
      <c r="D260" s="93" t="s">
        <v>724</v>
      </c>
      <c r="E260" s="93">
        <v>6890</v>
      </c>
      <c r="F260" s="93" t="s">
        <v>778</v>
      </c>
      <c r="G260" s="93" t="str">
        <f t="shared" si="4"/>
        <v>MartlockR9</v>
      </c>
      <c r="H260" s="94" t="s">
        <v>380</v>
      </c>
      <c r="I260" s="94">
        <v>9</v>
      </c>
    </row>
    <row r="261" spans="1:9" x14ac:dyDescent="0.25">
      <c r="A261" s="93" t="s">
        <v>173</v>
      </c>
      <c r="B261" s="93" t="s">
        <v>133</v>
      </c>
      <c r="C261" s="93"/>
      <c r="D261" s="93"/>
      <c r="E261" s="93"/>
      <c r="F261" s="93"/>
      <c r="G261" s="93" t="str">
        <f t="shared" si="4"/>
        <v>ThetfordR9</v>
      </c>
      <c r="H261" s="94" t="s">
        <v>380</v>
      </c>
      <c r="I261" s="94">
        <v>9</v>
      </c>
    </row>
    <row r="262" spans="1:9" x14ac:dyDescent="0.25">
      <c r="A262" s="93" t="s">
        <v>174</v>
      </c>
      <c r="B262" s="93" t="s">
        <v>127</v>
      </c>
      <c r="C262" s="93"/>
      <c r="D262" s="93"/>
      <c r="E262" s="93"/>
      <c r="F262" s="93"/>
      <c r="G262" s="93" t="str">
        <f t="shared" si="4"/>
        <v>BrecilienR10</v>
      </c>
      <c r="H262" s="94" t="s">
        <v>380</v>
      </c>
      <c r="I262" s="94">
        <v>10</v>
      </c>
    </row>
    <row r="263" spans="1:9" x14ac:dyDescent="0.25">
      <c r="A263" s="93" t="s">
        <v>174</v>
      </c>
      <c r="B263" s="93" t="s">
        <v>128</v>
      </c>
      <c r="C263" s="93"/>
      <c r="D263" s="93"/>
      <c r="E263" s="93"/>
      <c r="F263" s="93"/>
      <c r="G263" s="93" t="str">
        <f t="shared" si="4"/>
        <v>BridgewatchR10</v>
      </c>
      <c r="H263" s="94" t="s">
        <v>380</v>
      </c>
      <c r="I263" s="94">
        <v>10</v>
      </c>
    </row>
    <row r="264" spans="1:9" x14ac:dyDescent="0.25">
      <c r="A264" s="93" t="s">
        <v>174</v>
      </c>
      <c r="B264" s="93" t="s">
        <v>129</v>
      </c>
      <c r="C264" s="93">
        <v>24977</v>
      </c>
      <c r="D264" s="93" t="s">
        <v>779</v>
      </c>
      <c r="E264" s="93"/>
      <c r="F264" s="93"/>
      <c r="G264" s="93" t="str">
        <f t="shared" si="4"/>
        <v>CaerleonR10</v>
      </c>
      <c r="H264" s="94" t="s">
        <v>380</v>
      </c>
      <c r="I264" s="94">
        <v>10</v>
      </c>
    </row>
    <row r="265" spans="1:9" x14ac:dyDescent="0.25">
      <c r="A265" s="93" t="s">
        <v>174</v>
      </c>
      <c r="B265" s="93" t="s">
        <v>130</v>
      </c>
      <c r="C265" s="93">
        <v>24090</v>
      </c>
      <c r="D265" s="93" t="s">
        <v>732</v>
      </c>
      <c r="E265" s="93">
        <v>21050</v>
      </c>
      <c r="F265" s="93" t="s">
        <v>732</v>
      </c>
      <c r="G265" s="93" t="str">
        <f t="shared" si="4"/>
        <v>Fort SterlingR10</v>
      </c>
      <c r="H265" s="94" t="s">
        <v>380</v>
      </c>
      <c r="I265" s="94">
        <v>10</v>
      </c>
    </row>
    <row r="266" spans="1:9" x14ac:dyDescent="0.25">
      <c r="A266" s="93" t="s">
        <v>174</v>
      </c>
      <c r="B266" s="93" t="s">
        <v>131</v>
      </c>
      <c r="C266" s="93"/>
      <c r="D266" s="93"/>
      <c r="E266" s="93"/>
      <c r="F266" s="93"/>
      <c r="G266" s="93" t="str">
        <f t="shared" si="4"/>
        <v>LymhurstR10</v>
      </c>
      <c r="H266" s="94" t="s">
        <v>380</v>
      </c>
      <c r="I266" s="94">
        <v>10</v>
      </c>
    </row>
    <row r="267" spans="1:9" x14ac:dyDescent="0.25">
      <c r="A267" s="93" t="s">
        <v>174</v>
      </c>
      <c r="B267" s="93" t="s">
        <v>132</v>
      </c>
      <c r="C267" s="93">
        <v>23480</v>
      </c>
      <c r="D267" s="93" t="s">
        <v>724</v>
      </c>
      <c r="E267" s="93">
        <v>21501</v>
      </c>
      <c r="F267" s="93" t="s">
        <v>778</v>
      </c>
      <c r="G267" s="93" t="str">
        <f t="shared" si="4"/>
        <v>MartlockR10</v>
      </c>
      <c r="H267" s="94" t="s">
        <v>380</v>
      </c>
      <c r="I267" s="94">
        <v>10</v>
      </c>
    </row>
    <row r="268" spans="1:9" x14ac:dyDescent="0.25">
      <c r="A268" s="93" t="s">
        <v>174</v>
      </c>
      <c r="B268" s="93" t="s">
        <v>133</v>
      </c>
      <c r="C268" s="93"/>
      <c r="D268" s="93"/>
      <c r="E268" s="93"/>
      <c r="F268" s="93"/>
      <c r="G268" s="93" t="str">
        <f t="shared" si="4"/>
        <v>ThetfordR10</v>
      </c>
      <c r="H268" s="94" t="s">
        <v>380</v>
      </c>
      <c r="I268" s="94">
        <v>10</v>
      </c>
    </row>
    <row r="269" spans="1:9" x14ac:dyDescent="0.25">
      <c r="A269" s="93" t="s">
        <v>175</v>
      </c>
      <c r="B269" s="93" t="s">
        <v>127</v>
      </c>
      <c r="C269" s="93"/>
      <c r="D269" s="93"/>
      <c r="E269" s="93"/>
      <c r="F269" s="93"/>
      <c r="G269" s="93" t="str">
        <f t="shared" si="4"/>
        <v>BrecilienR11</v>
      </c>
      <c r="H269" s="94" t="s">
        <v>380</v>
      </c>
      <c r="I269" s="94">
        <v>11</v>
      </c>
    </row>
    <row r="270" spans="1:9" x14ac:dyDescent="0.25">
      <c r="A270" s="93" t="s">
        <v>175</v>
      </c>
      <c r="B270" s="93" t="s">
        <v>128</v>
      </c>
      <c r="C270" s="93"/>
      <c r="D270" s="93"/>
      <c r="E270" s="93"/>
      <c r="F270" s="93"/>
      <c r="G270" s="93" t="str">
        <f t="shared" si="4"/>
        <v>BridgewatchR11</v>
      </c>
      <c r="H270" s="94" t="s">
        <v>380</v>
      </c>
      <c r="I270" s="94">
        <v>11</v>
      </c>
    </row>
    <row r="271" spans="1:9" x14ac:dyDescent="0.25">
      <c r="A271" s="93" t="s">
        <v>175</v>
      </c>
      <c r="B271" s="93" t="s">
        <v>129</v>
      </c>
      <c r="C271" s="93">
        <v>104900</v>
      </c>
      <c r="D271" s="93" t="s">
        <v>701</v>
      </c>
      <c r="E271" s="93"/>
      <c r="F271" s="93"/>
      <c r="G271" s="93" t="str">
        <f t="shared" si="4"/>
        <v>CaerleonR11</v>
      </c>
      <c r="H271" s="94" t="s">
        <v>380</v>
      </c>
      <c r="I271" s="94">
        <v>11</v>
      </c>
    </row>
    <row r="272" spans="1:9" x14ac:dyDescent="0.25">
      <c r="A272" s="93" t="s">
        <v>175</v>
      </c>
      <c r="B272" s="93" t="s">
        <v>130</v>
      </c>
      <c r="C272" s="93">
        <v>93835</v>
      </c>
      <c r="D272" s="93" t="s">
        <v>780</v>
      </c>
      <c r="E272" s="93"/>
      <c r="F272" s="93"/>
      <c r="G272" s="93" t="str">
        <f t="shared" si="4"/>
        <v>Fort SterlingR11</v>
      </c>
      <c r="H272" s="94" t="s">
        <v>380</v>
      </c>
      <c r="I272" s="94">
        <v>11</v>
      </c>
    </row>
    <row r="273" spans="1:9" x14ac:dyDescent="0.25">
      <c r="A273" s="93" t="s">
        <v>175</v>
      </c>
      <c r="B273" s="93" t="s">
        <v>131</v>
      </c>
      <c r="C273" s="93"/>
      <c r="D273" s="93"/>
      <c r="E273" s="93"/>
      <c r="F273" s="93"/>
      <c r="G273" s="93" t="str">
        <f t="shared" si="4"/>
        <v>LymhurstR11</v>
      </c>
      <c r="H273" s="94" t="s">
        <v>380</v>
      </c>
      <c r="I273" s="94">
        <v>11</v>
      </c>
    </row>
    <row r="274" spans="1:9" x14ac:dyDescent="0.25">
      <c r="A274" s="93" t="s">
        <v>175</v>
      </c>
      <c r="B274" s="93" t="s">
        <v>132</v>
      </c>
      <c r="C274" s="93">
        <v>84000</v>
      </c>
      <c r="D274" s="93" t="s">
        <v>724</v>
      </c>
      <c r="E274" s="93"/>
      <c r="F274" s="93"/>
      <c r="G274" s="93" t="str">
        <f t="shared" si="4"/>
        <v>MartlockR11</v>
      </c>
      <c r="H274" s="94" t="s">
        <v>380</v>
      </c>
      <c r="I274" s="94">
        <v>11</v>
      </c>
    </row>
    <row r="275" spans="1:9" x14ac:dyDescent="0.25">
      <c r="A275" s="93" t="s">
        <v>175</v>
      </c>
      <c r="B275" s="93" t="s">
        <v>133</v>
      </c>
      <c r="C275" s="93"/>
      <c r="D275" s="93"/>
      <c r="E275" s="93"/>
      <c r="F275" s="93"/>
      <c r="G275" s="93" t="str">
        <f t="shared" si="4"/>
        <v>ThetfordR11</v>
      </c>
      <c r="H275" s="94" t="s">
        <v>380</v>
      </c>
      <c r="I275" s="94">
        <v>11</v>
      </c>
    </row>
    <row r="276" spans="1:9" x14ac:dyDescent="0.25">
      <c r="A276" s="93" t="s">
        <v>176</v>
      </c>
      <c r="B276" s="93" t="s">
        <v>127</v>
      </c>
      <c r="C276" s="93"/>
      <c r="D276" s="93"/>
      <c r="E276" s="93"/>
      <c r="F276" s="93"/>
      <c r="G276" s="93" t="str">
        <f t="shared" si="4"/>
        <v>BrecilienR12</v>
      </c>
      <c r="H276" s="94" t="s">
        <v>380</v>
      </c>
      <c r="I276" s="94">
        <v>12</v>
      </c>
    </row>
    <row r="277" spans="1:9" x14ac:dyDescent="0.25">
      <c r="A277" s="93" t="s">
        <v>176</v>
      </c>
      <c r="B277" s="93" t="s">
        <v>128</v>
      </c>
      <c r="C277" s="93">
        <v>4391</v>
      </c>
      <c r="D277" s="93" t="s">
        <v>723</v>
      </c>
      <c r="E277" s="93">
        <v>4000</v>
      </c>
      <c r="F277" s="93" t="s">
        <v>710</v>
      </c>
      <c r="G277" s="93" t="str">
        <f t="shared" si="4"/>
        <v>BridgewatchR12</v>
      </c>
      <c r="H277" s="94" t="s">
        <v>380</v>
      </c>
      <c r="I277" s="94">
        <v>12</v>
      </c>
    </row>
    <row r="278" spans="1:9" x14ac:dyDescent="0.25">
      <c r="A278" s="93" t="s">
        <v>176</v>
      </c>
      <c r="B278" s="93" t="s">
        <v>129</v>
      </c>
      <c r="C278" s="93"/>
      <c r="D278" s="93"/>
      <c r="E278" s="93"/>
      <c r="F278" s="93"/>
      <c r="G278" s="93" t="str">
        <f t="shared" si="4"/>
        <v>CaerleonR12</v>
      </c>
      <c r="H278" s="94" t="s">
        <v>380</v>
      </c>
      <c r="I278" s="94">
        <v>12</v>
      </c>
    </row>
    <row r="279" spans="1:9" x14ac:dyDescent="0.25">
      <c r="A279" s="93" t="s">
        <v>176</v>
      </c>
      <c r="B279" s="93" t="s">
        <v>130</v>
      </c>
      <c r="C279" s="93">
        <v>4293</v>
      </c>
      <c r="D279" s="93" t="s">
        <v>767</v>
      </c>
      <c r="E279" s="93">
        <v>4203</v>
      </c>
      <c r="F279" s="93" t="s">
        <v>767</v>
      </c>
      <c r="G279" s="93" t="str">
        <f t="shared" si="4"/>
        <v>Fort SterlingR12</v>
      </c>
      <c r="H279" s="94" t="s">
        <v>380</v>
      </c>
      <c r="I279" s="94">
        <v>12</v>
      </c>
    </row>
    <row r="280" spans="1:9" x14ac:dyDescent="0.25">
      <c r="A280" s="93" t="s">
        <v>176</v>
      </c>
      <c r="B280" s="93" t="s">
        <v>131</v>
      </c>
      <c r="C280" s="93"/>
      <c r="D280" s="93"/>
      <c r="E280" s="93"/>
      <c r="F280" s="93"/>
      <c r="G280" s="93" t="str">
        <f t="shared" si="4"/>
        <v>LymhurstR12</v>
      </c>
      <c r="H280" s="94" t="s">
        <v>380</v>
      </c>
      <c r="I280" s="94">
        <v>12</v>
      </c>
    </row>
    <row r="281" spans="1:9" x14ac:dyDescent="0.25">
      <c r="A281" s="93" t="s">
        <v>176</v>
      </c>
      <c r="B281" s="93" t="s">
        <v>132</v>
      </c>
      <c r="C281" s="93">
        <v>4328</v>
      </c>
      <c r="D281" s="93" t="s">
        <v>724</v>
      </c>
      <c r="E281" s="93">
        <v>4100</v>
      </c>
      <c r="F281" s="93" t="s">
        <v>781</v>
      </c>
      <c r="G281" s="93" t="str">
        <f t="shared" si="4"/>
        <v>MartlockR12</v>
      </c>
      <c r="H281" s="94" t="s">
        <v>380</v>
      </c>
      <c r="I281" s="94">
        <v>12</v>
      </c>
    </row>
    <row r="282" spans="1:9" x14ac:dyDescent="0.25">
      <c r="A282" s="93" t="s">
        <v>176</v>
      </c>
      <c r="B282" s="93" t="s">
        <v>133</v>
      </c>
      <c r="C282" s="93">
        <v>4737</v>
      </c>
      <c r="D282" s="93" t="s">
        <v>743</v>
      </c>
      <c r="E282" s="93">
        <v>3805</v>
      </c>
      <c r="F282" s="93" t="s">
        <v>729</v>
      </c>
      <c r="G282" s="93" t="str">
        <f t="shared" si="4"/>
        <v>ThetfordR12</v>
      </c>
      <c r="H282" s="94" t="s">
        <v>380</v>
      </c>
      <c r="I282" s="94">
        <v>12</v>
      </c>
    </row>
    <row r="283" spans="1:9" x14ac:dyDescent="0.25">
      <c r="A283" s="93" t="s">
        <v>177</v>
      </c>
      <c r="B283" s="93" t="s">
        <v>127</v>
      </c>
      <c r="C283" s="93"/>
      <c r="D283" s="93"/>
      <c r="E283" s="93"/>
      <c r="F283" s="93"/>
      <c r="G283" s="93" t="str">
        <f t="shared" si="4"/>
        <v>BrecilienR13</v>
      </c>
      <c r="H283" s="94" t="s">
        <v>380</v>
      </c>
      <c r="I283" s="94">
        <v>13</v>
      </c>
    </row>
    <row r="284" spans="1:9" x14ac:dyDescent="0.25">
      <c r="A284" s="93" t="s">
        <v>177</v>
      </c>
      <c r="B284" s="93" t="s">
        <v>128</v>
      </c>
      <c r="C284" s="93">
        <v>8879</v>
      </c>
      <c r="D284" s="93" t="s">
        <v>710</v>
      </c>
      <c r="E284" s="93">
        <v>8500</v>
      </c>
      <c r="F284" s="93" t="s">
        <v>723</v>
      </c>
      <c r="G284" s="93" t="str">
        <f t="shared" si="4"/>
        <v>BridgewatchR13</v>
      </c>
      <c r="H284" s="94" t="s">
        <v>380</v>
      </c>
      <c r="I284" s="94">
        <v>13</v>
      </c>
    </row>
    <row r="285" spans="1:9" x14ac:dyDescent="0.25">
      <c r="A285" s="93" t="s">
        <v>177</v>
      </c>
      <c r="B285" s="93" t="s">
        <v>129</v>
      </c>
      <c r="C285" s="93"/>
      <c r="D285" s="93"/>
      <c r="E285" s="93"/>
      <c r="F285" s="93"/>
      <c r="G285" s="93" t="str">
        <f t="shared" si="4"/>
        <v>CaerleonR13</v>
      </c>
      <c r="H285" s="94" t="s">
        <v>380</v>
      </c>
      <c r="I285" s="94">
        <v>13</v>
      </c>
    </row>
    <row r="286" spans="1:9" x14ac:dyDescent="0.25">
      <c r="A286" s="93" t="s">
        <v>177</v>
      </c>
      <c r="B286" s="93" t="s">
        <v>130</v>
      </c>
      <c r="C286" s="93">
        <v>8988</v>
      </c>
      <c r="D286" s="93" t="s">
        <v>708</v>
      </c>
      <c r="E286" s="93"/>
      <c r="F286" s="93"/>
      <c r="G286" s="93" t="str">
        <f t="shared" si="4"/>
        <v>Fort SterlingR13</v>
      </c>
      <c r="H286" s="94" t="s">
        <v>380</v>
      </c>
      <c r="I286" s="94">
        <v>13</v>
      </c>
    </row>
    <row r="287" spans="1:9" x14ac:dyDescent="0.25">
      <c r="A287" s="93" t="s">
        <v>177</v>
      </c>
      <c r="B287" s="93" t="s">
        <v>131</v>
      </c>
      <c r="C287" s="93"/>
      <c r="D287" s="93"/>
      <c r="E287" s="93"/>
      <c r="F287" s="93"/>
      <c r="G287" s="93" t="str">
        <f t="shared" si="4"/>
        <v>LymhurstR13</v>
      </c>
      <c r="H287" s="94" t="s">
        <v>380</v>
      </c>
      <c r="I287" s="94">
        <v>13</v>
      </c>
    </row>
    <row r="288" spans="1:9" x14ac:dyDescent="0.25">
      <c r="A288" s="93" t="s">
        <v>177</v>
      </c>
      <c r="B288" s="93" t="s">
        <v>132</v>
      </c>
      <c r="C288" s="93">
        <v>9300</v>
      </c>
      <c r="D288" s="93" t="s">
        <v>724</v>
      </c>
      <c r="E288" s="93">
        <v>8511</v>
      </c>
      <c r="F288" s="93" t="s">
        <v>724</v>
      </c>
      <c r="G288" s="93" t="str">
        <f t="shared" si="4"/>
        <v>MartlockR13</v>
      </c>
      <c r="H288" s="94" t="s">
        <v>380</v>
      </c>
      <c r="I288" s="94">
        <v>13</v>
      </c>
    </row>
    <row r="289" spans="1:9" x14ac:dyDescent="0.25">
      <c r="A289" s="93" t="s">
        <v>177</v>
      </c>
      <c r="B289" s="93" t="s">
        <v>133</v>
      </c>
      <c r="C289" s="93">
        <v>8983</v>
      </c>
      <c r="D289" s="93" t="s">
        <v>743</v>
      </c>
      <c r="E289" s="93"/>
      <c r="F289" s="93"/>
      <c r="G289" s="93" t="str">
        <f t="shared" si="4"/>
        <v>ThetfordR13</v>
      </c>
      <c r="H289" s="94" t="s">
        <v>380</v>
      </c>
      <c r="I289" s="94">
        <v>13</v>
      </c>
    </row>
    <row r="290" spans="1:9" x14ac:dyDescent="0.25">
      <c r="A290" s="93" t="s">
        <v>178</v>
      </c>
      <c r="B290" s="93" t="s">
        <v>127</v>
      </c>
      <c r="C290" s="93"/>
      <c r="D290" s="93"/>
      <c r="E290" s="93"/>
      <c r="F290" s="93"/>
      <c r="G290" s="93" t="str">
        <f t="shared" si="4"/>
        <v>BrecilienR14</v>
      </c>
      <c r="H290" s="94" t="s">
        <v>380</v>
      </c>
      <c r="I290" s="94">
        <v>14</v>
      </c>
    </row>
    <row r="291" spans="1:9" x14ac:dyDescent="0.25">
      <c r="A291" s="93" t="s">
        <v>178</v>
      </c>
      <c r="B291" s="93" t="s">
        <v>128</v>
      </c>
      <c r="C291" s="93">
        <v>26588</v>
      </c>
      <c r="D291" s="93" t="s">
        <v>724</v>
      </c>
      <c r="E291" s="93">
        <v>25302</v>
      </c>
      <c r="F291" s="93" t="s">
        <v>725</v>
      </c>
      <c r="G291" s="93" t="str">
        <f t="shared" si="4"/>
        <v>BridgewatchR14</v>
      </c>
      <c r="H291" s="94" t="s">
        <v>380</v>
      </c>
      <c r="I291" s="94">
        <v>14</v>
      </c>
    </row>
    <row r="292" spans="1:9" x14ac:dyDescent="0.25">
      <c r="A292" s="93" t="s">
        <v>178</v>
      </c>
      <c r="B292" s="93" t="s">
        <v>129</v>
      </c>
      <c r="C292" s="93">
        <v>28983</v>
      </c>
      <c r="D292" s="93" t="s">
        <v>759</v>
      </c>
      <c r="E292" s="93"/>
      <c r="F292" s="93"/>
      <c r="G292" s="93" t="str">
        <f t="shared" si="4"/>
        <v>CaerleonR14</v>
      </c>
      <c r="H292" s="94" t="s">
        <v>380</v>
      </c>
      <c r="I292" s="94">
        <v>14</v>
      </c>
    </row>
    <row r="293" spans="1:9" x14ac:dyDescent="0.25">
      <c r="A293" s="93" t="s">
        <v>178</v>
      </c>
      <c r="B293" s="93" t="s">
        <v>130</v>
      </c>
      <c r="C293" s="93">
        <v>29176</v>
      </c>
      <c r="D293" s="93" t="s">
        <v>709</v>
      </c>
      <c r="E293" s="93"/>
      <c r="F293" s="93"/>
      <c r="G293" s="93" t="str">
        <f t="shared" si="4"/>
        <v>Fort SterlingR14</v>
      </c>
      <c r="H293" s="94" t="s">
        <v>380</v>
      </c>
      <c r="I293" s="94">
        <v>14</v>
      </c>
    </row>
    <row r="294" spans="1:9" x14ac:dyDescent="0.25">
      <c r="A294" s="93" t="s">
        <v>178</v>
      </c>
      <c r="B294" s="93" t="s">
        <v>131</v>
      </c>
      <c r="C294" s="93"/>
      <c r="D294" s="93"/>
      <c r="E294" s="93"/>
      <c r="F294" s="93"/>
      <c r="G294" s="93" t="str">
        <f t="shared" si="4"/>
        <v>LymhurstR14</v>
      </c>
      <c r="H294" s="94" t="s">
        <v>380</v>
      </c>
      <c r="I294" s="94">
        <v>14</v>
      </c>
    </row>
    <row r="295" spans="1:9" x14ac:dyDescent="0.25">
      <c r="A295" s="93" t="s">
        <v>178</v>
      </c>
      <c r="B295" s="93" t="s">
        <v>132</v>
      </c>
      <c r="C295" s="93">
        <v>25478</v>
      </c>
      <c r="D295" s="93" t="s">
        <v>724</v>
      </c>
      <c r="E295" s="93"/>
      <c r="F295" s="93"/>
      <c r="G295" s="93" t="str">
        <f t="shared" si="4"/>
        <v>MartlockR14</v>
      </c>
      <c r="H295" s="94" t="s">
        <v>380</v>
      </c>
      <c r="I295" s="94">
        <v>14</v>
      </c>
    </row>
    <row r="296" spans="1:9" x14ac:dyDescent="0.25">
      <c r="A296" s="93" t="s">
        <v>178</v>
      </c>
      <c r="B296" s="93" t="s">
        <v>133</v>
      </c>
      <c r="C296" s="93"/>
      <c r="D296" s="93"/>
      <c r="E296" s="93"/>
      <c r="F296" s="93"/>
      <c r="G296" s="93" t="str">
        <f t="shared" si="4"/>
        <v>ThetfordR14</v>
      </c>
      <c r="H296" s="94" t="s">
        <v>380</v>
      </c>
      <c r="I296" s="94">
        <v>14</v>
      </c>
    </row>
    <row r="297" spans="1:9" x14ac:dyDescent="0.25">
      <c r="A297" s="93" t="s">
        <v>179</v>
      </c>
      <c r="B297" s="93" t="s">
        <v>127</v>
      </c>
      <c r="C297" s="93">
        <v>83473</v>
      </c>
      <c r="D297" s="93" t="s">
        <v>782</v>
      </c>
      <c r="E297" s="93"/>
      <c r="F297" s="93"/>
      <c r="G297" s="93" t="str">
        <f t="shared" si="4"/>
        <v>BrecilienR15</v>
      </c>
      <c r="H297" s="94" t="s">
        <v>380</v>
      </c>
      <c r="I297" s="94">
        <v>15</v>
      </c>
    </row>
    <row r="298" spans="1:9" x14ac:dyDescent="0.25">
      <c r="A298" s="93" t="s">
        <v>179</v>
      </c>
      <c r="B298" s="93" t="s">
        <v>128</v>
      </c>
      <c r="C298" s="93"/>
      <c r="D298" s="93"/>
      <c r="E298" s="93"/>
      <c r="F298" s="93"/>
      <c r="G298" s="93" t="str">
        <f t="shared" si="4"/>
        <v>BridgewatchR15</v>
      </c>
      <c r="H298" s="94" t="s">
        <v>380</v>
      </c>
      <c r="I298" s="94">
        <v>15</v>
      </c>
    </row>
    <row r="299" spans="1:9" x14ac:dyDescent="0.25">
      <c r="A299" s="93" t="s">
        <v>179</v>
      </c>
      <c r="B299" s="93" t="s">
        <v>129</v>
      </c>
      <c r="C299" s="93">
        <v>89989</v>
      </c>
      <c r="D299" s="93" t="s">
        <v>783</v>
      </c>
      <c r="E299" s="93"/>
      <c r="F299" s="93"/>
      <c r="G299" s="93" t="str">
        <f t="shared" si="4"/>
        <v>CaerleonR15</v>
      </c>
      <c r="H299" s="94" t="s">
        <v>380</v>
      </c>
      <c r="I299" s="94">
        <v>15</v>
      </c>
    </row>
    <row r="300" spans="1:9" x14ac:dyDescent="0.25">
      <c r="A300" s="93" t="s">
        <v>179</v>
      </c>
      <c r="B300" s="93" t="s">
        <v>130</v>
      </c>
      <c r="C300" s="93">
        <v>76997</v>
      </c>
      <c r="D300" s="93" t="s">
        <v>711</v>
      </c>
      <c r="E300" s="93">
        <v>67212</v>
      </c>
      <c r="F300" s="93" t="s">
        <v>784</v>
      </c>
      <c r="G300" s="93" t="str">
        <f t="shared" si="4"/>
        <v>Fort SterlingR15</v>
      </c>
      <c r="H300" s="94" t="s">
        <v>380</v>
      </c>
      <c r="I300" s="94">
        <v>15</v>
      </c>
    </row>
    <row r="301" spans="1:9" x14ac:dyDescent="0.25">
      <c r="A301" s="93" t="s">
        <v>179</v>
      </c>
      <c r="B301" s="93" t="s">
        <v>131</v>
      </c>
      <c r="C301" s="93"/>
      <c r="D301" s="93"/>
      <c r="E301" s="93"/>
      <c r="F301" s="93"/>
      <c r="G301" s="93" t="str">
        <f t="shared" si="4"/>
        <v>LymhurstR15</v>
      </c>
      <c r="H301" s="94" t="s">
        <v>380</v>
      </c>
      <c r="I301" s="94">
        <v>15</v>
      </c>
    </row>
    <row r="302" spans="1:9" x14ac:dyDescent="0.25">
      <c r="A302" s="93" t="s">
        <v>179</v>
      </c>
      <c r="B302" s="93" t="s">
        <v>132</v>
      </c>
      <c r="C302" s="93">
        <v>76911</v>
      </c>
      <c r="D302" s="93" t="s">
        <v>724</v>
      </c>
      <c r="E302" s="93"/>
      <c r="F302" s="93"/>
      <c r="G302" s="93" t="str">
        <f t="shared" si="4"/>
        <v>MartlockR15</v>
      </c>
      <c r="H302" s="94" t="s">
        <v>380</v>
      </c>
      <c r="I302" s="94">
        <v>15</v>
      </c>
    </row>
    <row r="303" spans="1:9" x14ac:dyDescent="0.25">
      <c r="A303" s="93" t="s">
        <v>179</v>
      </c>
      <c r="B303" s="93" t="s">
        <v>133</v>
      </c>
      <c r="C303" s="93"/>
      <c r="D303" s="93"/>
      <c r="E303" s="93"/>
      <c r="F303" s="93"/>
      <c r="G303" s="93" t="str">
        <f t="shared" si="4"/>
        <v>ThetfordR15</v>
      </c>
      <c r="H303" s="94" t="s">
        <v>380</v>
      </c>
      <c r="I303" s="94">
        <v>15</v>
      </c>
    </row>
    <row r="304" spans="1:9" x14ac:dyDescent="0.25">
      <c r="A304" s="93" t="s">
        <v>180</v>
      </c>
      <c r="B304" s="93" t="s">
        <v>127</v>
      </c>
      <c r="C304" s="93"/>
      <c r="D304" s="93"/>
      <c r="E304" s="93"/>
      <c r="F304" s="93"/>
      <c r="G304" s="93" t="str">
        <f t="shared" si="4"/>
        <v>BrecilienR16</v>
      </c>
      <c r="H304" s="94" t="s">
        <v>380</v>
      </c>
      <c r="I304" s="94">
        <v>16</v>
      </c>
    </row>
    <row r="305" spans="1:9" x14ac:dyDescent="0.25">
      <c r="A305" s="93" t="s">
        <v>180</v>
      </c>
      <c r="B305" s="93" t="s">
        <v>128</v>
      </c>
      <c r="C305" s="93"/>
      <c r="D305" s="93"/>
      <c r="E305" s="93"/>
      <c r="F305" s="93"/>
      <c r="G305" s="93" t="str">
        <f t="shared" si="4"/>
        <v>BridgewatchR16</v>
      </c>
      <c r="H305" s="94" t="s">
        <v>380</v>
      </c>
      <c r="I305" s="94">
        <v>16</v>
      </c>
    </row>
    <row r="306" spans="1:9" x14ac:dyDescent="0.25">
      <c r="A306" s="93" t="s">
        <v>180</v>
      </c>
      <c r="B306" s="93" t="s">
        <v>129</v>
      </c>
      <c r="C306" s="93"/>
      <c r="D306" s="93"/>
      <c r="E306" s="93"/>
      <c r="F306" s="93"/>
      <c r="G306" s="93" t="str">
        <f t="shared" si="4"/>
        <v>CaerleonR16</v>
      </c>
      <c r="H306" s="94" t="s">
        <v>380</v>
      </c>
      <c r="I306" s="94">
        <v>16</v>
      </c>
    </row>
    <row r="307" spans="1:9" x14ac:dyDescent="0.25">
      <c r="A307" s="93" t="s">
        <v>180</v>
      </c>
      <c r="B307" s="93" t="s">
        <v>130</v>
      </c>
      <c r="C307" s="93">
        <v>269887</v>
      </c>
      <c r="D307" s="93" t="s">
        <v>708</v>
      </c>
      <c r="E307" s="93">
        <v>150155</v>
      </c>
      <c r="F307" s="93" t="s">
        <v>785</v>
      </c>
      <c r="G307" s="93" t="str">
        <f t="shared" si="4"/>
        <v>Fort SterlingR16</v>
      </c>
      <c r="H307" s="94" t="s">
        <v>380</v>
      </c>
      <c r="I307" s="94">
        <v>16</v>
      </c>
    </row>
    <row r="308" spans="1:9" x14ac:dyDescent="0.25">
      <c r="A308" s="93" t="s">
        <v>180</v>
      </c>
      <c r="B308" s="93" t="s">
        <v>131</v>
      </c>
      <c r="C308" s="93"/>
      <c r="D308" s="93"/>
      <c r="E308" s="93"/>
      <c r="F308" s="93"/>
      <c r="G308" s="93" t="str">
        <f t="shared" si="4"/>
        <v>LymhurstR16</v>
      </c>
      <c r="H308" s="94" t="s">
        <v>380</v>
      </c>
      <c r="I308" s="94">
        <v>16</v>
      </c>
    </row>
    <row r="309" spans="1:9" x14ac:dyDescent="0.25">
      <c r="A309" s="93" t="s">
        <v>180</v>
      </c>
      <c r="B309" s="93" t="s">
        <v>132</v>
      </c>
      <c r="C309" s="93">
        <v>333333</v>
      </c>
      <c r="D309" s="93" t="s">
        <v>724</v>
      </c>
      <c r="E309" s="93"/>
      <c r="F309" s="93"/>
      <c r="G309" s="93" t="str">
        <f t="shared" si="4"/>
        <v>MartlockR16</v>
      </c>
      <c r="H309" s="94" t="s">
        <v>380</v>
      </c>
      <c r="I309" s="94">
        <v>16</v>
      </c>
    </row>
    <row r="310" spans="1:9" x14ac:dyDescent="0.25">
      <c r="A310" s="93" t="s">
        <v>180</v>
      </c>
      <c r="B310" s="93" t="s">
        <v>133</v>
      </c>
      <c r="C310" s="93"/>
      <c r="D310" s="93"/>
      <c r="E310" s="93"/>
      <c r="F310" s="93"/>
      <c r="G310" s="93" t="str">
        <f t="shared" si="4"/>
        <v>ThetfordR16</v>
      </c>
      <c r="H310" s="94" t="s">
        <v>380</v>
      </c>
      <c r="I310" s="94">
        <v>16</v>
      </c>
    </row>
    <row r="311" spans="1:9" x14ac:dyDescent="0.25">
      <c r="A311" s="93" t="s">
        <v>139</v>
      </c>
      <c r="B311" s="93" t="s">
        <v>127</v>
      </c>
      <c r="C311" s="93"/>
      <c r="D311" s="93"/>
      <c r="E311" s="93"/>
      <c r="F311" s="93"/>
      <c r="G311" s="93" t="str">
        <f t="shared" si="4"/>
        <v>BrecilienR17</v>
      </c>
      <c r="H311" s="94" t="s">
        <v>380</v>
      </c>
      <c r="I311" s="94">
        <v>17</v>
      </c>
    </row>
    <row r="312" spans="1:9" x14ac:dyDescent="0.25">
      <c r="A312" s="93" t="s">
        <v>139</v>
      </c>
      <c r="B312" s="93" t="s">
        <v>128</v>
      </c>
      <c r="C312" s="93"/>
      <c r="D312" s="93"/>
      <c r="E312" s="93"/>
      <c r="F312" s="93"/>
      <c r="G312" s="93" t="str">
        <f t="shared" si="4"/>
        <v>BridgewatchR17</v>
      </c>
      <c r="H312" s="94" t="s">
        <v>380</v>
      </c>
      <c r="I312" s="94">
        <v>17</v>
      </c>
    </row>
    <row r="313" spans="1:9" x14ac:dyDescent="0.25">
      <c r="A313" s="93" t="s">
        <v>139</v>
      </c>
      <c r="B313" s="93" t="s">
        <v>129</v>
      </c>
      <c r="C313" s="93">
        <v>14609</v>
      </c>
      <c r="D313" s="93" t="s">
        <v>760</v>
      </c>
      <c r="E313" s="93"/>
      <c r="F313" s="93"/>
      <c r="G313" s="93" t="str">
        <f t="shared" si="4"/>
        <v>CaerleonR17</v>
      </c>
      <c r="H313" s="94" t="s">
        <v>380</v>
      </c>
      <c r="I313" s="94">
        <v>17</v>
      </c>
    </row>
    <row r="314" spans="1:9" x14ac:dyDescent="0.25">
      <c r="A314" s="93" t="s">
        <v>139</v>
      </c>
      <c r="B314" s="93" t="s">
        <v>130</v>
      </c>
      <c r="C314" s="93">
        <v>14579</v>
      </c>
      <c r="D314" s="93" t="s">
        <v>770</v>
      </c>
      <c r="E314" s="93"/>
      <c r="F314" s="93"/>
      <c r="G314" s="93" t="str">
        <f t="shared" si="4"/>
        <v>Fort SterlingR17</v>
      </c>
      <c r="H314" s="94" t="s">
        <v>380</v>
      </c>
      <c r="I314" s="94">
        <v>17</v>
      </c>
    </row>
    <row r="315" spans="1:9" x14ac:dyDescent="0.25">
      <c r="A315" s="93" t="s">
        <v>139</v>
      </c>
      <c r="B315" s="93" t="s">
        <v>131</v>
      </c>
      <c r="C315" s="93"/>
      <c r="D315" s="93"/>
      <c r="E315" s="93"/>
      <c r="F315" s="93"/>
      <c r="G315" s="93" t="str">
        <f t="shared" si="4"/>
        <v>LymhurstR17</v>
      </c>
      <c r="H315" s="94" t="s">
        <v>380</v>
      </c>
      <c r="I315" s="94">
        <v>17</v>
      </c>
    </row>
    <row r="316" spans="1:9" x14ac:dyDescent="0.25">
      <c r="A316" s="93" t="s">
        <v>139</v>
      </c>
      <c r="B316" s="93" t="s">
        <v>132</v>
      </c>
      <c r="C316" s="93">
        <v>13188</v>
      </c>
      <c r="D316" s="93" t="s">
        <v>724</v>
      </c>
      <c r="E316" s="93">
        <v>13013</v>
      </c>
      <c r="F316" s="93" t="s">
        <v>724</v>
      </c>
      <c r="G316" s="93" t="str">
        <f t="shared" si="4"/>
        <v>MartlockR17</v>
      </c>
      <c r="H316" s="94" t="s">
        <v>380</v>
      </c>
      <c r="I316" s="94">
        <v>17</v>
      </c>
    </row>
    <row r="317" spans="1:9" x14ac:dyDescent="0.25">
      <c r="A317" s="93" t="s">
        <v>139</v>
      </c>
      <c r="B317" s="93" t="s">
        <v>133</v>
      </c>
      <c r="C317" s="93"/>
      <c r="D317" s="93"/>
      <c r="E317" s="93"/>
      <c r="F317" s="93"/>
      <c r="G317" s="93" t="str">
        <f t="shared" si="4"/>
        <v>ThetfordR17</v>
      </c>
      <c r="H317" s="94" t="s">
        <v>380</v>
      </c>
      <c r="I317" s="94">
        <v>17</v>
      </c>
    </row>
    <row r="318" spans="1:9" x14ac:dyDescent="0.25">
      <c r="A318" s="93" t="s">
        <v>140</v>
      </c>
      <c r="B318" s="93" t="s">
        <v>127</v>
      </c>
      <c r="C318" s="93"/>
      <c r="D318" s="93"/>
      <c r="E318" s="93"/>
      <c r="F318" s="93"/>
      <c r="G318" s="93" t="str">
        <f t="shared" si="4"/>
        <v>BrecilienR18</v>
      </c>
      <c r="H318" s="94" t="s">
        <v>380</v>
      </c>
      <c r="I318" s="94">
        <v>18</v>
      </c>
    </row>
    <row r="319" spans="1:9" x14ac:dyDescent="0.25">
      <c r="A319" s="93" t="s">
        <v>140</v>
      </c>
      <c r="B319" s="93" t="s">
        <v>128</v>
      </c>
      <c r="C319" s="93"/>
      <c r="D319" s="93"/>
      <c r="E319" s="93"/>
      <c r="F319" s="93"/>
      <c r="G319" s="93" t="str">
        <f t="shared" si="4"/>
        <v>BridgewatchR18</v>
      </c>
      <c r="H319" s="94" t="s">
        <v>380</v>
      </c>
      <c r="I319" s="94">
        <v>18</v>
      </c>
    </row>
    <row r="320" spans="1:9" x14ac:dyDescent="0.25">
      <c r="A320" s="93" t="s">
        <v>140</v>
      </c>
      <c r="B320" s="93" t="s">
        <v>129</v>
      </c>
      <c r="C320" s="93">
        <v>33420</v>
      </c>
      <c r="D320" s="93" t="s">
        <v>760</v>
      </c>
      <c r="E320" s="93"/>
      <c r="F320" s="93"/>
      <c r="G320" s="93" t="str">
        <f t="shared" si="4"/>
        <v>CaerleonR18</v>
      </c>
      <c r="H320" s="94" t="s">
        <v>380</v>
      </c>
      <c r="I320" s="94">
        <v>18</v>
      </c>
    </row>
    <row r="321" spans="1:9" x14ac:dyDescent="0.25">
      <c r="A321" s="93" t="s">
        <v>140</v>
      </c>
      <c r="B321" s="93" t="s">
        <v>130</v>
      </c>
      <c r="C321" s="93">
        <v>29930</v>
      </c>
      <c r="D321" s="93" t="s">
        <v>784</v>
      </c>
      <c r="E321" s="93"/>
      <c r="F321" s="93"/>
      <c r="G321" s="93" t="str">
        <f t="shared" si="4"/>
        <v>Fort SterlingR18</v>
      </c>
      <c r="H321" s="94" t="s">
        <v>380</v>
      </c>
      <c r="I321" s="94">
        <v>18</v>
      </c>
    </row>
    <row r="322" spans="1:9" x14ac:dyDescent="0.25">
      <c r="A322" s="93" t="s">
        <v>140</v>
      </c>
      <c r="B322" s="93" t="s">
        <v>131</v>
      </c>
      <c r="C322" s="93"/>
      <c r="D322" s="93"/>
      <c r="E322" s="93"/>
      <c r="F322" s="93"/>
      <c r="G322" s="93" t="str">
        <f t="shared" si="4"/>
        <v>LymhurstR18</v>
      </c>
      <c r="H322" s="94" t="s">
        <v>380</v>
      </c>
      <c r="I322" s="94">
        <v>18</v>
      </c>
    </row>
    <row r="323" spans="1:9" x14ac:dyDescent="0.25">
      <c r="A323" s="93" t="s">
        <v>140</v>
      </c>
      <c r="B323" s="93" t="s">
        <v>132</v>
      </c>
      <c r="C323" s="93">
        <v>31497</v>
      </c>
      <c r="D323" s="93" t="s">
        <v>724</v>
      </c>
      <c r="E323" s="93">
        <v>27011</v>
      </c>
      <c r="F323" s="93" t="s">
        <v>724</v>
      </c>
      <c r="G323" s="93" t="str">
        <f t="shared" ref="G323:G380" si="5">_xlfn.CONCAT(B323,H323,I323)</f>
        <v>MartlockR18</v>
      </c>
      <c r="H323" s="94" t="s">
        <v>380</v>
      </c>
      <c r="I323" s="94">
        <v>18</v>
      </c>
    </row>
    <row r="324" spans="1:9" x14ac:dyDescent="0.25">
      <c r="A324" s="93" t="s">
        <v>140</v>
      </c>
      <c r="B324" s="93" t="s">
        <v>133</v>
      </c>
      <c r="C324" s="93"/>
      <c r="D324" s="93"/>
      <c r="E324" s="93"/>
      <c r="F324" s="93"/>
      <c r="G324" s="93" t="str">
        <f t="shared" si="5"/>
        <v>ThetfordR18</v>
      </c>
      <c r="H324" s="94" t="s">
        <v>380</v>
      </c>
      <c r="I324" s="94">
        <v>18</v>
      </c>
    </row>
    <row r="325" spans="1:9" x14ac:dyDescent="0.25">
      <c r="A325" s="93" t="s">
        <v>141</v>
      </c>
      <c r="B325" s="93" t="s">
        <v>127</v>
      </c>
      <c r="C325" s="93"/>
      <c r="D325" s="93"/>
      <c r="E325" s="93"/>
      <c r="F325" s="93"/>
      <c r="G325" s="93" t="str">
        <f t="shared" si="5"/>
        <v>BrecilienR19</v>
      </c>
      <c r="H325" s="94" t="s">
        <v>380</v>
      </c>
      <c r="I325" s="94">
        <v>19</v>
      </c>
    </row>
    <row r="326" spans="1:9" x14ac:dyDescent="0.25">
      <c r="A326" s="93" t="s">
        <v>141</v>
      </c>
      <c r="B326" s="93" t="s">
        <v>128</v>
      </c>
      <c r="C326" s="93"/>
      <c r="D326" s="93"/>
      <c r="E326" s="93"/>
      <c r="F326" s="93"/>
      <c r="G326" s="93" t="str">
        <f t="shared" si="5"/>
        <v>BridgewatchR19</v>
      </c>
      <c r="H326" s="94" t="s">
        <v>380</v>
      </c>
      <c r="I326" s="94">
        <v>19</v>
      </c>
    </row>
    <row r="327" spans="1:9" x14ac:dyDescent="0.25">
      <c r="A327" s="93" t="s">
        <v>141</v>
      </c>
      <c r="B327" s="93" t="s">
        <v>129</v>
      </c>
      <c r="C327" s="93">
        <v>76000</v>
      </c>
      <c r="D327" s="93" t="s">
        <v>760</v>
      </c>
      <c r="E327" s="93"/>
      <c r="F327" s="93"/>
      <c r="G327" s="93" t="str">
        <f t="shared" si="5"/>
        <v>CaerleonR19</v>
      </c>
      <c r="H327" s="94" t="s">
        <v>380</v>
      </c>
      <c r="I327" s="94">
        <v>19</v>
      </c>
    </row>
    <row r="328" spans="1:9" x14ac:dyDescent="0.25">
      <c r="A328" s="93" t="s">
        <v>141</v>
      </c>
      <c r="B328" s="93" t="s">
        <v>130</v>
      </c>
      <c r="C328" s="93">
        <v>84889</v>
      </c>
      <c r="D328" s="93" t="s">
        <v>778</v>
      </c>
      <c r="E328" s="93">
        <v>70134</v>
      </c>
      <c r="F328" s="93" t="s">
        <v>776</v>
      </c>
      <c r="G328" s="93" t="str">
        <f t="shared" si="5"/>
        <v>Fort SterlingR19</v>
      </c>
      <c r="H328" s="94" t="s">
        <v>380</v>
      </c>
      <c r="I328" s="94">
        <v>19</v>
      </c>
    </row>
    <row r="329" spans="1:9" x14ac:dyDescent="0.25">
      <c r="A329" s="93" t="s">
        <v>141</v>
      </c>
      <c r="B329" s="93" t="s">
        <v>131</v>
      </c>
      <c r="C329" s="93"/>
      <c r="D329" s="93"/>
      <c r="E329" s="93"/>
      <c r="F329" s="93"/>
      <c r="G329" s="93" t="str">
        <f t="shared" si="5"/>
        <v>LymhurstR19</v>
      </c>
      <c r="H329" s="94" t="s">
        <v>380</v>
      </c>
      <c r="I329" s="94">
        <v>19</v>
      </c>
    </row>
    <row r="330" spans="1:9" x14ac:dyDescent="0.25">
      <c r="A330" s="93" t="s">
        <v>141</v>
      </c>
      <c r="B330" s="93" t="s">
        <v>132</v>
      </c>
      <c r="C330" s="93">
        <v>79789</v>
      </c>
      <c r="D330" s="93" t="s">
        <v>724</v>
      </c>
      <c r="E330" s="93"/>
      <c r="F330" s="93"/>
      <c r="G330" s="93" t="str">
        <f t="shared" si="5"/>
        <v>MartlockR19</v>
      </c>
      <c r="H330" s="94" t="s">
        <v>380</v>
      </c>
      <c r="I330" s="94">
        <v>19</v>
      </c>
    </row>
    <row r="331" spans="1:9" x14ac:dyDescent="0.25">
      <c r="A331" s="93" t="s">
        <v>141</v>
      </c>
      <c r="B331" s="93" t="s">
        <v>133</v>
      </c>
      <c r="C331" s="93"/>
      <c r="D331" s="93"/>
      <c r="E331" s="93"/>
      <c r="F331" s="93"/>
      <c r="G331" s="93" t="str">
        <f t="shared" si="5"/>
        <v>ThetfordR19</v>
      </c>
      <c r="H331" s="94" t="s">
        <v>380</v>
      </c>
      <c r="I331" s="94">
        <v>19</v>
      </c>
    </row>
    <row r="332" spans="1:9" x14ac:dyDescent="0.25">
      <c r="A332" s="93" t="s">
        <v>142</v>
      </c>
      <c r="B332" s="93" t="s">
        <v>127</v>
      </c>
      <c r="C332" s="93"/>
      <c r="D332" s="93"/>
      <c r="E332" s="93"/>
      <c r="F332" s="93"/>
      <c r="G332" s="93" t="str">
        <f t="shared" si="5"/>
        <v>BrecilienR20</v>
      </c>
      <c r="H332" s="94" t="s">
        <v>380</v>
      </c>
      <c r="I332" s="94">
        <v>20</v>
      </c>
    </row>
    <row r="333" spans="1:9" x14ac:dyDescent="0.25">
      <c r="A333" s="93" t="s">
        <v>142</v>
      </c>
      <c r="B333" s="93" t="s">
        <v>128</v>
      </c>
      <c r="C333" s="93"/>
      <c r="D333" s="93"/>
      <c r="E333" s="93"/>
      <c r="F333" s="93"/>
      <c r="G333" s="93" t="str">
        <f t="shared" si="5"/>
        <v>BridgewatchR20</v>
      </c>
      <c r="H333" s="94" t="s">
        <v>380</v>
      </c>
      <c r="I333" s="94">
        <v>20</v>
      </c>
    </row>
    <row r="334" spans="1:9" x14ac:dyDescent="0.25">
      <c r="A334" s="93" t="s">
        <v>142</v>
      </c>
      <c r="B334" s="93" t="s">
        <v>129</v>
      </c>
      <c r="C334" s="93">
        <v>268491</v>
      </c>
      <c r="D334" s="93" t="s">
        <v>760</v>
      </c>
      <c r="E334" s="93"/>
      <c r="F334" s="93"/>
      <c r="G334" s="93" t="str">
        <f t="shared" si="5"/>
        <v>CaerleonR20</v>
      </c>
      <c r="H334" s="94" t="s">
        <v>380</v>
      </c>
      <c r="I334" s="94">
        <v>20</v>
      </c>
    </row>
    <row r="335" spans="1:9" x14ac:dyDescent="0.25">
      <c r="A335" s="93" t="s">
        <v>142</v>
      </c>
      <c r="B335" s="93" t="s">
        <v>130</v>
      </c>
      <c r="C335" s="93">
        <v>219999</v>
      </c>
      <c r="D335" s="93" t="s">
        <v>708</v>
      </c>
      <c r="E335" s="93"/>
      <c r="F335" s="93"/>
      <c r="G335" s="93" t="str">
        <f t="shared" si="5"/>
        <v>Fort SterlingR20</v>
      </c>
      <c r="H335" s="94" t="s">
        <v>380</v>
      </c>
      <c r="I335" s="94">
        <v>20</v>
      </c>
    </row>
    <row r="336" spans="1:9" x14ac:dyDescent="0.25">
      <c r="A336" s="93" t="s">
        <v>142</v>
      </c>
      <c r="B336" s="93" t="s">
        <v>131</v>
      </c>
      <c r="C336" s="93"/>
      <c r="D336" s="93"/>
      <c r="E336" s="93"/>
      <c r="F336" s="93"/>
      <c r="G336" s="93" t="str">
        <f t="shared" si="5"/>
        <v>LymhurstR20</v>
      </c>
      <c r="H336" s="94" t="s">
        <v>380</v>
      </c>
      <c r="I336" s="94">
        <v>20</v>
      </c>
    </row>
    <row r="337" spans="1:9" x14ac:dyDescent="0.25">
      <c r="A337" s="93" t="s">
        <v>142</v>
      </c>
      <c r="B337" s="93" t="s">
        <v>132</v>
      </c>
      <c r="C337" s="93">
        <v>209900</v>
      </c>
      <c r="D337" s="93" t="s">
        <v>724</v>
      </c>
      <c r="E337" s="93"/>
      <c r="F337" s="93"/>
      <c r="G337" s="93" t="str">
        <f t="shared" si="5"/>
        <v>MartlockR20</v>
      </c>
      <c r="H337" s="94" t="s">
        <v>380</v>
      </c>
      <c r="I337" s="94">
        <v>20</v>
      </c>
    </row>
    <row r="338" spans="1:9" x14ac:dyDescent="0.25">
      <c r="A338" s="93" t="s">
        <v>142</v>
      </c>
      <c r="B338" s="93" t="s">
        <v>133</v>
      </c>
      <c r="C338" s="93"/>
      <c r="D338" s="93"/>
      <c r="E338" s="93"/>
      <c r="F338" s="93"/>
      <c r="G338" s="93" t="str">
        <f t="shared" si="5"/>
        <v>ThetfordR20</v>
      </c>
      <c r="H338" s="94" t="s">
        <v>380</v>
      </c>
      <c r="I338" s="94">
        <v>20</v>
      </c>
    </row>
    <row r="339" spans="1:9" x14ac:dyDescent="0.25">
      <c r="A339" s="93" t="s">
        <v>143</v>
      </c>
      <c r="B339" s="93" t="s">
        <v>127</v>
      </c>
      <c r="C339" s="93"/>
      <c r="D339" s="93"/>
      <c r="E339" s="93"/>
      <c r="F339" s="93"/>
      <c r="G339" s="93" t="str">
        <f t="shared" si="5"/>
        <v>BrecilienR21</v>
      </c>
      <c r="H339" s="94" t="s">
        <v>380</v>
      </c>
      <c r="I339" s="94">
        <v>21</v>
      </c>
    </row>
    <row r="340" spans="1:9" x14ac:dyDescent="0.25">
      <c r="A340" s="93" t="s">
        <v>143</v>
      </c>
      <c r="B340" s="93" t="s">
        <v>128</v>
      </c>
      <c r="C340" s="93"/>
      <c r="D340" s="93"/>
      <c r="E340" s="93"/>
      <c r="F340" s="93"/>
      <c r="G340" s="93" t="str">
        <f t="shared" si="5"/>
        <v>BridgewatchR21</v>
      </c>
      <c r="H340" s="94" t="s">
        <v>380</v>
      </c>
      <c r="I340" s="94">
        <v>21</v>
      </c>
    </row>
    <row r="341" spans="1:9" x14ac:dyDescent="0.25">
      <c r="A341" s="93" t="s">
        <v>143</v>
      </c>
      <c r="B341" s="93" t="s">
        <v>129</v>
      </c>
      <c r="C341" s="93">
        <v>1000000</v>
      </c>
      <c r="D341" s="93" t="s">
        <v>764</v>
      </c>
      <c r="E341" s="93"/>
      <c r="F341" s="93"/>
      <c r="G341" s="93" t="str">
        <f t="shared" si="5"/>
        <v>CaerleonR21</v>
      </c>
      <c r="H341" s="94" t="s">
        <v>380</v>
      </c>
      <c r="I341" s="94">
        <v>21</v>
      </c>
    </row>
    <row r="342" spans="1:9" x14ac:dyDescent="0.25">
      <c r="A342" s="93" t="s">
        <v>143</v>
      </c>
      <c r="B342" s="93" t="s">
        <v>130</v>
      </c>
      <c r="C342" s="93"/>
      <c r="D342" s="93"/>
      <c r="E342" s="93">
        <v>710024</v>
      </c>
      <c r="F342" s="93" t="s">
        <v>708</v>
      </c>
      <c r="G342" s="93" t="str">
        <f t="shared" si="5"/>
        <v>Fort SterlingR21</v>
      </c>
      <c r="H342" s="94" t="s">
        <v>380</v>
      </c>
      <c r="I342" s="94">
        <v>21</v>
      </c>
    </row>
    <row r="343" spans="1:9" x14ac:dyDescent="0.25">
      <c r="A343" s="93" t="s">
        <v>143</v>
      </c>
      <c r="B343" s="93" t="s">
        <v>131</v>
      </c>
      <c r="C343" s="93"/>
      <c r="D343" s="93"/>
      <c r="E343" s="93"/>
      <c r="F343" s="93"/>
      <c r="G343" s="93" t="str">
        <f t="shared" si="5"/>
        <v>LymhurstR21</v>
      </c>
      <c r="H343" s="94" t="s">
        <v>380</v>
      </c>
      <c r="I343" s="94">
        <v>21</v>
      </c>
    </row>
    <row r="344" spans="1:9" x14ac:dyDescent="0.25">
      <c r="A344" s="93" t="s">
        <v>143</v>
      </c>
      <c r="B344" s="93" t="s">
        <v>132</v>
      </c>
      <c r="C344" s="93">
        <v>850000</v>
      </c>
      <c r="D344" s="93" t="s">
        <v>724</v>
      </c>
      <c r="E344" s="93"/>
      <c r="F344" s="93"/>
      <c r="G344" s="93" t="str">
        <f t="shared" si="5"/>
        <v>MartlockR21</v>
      </c>
      <c r="H344" s="94" t="s">
        <v>380</v>
      </c>
      <c r="I344" s="94">
        <v>21</v>
      </c>
    </row>
    <row r="345" spans="1:9" x14ac:dyDescent="0.25">
      <c r="A345" s="93" t="s">
        <v>143</v>
      </c>
      <c r="B345" s="93" t="s">
        <v>133</v>
      </c>
      <c r="C345" s="93"/>
      <c r="D345" s="93"/>
      <c r="E345" s="93"/>
      <c r="F345" s="93"/>
      <c r="G345" s="93" t="str">
        <f t="shared" si="5"/>
        <v>ThetfordR21</v>
      </c>
      <c r="H345" s="94" t="s">
        <v>380</v>
      </c>
      <c r="I345" s="94">
        <v>21</v>
      </c>
    </row>
    <row r="346" spans="1:9" x14ac:dyDescent="0.25">
      <c r="A346" s="93" t="s">
        <v>181</v>
      </c>
      <c r="B346" s="93" t="s">
        <v>127</v>
      </c>
      <c r="C346" s="93"/>
      <c r="D346" s="93"/>
      <c r="E346" s="93"/>
      <c r="F346" s="93"/>
      <c r="G346" s="93" t="str">
        <f t="shared" si="5"/>
        <v>BrecilienR22</v>
      </c>
      <c r="H346" s="94" t="s">
        <v>380</v>
      </c>
      <c r="I346" s="94">
        <v>22</v>
      </c>
    </row>
    <row r="347" spans="1:9" x14ac:dyDescent="0.25">
      <c r="A347" s="93" t="s">
        <v>181</v>
      </c>
      <c r="B347" s="93" t="s">
        <v>128</v>
      </c>
      <c r="C347" s="93">
        <v>34996</v>
      </c>
      <c r="D347" s="93" t="s">
        <v>715</v>
      </c>
      <c r="E347" s="93">
        <v>34003</v>
      </c>
      <c r="F347" s="93" t="s">
        <v>715</v>
      </c>
      <c r="G347" s="93" t="str">
        <f t="shared" si="5"/>
        <v>BridgewatchR22</v>
      </c>
      <c r="H347" s="94" t="s">
        <v>380</v>
      </c>
      <c r="I347" s="94">
        <v>22</v>
      </c>
    </row>
    <row r="348" spans="1:9" x14ac:dyDescent="0.25">
      <c r="A348" s="93" t="s">
        <v>181</v>
      </c>
      <c r="B348" s="93" t="s">
        <v>129</v>
      </c>
      <c r="C348" s="93">
        <v>38480</v>
      </c>
      <c r="D348" s="93" t="s">
        <v>760</v>
      </c>
      <c r="E348" s="93"/>
      <c r="F348" s="93"/>
      <c r="G348" s="93" t="str">
        <f t="shared" si="5"/>
        <v>CaerleonR22</v>
      </c>
      <c r="H348" s="94" t="s">
        <v>380</v>
      </c>
      <c r="I348" s="94">
        <v>22</v>
      </c>
    </row>
    <row r="349" spans="1:9" x14ac:dyDescent="0.25">
      <c r="A349" s="93" t="s">
        <v>181</v>
      </c>
      <c r="B349" s="93" t="s">
        <v>130</v>
      </c>
      <c r="C349" s="93">
        <v>36167</v>
      </c>
      <c r="D349" s="93" t="s">
        <v>773</v>
      </c>
      <c r="E349" s="93"/>
      <c r="F349" s="93"/>
      <c r="G349" s="93" t="str">
        <f t="shared" si="5"/>
        <v>Fort SterlingR22</v>
      </c>
      <c r="H349" s="94" t="s">
        <v>380</v>
      </c>
      <c r="I349" s="94">
        <v>22</v>
      </c>
    </row>
    <row r="350" spans="1:9" x14ac:dyDescent="0.25">
      <c r="A350" s="93" t="s">
        <v>181</v>
      </c>
      <c r="B350" s="93" t="s">
        <v>131</v>
      </c>
      <c r="C350" s="93">
        <v>36486</v>
      </c>
      <c r="D350" s="93" t="s">
        <v>725</v>
      </c>
      <c r="E350" s="93"/>
      <c r="F350" s="93"/>
      <c r="G350" s="93" t="str">
        <f t="shared" si="5"/>
        <v>LymhurstR22</v>
      </c>
      <c r="H350" s="94" t="s">
        <v>380</v>
      </c>
      <c r="I350" s="94">
        <v>22</v>
      </c>
    </row>
    <row r="351" spans="1:9" x14ac:dyDescent="0.25">
      <c r="A351" s="93" t="s">
        <v>181</v>
      </c>
      <c r="B351" s="93" t="s">
        <v>132</v>
      </c>
      <c r="C351" s="93">
        <v>35709</v>
      </c>
      <c r="D351" s="93" t="s">
        <v>724</v>
      </c>
      <c r="E351" s="93">
        <v>32607</v>
      </c>
      <c r="F351" s="93" t="s">
        <v>763</v>
      </c>
      <c r="G351" s="93" t="str">
        <f t="shared" si="5"/>
        <v>MartlockR22</v>
      </c>
      <c r="H351" s="94" t="s">
        <v>380</v>
      </c>
      <c r="I351" s="94">
        <v>22</v>
      </c>
    </row>
    <row r="352" spans="1:9" x14ac:dyDescent="0.25">
      <c r="A352" s="93" t="s">
        <v>181</v>
      </c>
      <c r="B352" s="93" t="s">
        <v>133</v>
      </c>
      <c r="C352" s="93"/>
      <c r="D352" s="93"/>
      <c r="E352" s="93"/>
      <c r="F352" s="93"/>
      <c r="G352" s="93" t="str">
        <f t="shared" si="5"/>
        <v>ThetfordR22</v>
      </c>
      <c r="H352" s="94" t="s">
        <v>380</v>
      </c>
      <c r="I352" s="94">
        <v>22</v>
      </c>
    </row>
    <row r="353" spans="1:9" x14ac:dyDescent="0.25">
      <c r="A353" s="93" t="s">
        <v>182</v>
      </c>
      <c r="B353" s="93" t="s">
        <v>127</v>
      </c>
      <c r="C353" s="93"/>
      <c r="D353" s="93"/>
      <c r="E353" s="93"/>
      <c r="F353" s="93"/>
      <c r="G353" s="93" t="str">
        <f t="shared" si="5"/>
        <v>BrecilienR23</v>
      </c>
      <c r="H353" s="94" t="s">
        <v>380</v>
      </c>
      <c r="I353" s="94">
        <v>23</v>
      </c>
    </row>
    <row r="354" spans="1:9" x14ac:dyDescent="0.25">
      <c r="A354" s="93" t="s">
        <v>182</v>
      </c>
      <c r="B354" s="93" t="s">
        <v>128</v>
      </c>
      <c r="C354" s="93">
        <v>73997</v>
      </c>
      <c r="D354" s="93" t="s">
        <v>715</v>
      </c>
      <c r="E354" s="93"/>
      <c r="F354" s="93"/>
      <c r="G354" s="93" t="str">
        <f t="shared" si="5"/>
        <v>BridgewatchR23</v>
      </c>
      <c r="H354" s="94" t="s">
        <v>380</v>
      </c>
      <c r="I354" s="94">
        <v>23</v>
      </c>
    </row>
    <row r="355" spans="1:9" x14ac:dyDescent="0.25">
      <c r="A355" s="93" t="s">
        <v>182</v>
      </c>
      <c r="B355" s="93" t="s">
        <v>129</v>
      </c>
      <c r="C355" s="93">
        <v>98930</v>
      </c>
      <c r="D355" s="93" t="s">
        <v>760</v>
      </c>
      <c r="E355" s="93"/>
      <c r="F355" s="93"/>
      <c r="G355" s="93" t="str">
        <f t="shared" si="5"/>
        <v>CaerleonR23</v>
      </c>
      <c r="H355" s="94" t="s">
        <v>380</v>
      </c>
      <c r="I355" s="94">
        <v>23</v>
      </c>
    </row>
    <row r="356" spans="1:9" x14ac:dyDescent="0.25">
      <c r="A356" s="93" t="s">
        <v>182</v>
      </c>
      <c r="B356" s="93" t="s">
        <v>130</v>
      </c>
      <c r="C356" s="93">
        <v>80399</v>
      </c>
      <c r="D356" s="93" t="s">
        <v>773</v>
      </c>
      <c r="E356" s="93"/>
      <c r="F356" s="93"/>
      <c r="G356" s="93" t="str">
        <f t="shared" si="5"/>
        <v>Fort SterlingR23</v>
      </c>
      <c r="H356" s="94" t="s">
        <v>380</v>
      </c>
      <c r="I356" s="94">
        <v>23</v>
      </c>
    </row>
    <row r="357" spans="1:9" x14ac:dyDescent="0.25">
      <c r="A357" s="93" t="s">
        <v>182</v>
      </c>
      <c r="B357" s="93" t="s">
        <v>131</v>
      </c>
      <c r="C357" s="93"/>
      <c r="D357" s="93"/>
      <c r="E357" s="93"/>
      <c r="F357" s="93"/>
      <c r="G357" s="93" t="str">
        <f t="shared" si="5"/>
        <v>LymhurstR23</v>
      </c>
      <c r="H357" s="94" t="s">
        <v>380</v>
      </c>
      <c r="I357" s="94">
        <v>23</v>
      </c>
    </row>
    <row r="358" spans="1:9" x14ac:dyDescent="0.25">
      <c r="A358" s="93" t="s">
        <v>182</v>
      </c>
      <c r="B358" s="93" t="s">
        <v>132</v>
      </c>
      <c r="C358" s="93">
        <v>86654</v>
      </c>
      <c r="D358" s="93" t="s">
        <v>724</v>
      </c>
      <c r="E358" s="93"/>
      <c r="F358" s="93"/>
      <c r="G358" s="93" t="str">
        <f t="shared" si="5"/>
        <v>MartlockR23</v>
      </c>
      <c r="H358" s="94" t="s">
        <v>380</v>
      </c>
      <c r="I358" s="94">
        <v>23</v>
      </c>
    </row>
    <row r="359" spans="1:9" x14ac:dyDescent="0.25">
      <c r="A359" s="93" t="s">
        <v>182</v>
      </c>
      <c r="B359" s="93" t="s">
        <v>133</v>
      </c>
      <c r="C359" s="93"/>
      <c r="D359" s="93"/>
      <c r="E359" s="93"/>
      <c r="F359" s="93"/>
      <c r="G359" s="93" t="str">
        <f t="shared" si="5"/>
        <v>ThetfordR23</v>
      </c>
      <c r="H359" s="94" t="s">
        <v>380</v>
      </c>
      <c r="I359" s="94">
        <v>23</v>
      </c>
    </row>
    <row r="360" spans="1:9" x14ac:dyDescent="0.25">
      <c r="A360" s="93" t="s">
        <v>183</v>
      </c>
      <c r="B360" s="93" t="s">
        <v>127</v>
      </c>
      <c r="C360" s="93"/>
      <c r="D360" s="93"/>
      <c r="E360" s="93"/>
      <c r="F360" s="93"/>
      <c r="G360" s="93" t="str">
        <f t="shared" si="5"/>
        <v>BrecilienR24</v>
      </c>
      <c r="H360" s="94" t="s">
        <v>380</v>
      </c>
      <c r="I360" s="94">
        <v>24</v>
      </c>
    </row>
    <row r="361" spans="1:9" x14ac:dyDescent="0.25">
      <c r="A361" s="93" t="s">
        <v>183</v>
      </c>
      <c r="B361" s="93" t="s">
        <v>128</v>
      </c>
      <c r="C361" s="93">
        <v>247498</v>
      </c>
      <c r="D361" s="93" t="s">
        <v>715</v>
      </c>
      <c r="E361" s="93"/>
      <c r="F361" s="93"/>
      <c r="G361" s="93" t="str">
        <f t="shared" si="5"/>
        <v>BridgewatchR24</v>
      </c>
      <c r="H361" s="94" t="s">
        <v>380</v>
      </c>
      <c r="I361" s="94">
        <v>24</v>
      </c>
    </row>
    <row r="362" spans="1:9" x14ac:dyDescent="0.25">
      <c r="A362" s="93" t="s">
        <v>183</v>
      </c>
      <c r="B362" s="93" t="s">
        <v>129</v>
      </c>
      <c r="C362" s="93">
        <v>309995</v>
      </c>
      <c r="D362" s="93" t="s">
        <v>760</v>
      </c>
      <c r="E362" s="93"/>
      <c r="F362" s="93"/>
      <c r="G362" s="93" t="str">
        <f t="shared" si="5"/>
        <v>CaerleonR24</v>
      </c>
      <c r="H362" s="94" t="s">
        <v>380</v>
      </c>
      <c r="I362" s="94">
        <v>24</v>
      </c>
    </row>
    <row r="363" spans="1:9" x14ac:dyDescent="0.25">
      <c r="A363" s="93" t="s">
        <v>183</v>
      </c>
      <c r="B363" s="93" t="s">
        <v>130</v>
      </c>
      <c r="C363" s="93">
        <v>222496</v>
      </c>
      <c r="D363" s="93" t="s">
        <v>773</v>
      </c>
      <c r="E363" s="93"/>
      <c r="F363" s="93"/>
      <c r="G363" s="93" t="str">
        <f t="shared" si="5"/>
        <v>Fort SterlingR24</v>
      </c>
      <c r="H363" s="94" t="s">
        <v>380</v>
      </c>
      <c r="I363" s="94">
        <v>24</v>
      </c>
    </row>
    <row r="364" spans="1:9" x14ac:dyDescent="0.25">
      <c r="A364" s="93" t="s">
        <v>183</v>
      </c>
      <c r="B364" s="93" t="s">
        <v>131</v>
      </c>
      <c r="C364" s="93"/>
      <c r="D364" s="93"/>
      <c r="E364" s="93"/>
      <c r="F364" s="93"/>
      <c r="G364" s="93" t="str">
        <f t="shared" si="5"/>
        <v>LymhurstR24</v>
      </c>
      <c r="H364" s="94" t="s">
        <v>380</v>
      </c>
      <c r="I364" s="94">
        <v>24</v>
      </c>
    </row>
    <row r="365" spans="1:9" x14ac:dyDescent="0.25">
      <c r="A365" s="93" t="s">
        <v>183</v>
      </c>
      <c r="B365" s="93" t="s">
        <v>132</v>
      </c>
      <c r="C365" s="93">
        <v>219796</v>
      </c>
      <c r="D365" s="93" t="s">
        <v>724</v>
      </c>
      <c r="E365" s="93"/>
      <c r="F365" s="93"/>
      <c r="G365" s="93" t="str">
        <f t="shared" si="5"/>
        <v>MartlockR24</v>
      </c>
      <c r="H365" s="94" t="s">
        <v>380</v>
      </c>
      <c r="I365" s="94">
        <v>24</v>
      </c>
    </row>
    <row r="366" spans="1:9" x14ac:dyDescent="0.25">
      <c r="A366" s="93" t="s">
        <v>183</v>
      </c>
      <c r="B366" s="93" t="s">
        <v>133</v>
      </c>
      <c r="C366" s="93"/>
      <c r="D366" s="93"/>
      <c r="E366" s="93"/>
      <c r="F366" s="93"/>
      <c r="G366" s="93" t="str">
        <f t="shared" si="5"/>
        <v>ThetfordR24</v>
      </c>
      <c r="H366" s="94" t="s">
        <v>380</v>
      </c>
      <c r="I366" s="94">
        <v>24</v>
      </c>
    </row>
    <row r="367" spans="1:9" x14ac:dyDescent="0.25">
      <c r="A367" s="68" t="s">
        <v>184</v>
      </c>
      <c r="B367" s="68" t="s">
        <v>127</v>
      </c>
      <c r="C367" s="68"/>
      <c r="D367" s="68"/>
      <c r="E367" s="68"/>
      <c r="F367" s="68"/>
      <c r="G367" s="93" t="str">
        <f t="shared" si="5"/>
        <v>BrecilienR25</v>
      </c>
      <c r="H367" s="94" t="s">
        <v>380</v>
      </c>
      <c r="I367" s="94">
        <v>25</v>
      </c>
    </row>
    <row r="368" spans="1:9" x14ac:dyDescent="0.25">
      <c r="A368" s="81" t="s">
        <v>184</v>
      </c>
      <c r="B368" s="81" t="s">
        <v>128</v>
      </c>
      <c r="C368" s="81"/>
      <c r="D368" s="81"/>
      <c r="E368" s="81"/>
      <c r="F368" s="81"/>
      <c r="G368" s="93" t="str">
        <f t="shared" si="5"/>
        <v>BridgewatchR25</v>
      </c>
      <c r="H368" s="94" t="s">
        <v>380</v>
      </c>
      <c r="I368" s="94">
        <v>25</v>
      </c>
    </row>
    <row r="369" spans="1:9" x14ac:dyDescent="0.25">
      <c r="A369" s="81" t="s">
        <v>184</v>
      </c>
      <c r="B369" s="81" t="s">
        <v>129</v>
      </c>
      <c r="C369" s="81">
        <v>678900</v>
      </c>
      <c r="D369" s="81" t="s">
        <v>760</v>
      </c>
      <c r="E369" s="81"/>
      <c r="F369" s="81"/>
      <c r="G369" s="93" t="str">
        <f t="shared" si="5"/>
        <v>CaerleonR25</v>
      </c>
      <c r="H369" s="94" t="s">
        <v>380</v>
      </c>
      <c r="I369" s="94">
        <v>25</v>
      </c>
    </row>
    <row r="370" spans="1:9" x14ac:dyDescent="0.25">
      <c r="A370" s="81" t="s">
        <v>184</v>
      </c>
      <c r="B370" s="81" t="s">
        <v>130</v>
      </c>
      <c r="C370" s="81"/>
      <c r="D370" s="81"/>
      <c r="E370" s="81">
        <v>552000</v>
      </c>
      <c r="F370" s="81" t="s">
        <v>786</v>
      </c>
      <c r="G370" s="93" t="str">
        <f t="shared" si="5"/>
        <v>Fort SterlingR25</v>
      </c>
      <c r="H370" s="94" t="s">
        <v>380</v>
      </c>
      <c r="I370" s="94">
        <v>25</v>
      </c>
    </row>
    <row r="371" spans="1:9" x14ac:dyDescent="0.25">
      <c r="A371" s="81" t="s">
        <v>184</v>
      </c>
      <c r="B371" s="81" t="s">
        <v>131</v>
      </c>
      <c r="C371" s="81"/>
      <c r="D371" s="81"/>
      <c r="E371" s="81"/>
      <c r="F371" s="81"/>
      <c r="G371" s="93" t="str">
        <f t="shared" si="5"/>
        <v>LymhurstR25</v>
      </c>
      <c r="H371" s="94" t="s">
        <v>380</v>
      </c>
      <c r="I371" s="94">
        <v>25</v>
      </c>
    </row>
    <row r="372" spans="1:9" x14ac:dyDescent="0.25">
      <c r="A372" s="81" t="s">
        <v>184</v>
      </c>
      <c r="B372" s="81" t="s">
        <v>132</v>
      </c>
      <c r="C372" s="81">
        <v>607500</v>
      </c>
      <c r="D372" s="81" t="s">
        <v>724</v>
      </c>
      <c r="E372" s="81"/>
      <c r="F372" s="81"/>
      <c r="G372" s="93" t="str">
        <f t="shared" si="5"/>
        <v>MartlockR25</v>
      </c>
      <c r="H372" s="94" t="s">
        <v>380</v>
      </c>
      <c r="I372" s="94">
        <v>25</v>
      </c>
    </row>
    <row r="373" spans="1:9" x14ac:dyDescent="0.25">
      <c r="A373" s="81" t="s">
        <v>184</v>
      </c>
      <c r="B373" s="81" t="s">
        <v>133</v>
      </c>
      <c r="C373" s="81"/>
      <c r="D373" s="81"/>
      <c r="E373" s="81"/>
      <c r="F373" s="81"/>
      <c r="G373" s="93" t="str">
        <f t="shared" si="5"/>
        <v>ThetfordR25</v>
      </c>
      <c r="H373" s="94" t="s">
        <v>380</v>
      </c>
      <c r="I373" s="94">
        <v>25</v>
      </c>
    </row>
    <row r="374" spans="1:9" x14ac:dyDescent="0.25">
      <c r="A374" s="81" t="s">
        <v>185</v>
      </c>
      <c r="B374" s="81" t="s">
        <v>127</v>
      </c>
      <c r="C374" s="81"/>
      <c r="D374" s="81"/>
      <c r="E374" s="81"/>
      <c r="F374" s="81"/>
      <c r="G374" s="93" t="str">
        <f t="shared" si="5"/>
        <v>BrecilienR26</v>
      </c>
      <c r="H374" s="94" t="s">
        <v>380</v>
      </c>
      <c r="I374" s="94">
        <v>26</v>
      </c>
    </row>
    <row r="375" spans="1:9" x14ac:dyDescent="0.25">
      <c r="A375" s="81" t="s">
        <v>185</v>
      </c>
      <c r="B375" s="81" t="s">
        <v>128</v>
      </c>
      <c r="C375" s="81"/>
      <c r="D375" s="81"/>
      <c r="E375" s="81"/>
      <c r="F375" s="81"/>
      <c r="G375" s="93" t="str">
        <f t="shared" si="5"/>
        <v>BridgewatchR26</v>
      </c>
      <c r="H375" s="94" t="s">
        <v>380</v>
      </c>
      <c r="I375" s="94">
        <v>26</v>
      </c>
    </row>
    <row r="376" spans="1:9" x14ac:dyDescent="0.25">
      <c r="A376" s="81" t="s">
        <v>185</v>
      </c>
      <c r="B376" s="81" t="s">
        <v>129</v>
      </c>
      <c r="C376" s="81"/>
      <c r="D376" s="81"/>
      <c r="E376" s="81"/>
      <c r="F376" s="81"/>
      <c r="G376" s="93" t="str">
        <f t="shared" si="5"/>
        <v>CaerleonR26</v>
      </c>
      <c r="H376" s="94" t="s">
        <v>380</v>
      </c>
      <c r="I376" s="94">
        <v>26</v>
      </c>
    </row>
    <row r="377" spans="1:9" x14ac:dyDescent="0.25">
      <c r="A377" s="81" t="s">
        <v>185</v>
      </c>
      <c r="B377" s="81" t="s">
        <v>130</v>
      </c>
      <c r="C377" s="81"/>
      <c r="D377" s="81"/>
      <c r="E377" s="81">
        <v>2450053</v>
      </c>
      <c r="F377" s="81" t="s">
        <v>787</v>
      </c>
      <c r="G377" s="93" t="str">
        <f t="shared" si="5"/>
        <v>Fort SterlingR26</v>
      </c>
      <c r="H377" s="94" t="s">
        <v>380</v>
      </c>
      <c r="I377" s="94">
        <v>26</v>
      </c>
    </row>
    <row r="378" spans="1:9" x14ac:dyDescent="0.25">
      <c r="A378" s="81" t="s">
        <v>185</v>
      </c>
      <c r="B378" s="81" t="s">
        <v>131</v>
      </c>
      <c r="C378" s="81"/>
      <c r="D378" s="81"/>
      <c r="E378" s="81"/>
      <c r="F378" s="81"/>
      <c r="G378" s="93" t="str">
        <f t="shared" si="5"/>
        <v>LymhurstR26</v>
      </c>
      <c r="H378" s="94" t="s">
        <v>380</v>
      </c>
      <c r="I378" s="94">
        <v>26</v>
      </c>
    </row>
    <row r="379" spans="1:9" x14ac:dyDescent="0.25">
      <c r="A379" s="81" t="s">
        <v>185</v>
      </c>
      <c r="B379" s="81" t="s">
        <v>132</v>
      </c>
      <c r="C379" s="81">
        <v>2911111</v>
      </c>
      <c r="D379" s="81" t="s">
        <v>724</v>
      </c>
      <c r="E379" s="81"/>
      <c r="F379" s="81"/>
      <c r="G379" s="93" t="str">
        <f t="shared" si="5"/>
        <v>MartlockR26</v>
      </c>
      <c r="H379" s="94" t="s">
        <v>380</v>
      </c>
      <c r="I379" s="94">
        <v>26</v>
      </c>
    </row>
    <row r="380" spans="1:9" x14ac:dyDescent="0.25">
      <c r="A380" s="81" t="s">
        <v>185</v>
      </c>
      <c r="B380" s="81" t="s">
        <v>133</v>
      </c>
      <c r="C380" s="81"/>
      <c r="D380" s="81"/>
      <c r="E380" s="81"/>
      <c r="F380" s="81"/>
      <c r="G380" s="93" t="str">
        <f t="shared" si="5"/>
        <v>ThetfordR26</v>
      </c>
      <c r="H380" s="94" t="s">
        <v>380</v>
      </c>
      <c r="I380" s="94">
        <v>26</v>
      </c>
    </row>
    <row r="381" spans="1:9" x14ac:dyDescent="0.25">
      <c r="A381" s="81"/>
      <c r="B381" s="81"/>
      <c r="C381" s="81"/>
      <c r="D381" s="81"/>
      <c r="E381" s="81"/>
      <c r="F381" s="81"/>
      <c r="G381" s="81"/>
      <c r="H381" s="81"/>
      <c r="I381" s="81"/>
    </row>
  </sheetData>
  <sheetProtection selectLockedCells="1"/>
  <phoneticPr fontId="23" type="noConversion"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D961-5500-455A-B0A5-A2E3F82377D7}">
  <sheetPr codeName="Planilha15">
    <tabColor rgb="FFFFC000"/>
  </sheetPr>
  <dimension ref="A1:K380"/>
  <sheetViews>
    <sheetView showGridLines="0" showRowColHeaders="0" showZeros="0" topLeftCell="A172" workbookViewId="0">
      <selection activeCell="F7" sqref="F7:G7"/>
    </sheetView>
  </sheetViews>
  <sheetFormatPr defaultColWidth="0" defaultRowHeight="15" zeroHeight="1" x14ac:dyDescent="0.25"/>
  <cols>
    <col min="1" max="7" width="18.42578125" customWidth="1"/>
    <col min="8" max="9" width="6.85546875" customWidth="1"/>
    <col min="10" max="16384" width="9.140625" hidden="1"/>
  </cols>
  <sheetData>
    <row r="1" spans="1:11" x14ac:dyDescent="0.25">
      <c r="A1" s="98"/>
      <c r="B1" s="98"/>
      <c r="C1" s="98"/>
      <c r="D1" s="98"/>
      <c r="E1" s="98"/>
      <c r="F1" s="98"/>
      <c r="G1" s="98" t="s">
        <v>381</v>
      </c>
      <c r="H1" s="98" t="s">
        <v>382</v>
      </c>
      <c r="I1" s="98" t="s">
        <v>365</v>
      </c>
    </row>
    <row r="2" spans="1:11" x14ac:dyDescent="0.25">
      <c r="A2" s="94" t="s">
        <v>555</v>
      </c>
      <c r="B2" s="94" t="s">
        <v>127</v>
      </c>
      <c r="C2" s="94">
        <v>21</v>
      </c>
      <c r="D2" s="94" t="s">
        <v>791</v>
      </c>
      <c r="E2" s="94">
        <v>1</v>
      </c>
      <c r="F2" s="94" t="s">
        <v>895</v>
      </c>
      <c r="G2" s="94" t="str">
        <f>_xlfn.CONCAT(B2,H2,I2)</f>
        <v>BrecilienB0</v>
      </c>
      <c r="H2" s="94" t="s">
        <v>377</v>
      </c>
      <c r="I2" s="94">
        <v>0</v>
      </c>
      <c r="J2">
        <v>1</v>
      </c>
      <c r="K2" t="s">
        <v>792</v>
      </c>
    </row>
    <row r="3" spans="1:11" x14ac:dyDescent="0.25">
      <c r="A3" s="94" t="s">
        <v>555</v>
      </c>
      <c r="B3" s="94" t="s">
        <v>128</v>
      </c>
      <c r="C3" s="94">
        <v>32</v>
      </c>
      <c r="D3" s="94" t="s">
        <v>793</v>
      </c>
      <c r="E3" s="94">
        <v>24</v>
      </c>
      <c r="F3" s="94" t="s">
        <v>794</v>
      </c>
      <c r="G3" s="94" t="str">
        <f t="shared" ref="G3:G66" si="0">_xlfn.CONCAT(B3,H3,I3)</f>
        <v>BridgewatchB0</v>
      </c>
      <c r="H3" s="94" t="s">
        <v>377</v>
      </c>
      <c r="I3" s="94">
        <v>0</v>
      </c>
      <c r="J3">
        <v>24</v>
      </c>
      <c r="K3" t="s">
        <v>794</v>
      </c>
    </row>
    <row r="4" spans="1:11" x14ac:dyDescent="0.25">
      <c r="A4" s="94" t="s">
        <v>555</v>
      </c>
      <c r="B4" s="94" t="s">
        <v>129</v>
      </c>
      <c r="C4" s="94">
        <v>55</v>
      </c>
      <c r="D4" s="94" t="s">
        <v>795</v>
      </c>
      <c r="E4" s="94"/>
      <c r="F4" s="94"/>
      <c r="G4" s="94" t="str">
        <f t="shared" si="0"/>
        <v>CaerleonB0</v>
      </c>
      <c r="H4" s="94" t="s">
        <v>377</v>
      </c>
      <c r="I4" s="94">
        <v>0</v>
      </c>
    </row>
    <row r="5" spans="1:11" x14ac:dyDescent="0.25">
      <c r="A5" s="94" t="s">
        <v>555</v>
      </c>
      <c r="B5" s="94" t="s">
        <v>130</v>
      </c>
      <c r="C5" s="94">
        <v>26</v>
      </c>
      <c r="D5" s="94" t="s">
        <v>793</v>
      </c>
      <c r="E5" s="94">
        <v>23</v>
      </c>
      <c r="F5" s="94" t="s">
        <v>796</v>
      </c>
      <c r="G5" s="94" t="str">
        <f t="shared" si="0"/>
        <v>Fort SterlingB0</v>
      </c>
      <c r="H5" s="94" t="s">
        <v>377</v>
      </c>
      <c r="I5" s="94">
        <v>0</v>
      </c>
      <c r="J5">
        <v>23</v>
      </c>
      <c r="K5" t="s">
        <v>796</v>
      </c>
    </row>
    <row r="6" spans="1:11" x14ac:dyDescent="0.25">
      <c r="A6" s="94" t="s">
        <v>555</v>
      </c>
      <c r="B6" s="94" t="s">
        <v>131</v>
      </c>
      <c r="C6" s="94">
        <v>50</v>
      </c>
      <c r="D6" s="94" t="s">
        <v>797</v>
      </c>
      <c r="E6" s="94"/>
      <c r="F6" s="94"/>
      <c r="G6" s="94" t="str">
        <f t="shared" si="0"/>
        <v>LymhurstB0</v>
      </c>
      <c r="H6" s="94" t="s">
        <v>377</v>
      </c>
      <c r="I6" s="94">
        <v>0</v>
      </c>
    </row>
    <row r="7" spans="1:11" x14ac:dyDescent="0.25">
      <c r="A7" s="94" t="s">
        <v>555</v>
      </c>
      <c r="B7" s="94" t="s">
        <v>132</v>
      </c>
      <c r="C7" s="94">
        <v>20</v>
      </c>
      <c r="D7" s="94" t="s">
        <v>798</v>
      </c>
      <c r="E7" s="94">
        <v>17</v>
      </c>
      <c r="F7" s="94" t="s">
        <v>798</v>
      </c>
      <c r="G7" s="94" t="str">
        <f t="shared" si="0"/>
        <v>MartlockB0</v>
      </c>
      <c r="H7" s="94" t="s">
        <v>377</v>
      </c>
      <c r="I7" s="94">
        <v>0</v>
      </c>
      <c r="J7">
        <v>17</v>
      </c>
      <c r="K7" t="s">
        <v>798</v>
      </c>
    </row>
    <row r="8" spans="1:11" x14ac:dyDescent="0.25">
      <c r="A8" s="94" t="s">
        <v>555</v>
      </c>
      <c r="B8" s="94" t="s">
        <v>133</v>
      </c>
      <c r="C8" s="94">
        <v>23</v>
      </c>
      <c r="D8" s="94" t="s">
        <v>799</v>
      </c>
      <c r="E8" s="94">
        <v>20</v>
      </c>
      <c r="F8" s="94" t="s">
        <v>799</v>
      </c>
      <c r="G8" s="94" t="str">
        <f t="shared" si="0"/>
        <v>ThetfordB0</v>
      </c>
      <c r="H8" s="94" t="s">
        <v>377</v>
      </c>
      <c r="I8" s="94">
        <v>0</v>
      </c>
      <c r="J8">
        <v>20</v>
      </c>
      <c r="K8" t="s">
        <v>799</v>
      </c>
    </row>
    <row r="9" spans="1:11" x14ac:dyDescent="0.25">
      <c r="A9" s="94" t="s">
        <v>186</v>
      </c>
      <c r="B9" s="94" t="s">
        <v>127</v>
      </c>
      <c r="C9" s="94">
        <v>76</v>
      </c>
      <c r="D9" s="94" t="s">
        <v>800</v>
      </c>
      <c r="E9" s="94">
        <v>70</v>
      </c>
      <c r="F9" s="94" t="s">
        <v>801</v>
      </c>
      <c r="G9" s="94" t="str">
        <f t="shared" si="0"/>
        <v>BrecilienB1</v>
      </c>
      <c r="H9" s="94" t="s">
        <v>377</v>
      </c>
      <c r="I9" s="94">
        <v>1</v>
      </c>
      <c r="J9">
        <v>70</v>
      </c>
      <c r="K9" t="s">
        <v>801</v>
      </c>
    </row>
    <row r="10" spans="1:11" x14ac:dyDescent="0.25">
      <c r="A10" s="94" t="s">
        <v>186</v>
      </c>
      <c r="B10" s="94" t="s">
        <v>128</v>
      </c>
      <c r="C10" s="94">
        <v>72</v>
      </c>
      <c r="D10" s="94" t="s">
        <v>796</v>
      </c>
      <c r="E10" s="94">
        <v>70</v>
      </c>
      <c r="F10" s="94" t="s">
        <v>796</v>
      </c>
      <c r="G10" s="94" t="str">
        <f t="shared" si="0"/>
        <v>BridgewatchB1</v>
      </c>
      <c r="H10" s="94" t="s">
        <v>377</v>
      </c>
      <c r="I10" s="94">
        <v>1</v>
      </c>
      <c r="J10">
        <v>70</v>
      </c>
      <c r="K10" t="s">
        <v>796</v>
      </c>
    </row>
    <row r="11" spans="1:11" x14ac:dyDescent="0.25">
      <c r="A11" s="94" t="s">
        <v>186</v>
      </c>
      <c r="B11" s="94" t="s">
        <v>129</v>
      </c>
      <c r="C11" s="94">
        <v>108</v>
      </c>
      <c r="D11" s="94" t="s">
        <v>795</v>
      </c>
      <c r="E11" s="94"/>
      <c r="F11" s="94"/>
      <c r="G11" s="94" t="str">
        <f t="shared" si="0"/>
        <v>CaerleonB1</v>
      </c>
      <c r="H11" s="94" t="s">
        <v>377</v>
      </c>
      <c r="I11" s="94">
        <v>1</v>
      </c>
    </row>
    <row r="12" spans="1:11" x14ac:dyDescent="0.25">
      <c r="A12" s="94" t="s">
        <v>186</v>
      </c>
      <c r="B12" s="94" t="s">
        <v>130</v>
      </c>
      <c r="C12" s="94"/>
      <c r="D12" s="94"/>
      <c r="E12" s="94">
        <v>83</v>
      </c>
      <c r="F12" s="94" t="s">
        <v>802</v>
      </c>
      <c r="G12" s="94" t="str">
        <f t="shared" si="0"/>
        <v>Fort SterlingB1</v>
      </c>
      <c r="H12" s="94" t="s">
        <v>377</v>
      </c>
      <c r="I12" s="94">
        <v>1</v>
      </c>
      <c r="J12">
        <v>83</v>
      </c>
      <c r="K12" t="s">
        <v>802</v>
      </c>
    </row>
    <row r="13" spans="1:11" x14ac:dyDescent="0.25">
      <c r="A13" s="94" t="s">
        <v>186</v>
      </c>
      <c r="B13" s="94" t="s">
        <v>131</v>
      </c>
      <c r="C13" s="94">
        <v>88</v>
      </c>
      <c r="D13" s="94" t="s">
        <v>796</v>
      </c>
      <c r="E13" s="94">
        <v>83</v>
      </c>
      <c r="F13" s="94" t="s">
        <v>796</v>
      </c>
      <c r="G13" s="94" t="str">
        <f t="shared" si="0"/>
        <v>LymhurstB1</v>
      </c>
      <c r="H13" s="94" t="s">
        <v>377</v>
      </c>
      <c r="I13" s="94">
        <v>1</v>
      </c>
      <c r="J13">
        <v>83</v>
      </c>
      <c r="K13" t="s">
        <v>796</v>
      </c>
    </row>
    <row r="14" spans="1:11" x14ac:dyDescent="0.25">
      <c r="A14" s="94" t="s">
        <v>186</v>
      </c>
      <c r="B14" s="94" t="s">
        <v>132</v>
      </c>
      <c r="C14" s="94">
        <v>63</v>
      </c>
      <c r="D14" s="94" t="s">
        <v>803</v>
      </c>
      <c r="E14" s="94">
        <v>59</v>
      </c>
      <c r="F14" s="94" t="s">
        <v>804</v>
      </c>
      <c r="G14" s="94" t="str">
        <f t="shared" si="0"/>
        <v>MartlockB1</v>
      </c>
      <c r="H14" s="94" t="s">
        <v>377</v>
      </c>
      <c r="I14" s="94">
        <v>1</v>
      </c>
      <c r="J14">
        <v>59</v>
      </c>
      <c r="K14" t="s">
        <v>804</v>
      </c>
    </row>
    <row r="15" spans="1:11" x14ac:dyDescent="0.25">
      <c r="A15" s="94" t="s">
        <v>186</v>
      </c>
      <c r="B15" s="94" t="s">
        <v>133</v>
      </c>
      <c r="C15" s="94">
        <v>70</v>
      </c>
      <c r="D15" s="94" t="s">
        <v>799</v>
      </c>
      <c r="E15" s="94">
        <v>68</v>
      </c>
      <c r="F15" s="94" t="s">
        <v>799</v>
      </c>
      <c r="G15" s="94" t="str">
        <f t="shared" si="0"/>
        <v>ThetfordB1</v>
      </c>
      <c r="H15" s="94" t="s">
        <v>377</v>
      </c>
      <c r="I15" s="94">
        <v>1</v>
      </c>
      <c r="J15">
        <v>68</v>
      </c>
      <c r="K15" t="s">
        <v>799</v>
      </c>
    </row>
    <row r="16" spans="1:11" x14ac:dyDescent="0.25">
      <c r="A16" s="94" t="s">
        <v>187</v>
      </c>
      <c r="B16" s="94" t="s">
        <v>127</v>
      </c>
      <c r="C16" s="94">
        <v>54</v>
      </c>
      <c r="D16" s="94" t="s">
        <v>801</v>
      </c>
      <c r="E16" s="94">
        <v>52</v>
      </c>
      <c r="F16" s="94" t="s">
        <v>801</v>
      </c>
      <c r="G16" s="94" t="str">
        <f t="shared" si="0"/>
        <v>BrecilienB2</v>
      </c>
      <c r="H16" s="94" t="s">
        <v>377</v>
      </c>
      <c r="I16" s="94">
        <v>2</v>
      </c>
      <c r="J16">
        <v>52</v>
      </c>
      <c r="K16" t="s">
        <v>801</v>
      </c>
    </row>
    <row r="17" spans="1:11" x14ac:dyDescent="0.25">
      <c r="A17" s="94" t="s">
        <v>187</v>
      </c>
      <c r="B17" s="94" t="s">
        <v>128</v>
      </c>
      <c r="C17" s="94">
        <v>65</v>
      </c>
      <c r="D17" s="94" t="s">
        <v>893</v>
      </c>
      <c r="E17" s="94">
        <v>45</v>
      </c>
      <c r="F17" s="94" t="s">
        <v>805</v>
      </c>
      <c r="G17" s="94" t="str">
        <f t="shared" si="0"/>
        <v>BridgewatchB2</v>
      </c>
      <c r="H17" s="94" t="s">
        <v>377</v>
      </c>
      <c r="I17" s="94">
        <v>2</v>
      </c>
      <c r="J17">
        <v>45</v>
      </c>
      <c r="K17" t="s">
        <v>805</v>
      </c>
    </row>
    <row r="18" spans="1:11" x14ac:dyDescent="0.25">
      <c r="A18" s="94" t="s">
        <v>187</v>
      </c>
      <c r="B18" s="94" t="s">
        <v>129</v>
      </c>
      <c r="C18" s="94">
        <v>87</v>
      </c>
      <c r="D18" s="94" t="s">
        <v>895</v>
      </c>
      <c r="E18" s="94">
        <v>63</v>
      </c>
      <c r="F18" s="94" t="s">
        <v>806</v>
      </c>
      <c r="G18" s="94" t="str">
        <f t="shared" si="0"/>
        <v>CaerleonB2</v>
      </c>
      <c r="H18" s="94" t="s">
        <v>377</v>
      </c>
      <c r="I18" s="94">
        <v>2</v>
      </c>
      <c r="J18">
        <v>63</v>
      </c>
      <c r="K18" t="s">
        <v>806</v>
      </c>
    </row>
    <row r="19" spans="1:11" x14ac:dyDescent="0.25">
      <c r="A19" s="94" t="s">
        <v>187</v>
      </c>
      <c r="B19" s="94" t="s">
        <v>130</v>
      </c>
      <c r="C19" s="94">
        <v>60</v>
      </c>
      <c r="D19" s="94" t="s">
        <v>806</v>
      </c>
      <c r="E19" s="94">
        <v>59</v>
      </c>
      <c r="F19" s="94" t="s">
        <v>806</v>
      </c>
      <c r="G19" s="94" t="str">
        <f t="shared" si="0"/>
        <v>Fort SterlingB2</v>
      </c>
      <c r="H19" s="94" t="s">
        <v>377</v>
      </c>
      <c r="I19" s="94">
        <v>2</v>
      </c>
      <c r="J19">
        <v>59</v>
      </c>
      <c r="K19" t="s">
        <v>806</v>
      </c>
    </row>
    <row r="20" spans="1:11" x14ac:dyDescent="0.25">
      <c r="A20" s="94" t="s">
        <v>187</v>
      </c>
      <c r="B20" s="94" t="s">
        <v>131</v>
      </c>
      <c r="C20" s="94">
        <v>78</v>
      </c>
      <c r="D20" s="94" t="s">
        <v>797</v>
      </c>
      <c r="E20" s="94">
        <v>76</v>
      </c>
      <c r="F20" s="94" t="s">
        <v>797</v>
      </c>
      <c r="G20" s="94" t="str">
        <f t="shared" si="0"/>
        <v>LymhurstB2</v>
      </c>
      <c r="H20" s="94" t="s">
        <v>377</v>
      </c>
      <c r="I20" s="94">
        <v>2</v>
      </c>
      <c r="J20">
        <v>76</v>
      </c>
      <c r="K20" t="s">
        <v>797</v>
      </c>
    </row>
    <row r="21" spans="1:11" x14ac:dyDescent="0.25">
      <c r="A21" s="94" t="s">
        <v>187</v>
      </c>
      <c r="B21" s="94" t="s">
        <v>132</v>
      </c>
      <c r="C21" s="94">
        <v>61</v>
      </c>
      <c r="D21" s="94" t="s">
        <v>798</v>
      </c>
      <c r="E21" s="94">
        <v>51</v>
      </c>
      <c r="F21" s="94" t="s">
        <v>807</v>
      </c>
      <c r="G21" s="94" t="str">
        <f t="shared" si="0"/>
        <v>MartlockB2</v>
      </c>
      <c r="H21" s="94" t="s">
        <v>377</v>
      </c>
      <c r="I21" s="94">
        <v>2</v>
      </c>
      <c r="J21">
        <v>51</v>
      </c>
      <c r="K21" t="s">
        <v>807</v>
      </c>
    </row>
    <row r="22" spans="1:11" x14ac:dyDescent="0.25">
      <c r="A22" s="94" t="s">
        <v>187</v>
      </c>
      <c r="B22" s="94" t="s">
        <v>133</v>
      </c>
      <c r="C22" s="94">
        <v>58</v>
      </c>
      <c r="D22" s="94" t="s">
        <v>805</v>
      </c>
      <c r="E22" s="94"/>
      <c r="F22" s="94"/>
      <c r="G22" s="94" t="str">
        <f t="shared" si="0"/>
        <v>ThetfordB2</v>
      </c>
      <c r="H22" s="94" t="s">
        <v>377</v>
      </c>
      <c r="I22" s="94">
        <v>2</v>
      </c>
    </row>
    <row r="23" spans="1:11" x14ac:dyDescent="0.25">
      <c r="A23" s="94" t="s">
        <v>188</v>
      </c>
      <c r="B23" s="94" t="s">
        <v>127</v>
      </c>
      <c r="C23" s="94"/>
      <c r="D23" s="94"/>
      <c r="E23" s="94"/>
      <c r="F23" s="94"/>
      <c r="G23" s="94" t="str">
        <f t="shared" si="0"/>
        <v>BrecilienB3</v>
      </c>
      <c r="H23" s="94" t="s">
        <v>377</v>
      </c>
      <c r="I23" s="94">
        <v>3</v>
      </c>
    </row>
    <row r="24" spans="1:11" x14ac:dyDescent="0.25">
      <c r="A24" s="94" t="s">
        <v>188</v>
      </c>
      <c r="B24" s="94" t="s">
        <v>128</v>
      </c>
      <c r="C24" s="94">
        <v>129</v>
      </c>
      <c r="D24" s="94" t="s">
        <v>808</v>
      </c>
      <c r="E24" s="94">
        <v>103</v>
      </c>
      <c r="F24" s="94" t="s">
        <v>809</v>
      </c>
      <c r="G24" s="94" t="str">
        <f t="shared" si="0"/>
        <v>BridgewatchB3</v>
      </c>
      <c r="H24" s="94" t="s">
        <v>377</v>
      </c>
      <c r="I24" s="94">
        <v>3</v>
      </c>
      <c r="J24">
        <v>103</v>
      </c>
      <c r="K24" t="s">
        <v>809</v>
      </c>
    </row>
    <row r="25" spans="1:11" x14ac:dyDescent="0.25">
      <c r="A25" s="94" t="s">
        <v>188</v>
      </c>
      <c r="B25" s="94" t="s">
        <v>129</v>
      </c>
      <c r="C25" s="94">
        <v>121</v>
      </c>
      <c r="D25" s="94" t="s">
        <v>810</v>
      </c>
      <c r="E25" s="94">
        <v>117</v>
      </c>
      <c r="F25" s="94" t="s">
        <v>810</v>
      </c>
      <c r="G25" s="94" t="str">
        <f t="shared" si="0"/>
        <v>CaerleonB3</v>
      </c>
      <c r="H25" s="94" t="s">
        <v>377</v>
      </c>
      <c r="I25" s="94">
        <v>3</v>
      </c>
      <c r="J25">
        <v>117</v>
      </c>
      <c r="K25" t="s">
        <v>810</v>
      </c>
    </row>
    <row r="26" spans="1:11" x14ac:dyDescent="0.25">
      <c r="A26" s="94" t="s">
        <v>188</v>
      </c>
      <c r="B26" s="94" t="s">
        <v>130</v>
      </c>
      <c r="C26" s="94">
        <v>111</v>
      </c>
      <c r="D26" s="94" t="s">
        <v>811</v>
      </c>
      <c r="E26" s="94"/>
      <c r="F26" s="94"/>
      <c r="G26" s="94" t="str">
        <f t="shared" si="0"/>
        <v>Fort SterlingB3</v>
      </c>
      <c r="H26" s="94" t="s">
        <v>377</v>
      </c>
      <c r="I26" s="94">
        <v>3</v>
      </c>
    </row>
    <row r="27" spans="1:11" x14ac:dyDescent="0.25">
      <c r="A27" s="94" t="s">
        <v>188</v>
      </c>
      <c r="B27" s="94" t="s">
        <v>131</v>
      </c>
      <c r="C27" s="94">
        <v>129</v>
      </c>
      <c r="D27" s="94" t="s">
        <v>797</v>
      </c>
      <c r="E27" s="94">
        <v>129</v>
      </c>
      <c r="F27" s="94" t="s">
        <v>796</v>
      </c>
      <c r="G27" s="94" t="str">
        <f t="shared" si="0"/>
        <v>LymhurstB3</v>
      </c>
      <c r="H27" s="94" t="s">
        <v>377</v>
      </c>
      <c r="I27" s="94">
        <v>3</v>
      </c>
      <c r="J27">
        <v>129</v>
      </c>
      <c r="K27" t="s">
        <v>796</v>
      </c>
    </row>
    <row r="28" spans="1:11" x14ac:dyDescent="0.25">
      <c r="A28" s="94" t="s">
        <v>188</v>
      </c>
      <c r="B28" s="94" t="s">
        <v>132</v>
      </c>
      <c r="C28" s="94"/>
      <c r="D28" s="94"/>
      <c r="E28" s="94"/>
      <c r="F28" s="94"/>
      <c r="G28" s="94" t="str">
        <f t="shared" si="0"/>
        <v>MartlockB3</v>
      </c>
      <c r="H28" s="94" t="s">
        <v>377</v>
      </c>
      <c r="I28" s="94">
        <v>3</v>
      </c>
    </row>
    <row r="29" spans="1:11" x14ac:dyDescent="0.25">
      <c r="A29" s="94" t="s">
        <v>188</v>
      </c>
      <c r="B29" s="94" t="s">
        <v>133</v>
      </c>
      <c r="C29" s="94">
        <v>106</v>
      </c>
      <c r="D29" s="94" t="s">
        <v>812</v>
      </c>
      <c r="E29" s="94"/>
      <c r="F29" s="94"/>
      <c r="G29" s="94" t="str">
        <f t="shared" si="0"/>
        <v>ThetfordB3</v>
      </c>
      <c r="H29" s="94" t="s">
        <v>377</v>
      </c>
      <c r="I29" s="94">
        <v>3</v>
      </c>
    </row>
    <row r="30" spans="1:11" x14ac:dyDescent="0.25">
      <c r="A30" s="94" t="s">
        <v>189</v>
      </c>
      <c r="B30" s="94" t="s">
        <v>127</v>
      </c>
      <c r="C30" s="94">
        <v>659</v>
      </c>
      <c r="D30" s="94" t="s">
        <v>813</v>
      </c>
      <c r="E30" s="94"/>
      <c r="F30" s="94"/>
      <c r="G30" s="94" t="str">
        <f t="shared" si="0"/>
        <v>BrecilienB4</v>
      </c>
      <c r="H30" s="94" t="s">
        <v>377</v>
      </c>
      <c r="I30" s="94">
        <v>4</v>
      </c>
    </row>
    <row r="31" spans="1:11" x14ac:dyDescent="0.25">
      <c r="A31" s="94" t="s">
        <v>189</v>
      </c>
      <c r="B31" s="94" t="s">
        <v>128</v>
      </c>
      <c r="C31" s="94">
        <v>721</v>
      </c>
      <c r="D31" s="94" t="s">
        <v>796</v>
      </c>
      <c r="E31" s="94">
        <v>702</v>
      </c>
      <c r="F31" s="94" t="s">
        <v>796</v>
      </c>
      <c r="G31" s="94" t="str">
        <f t="shared" si="0"/>
        <v>BridgewatchB4</v>
      </c>
      <c r="H31" s="94" t="s">
        <v>377</v>
      </c>
      <c r="I31" s="94">
        <v>4</v>
      </c>
      <c r="J31">
        <v>702</v>
      </c>
      <c r="K31" t="s">
        <v>796</v>
      </c>
    </row>
    <row r="32" spans="1:11" x14ac:dyDescent="0.25">
      <c r="A32" s="94" t="s">
        <v>189</v>
      </c>
      <c r="B32" s="94" t="s">
        <v>129</v>
      </c>
      <c r="C32" s="94">
        <v>734</v>
      </c>
      <c r="D32" s="94" t="s">
        <v>799</v>
      </c>
      <c r="E32" s="94"/>
      <c r="F32" s="94"/>
      <c r="G32" s="94" t="str">
        <f t="shared" si="0"/>
        <v>CaerleonB4</v>
      </c>
      <c r="H32" s="94" t="s">
        <v>377</v>
      </c>
      <c r="I32" s="94">
        <v>4</v>
      </c>
    </row>
    <row r="33" spans="1:11" x14ac:dyDescent="0.25">
      <c r="A33" s="94" t="s">
        <v>189</v>
      </c>
      <c r="B33" s="94" t="s">
        <v>130</v>
      </c>
      <c r="C33" s="94">
        <v>817</v>
      </c>
      <c r="D33" s="94" t="s">
        <v>796</v>
      </c>
      <c r="E33" s="94"/>
      <c r="F33" s="94"/>
      <c r="G33" s="94" t="str">
        <f t="shared" si="0"/>
        <v>Fort SterlingB4</v>
      </c>
      <c r="H33" s="94" t="s">
        <v>377</v>
      </c>
      <c r="I33" s="94">
        <v>4</v>
      </c>
    </row>
    <row r="34" spans="1:11" x14ac:dyDescent="0.25">
      <c r="A34" s="94" t="s">
        <v>189</v>
      </c>
      <c r="B34" s="94" t="s">
        <v>131</v>
      </c>
      <c r="C34" s="94">
        <v>805</v>
      </c>
      <c r="D34" s="94" t="s">
        <v>796</v>
      </c>
      <c r="E34" s="94">
        <v>703</v>
      </c>
      <c r="F34" s="94" t="s">
        <v>799</v>
      </c>
      <c r="G34" s="94" t="str">
        <f t="shared" si="0"/>
        <v>LymhurstB4</v>
      </c>
      <c r="H34" s="94" t="s">
        <v>377</v>
      </c>
      <c r="I34" s="94">
        <v>4</v>
      </c>
      <c r="J34">
        <v>703</v>
      </c>
      <c r="K34" t="s">
        <v>799</v>
      </c>
    </row>
    <row r="35" spans="1:11" x14ac:dyDescent="0.25">
      <c r="A35" s="94" t="s">
        <v>189</v>
      </c>
      <c r="B35" s="94" t="s">
        <v>132</v>
      </c>
      <c r="C35" s="94">
        <v>737</v>
      </c>
      <c r="D35" s="94" t="s">
        <v>798</v>
      </c>
      <c r="E35" s="94">
        <v>710</v>
      </c>
      <c r="F35" s="94" t="s">
        <v>798</v>
      </c>
      <c r="G35" s="94" t="str">
        <f t="shared" si="0"/>
        <v>MartlockB4</v>
      </c>
      <c r="H35" s="94" t="s">
        <v>377</v>
      </c>
      <c r="I35" s="94">
        <v>4</v>
      </c>
      <c r="J35">
        <v>710</v>
      </c>
      <c r="K35" t="s">
        <v>798</v>
      </c>
    </row>
    <row r="36" spans="1:11" x14ac:dyDescent="0.25">
      <c r="A36" s="94" t="s">
        <v>189</v>
      </c>
      <c r="B36" s="94" t="s">
        <v>133</v>
      </c>
      <c r="C36" s="94">
        <v>714</v>
      </c>
      <c r="D36" s="94" t="s">
        <v>794</v>
      </c>
      <c r="E36" s="94">
        <v>711</v>
      </c>
      <c r="F36" s="94" t="s">
        <v>799</v>
      </c>
      <c r="G36" s="94" t="str">
        <f t="shared" si="0"/>
        <v>ThetfordB4</v>
      </c>
      <c r="H36" s="94" t="s">
        <v>377</v>
      </c>
      <c r="I36" s="94">
        <v>4</v>
      </c>
      <c r="J36">
        <v>711</v>
      </c>
      <c r="K36" t="s">
        <v>799</v>
      </c>
    </row>
    <row r="37" spans="1:11" x14ac:dyDescent="0.25">
      <c r="A37" s="94" t="s">
        <v>190</v>
      </c>
      <c r="B37" s="94" t="s">
        <v>127</v>
      </c>
      <c r="C37" s="94"/>
      <c r="D37" s="94"/>
      <c r="E37" s="94"/>
      <c r="F37" s="94"/>
      <c r="G37" s="94" t="str">
        <f t="shared" si="0"/>
        <v>BrecilienB5</v>
      </c>
      <c r="H37" s="94" t="s">
        <v>377</v>
      </c>
      <c r="I37" s="94">
        <v>5</v>
      </c>
    </row>
    <row r="38" spans="1:11" x14ac:dyDescent="0.25">
      <c r="A38" s="94" t="s">
        <v>190</v>
      </c>
      <c r="B38" s="94" t="s">
        <v>128</v>
      </c>
      <c r="C38" s="94">
        <v>7589</v>
      </c>
      <c r="D38" s="94" t="s">
        <v>814</v>
      </c>
      <c r="E38" s="94"/>
      <c r="F38" s="94"/>
      <c r="G38" s="94" t="str">
        <f t="shared" si="0"/>
        <v>BridgewatchB5</v>
      </c>
      <c r="H38" s="94" t="s">
        <v>377</v>
      </c>
      <c r="I38" s="94">
        <v>5</v>
      </c>
    </row>
    <row r="39" spans="1:11" x14ac:dyDescent="0.25">
      <c r="A39" s="94" t="s">
        <v>190</v>
      </c>
      <c r="B39" s="94" t="s">
        <v>129</v>
      </c>
      <c r="C39" s="94">
        <v>6950</v>
      </c>
      <c r="D39" s="94" t="s">
        <v>796</v>
      </c>
      <c r="E39" s="94"/>
      <c r="F39" s="94"/>
      <c r="G39" s="94" t="str">
        <f t="shared" si="0"/>
        <v>CaerleonB5</v>
      </c>
      <c r="H39" s="94" t="s">
        <v>377</v>
      </c>
      <c r="I39" s="94">
        <v>5</v>
      </c>
    </row>
    <row r="40" spans="1:11" x14ac:dyDescent="0.25">
      <c r="A40" s="94" t="s">
        <v>190</v>
      </c>
      <c r="B40" s="94" t="s">
        <v>130</v>
      </c>
      <c r="C40" s="94">
        <v>6786</v>
      </c>
      <c r="D40" s="94" t="s">
        <v>815</v>
      </c>
      <c r="E40" s="94">
        <v>5706</v>
      </c>
      <c r="F40" s="94" t="s">
        <v>816</v>
      </c>
      <c r="G40" s="94" t="str">
        <f t="shared" si="0"/>
        <v>Fort SterlingB5</v>
      </c>
      <c r="H40" s="94" t="s">
        <v>377</v>
      </c>
      <c r="I40" s="94">
        <v>5</v>
      </c>
      <c r="J40">
        <v>5706</v>
      </c>
      <c r="K40" t="s">
        <v>816</v>
      </c>
    </row>
    <row r="41" spans="1:11" x14ac:dyDescent="0.25">
      <c r="A41" s="94" t="s">
        <v>190</v>
      </c>
      <c r="B41" s="94" t="s">
        <v>131</v>
      </c>
      <c r="C41" s="94">
        <v>7766</v>
      </c>
      <c r="D41" s="94" t="s">
        <v>817</v>
      </c>
      <c r="E41" s="94">
        <v>6925</v>
      </c>
      <c r="F41" s="94" t="s">
        <v>797</v>
      </c>
      <c r="G41" s="94" t="str">
        <f t="shared" si="0"/>
        <v>LymhurstB5</v>
      </c>
      <c r="H41" s="94" t="s">
        <v>377</v>
      </c>
      <c r="I41" s="94">
        <v>5</v>
      </c>
      <c r="J41">
        <v>6925</v>
      </c>
      <c r="K41" t="s">
        <v>797</v>
      </c>
    </row>
    <row r="42" spans="1:11" x14ac:dyDescent="0.25">
      <c r="A42" s="94" t="s">
        <v>190</v>
      </c>
      <c r="B42" s="94" t="s">
        <v>132</v>
      </c>
      <c r="C42" s="94">
        <v>6132</v>
      </c>
      <c r="D42" s="94" t="s">
        <v>818</v>
      </c>
      <c r="E42" s="94">
        <v>5951</v>
      </c>
      <c r="F42" s="94" t="s">
        <v>819</v>
      </c>
      <c r="G42" s="94" t="str">
        <f t="shared" si="0"/>
        <v>MartlockB5</v>
      </c>
      <c r="H42" s="94" t="s">
        <v>377</v>
      </c>
      <c r="I42" s="94">
        <v>5</v>
      </c>
      <c r="J42">
        <v>5951</v>
      </c>
      <c r="K42" t="s">
        <v>819</v>
      </c>
    </row>
    <row r="43" spans="1:11" x14ac:dyDescent="0.25">
      <c r="A43" s="94" t="s">
        <v>190</v>
      </c>
      <c r="B43" s="94" t="s">
        <v>133</v>
      </c>
      <c r="C43" s="94">
        <v>6756</v>
      </c>
      <c r="D43" s="94" t="s">
        <v>805</v>
      </c>
      <c r="E43" s="94">
        <v>5824</v>
      </c>
      <c r="F43" s="94" t="s">
        <v>805</v>
      </c>
      <c r="G43" s="94" t="str">
        <f t="shared" si="0"/>
        <v>ThetfordB5</v>
      </c>
      <c r="H43" s="94" t="s">
        <v>377</v>
      </c>
      <c r="I43" s="94">
        <v>5</v>
      </c>
      <c r="J43">
        <v>5824</v>
      </c>
      <c r="K43" t="s">
        <v>805</v>
      </c>
    </row>
    <row r="44" spans="1:11" x14ac:dyDescent="0.25">
      <c r="A44" s="94" t="s">
        <v>191</v>
      </c>
      <c r="B44" s="94" t="s">
        <v>127</v>
      </c>
      <c r="C44" s="94">
        <v>37968</v>
      </c>
      <c r="D44" s="94" t="s">
        <v>820</v>
      </c>
      <c r="E44" s="94"/>
      <c r="F44" s="94"/>
      <c r="G44" s="94" t="str">
        <f t="shared" si="0"/>
        <v>BrecilienB6</v>
      </c>
      <c r="H44" s="94" t="s">
        <v>377</v>
      </c>
      <c r="I44" s="94">
        <v>6</v>
      </c>
    </row>
    <row r="45" spans="1:11" x14ac:dyDescent="0.25">
      <c r="A45" s="94" t="s">
        <v>191</v>
      </c>
      <c r="B45" s="94" t="s">
        <v>128</v>
      </c>
      <c r="C45" s="94">
        <v>30976</v>
      </c>
      <c r="D45" s="94" t="s">
        <v>821</v>
      </c>
      <c r="E45" s="94"/>
      <c r="F45" s="94"/>
      <c r="G45" s="94" t="str">
        <f t="shared" si="0"/>
        <v>BridgewatchB6</v>
      </c>
      <c r="H45" s="94" t="s">
        <v>377</v>
      </c>
      <c r="I45" s="94">
        <v>6</v>
      </c>
    </row>
    <row r="46" spans="1:11" x14ac:dyDescent="0.25">
      <c r="A46" s="94" t="s">
        <v>191</v>
      </c>
      <c r="B46" s="94" t="s">
        <v>129</v>
      </c>
      <c r="C46" s="94">
        <v>47850</v>
      </c>
      <c r="D46" s="94" t="s">
        <v>822</v>
      </c>
      <c r="E46" s="94"/>
      <c r="F46" s="94"/>
      <c r="G46" s="94" t="str">
        <f t="shared" si="0"/>
        <v>CaerleonB6</v>
      </c>
      <c r="H46" s="94" t="s">
        <v>377</v>
      </c>
      <c r="I46" s="94">
        <v>6</v>
      </c>
    </row>
    <row r="47" spans="1:11" x14ac:dyDescent="0.25">
      <c r="A47" s="94" t="s">
        <v>191</v>
      </c>
      <c r="B47" s="94" t="s">
        <v>130</v>
      </c>
      <c r="C47" s="94">
        <v>32987</v>
      </c>
      <c r="D47" s="94" t="s">
        <v>823</v>
      </c>
      <c r="E47" s="94"/>
      <c r="F47" s="94"/>
      <c r="G47" s="94" t="str">
        <f t="shared" si="0"/>
        <v>Fort SterlingB6</v>
      </c>
      <c r="H47" s="94" t="s">
        <v>377</v>
      </c>
      <c r="I47" s="94">
        <v>6</v>
      </c>
    </row>
    <row r="48" spans="1:11" x14ac:dyDescent="0.25">
      <c r="A48" s="94" t="s">
        <v>191</v>
      </c>
      <c r="B48" s="94" t="s">
        <v>131</v>
      </c>
      <c r="C48" s="94">
        <v>31998</v>
      </c>
      <c r="D48" s="94" t="s">
        <v>799</v>
      </c>
      <c r="E48" s="94"/>
      <c r="F48" s="94"/>
      <c r="G48" s="94" t="str">
        <f t="shared" si="0"/>
        <v>LymhurstB6</v>
      </c>
      <c r="H48" s="94" t="s">
        <v>377</v>
      </c>
      <c r="I48" s="94">
        <v>6</v>
      </c>
    </row>
    <row r="49" spans="1:11" x14ac:dyDescent="0.25">
      <c r="A49" s="94" t="s">
        <v>191</v>
      </c>
      <c r="B49" s="94" t="s">
        <v>132</v>
      </c>
      <c r="C49" s="94">
        <v>31321</v>
      </c>
      <c r="D49" s="94" t="s">
        <v>824</v>
      </c>
      <c r="E49" s="94"/>
      <c r="F49" s="94"/>
      <c r="G49" s="94" t="str">
        <f t="shared" si="0"/>
        <v>MartlockB6</v>
      </c>
      <c r="H49" s="94" t="s">
        <v>377</v>
      </c>
      <c r="I49" s="94">
        <v>6</v>
      </c>
    </row>
    <row r="50" spans="1:11" x14ac:dyDescent="0.25">
      <c r="A50" s="94" t="s">
        <v>191</v>
      </c>
      <c r="B50" s="94" t="s">
        <v>133</v>
      </c>
      <c r="C50" s="94">
        <v>30960</v>
      </c>
      <c r="D50" s="94" t="s">
        <v>825</v>
      </c>
      <c r="E50" s="94">
        <v>28726</v>
      </c>
      <c r="F50" s="94" t="s">
        <v>826</v>
      </c>
      <c r="G50" s="94" t="str">
        <f t="shared" si="0"/>
        <v>ThetfordB6</v>
      </c>
      <c r="H50" s="94" t="s">
        <v>377</v>
      </c>
      <c r="I50" s="94">
        <v>6</v>
      </c>
      <c r="J50">
        <v>28726</v>
      </c>
      <c r="K50" t="s">
        <v>826</v>
      </c>
    </row>
    <row r="51" spans="1:11" x14ac:dyDescent="0.25">
      <c r="A51" s="94" t="s">
        <v>192</v>
      </c>
      <c r="B51" s="94" t="s">
        <v>127</v>
      </c>
      <c r="C51" s="94">
        <v>309</v>
      </c>
      <c r="D51" s="94" t="s">
        <v>827</v>
      </c>
      <c r="E51" s="94"/>
      <c r="F51" s="94"/>
      <c r="G51" s="94" t="str">
        <f t="shared" si="0"/>
        <v>BrecilienB7</v>
      </c>
      <c r="H51" s="94" t="s">
        <v>377</v>
      </c>
      <c r="I51" s="94">
        <v>7</v>
      </c>
    </row>
    <row r="52" spans="1:11" x14ac:dyDescent="0.25">
      <c r="A52" s="94" t="s">
        <v>192</v>
      </c>
      <c r="B52" s="94" t="s">
        <v>128</v>
      </c>
      <c r="C52" s="94">
        <v>339</v>
      </c>
      <c r="D52" s="94" t="s">
        <v>805</v>
      </c>
      <c r="E52" s="94">
        <v>288</v>
      </c>
      <c r="F52" s="94" t="s">
        <v>793</v>
      </c>
      <c r="G52" s="94" t="str">
        <f t="shared" si="0"/>
        <v>BridgewatchB7</v>
      </c>
      <c r="H52" s="94" t="s">
        <v>377</v>
      </c>
      <c r="I52" s="94">
        <v>7</v>
      </c>
      <c r="J52">
        <v>288</v>
      </c>
      <c r="K52" t="s">
        <v>793</v>
      </c>
    </row>
    <row r="53" spans="1:11" x14ac:dyDescent="0.25">
      <c r="A53" s="94" t="s">
        <v>192</v>
      </c>
      <c r="B53" s="94" t="s">
        <v>129</v>
      </c>
      <c r="C53" s="94">
        <v>298</v>
      </c>
      <c r="D53" s="94" t="s">
        <v>810</v>
      </c>
      <c r="E53" s="94">
        <v>297</v>
      </c>
      <c r="F53" s="94" t="s">
        <v>810</v>
      </c>
      <c r="G53" s="94" t="str">
        <f t="shared" si="0"/>
        <v>CaerleonB7</v>
      </c>
      <c r="H53" s="94" t="s">
        <v>377</v>
      </c>
      <c r="I53" s="94">
        <v>7</v>
      </c>
      <c r="J53">
        <v>297</v>
      </c>
      <c r="K53" t="s">
        <v>810</v>
      </c>
    </row>
    <row r="54" spans="1:11" x14ac:dyDescent="0.25">
      <c r="A54" s="94" t="s">
        <v>192</v>
      </c>
      <c r="B54" s="94" t="s">
        <v>130</v>
      </c>
      <c r="C54" s="94">
        <v>311</v>
      </c>
      <c r="D54" s="94" t="s">
        <v>806</v>
      </c>
      <c r="E54" s="94">
        <v>305</v>
      </c>
      <c r="F54" s="94" t="s">
        <v>806</v>
      </c>
      <c r="G54" s="94" t="str">
        <f t="shared" si="0"/>
        <v>Fort SterlingB7</v>
      </c>
      <c r="H54" s="94" t="s">
        <v>377</v>
      </c>
      <c r="I54" s="94">
        <v>7</v>
      </c>
      <c r="J54">
        <v>305</v>
      </c>
      <c r="K54" t="s">
        <v>806</v>
      </c>
    </row>
    <row r="55" spans="1:11" x14ac:dyDescent="0.25">
      <c r="A55" s="94" t="s">
        <v>192</v>
      </c>
      <c r="B55" s="94" t="s">
        <v>131</v>
      </c>
      <c r="C55" s="94">
        <v>344</v>
      </c>
      <c r="D55" s="94" t="s">
        <v>895</v>
      </c>
      <c r="E55" s="94">
        <v>343</v>
      </c>
      <c r="F55" s="94" t="s">
        <v>797</v>
      </c>
      <c r="G55" s="94" t="str">
        <f t="shared" si="0"/>
        <v>LymhurstB7</v>
      </c>
      <c r="H55" s="94" t="s">
        <v>377</v>
      </c>
      <c r="I55" s="94">
        <v>7</v>
      </c>
      <c r="J55">
        <v>343</v>
      </c>
      <c r="K55" t="s">
        <v>797</v>
      </c>
    </row>
    <row r="56" spans="1:11" x14ac:dyDescent="0.25">
      <c r="A56" s="94" t="s">
        <v>192</v>
      </c>
      <c r="B56" s="94" t="s">
        <v>132</v>
      </c>
      <c r="C56" s="94"/>
      <c r="D56" s="94"/>
      <c r="E56" s="94"/>
      <c r="F56" s="94"/>
      <c r="G56" s="94" t="str">
        <f t="shared" si="0"/>
        <v>MartlockB7</v>
      </c>
      <c r="H56" s="94" t="s">
        <v>377</v>
      </c>
      <c r="I56" s="94">
        <v>7</v>
      </c>
    </row>
    <row r="57" spans="1:11" x14ac:dyDescent="0.25">
      <c r="A57" s="94" t="s">
        <v>192</v>
      </c>
      <c r="B57" s="94" t="s">
        <v>133</v>
      </c>
      <c r="C57" s="94">
        <v>298</v>
      </c>
      <c r="D57" s="94" t="s">
        <v>828</v>
      </c>
      <c r="E57" s="94">
        <v>292</v>
      </c>
      <c r="F57" s="94" t="s">
        <v>829</v>
      </c>
      <c r="G57" s="94" t="str">
        <f t="shared" si="0"/>
        <v>ThetfordB7</v>
      </c>
      <c r="H57" s="94" t="s">
        <v>377</v>
      </c>
      <c r="I57" s="94">
        <v>7</v>
      </c>
      <c r="J57">
        <v>292</v>
      </c>
      <c r="K57" t="s">
        <v>829</v>
      </c>
    </row>
    <row r="58" spans="1:11" x14ac:dyDescent="0.25">
      <c r="A58" s="94" t="s">
        <v>193</v>
      </c>
      <c r="B58" s="94" t="s">
        <v>127</v>
      </c>
      <c r="C58" s="94">
        <v>366</v>
      </c>
      <c r="D58" s="94" t="s">
        <v>827</v>
      </c>
      <c r="E58" s="94">
        <v>324</v>
      </c>
      <c r="F58" s="94" t="s">
        <v>830</v>
      </c>
      <c r="G58" s="94" t="str">
        <f t="shared" si="0"/>
        <v>BrecilienB8</v>
      </c>
      <c r="H58" s="94" t="s">
        <v>377</v>
      </c>
      <c r="I58" s="94">
        <v>8</v>
      </c>
      <c r="J58">
        <v>324</v>
      </c>
      <c r="K58" t="s">
        <v>830</v>
      </c>
    </row>
    <row r="59" spans="1:11" x14ac:dyDescent="0.25">
      <c r="A59" s="94" t="s">
        <v>193</v>
      </c>
      <c r="B59" s="94" t="s">
        <v>128</v>
      </c>
      <c r="C59" s="94">
        <v>536</v>
      </c>
      <c r="D59" s="94" t="s">
        <v>808</v>
      </c>
      <c r="E59" s="94">
        <v>519</v>
      </c>
      <c r="F59" s="94" t="s">
        <v>809</v>
      </c>
      <c r="G59" s="94" t="str">
        <f t="shared" si="0"/>
        <v>BridgewatchB8</v>
      </c>
      <c r="H59" s="94" t="s">
        <v>377</v>
      </c>
      <c r="I59" s="94">
        <v>8</v>
      </c>
      <c r="J59">
        <v>519</v>
      </c>
      <c r="K59" t="s">
        <v>809</v>
      </c>
    </row>
    <row r="60" spans="1:11" x14ac:dyDescent="0.25">
      <c r="A60" s="94" t="s">
        <v>193</v>
      </c>
      <c r="B60" s="94" t="s">
        <v>129</v>
      </c>
      <c r="C60" s="94">
        <v>469</v>
      </c>
      <c r="D60" s="94" t="s">
        <v>810</v>
      </c>
      <c r="E60" s="94">
        <v>388</v>
      </c>
      <c r="F60" s="94" t="s">
        <v>810</v>
      </c>
      <c r="G60" s="94" t="str">
        <f t="shared" si="0"/>
        <v>CaerleonB8</v>
      </c>
      <c r="H60" s="94" t="s">
        <v>377</v>
      </c>
      <c r="I60" s="94">
        <v>8</v>
      </c>
      <c r="J60">
        <v>388</v>
      </c>
      <c r="K60" t="s">
        <v>810</v>
      </c>
    </row>
    <row r="61" spans="1:11" x14ac:dyDescent="0.25">
      <c r="A61" s="94" t="s">
        <v>193</v>
      </c>
      <c r="B61" s="94" t="s">
        <v>130</v>
      </c>
      <c r="C61" s="94">
        <v>525</v>
      </c>
      <c r="D61" s="94" t="s">
        <v>823</v>
      </c>
      <c r="E61" s="94">
        <v>523</v>
      </c>
      <c r="F61" s="94" t="s">
        <v>831</v>
      </c>
      <c r="G61" s="94" t="str">
        <f t="shared" si="0"/>
        <v>Fort SterlingB8</v>
      </c>
      <c r="H61" s="94" t="s">
        <v>377</v>
      </c>
      <c r="I61" s="94">
        <v>8</v>
      </c>
      <c r="J61">
        <v>523</v>
      </c>
      <c r="K61" t="s">
        <v>831</v>
      </c>
    </row>
    <row r="62" spans="1:11" x14ac:dyDescent="0.25">
      <c r="A62" s="94" t="s">
        <v>193</v>
      </c>
      <c r="B62" s="94" t="s">
        <v>131</v>
      </c>
      <c r="C62" s="94">
        <v>575</v>
      </c>
      <c r="D62" s="94" t="s">
        <v>796</v>
      </c>
      <c r="E62" s="94">
        <v>570</v>
      </c>
      <c r="F62" s="94" t="s">
        <v>796</v>
      </c>
      <c r="G62" s="94" t="str">
        <f t="shared" si="0"/>
        <v>LymhurstB8</v>
      </c>
      <c r="H62" s="94" t="s">
        <v>377</v>
      </c>
      <c r="I62" s="94">
        <v>8</v>
      </c>
      <c r="J62">
        <v>570</v>
      </c>
      <c r="K62" t="s">
        <v>796</v>
      </c>
    </row>
    <row r="63" spans="1:11" x14ac:dyDescent="0.25">
      <c r="A63" s="94" t="s">
        <v>193</v>
      </c>
      <c r="B63" s="94" t="s">
        <v>132</v>
      </c>
      <c r="C63" s="94">
        <v>100000000</v>
      </c>
      <c r="D63" s="94" t="s">
        <v>893</v>
      </c>
      <c r="E63" s="94"/>
      <c r="F63" s="94"/>
      <c r="G63" s="94" t="str">
        <f t="shared" si="0"/>
        <v>MartlockB8</v>
      </c>
      <c r="H63" s="94" t="s">
        <v>377</v>
      </c>
      <c r="I63" s="94">
        <v>8</v>
      </c>
    </row>
    <row r="64" spans="1:11" x14ac:dyDescent="0.25">
      <c r="A64" s="94" t="s">
        <v>193</v>
      </c>
      <c r="B64" s="94" t="s">
        <v>133</v>
      </c>
      <c r="C64" s="94"/>
      <c r="D64" s="94"/>
      <c r="E64" s="94"/>
      <c r="F64" s="94"/>
      <c r="G64" s="94" t="str">
        <f t="shared" si="0"/>
        <v>ThetfordB8</v>
      </c>
      <c r="H64" s="94" t="s">
        <v>377</v>
      </c>
      <c r="I64" s="94">
        <v>8</v>
      </c>
    </row>
    <row r="65" spans="1:11" x14ac:dyDescent="0.25">
      <c r="A65" s="94" t="s">
        <v>194</v>
      </c>
      <c r="B65" s="94" t="s">
        <v>127</v>
      </c>
      <c r="C65" s="94">
        <v>445</v>
      </c>
      <c r="D65" s="94" t="s">
        <v>813</v>
      </c>
      <c r="E65" s="94"/>
      <c r="F65" s="94"/>
      <c r="G65" s="94" t="str">
        <f t="shared" si="0"/>
        <v>BrecilienB9</v>
      </c>
      <c r="H65" s="94" t="s">
        <v>377</v>
      </c>
      <c r="I65" s="94">
        <v>9</v>
      </c>
    </row>
    <row r="66" spans="1:11" x14ac:dyDescent="0.25">
      <c r="A66" s="94" t="s">
        <v>194</v>
      </c>
      <c r="B66" s="94" t="s">
        <v>128</v>
      </c>
      <c r="C66" s="94">
        <v>798</v>
      </c>
      <c r="D66" s="94" t="s">
        <v>808</v>
      </c>
      <c r="E66" s="94"/>
      <c r="F66" s="94"/>
      <c r="G66" s="94" t="str">
        <f t="shared" si="0"/>
        <v>BridgewatchB9</v>
      </c>
      <c r="H66" s="94" t="s">
        <v>377</v>
      </c>
      <c r="I66" s="94">
        <v>9</v>
      </c>
    </row>
    <row r="67" spans="1:11" x14ac:dyDescent="0.25">
      <c r="A67" s="94" t="s">
        <v>194</v>
      </c>
      <c r="B67" s="94" t="s">
        <v>129</v>
      </c>
      <c r="C67" s="94">
        <v>733</v>
      </c>
      <c r="D67" s="94" t="s">
        <v>832</v>
      </c>
      <c r="E67" s="94">
        <v>662</v>
      </c>
      <c r="F67" s="94" t="s">
        <v>832</v>
      </c>
      <c r="G67" s="94" t="str">
        <f t="shared" ref="G67:G130" si="1">_xlfn.CONCAT(B67,H67,I67)</f>
        <v>CaerleonB9</v>
      </c>
      <c r="H67" s="94" t="s">
        <v>377</v>
      </c>
      <c r="I67" s="94">
        <v>9</v>
      </c>
      <c r="J67">
        <v>662</v>
      </c>
      <c r="K67" t="s">
        <v>832</v>
      </c>
    </row>
    <row r="68" spans="1:11" x14ac:dyDescent="0.25">
      <c r="A68" s="94" t="s">
        <v>194</v>
      </c>
      <c r="B68" s="94" t="s">
        <v>130</v>
      </c>
      <c r="C68" s="94">
        <v>774</v>
      </c>
      <c r="D68" s="94" t="s">
        <v>815</v>
      </c>
      <c r="E68" s="94"/>
      <c r="F68" s="94"/>
      <c r="G68" s="94" t="str">
        <f t="shared" si="1"/>
        <v>Fort SterlingB9</v>
      </c>
      <c r="H68" s="94" t="s">
        <v>377</v>
      </c>
      <c r="I68" s="94">
        <v>9</v>
      </c>
    </row>
    <row r="69" spans="1:11" x14ac:dyDescent="0.25">
      <c r="A69" s="94" t="s">
        <v>194</v>
      </c>
      <c r="B69" s="94" t="s">
        <v>131</v>
      </c>
      <c r="C69" s="94">
        <v>769</v>
      </c>
      <c r="D69" s="94" t="s">
        <v>793</v>
      </c>
      <c r="E69" s="94">
        <v>751</v>
      </c>
      <c r="F69" s="94" t="s">
        <v>833</v>
      </c>
      <c r="G69" s="94" t="str">
        <f t="shared" si="1"/>
        <v>LymhurstB9</v>
      </c>
      <c r="H69" s="94" t="s">
        <v>377</v>
      </c>
      <c r="I69" s="94">
        <v>9</v>
      </c>
      <c r="J69">
        <v>751</v>
      </c>
      <c r="K69" t="s">
        <v>833</v>
      </c>
    </row>
    <row r="70" spans="1:11" x14ac:dyDescent="0.25">
      <c r="A70" s="94" t="s">
        <v>194</v>
      </c>
      <c r="B70" s="94" t="s">
        <v>132</v>
      </c>
      <c r="C70" s="94"/>
      <c r="D70" s="94"/>
      <c r="E70" s="94"/>
      <c r="F70" s="94"/>
      <c r="G70" s="94" t="str">
        <f t="shared" si="1"/>
        <v>MartlockB9</v>
      </c>
      <c r="H70" s="94" t="s">
        <v>377</v>
      </c>
      <c r="I70" s="94">
        <v>9</v>
      </c>
    </row>
    <row r="71" spans="1:11" x14ac:dyDescent="0.25">
      <c r="A71" s="94" t="s">
        <v>194</v>
      </c>
      <c r="B71" s="94" t="s">
        <v>133</v>
      </c>
      <c r="C71" s="94">
        <v>798</v>
      </c>
      <c r="D71" s="94" t="s">
        <v>795</v>
      </c>
      <c r="E71" s="94">
        <v>797</v>
      </c>
      <c r="F71" s="94" t="s">
        <v>795</v>
      </c>
      <c r="G71" s="94" t="str">
        <f t="shared" si="1"/>
        <v>ThetfordB9</v>
      </c>
      <c r="H71" s="94" t="s">
        <v>377</v>
      </c>
      <c r="I71" s="94">
        <v>9</v>
      </c>
      <c r="J71">
        <v>797</v>
      </c>
      <c r="K71" t="s">
        <v>795</v>
      </c>
    </row>
    <row r="72" spans="1:11" x14ac:dyDescent="0.25">
      <c r="A72" s="94" t="s">
        <v>195</v>
      </c>
      <c r="B72" s="94" t="s">
        <v>127</v>
      </c>
      <c r="C72" s="94">
        <v>7946</v>
      </c>
      <c r="D72" s="94" t="s">
        <v>834</v>
      </c>
      <c r="E72" s="94"/>
      <c r="F72" s="94"/>
      <c r="G72" s="94" t="str">
        <f t="shared" si="1"/>
        <v>BrecilienB10</v>
      </c>
      <c r="H72" s="94" t="s">
        <v>377</v>
      </c>
      <c r="I72" s="94">
        <v>10</v>
      </c>
    </row>
    <row r="73" spans="1:11" x14ac:dyDescent="0.25">
      <c r="A73" s="94" t="s">
        <v>195</v>
      </c>
      <c r="B73" s="94" t="s">
        <v>128</v>
      </c>
      <c r="C73" s="94"/>
      <c r="D73" s="94"/>
      <c r="E73" s="94"/>
      <c r="F73" s="94"/>
      <c r="G73" s="94" t="str">
        <f t="shared" si="1"/>
        <v>BridgewatchB10</v>
      </c>
      <c r="H73" s="94" t="s">
        <v>377</v>
      </c>
      <c r="I73" s="94">
        <v>10</v>
      </c>
    </row>
    <row r="74" spans="1:11" x14ac:dyDescent="0.25">
      <c r="A74" s="94" t="s">
        <v>195</v>
      </c>
      <c r="B74" s="94" t="s">
        <v>129</v>
      </c>
      <c r="C74" s="94"/>
      <c r="D74" s="94"/>
      <c r="E74" s="94"/>
      <c r="F74" s="94"/>
      <c r="G74" s="94" t="str">
        <f t="shared" si="1"/>
        <v>CaerleonB10</v>
      </c>
      <c r="H74" s="94" t="s">
        <v>377</v>
      </c>
      <c r="I74" s="94">
        <v>10</v>
      </c>
    </row>
    <row r="75" spans="1:11" x14ac:dyDescent="0.25">
      <c r="A75" s="94" t="s">
        <v>195</v>
      </c>
      <c r="B75" s="94" t="s">
        <v>130</v>
      </c>
      <c r="C75" s="94">
        <v>8561</v>
      </c>
      <c r="D75" s="94" t="s">
        <v>823</v>
      </c>
      <c r="E75" s="94"/>
      <c r="F75" s="94"/>
      <c r="G75" s="94" t="str">
        <f t="shared" si="1"/>
        <v>Fort SterlingB10</v>
      </c>
      <c r="H75" s="94" t="s">
        <v>377</v>
      </c>
      <c r="I75" s="94">
        <v>10</v>
      </c>
    </row>
    <row r="76" spans="1:11" x14ac:dyDescent="0.25">
      <c r="A76" s="94" t="s">
        <v>195</v>
      </c>
      <c r="B76" s="94" t="s">
        <v>131</v>
      </c>
      <c r="C76" s="94">
        <v>9940</v>
      </c>
      <c r="D76" s="94" t="s">
        <v>796</v>
      </c>
      <c r="E76" s="94">
        <v>8318</v>
      </c>
      <c r="F76" s="94" t="s">
        <v>796</v>
      </c>
      <c r="G76" s="94" t="str">
        <f t="shared" si="1"/>
        <v>LymhurstB10</v>
      </c>
      <c r="H76" s="94" t="s">
        <v>377</v>
      </c>
      <c r="I76" s="94">
        <v>10</v>
      </c>
      <c r="J76">
        <v>8318</v>
      </c>
      <c r="K76" t="s">
        <v>796</v>
      </c>
    </row>
    <row r="77" spans="1:11" x14ac:dyDescent="0.25">
      <c r="A77" s="94" t="s">
        <v>195</v>
      </c>
      <c r="B77" s="94" t="s">
        <v>132</v>
      </c>
      <c r="C77" s="94">
        <v>7787</v>
      </c>
      <c r="D77" s="94" t="s">
        <v>835</v>
      </c>
      <c r="E77" s="94"/>
      <c r="F77" s="94"/>
      <c r="G77" s="94" t="str">
        <f t="shared" si="1"/>
        <v>MartlockB10</v>
      </c>
      <c r="H77" s="94" t="s">
        <v>377</v>
      </c>
      <c r="I77" s="94">
        <v>10</v>
      </c>
    </row>
    <row r="78" spans="1:11" x14ac:dyDescent="0.25">
      <c r="A78" s="94" t="s">
        <v>195</v>
      </c>
      <c r="B78" s="94" t="s">
        <v>133</v>
      </c>
      <c r="C78" s="94">
        <v>8870</v>
      </c>
      <c r="D78" s="94" t="s">
        <v>805</v>
      </c>
      <c r="E78" s="94">
        <v>8200</v>
      </c>
      <c r="F78" s="94" t="s">
        <v>793</v>
      </c>
      <c r="G78" s="94" t="str">
        <f t="shared" si="1"/>
        <v>ThetfordB10</v>
      </c>
      <c r="H78" s="94" t="s">
        <v>377</v>
      </c>
      <c r="I78" s="94">
        <v>10</v>
      </c>
      <c r="J78">
        <v>8200</v>
      </c>
      <c r="K78" t="s">
        <v>793</v>
      </c>
    </row>
    <row r="79" spans="1:11" x14ac:dyDescent="0.25">
      <c r="A79" s="94" t="s">
        <v>196</v>
      </c>
      <c r="B79" s="94" t="s">
        <v>127</v>
      </c>
      <c r="C79" s="94">
        <v>39892</v>
      </c>
      <c r="D79" s="94" t="s">
        <v>820</v>
      </c>
      <c r="E79" s="94"/>
      <c r="F79" s="94"/>
      <c r="G79" s="94" t="str">
        <f t="shared" si="1"/>
        <v>BrecilienB11</v>
      </c>
      <c r="H79" s="94" t="s">
        <v>377</v>
      </c>
      <c r="I79" s="94">
        <v>11</v>
      </c>
    </row>
    <row r="80" spans="1:11" x14ac:dyDescent="0.25">
      <c r="A80" s="94" t="s">
        <v>196</v>
      </c>
      <c r="B80" s="94" t="s">
        <v>128</v>
      </c>
      <c r="C80" s="94"/>
      <c r="D80" s="94"/>
      <c r="E80" s="94"/>
      <c r="F80" s="94"/>
      <c r="G80" s="94" t="str">
        <f t="shared" si="1"/>
        <v>BridgewatchB11</v>
      </c>
      <c r="H80" s="94" t="s">
        <v>377</v>
      </c>
      <c r="I80" s="94">
        <v>11</v>
      </c>
    </row>
    <row r="81" spans="1:11" x14ac:dyDescent="0.25">
      <c r="A81" s="94" t="s">
        <v>196</v>
      </c>
      <c r="B81" s="94" t="s">
        <v>129</v>
      </c>
      <c r="C81" s="94">
        <v>33989</v>
      </c>
      <c r="D81" s="94" t="s">
        <v>792</v>
      </c>
      <c r="E81" s="94"/>
      <c r="F81" s="94"/>
      <c r="G81" s="94" t="str">
        <f t="shared" si="1"/>
        <v>CaerleonB11</v>
      </c>
      <c r="H81" s="94" t="s">
        <v>377</v>
      </c>
      <c r="I81" s="94">
        <v>11</v>
      </c>
    </row>
    <row r="82" spans="1:11" x14ac:dyDescent="0.25">
      <c r="A82" s="94" t="s">
        <v>196</v>
      </c>
      <c r="B82" s="94" t="s">
        <v>130</v>
      </c>
      <c r="C82" s="94">
        <v>35000</v>
      </c>
      <c r="D82" s="94" t="s">
        <v>836</v>
      </c>
      <c r="E82" s="94"/>
      <c r="F82" s="94"/>
      <c r="G82" s="94" t="str">
        <f t="shared" si="1"/>
        <v>Fort SterlingB11</v>
      </c>
      <c r="H82" s="94" t="s">
        <v>377</v>
      </c>
      <c r="I82" s="94">
        <v>11</v>
      </c>
    </row>
    <row r="83" spans="1:11" x14ac:dyDescent="0.25">
      <c r="A83" s="94" t="s">
        <v>196</v>
      </c>
      <c r="B83" s="94" t="s">
        <v>131</v>
      </c>
      <c r="C83" s="94"/>
      <c r="D83" s="94"/>
      <c r="E83" s="94"/>
      <c r="F83" s="94"/>
      <c r="G83" s="94" t="str">
        <f t="shared" si="1"/>
        <v>LymhurstB11</v>
      </c>
      <c r="H83" s="94" t="s">
        <v>377</v>
      </c>
      <c r="I83" s="94">
        <v>11</v>
      </c>
    </row>
    <row r="84" spans="1:11" x14ac:dyDescent="0.25">
      <c r="A84" s="94" t="s">
        <v>196</v>
      </c>
      <c r="B84" s="94" t="s">
        <v>132</v>
      </c>
      <c r="C84" s="94">
        <v>33849</v>
      </c>
      <c r="D84" s="94" t="s">
        <v>824</v>
      </c>
      <c r="E84" s="94"/>
      <c r="F84" s="94"/>
      <c r="G84" s="94" t="str">
        <f t="shared" si="1"/>
        <v>MartlockB11</v>
      </c>
      <c r="H84" s="94" t="s">
        <v>377</v>
      </c>
      <c r="I84" s="94">
        <v>11</v>
      </c>
    </row>
    <row r="85" spans="1:11" x14ac:dyDescent="0.25">
      <c r="A85" s="94" t="s">
        <v>196</v>
      </c>
      <c r="B85" s="94" t="s">
        <v>133</v>
      </c>
      <c r="C85" s="94"/>
      <c r="D85" s="94"/>
      <c r="E85" s="94"/>
      <c r="F85" s="94"/>
      <c r="G85" s="94" t="str">
        <f t="shared" si="1"/>
        <v>ThetfordB11</v>
      </c>
      <c r="H85" s="94" t="s">
        <v>377</v>
      </c>
      <c r="I85" s="94">
        <v>11</v>
      </c>
    </row>
    <row r="86" spans="1:11" x14ac:dyDescent="0.25">
      <c r="A86" s="94" t="s">
        <v>197</v>
      </c>
      <c r="B86" s="94" t="s">
        <v>127</v>
      </c>
      <c r="C86" s="94">
        <v>783</v>
      </c>
      <c r="D86" s="94" t="s">
        <v>816</v>
      </c>
      <c r="E86" s="94">
        <v>779</v>
      </c>
      <c r="F86" s="94" t="s">
        <v>837</v>
      </c>
      <c r="G86" s="94" t="str">
        <f t="shared" si="1"/>
        <v>BrecilienB12</v>
      </c>
      <c r="H86" s="94" t="s">
        <v>377</v>
      </c>
      <c r="I86" s="94">
        <v>12</v>
      </c>
      <c r="J86">
        <v>779</v>
      </c>
      <c r="K86" t="s">
        <v>837</v>
      </c>
    </row>
    <row r="87" spans="1:11" x14ac:dyDescent="0.25">
      <c r="A87" s="94" t="s">
        <v>197</v>
      </c>
      <c r="B87" s="94" t="s">
        <v>128</v>
      </c>
      <c r="C87" s="94">
        <v>853</v>
      </c>
      <c r="D87" s="94" t="s">
        <v>838</v>
      </c>
      <c r="E87" s="94"/>
      <c r="F87" s="94"/>
      <c r="G87" s="94" t="str">
        <f t="shared" si="1"/>
        <v>BridgewatchB12</v>
      </c>
      <c r="H87" s="94" t="s">
        <v>377</v>
      </c>
      <c r="I87" s="94">
        <v>12</v>
      </c>
    </row>
    <row r="88" spans="1:11" x14ac:dyDescent="0.25">
      <c r="A88" s="94" t="s">
        <v>197</v>
      </c>
      <c r="B88" s="94" t="s">
        <v>129</v>
      </c>
      <c r="C88" s="94">
        <v>741</v>
      </c>
      <c r="D88" s="94" t="s">
        <v>810</v>
      </c>
      <c r="E88" s="94">
        <v>670</v>
      </c>
      <c r="F88" s="94" t="s">
        <v>810</v>
      </c>
      <c r="G88" s="94" t="str">
        <f t="shared" si="1"/>
        <v>CaerleonB12</v>
      </c>
      <c r="H88" s="94" t="s">
        <v>377</v>
      </c>
      <c r="I88" s="94">
        <v>12</v>
      </c>
      <c r="J88">
        <v>670</v>
      </c>
      <c r="K88" t="s">
        <v>810</v>
      </c>
    </row>
    <row r="89" spans="1:11" x14ac:dyDescent="0.25">
      <c r="A89" s="94" t="s">
        <v>197</v>
      </c>
      <c r="B89" s="94" t="s">
        <v>130</v>
      </c>
      <c r="C89" s="94">
        <v>870</v>
      </c>
      <c r="D89" s="94" t="s">
        <v>811</v>
      </c>
      <c r="E89" s="94"/>
      <c r="F89" s="94"/>
      <c r="G89" s="94" t="str">
        <f t="shared" si="1"/>
        <v>Fort SterlingB12</v>
      </c>
      <c r="H89" s="94" t="s">
        <v>377</v>
      </c>
      <c r="I89" s="94">
        <v>12</v>
      </c>
    </row>
    <row r="90" spans="1:11" x14ac:dyDescent="0.25">
      <c r="A90" s="94" t="s">
        <v>197</v>
      </c>
      <c r="B90" s="94" t="s">
        <v>131</v>
      </c>
      <c r="C90" s="94">
        <v>874</v>
      </c>
      <c r="D90" s="94" t="s">
        <v>839</v>
      </c>
      <c r="E90" s="94">
        <v>872</v>
      </c>
      <c r="F90" s="94" t="s">
        <v>839</v>
      </c>
      <c r="G90" s="94" t="str">
        <f t="shared" si="1"/>
        <v>LymhurstB12</v>
      </c>
      <c r="H90" s="94" t="s">
        <v>377</v>
      </c>
      <c r="I90" s="94">
        <v>12</v>
      </c>
      <c r="J90">
        <v>872</v>
      </c>
      <c r="K90" t="s">
        <v>839</v>
      </c>
    </row>
    <row r="91" spans="1:11" x14ac:dyDescent="0.25">
      <c r="A91" s="94" t="s">
        <v>197</v>
      </c>
      <c r="B91" s="94" t="s">
        <v>132</v>
      </c>
      <c r="C91" s="94"/>
      <c r="D91" s="94"/>
      <c r="E91" s="94"/>
      <c r="F91" s="94"/>
      <c r="G91" s="94" t="str">
        <f t="shared" si="1"/>
        <v>MartlockB12</v>
      </c>
      <c r="H91" s="94" t="s">
        <v>377</v>
      </c>
      <c r="I91" s="94">
        <v>12</v>
      </c>
    </row>
    <row r="92" spans="1:11" x14ac:dyDescent="0.25">
      <c r="A92" s="94" t="s">
        <v>197</v>
      </c>
      <c r="B92" s="94" t="s">
        <v>133</v>
      </c>
      <c r="C92" s="94">
        <v>839</v>
      </c>
      <c r="D92" s="94" t="s">
        <v>817</v>
      </c>
      <c r="E92" s="94">
        <v>836</v>
      </c>
      <c r="F92" s="94" t="s">
        <v>817</v>
      </c>
      <c r="G92" s="94" t="str">
        <f t="shared" si="1"/>
        <v>ThetfordB12</v>
      </c>
      <c r="H92" s="94" t="s">
        <v>377</v>
      </c>
      <c r="I92" s="94">
        <v>12</v>
      </c>
      <c r="J92">
        <v>836</v>
      </c>
      <c r="K92" t="s">
        <v>817</v>
      </c>
    </row>
    <row r="93" spans="1:11" x14ac:dyDescent="0.25">
      <c r="A93" s="94" t="s">
        <v>198</v>
      </c>
      <c r="B93" s="94" t="s">
        <v>127</v>
      </c>
      <c r="C93" s="94">
        <v>1093</v>
      </c>
      <c r="D93" s="94" t="s">
        <v>840</v>
      </c>
      <c r="E93" s="94">
        <v>1050</v>
      </c>
      <c r="F93" s="94" t="s">
        <v>841</v>
      </c>
      <c r="G93" s="94" t="str">
        <f t="shared" si="1"/>
        <v>BrecilienB13</v>
      </c>
      <c r="H93" s="94" t="s">
        <v>377</v>
      </c>
      <c r="I93" s="94">
        <v>13</v>
      </c>
      <c r="J93">
        <v>1050</v>
      </c>
      <c r="K93" t="s">
        <v>841</v>
      </c>
    </row>
    <row r="94" spans="1:11" x14ac:dyDescent="0.25">
      <c r="A94" s="94" t="s">
        <v>198</v>
      </c>
      <c r="B94" s="94" t="s">
        <v>128</v>
      </c>
      <c r="C94" s="94">
        <v>1428</v>
      </c>
      <c r="D94" s="94" t="s">
        <v>808</v>
      </c>
      <c r="E94" s="94"/>
      <c r="F94" s="94"/>
      <c r="G94" s="94" t="str">
        <f t="shared" si="1"/>
        <v>BridgewatchB13</v>
      </c>
      <c r="H94" s="94" t="s">
        <v>377</v>
      </c>
      <c r="I94" s="94">
        <v>13</v>
      </c>
    </row>
    <row r="95" spans="1:11" x14ac:dyDescent="0.25">
      <c r="A95" s="94" t="s">
        <v>198</v>
      </c>
      <c r="B95" s="94" t="s">
        <v>129</v>
      </c>
      <c r="C95" s="94">
        <v>1178</v>
      </c>
      <c r="D95" s="94" t="s">
        <v>810</v>
      </c>
      <c r="E95" s="94">
        <v>1116</v>
      </c>
      <c r="F95" s="94" t="s">
        <v>810</v>
      </c>
      <c r="G95" s="94" t="str">
        <f t="shared" si="1"/>
        <v>CaerleonB13</v>
      </c>
      <c r="H95" s="94" t="s">
        <v>377</v>
      </c>
      <c r="I95" s="94">
        <v>13</v>
      </c>
      <c r="J95">
        <v>1116</v>
      </c>
      <c r="K95" t="s">
        <v>810</v>
      </c>
    </row>
    <row r="96" spans="1:11" x14ac:dyDescent="0.25">
      <c r="A96" s="94" t="s">
        <v>198</v>
      </c>
      <c r="B96" s="94" t="s">
        <v>130</v>
      </c>
      <c r="C96" s="94">
        <v>1394</v>
      </c>
      <c r="D96" s="94" t="s">
        <v>842</v>
      </c>
      <c r="E96" s="94">
        <v>1380</v>
      </c>
      <c r="F96" s="94" t="s">
        <v>842</v>
      </c>
      <c r="G96" s="94" t="str">
        <f t="shared" si="1"/>
        <v>Fort SterlingB13</v>
      </c>
      <c r="H96" s="94" t="s">
        <v>377</v>
      </c>
      <c r="I96" s="94">
        <v>13</v>
      </c>
      <c r="J96">
        <v>1380</v>
      </c>
      <c r="K96" t="s">
        <v>842</v>
      </c>
    </row>
    <row r="97" spans="1:11" x14ac:dyDescent="0.25">
      <c r="A97" s="94" t="s">
        <v>198</v>
      </c>
      <c r="B97" s="94" t="s">
        <v>131</v>
      </c>
      <c r="C97" s="94">
        <v>1345</v>
      </c>
      <c r="D97" s="94" t="s">
        <v>817</v>
      </c>
      <c r="E97" s="94">
        <v>1322</v>
      </c>
      <c r="F97" s="94" t="s">
        <v>805</v>
      </c>
      <c r="G97" s="94" t="str">
        <f t="shared" si="1"/>
        <v>LymhurstB13</v>
      </c>
      <c r="H97" s="94" t="s">
        <v>377</v>
      </c>
      <c r="I97" s="94">
        <v>13</v>
      </c>
      <c r="J97">
        <v>1322</v>
      </c>
      <c r="K97" t="s">
        <v>805</v>
      </c>
    </row>
    <row r="98" spans="1:11" x14ac:dyDescent="0.25">
      <c r="A98" s="94" t="s">
        <v>198</v>
      </c>
      <c r="B98" s="94" t="s">
        <v>132</v>
      </c>
      <c r="C98" s="94">
        <v>1307</v>
      </c>
      <c r="D98" s="94" t="s">
        <v>843</v>
      </c>
      <c r="E98" s="94"/>
      <c r="F98" s="94"/>
      <c r="G98" s="94" t="str">
        <f t="shared" si="1"/>
        <v>MartlockB13</v>
      </c>
      <c r="H98" s="94" t="s">
        <v>377</v>
      </c>
      <c r="I98" s="94">
        <v>13</v>
      </c>
    </row>
    <row r="99" spans="1:11" x14ac:dyDescent="0.25">
      <c r="A99" s="94" t="s">
        <v>198</v>
      </c>
      <c r="B99" s="94" t="s">
        <v>133</v>
      </c>
      <c r="C99" s="94">
        <v>1386</v>
      </c>
      <c r="D99" s="94" t="s">
        <v>794</v>
      </c>
      <c r="E99" s="94"/>
      <c r="F99" s="94"/>
      <c r="G99" s="94" t="str">
        <f t="shared" si="1"/>
        <v>ThetfordB13</v>
      </c>
      <c r="H99" s="94" t="s">
        <v>377</v>
      </c>
      <c r="I99" s="94">
        <v>13</v>
      </c>
    </row>
    <row r="100" spans="1:11" x14ac:dyDescent="0.25">
      <c r="A100" s="94" t="s">
        <v>199</v>
      </c>
      <c r="B100" s="94" t="s">
        <v>127</v>
      </c>
      <c r="C100" s="94">
        <v>4966</v>
      </c>
      <c r="D100" s="94" t="s">
        <v>841</v>
      </c>
      <c r="E100" s="94">
        <v>4450</v>
      </c>
      <c r="F100" s="94" t="s">
        <v>840</v>
      </c>
      <c r="G100" s="94" t="str">
        <f t="shared" si="1"/>
        <v>BrecilienB14</v>
      </c>
      <c r="H100" s="94" t="s">
        <v>377</v>
      </c>
      <c r="I100" s="94">
        <v>14</v>
      </c>
      <c r="J100">
        <v>4450</v>
      </c>
      <c r="K100" t="s">
        <v>840</v>
      </c>
    </row>
    <row r="101" spans="1:11" x14ac:dyDescent="0.25">
      <c r="A101" s="94" t="s">
        <v>199</v>
      </c>
      <c r="B101" s="94" t="s">
        <v>128</v>
      </c>
      <c r="C101" s="94">
        <v>5393</v>
      </c>
      <c r="D101" s="94" t="s">
        <v>829</v>
      </c>
      <c r="E101" s="94"/>
      <c r="F101" s="94"/>
      <c r="G101" s="94" t="str">
        <f t="shared" si="1"/>
        <v>BridgewatchB14</v>
      </c>
      <c r="H101" s="94" t="s">
        <v>377</v>
      </c>
      <c r="I101" s="94">
        <v>14</v>
      </c>
    </row>
    <row r="102" spans="1:11" x14ac:dyDescent="0.25">
      <c r="A102" s="94" t="s">
        <v>199</v>
      </c>
      <c r="B102" s="94" t="s">
        <v>129</v>
      </c>
      <c r="C102" s="94"/>
      <c r="D102" s="94"/>
      <c r="E102" s="94"/>
      <c r="F102" s="94"/>
      <c r="G102" s="94" t="str">
        <f t="shared" si="1"/>
        <v>CaerleonB14</v>
      </c>
      <c r="H102" s="94" t="s">
        <v>377</v>
      </c>
      <c r="I102" s="94">
        <v>14</v>
      </c>
      <c r="J102">
        <v>4171</v>
      </c>
      <c r="K102" t="s">
        <v>844</v>
      </c>
    </row>
    <row r="103" spans="1:11" x14ac:dyDescent="0.25">
      <c r="A103" s="94" t="s">
        <v>199</v>
      </c>
      <c r="B103" s="94" t="s">
        <v>130</v>
      </c>
      <c r="C103" s="94">
        <v>5307</v>
      </c>
      <c r="D103" s="94" t="s">
        <v>823</v>
      </c>
      <c r="E103" s="94">
        <v>5101</v>
      </c>
      <c r="F103" s="94" t="s">
        <v>845</v>
      </c>
      <c r="G103" s="94" t="str">
        <f t="shared" si="1"/>
        <v>Fort SterlingB14</v>
      </c>
      <c r="H103" s="94" t="s">
        <v>377</v>
      </c>
      <c r="I103" s="94">
        <v>14</v>
      </c>
      <c r="J103">
        <v>5101</v>
      </c>
      <c r="K103" t="s">
        <v>845</v>
      </c>
    </row>
    <row r="104" spans="1:11" x14ac:dyDescent="0.25">
      <c r="A104" s="94" t="s">
        <v>199</v>
      </c>
      <c r="B104" s="94" t="s">
        <v>131</v>
      </c>
      <c r="C104" s="94">
        <v>6200</v>
      </c>
      <c r="D104" s="94" t="s">
        <v>799</v>
      </c>
      <c r="E104" s="94">
        <v>5570</v>
      </c>
      <c r="F104" s="94" t="s">
        <v>796</v>
      </c>
      <c r="G104" s="94" t="str">
        <f t="shared" si="1"/>
        <v>LymhurstB14</v>
      </c>
      <c r="H104" s="94" t="s">
        <v>377</v>
      </c>
      <c r="I104" s="94">
        <v>14</v>
      </c>
      <c r="J104">
        <v>5570</v>
      </c>
      <c r="K104" t="s">
        <v>796</v>
      </c>
    </row>
    <row r="105" spans="1:11" x14ac:dyDescent="0.25">
      <c r="A105" s="94" t="s">
        <v>199</v>
      </c>
      <c r="B105" s="94" t="s">
        <v>132</v>
      </c>
      <c r="C105" s="94">
        <v>5267</v>
      </c>
      <c r="D105" s="94" t="s">
        <v>846</v>
      </c>
      <c r="E105" s="94">
        <v>5100</v>
      </c>
      <c r="F105" s="94" t="s">
        <v>795</v>
      </c>
      <c r="G105" s="94" t="str">
        <f t="shared" si="1"/>
        <v>MartlockB14</v>
      </c>
      <c r="H105" s="94" t="s">
        <v>377</v>
      </c>
      <c r="I105" s="94">
        <v>14</v>
      </c>
      <c r="J105">
        <v>5100</v>
      </c>
      <c r="K105" t="s">
        <v>795</v>
      </c>
    </row>
    <row r="106" spans="1:11" x14ac:dyDescent="0.25">
      <c r="A106" s="94" t="s">
        <v>199</v>
      </c>
      <c r="B106" s="94" t="s">
        <v>133</v>
      </c>
      <c r="C106" s="94">
        <v>5532</v>
      </c>
      <c r="D106" s="94" t="s">
        <v>795</v>
      </c>
      <c r="E106" s="94">
        <v>5040</v>
      </c>
      <c r="F106" s="94" t="s">
        <v>795</v>
      </c>
      <c r="G106" s="94" t="str">
        <f t="shared" si="1"/>
        <v>ThetfordB14</v>
      </c>
      <c r="H106" s="94" t="s">
        <v>377</v>
      </c>
      <c r="I106" s="94">
        <v>14</v>
      </c>
      <c r="J106">
        <v>5040</v>
      </c>
      <c r="K106" t="s">
        <v>795</v>
      </c>
    </row>
    <row r="107" spans="1:11" x14ac:dyDescent="0.25">
      <c r="A107" s="94" t="s">
        <v>200</v>
      </c>
      <c r="B107" s="94" t="s">
        <v>127</v>
      </c>
      <c r="C107" s="94">
        <v>10072</v>
      </c>
      <c r="D107" s="94" t="s">
        <v>834</v>
      </c>
      <c r="E107" s="94"/>
      <c r="F107" s="94"/>
      <c r="G107" s="94" t="str">
        <f t="shared" si="1"/>
        <v>BrecilienB15</v>
      </c>
      <c r="H107" s="94" t="s">
        <v>377</v>
      </c>
      <c r="I107" s="94">
        <v>15</v>
      </c>
    </row>
    <row r="108" spans="1:11" x14ac:dyDescent="0.25">
      <c r="A108" s="94" t="s">
        <v>200</v>
      </c>
      <c r="B108" s="94" t="s">
        <v>128</v>
      </c>
      <c r="C108" s="94"/>
      <c r="D108" s="94"/>
      <c r="E108" s="94"/>
      <c r="F108" s="94"/>
      <c r="G108" s="94" t="str">
        <f t="shared" si="1"/>
        <v>BridgewatchB15</v>
      </c>
      <c r="H108" s="94" t="s">
        <v>377</v>
      </c>
      <c r="I108" s="94">
        <v>15</v>
      </c>
    </row>
    <row r="109" spans="1:11" x14ac:dyDescent="0.25">
      <c r="A109" s="94" t="s">
        <v>200</v>
      </c>
      <c r="B109" s="94" t="s">
        <v>129</v>
      </c>
      <c r="C109" s="94">
        <v>19051</v>
      </c>
      <c r="D109" s="94" t="s">
        <v>847</v>
      </c>
      <c r="E109" s="94"/>
      <c r="F109" s="94"/>
      <c r="G109" s="94" t="str">
        <f t="shared" si="1"/>
        <v>CaerleonB15</v>
      </c>
      <c r="H109" s="94" t="s">
        <v>377</v>
      </c>
      <c r="I109" s="94">
        <v>15</v>
      </c>
    </row>
    <row r="110" spans="1:11" x14ac:dyDescent="0.25">
      <c r="A110" s="94" t="s">
        <v>200</v>
      </c>
      <c r="B110" s="94" t="s">
        <v>130</v>
      </c>
      <c r="C110" s="94">
        <v>11096</v>
      </c>
      <c r="D110" s="94" t="s">
        <v>811</v>
      </c>
      <c r="E110" s="94"/>
      <c r="F110" s="94"/>
      <c r="G110" s="94" t="str">
        <f t="shared" si="1"/>
        <v>Fort SterlingB15</v>
      </c>
      <c r="H110" s="94" t="s">
        <v>377</v>
      </c>
      <c r="I110" s="94">
        <v>15</v>
      </c>
    </row>
    <row r="111" spans="1:11" x14ac:dyDescent="0.25">
      <c r="A111" s="94" t="s">
        <v>200</v>
      </c>
      <c r="B111" s="94" t="s">
        <v>131</v>
      </c>
      <c r="C111" s="94">
        <v>12591</v>
      </c>
      <c r="D111" s="94" t="s">
        <v>797</v>
      </c>
      <c r="E111" s="94">
        <v>355</v>
      </c>
      <c r="F111" s="94" t="s">
        <v>799</v>
      </c>
      <c r="G111" s="94" t="str">
        <f t="shared" si="1"/>
        <v>LymhurstB15</v>
      </c>
      <c r="H111" s="94" t="s">
        <v>377</v>
      </c>
      <c r="I111" s="94">
        <v>15</v>
      </c>
      <c r="J111">
        <v>355</v>
      </c>
      <c r="K111" t="s">
        <v>799</v>
      </c>
    </row>
    <row r="112" spans="1:11" x14ac:dyDescent="0.25">
      <c r="A112" s="94" t="s">
        <v>200</v>
      </c>
      <c r="B112" s="94" t="s">
        <v>132</v>
      </c>
      <c r="C112" s="94"/>
      <c r="D112" s="94"/>
      <c r="E112" s="94"/>
      <c r="F112" s="94"/>
      <c r="G112" s="94" t="str">
        <f t="shared" si="1"/>
        <v>MartlockB15</v>
      </c>
      <c r="H112" s="94" t="s">
        <v>377</v>
      </c>
      <c r="I112" s="94">
        <v>15</v>
      </c>
    </row>
    <row r="113" spans="1:11" x14ac:dyDescent="0.25">
      <c r="A113" s="94" t="s">
        <v>200</v>
      </c>
      <c r="B113" s="94" t="s">
        <v>133</v>
      </c>
      <c r="C113" s="94">
        <v>10087</v>
      </c>
      <c r="D113" s="94" t="s">
        <v>797</v>
      </c>
      <c r="E113" s="94">
        <v>9510</v>
      </c>
      <c r="F113" s="94" t="s">
        <v>792</v>
      </c>
      <c r="G113" s="94" t="str">
        <f t="shared" si="1"/>
        <v>ThetfordB15</v>
      </c>
      <c r="H113" s="94" t="s">
        <v>377</v>
      </c>
      <c r="I113" s="94">
        <v>15</v>
      </c>
      <c r="J113">
        <v>9510</v>
      </c>
      <c r="K113" t="s">
        <v>792</v>
      </c>
    </row>
    <row r="114" spans="1:11" x14ac:dyDescent="0.25">
      <c r="A114" s="94" t="s">
        <v>201</v>
      </c>
      <c r="B114" s="94" t="s">
        <v>127</v>
      </c>
      <c r="C114" s="94"/>
      <c r="D114" s="94"/>
      <c r="E114" s="94"/>
      <c r="F114" s="94"/>
      <c r="G114" s="94" t="str">
        <f t="shared" si="1"/>
        <v>BrecilienB16</v>
      </c>
      <c r="H114" s="94" t="s">
        <v>377</v>
      </c>
      <c r="I114" s="94">
        <v>16</v>
      </c>
    </row>
    <row r="115" spans="1:11" x14ac:dyDescent="0.25">
      <c r="A115" s="94" t="s">
        <v>201</v>
      </c>
      <c r="B115" s="94" t="s">
        <v>128</v>
      </c>
      <c r="C115" s="94"/>
      <c r="D115" s="94"/>
      <c r="E115" s="94"/>
      <c r="F115" s="94"/>
      <c r="G115" s="94" t="str">
        <f t="shared" si="1"/>
        <v>BridgewatchB16</v>
      </c>
      <c r="H115" s="94" t="s">
        <v>377</v>
      </c>
      <c r="I115" s="94">
        <v>16</v>
      </c>
    </row>
    <row r="116" spans="1:11" x14ac:dyDescent="0.25">
      <c r="A116" s="94" t="s">
        <v>201</v>
      </c>
      <c r="B116" s="94" t="s">
        <v>129</v>
      </c>
      <c r="C116" s="94"/>
      <c r="D116" s="94"/>
      <c r="E116" s="94"/>
      <c r="F116" s="94"/>
      <c r="G116" s="94" t="str">
        <f t="shared" si="1"/>
        <v>CaerleonB16</v>
      </c>
      <c r="H116" s="94" t="s">
        <v>377</v>
      </c>
      <c r="I116" s="94">
        <v>16</v>
      </c>
    </row>
    <row r="117" spans="1:11" x14ac:dyDescent="0.25">
      <c r="A117" s="94" t="s">
        <v>201</v>
      </c>
      <c r="B117" s="94" t="s">
        <v>130</v>
      </c>
      <c r="C117" s="94">
        <v>69952</v>
      </c>
      <c r="D117" s="94" t="s">
        <v>842</v>
      </c>
      <c r="E117" s="94"/>
      <c r="F117" s="94"/>
      <c r="G117" s="94" t="str">
        <f t="shared" si="1"/>
        <v>Fort SterlingB16</v>
      </c>
      <c r="H117" s="94" t="s">
        <v>377</v>
      </c>
      <c r="I117" s="94">
        <v>16</v>
      </c>
    </row>
    <row r="118" spans="1:11" x14ac:dyDescent="0.25">
      <c r="A118" s="94" t="s">
        <v>201</v>
      </c>
      <c r="B118" s="94" t="s">
        <v>131</v>
      </c>
      <c r="C118" s="94"/>
      <c r="D118" s="94"/>
      <c r="E118" s="94"/>
      <c r="F118" s="94"/>
      <c r="G118" s="94" t="str">
        <f t="shared" si="1"/>
        <v>LymhurstB16</v>
      </c>
      <c r="H118" s="94" t="s">
        <v>377</v>
      </c>
      <c r="I118" s="94">
        <v>16</v>
      </c>
    </row>
    <row r="119" spans="1:11" x14ac:dyDescent="0.25">
      <c r="A119" s="94" t="s">
        <v>201</v>
      </c>
      <c r="B119" s="94" t="s">
        <v>132</v>
      </c>
      <c r="C119" s="94">
        <v>63989</v>
      </c>
      <c r="D119" s="94" t="s">
        <v>824</v>
      </c>
      <c r="E119" s="94"/>
      <c r="F119" s="94"/>
      <c r="G119" s="94" t="str">
        <f t="shared" si="1"/>
        <v>MartlockB16</v>
      </c>
      <c r="H119" s="94" t="s">
        <v>377</v>
      </c>
      <c r="I119" s="94">
        <v>16</v>
      </c>
    </row>
    <row r="120" spans="1:11" x14ac:dyDescent="0.25">
      <c r="A120" s="94" t="s">
        <v>201</v>
      </c>
      <c r="B120" s="94" t="s">
        <v>133</v>
      </c>
      <c r="C120" s="94"/>
      <c r="D120" s="94"/>
      <c r="E120" s="94"/>
      <c r="F120" s="94"/>
      <c r="G120" s="94" t="str">
        <f t="shared" si="1"/>
        <v>ThetfordB16</v>
      </c>
      <c r="H120" s="94" t="s">
        <v>377</v>
      </c>
      <c r="I120" s="94">
        <v>16</v>
      </c>
    </row>
    <row r="121" spans="1:11" x14ac:dyDescent="0.25">
      <c r="A121" s="94" t="s">
        <v>202</v>
      </c>
      <c r="B121" s="94" t="s">
        <v>127</v>
      </c>
      <c r="C121" s="94">
        <v>1555</v>
      </c>
      <c r="D121" s="94" t="s">
        <v>828</v>
      </c>
      <c r="E121" s="94">
        <v>1388</v>
      </c>
      <c r="F121" s="94" t="s">
        <v>828</v>
      </c>
      <c r="G121" s="94" t="str">
        <f t="shared" si="1"/>
        <v>BrecilienB17</v>
      </c>
      <c r="H121" s="94" t="s">
        <v>377</v>
      </c>
      <c r="I121" s="94">
        <v>17</v>
      </c>
      <c r="J121">
        <v>1388</v>
      </c>
      <c r="K121" t="s">
        <v>828</v>
      </c>
    </row>
    <row r="122" spans="1:11" x14ac:dyDescent="0.25">
      <c r="A122" s="94" t="s">
        <v>202</v>
      </c>
      <c r="B122" s="94" t="s">
        <v>128</v>
      </c>
      <c r="C122" s="94">
        <v>1760</v>
      </c>
      <c r="D122" s="94" t="s">
        <v>825</v>
      </c>
      <c r="E122" s="94"/>
      <c r="F122" s="94"/>
      <c r="G122" s="94" t="str">
        <f t="shared" si="1"/>
        <v>BridgewatchB17</v>
      </c>
      <c r="H122" s="94" t="s">
        <v>377</v>
      </c>
      <c r="I122" s="94">
        <v>17</v>
      </c>
    </row>
    <row r="123" spans="1:11" x14ac:dyDescent="0.25">
      <c r="A123" s="94" t="s">
        <v>202</v>
      </c>
      <c r="B123" s="94" t="s">
        <v>129</v>
      </c>
      <c r="C123" s="94">
        <v>1395</v>
      </c>
      <c r="D123" s="94" t="s">
        <v>848</v>
      </c>
      <c r="E123" s="94"/>
      <c r="F123" s="94"/>
      <c r="G123" s="94" t="str">
        <f t="shared" si="1"/>
        <v>CaerleonB17</v>
      </c>
      <c r="H123" s="94" t="s">
        <v>377</v>
      </c>
      <c r="I123" s="94">
        <v>17</v>
      </c>
    </row>
    <row r="124" spans="1:11" x14ac:dyDescent="0.25">
      <c r="A124" s="94" t="s">
        <v>202</v>
      </c>
      <c r="B124" s="94" t="s">
        <v>130</v>
      </c>
      <c r="C124" s="94">
        <v>1865</v>
      </c>
      <c r="D124" s="94" t="s">
        <v>823</v>
      </c>
      <c r="E124" s="94"/>
      <c r="F124" s="94"/>
      <c r="G124" s="94" t="str">
        <f t="shared" si="1"/>
        <v>Fort SterlingB17</v>
      </c>
      <c r="H124" s="94" t="s">
        <v>377</v>
      </c>
      <c r="I124" s="94">
        <v>17</v>
      </c>
    </row>
    <row r="125" spans="1:11" x14ac:dyDescent="0.25">
      <c r="A125" s="94" t="s">
        <v>202</v>
      </c>
      <c r="B125" s="94" t="s">
        <v>131</v>
      </c>
      <c r="C125" s="94">
        <v>1915</v>
      </c>
      <c r="D125" s="94" t="s">
        <v>796</v>
      </c>
      <c r="E125" s="94">
        <v>1640</v>
      </c>
      <c r="F125" s="94" t="s">
        <v>796</v>
      </c>
      <c r="G125" s="94" t="str">
        <f t="shared" si="1"/>
        <v>LymhurstB17</v>
      </c>
      <c r="H125" s="94" t="s">
        <v>377</v>
      </c>
      <c r="I125" s="94">
        <v>17</v>
      </c>
      <c r="J125">
        <v>1640</v>
      </c>
      <c r="K125" t="s">
        <v>796</v>
      </c>
    </row>
    <row r="126" spans="1:11" x14ac:dyDescent="0.25">
      <c r="A126" s="94" t="s">
        <v>202</v>
      </c>
      <c r="B126" s="94" t="s">
        <v>132</v>
      </c>
      <c r="C126" s="94">
        <v>1963</v>
      </c>
      <c r="D126" s="94" t="s">
        <v>843</v>
      </c>
      <c r="E126" s="94"/>
      <c r="F126" s="94"/>
      <c r="G126" s="94" t="str">
        <f t="shared" si="1"/>
        <v>MartlockB17</v>
      </c>
      <c r="H126" s="94" t="s">
        <v>377</v>
      </c>
      <c r="I126" s="94">
        <v>17</v>
      </c>
    </row>
    <row r="127" spans="1:11" x14ac:dyDescent="0.25">
      <c r="A127" s="94" t="s">
        <v>202</v>
      </c>
      <c r="B127" s="94" t="s">
        <v>133</v>
      </c>
      <c r="C127" s="94">
        <v>1667</v>
      </c>
      <c r="D127" s="94" t="s">
        <v>817</v>
      </c>
      <c r="E127" s="94">
        <v>1576</v>
      </c>
      <c r="F127" s="94" t="s">
        <v>817</v>
      </c>
      <c r="G127" s="94" t="str">
        <f t="shared" si="1"/>
        <v>ThetfordB17</v>
      </c>
      <c r="H127" s="94" t="s">
        <v>377</v>
      </c>
      <c r="I127" s="94">
        <v>17</v>
      </c>
      <c r="J127">
        <v>1576</v>
      </c>
      <c r="K127" t="s">
        <v>817</v>
      </c>
    </row>
    <row r="128" spans="1:11" x14ac:dyDescent="0.25">
      <c r="A128" s="94" t="s">
        <v>203</v>
      </c>
      <c r="B128" s="94" t="s">
        <v>127</v>
      </c>
      <c r="C128" s="94">
        <v>3644</v>
      </c>
      <c r="D128" s="94" t="s">
        <v>813</v>
      </c>
      <c r="E128" s="94"/>
      <c r="F128" s="94"/>
      <c r="G128" s="94" t="str">
        <f t="shared" si="1"/>
        <v>BrecilienB18</v>
      </c>
      <c r="H128" s="94" t="s">
        <v>377</v>
      </c>
      <c r="I128" s="94">
        <v>18</v>
      </c>
    </row>
    <row r="129" spans="1:11" x14ac:dyDescent="0.25">
      <c r="A129" s="94" t="s">
        <v>203</v>
      </c>
      <c r="B129" s="94" t="s">
        <v>128</v>
      </c>
      <c r="C129" s="94">
        <v>3682</v>
      </c>
      <c r="D129" s="94" t="s">
        <v>849</v>
      </c>
      <c r="E129" s="94"/>
      <c r="F129" s="94"/>
      <c r="G129" s="94" t="str">
        <f t="shared" si="1"/>
        <v>BridgewatchB18</v>
      </c>
      <c r="H129" s="94" t="s">
        <v>377</v>
      </c>
      <c r="I129" s="94">
        <v>18</v>
      </c>
    </row>
    <row r="130" spans="1:11" x14ac:dyDescent="0.25">
      <c r="A130" s="94" t="s">
        <v>203</v>
      </c>
      <c r="B130" s="94" t="s">
        <v>129</v>
      </c>
      <c r="C130" s="94">
        <v>2988</v>
      </c>
      <c r="D130" s="94" t="s">
        <v>850</v>
      </c>
      <c r="E130" s="94"/>
      <c r="F130" s="94"/>
      <c r="G130" s="94" t="str">
        <f t="shared" si="1"/>
        <v>CaerleonB18</v>
      </c>
      <c r="H130" s="94" t="s">
        <v>377</v>
      </c>
      <c r="I130" s="94">
        <v>18</v>
      </c>
    </row>
    <row r="131" spans="1:11" x14ac:dyDescent="0.25">
      <c r="A131" s="94" t="s">
        <v>203</v>
      </c>
      <c r="B131" s="94" t="s">
        <v>130</v>
      </c>
      <c r="C131" s="94">
        <v>3758</v>
      </c>
      <c r="D131" s="94" t="s">
        <v>836</v>
      </c>
      <c r="E131" s="94"/>
      <c r="F131" s="94"/>
      <c r="G131" s="94" t="str">
        <f t="shared" ref="G131:G190" si="2">_xlfn.CONCAT(B131,H131,I131)</f>
        <v>Fort SterlingB18</v>
      </c>
      <c r="H131" s="94" t="s">
        <v>377</v>
      </c>
      <c r="I131" s="94">
        <v>18</v>
      </c>
    </row>
    <row r="132" spans="1:11" x14ac:dyDescent="0.25">
      <c r="A132" s="94" t="s">
        <v>203</v>
      </c>
      <c r="B132" s="94" t="s">
        <v>131</v>
      </c>
      <c r="C132" s="94">
        <v>3892</v>
      </c>
      <c r="D132" s="94" t="s">
        <v>796</v>
      </c>
      <c r="E132" s="94">
        <v>3664</v>
      </c>
      <c r="F132" s="94" t="s">
        <v>833</v>
      </c>
      <c r="G132" s="94" t="str">
        <f t="shared" si="2"/>
        <v>LymhurstB18</v>
      </c>
      <c r="H132" s="94" t="s">
        <v>377</v>
      </c>
      <c r="I132" s="94">
        <v>18</v>
      </c>
      <c r="J132">
        <v>3664</v>
      </c>
      <c r="K132" t="s">
        <v>833</v>
      </c>
    </row>
    <row r="133" spans="1:11" x14ac:dyDescent="0.25">
      <c r="A133" s="94" t="s">
        <v>203</v>
      </c>
      <c r="B133" s="94" t="s">
        <v>132</v>
      </c>
      <c r="C133" s="94"/>
      <c r="D133" s="94"/>
      <c r="E133" s="94"/>
      <c r="F133" s="94"/>
      <c r="G133" s="94" t="str">
        <f t="shared" si="2"/>
        <v>MartlockB18</v>
      </c>
      <c r="H133" s="94" t="s">
        <v>377</v>
      </c>
      <c r="I133" s="94">
        <v>18</v>
      </c>
    </row>
    <row r="134" spans="1:11" x14ac:dyDescent="0.25">
      <c r="A134" s="94" t="s">
        <v>203</v>
      </c>
      <c r="B134" s="94" t="s">
        <v>133</v>
      </c>
      <c r="C134" s="94">
        <v>3690</v>
      </c>
      <c r="D134" s="94" t="s">
        <v>840</v>
      </c>
      <c r="E134" s="94">
        <v>3496</v>
      </c>
      <c r="F134" s="94" t="s">
        <v>795</v>
      </c>
      <c r="G134" s="94" t="str">
        <f t="shared" si="2"/>
        <v>ThetfordB18</v>
      </c>
      <c r="H134" s="94" t="s">
        <v>377</v>
      </c>
      <c r="I134" s="94">
        <v>18</v>
      </c>
      <c r="J134">
        <v>3496</v>
      </c>
      <c r="K134" t="s">
        <v>795</v>
      </c>
    </row>
    <row r="135" spans="1:11" x14ac:dyDescent="0.25">
      <c r="A135" s="94" t="s">
        <v>204</v>
      </c>
      <c r="B135" s="94" t="s">
        <v>127</v>
      </c>
      <c r="C135" s="94">
        <v>7137</v>
      </c>
      <c r="D135" s="94" t="s">
        <v>813</v>
      </c>
      <c r="E135" s="94"/>
      <c r="F135" s="94"/>
      <c r="G135" s="94" t="str">
        <f t="shared" si="2"/>
        <v>BrecilienB19</v>
      </c>
      <c r="H135" s="94" t="s">
        <v>377</v>
      </c>
      <c r="I135" s="94">
        <v>19</v>
      </c>
    </row>
    <row r="136" spans="1:11" x14ac:dyDescent="0.25">
      <c r="A136" s="94" t="s">
        <v>204</v>
      </c>
      <c r="B136" s="94" t="s">
        <v>128</v>
      </c>
      <c r="C136" s="94">
        <v>7871</v>
      </c>
      <c r="D136" s="94" t="s">
        <v>808</v>
      </c>
      <c r="E136" s="94"/>
      <c r="F136" s="94"/>
      <c r="G136" s="94" t="str">
        <f t="shared" si="2"/>
        <v>BridgewatchB19</v>
      </c>
      <c r="H136" s="94" t="s">
        <v>377</v>
      </c>
      <c r="I136" s="94">
        <v>19</v>
      </c>
    </row>
    <row r="137" spans="1:11" x14ac:dyDescent="0.25">
      <c r="A137" s="94" t="s">
        <v>204</v>
      </c>
      <c r="B137" s="94" t="s">
        <v>129</v>
      </c>
      <c r="C137" s="94">
        <v>7998</v>
      </c>
      <c r="D137" s="94" t="s">
        <v>850</v>
      </c>
      <c r="E137" s="94"/>
      <c r="F137" s="94"/>
      <c r="G137" s="94" t="str">
        <f t="shared" si="2"/>
        <v>CaerleonB19</v>
      </c>
      <c r="H137" s="94" t="s">
        <v>377</v>
      </c>
      <c r="I137" s="94">
        <v>19</v>
      </c>
    </row>
    <row r="138" spans="1:11" x14ac:dyDescent="0.25">
      <c r="A138" s="94" t="s">
        <v>204</v>
      </c>
      <c r="B138" s="94" t="s">
        <v>130</v>
      </c>
      <c r="C138" s="94">
        <v>8095</v>
      </c>
      <c r="D138" s="94" t="s">
        <v>842</v>
      </c>
      <c r="E138" s="94"/>
      <c r="F138" s="94"/>
      <c r="G138" s="94" t="str">
        <f t="shared" si="2"/>
        <v>Fort SterlingB19</v>
      </c>
      <c r="H138" s="94" t="s">
        <v>377</v>
      </c>
      <c r="I138" s="94">
        <v>19</v>
      </c>
    </row>
    <row r="139" spans="1:11" x14ac:dyDescent="0.25">
      <c r="A139" s="94" t="s">
        <v>204</v>
      </c>
      <c r="B139" s="94" t="s">
        <v>131</v>
      </c>
      <c r="C139" s="94">
        <v>9759</v>
      </c>
      <c r="D139" s="94" t="s">
        <v>851</v>
      </c>
      <c r="E139" s="94">
        <v>7924</v>
      </c>
      <c r="F139" s="94" t="s">
        <v>851</v>
      </c>
      <c r="G139" s="94" t="str">
        <f t="shared" si="2"/>
        <v>LymhurstB19</v>
      </c>
      <c r="H139" s="94" t="s">
        <v>377</v>
      </c>
      <c r="I139" s="94">
        <v>19</v>
      </c>
      <c r="J139">
        <v>7924</v>
      </c>
      <c r="K139" t="s">
        <v>851</v>
      </c>
    </row>
    <row r="140" spans="1:11" x14ac:dyDescent="0.25">
      <c r="A140" s="94" t="s">
        <v>204</v>
      </c>
      <c r="B140" s="94" t="s">
        <v>132</v>
      </c>
      <c r="C140" s="94"/>
      <c r="D140" s="94"/>
      <c r="E140" s="94"/>
      <c r="F140" s="94"/>
      <c r="G140" s="94" t="str">
        <f t="shared" si="2"/>
        <v>MartlockB19</v>
      </c>
      <c r="H140" s="94" t="s">
        <v>377</v>
      </c>
      <c r="I140" s="94">
        <v>19</v>
      </c>
    </row>
    <row r="141" spans="1:11" x14ac:dyDescent="0.25">
      <c r="A141" s="94" t="s">
        <v>204</v>
      </c>
      <c r="B141" s="94" t="s">
        <v>133</v>
      </c>
      <c r="C141" s="94">
        <v>7571</v>
      </c>
      <c r="D141" s="94" t="s">
        <v>795</v>
      </c>
      <c r="E141" s="94">
        <v>7219</v>
      </c>
      <c r="F141" s="94" t="s">
        <v>795</v>
      </c>
      <c r="G141" s="94" t="str">
        <f t="shared" si="2"/>
        <v>ThetfordB19</v>
      </c>
      <c r="H141" s="94" t="s">
        <v>377</v>
      </c>
      <c r="I141" s="94">
        <v>19</v>
      </c>
      <c r="J141">
        <v>7219</v>
      </c>
      <c r="K141" t="s">
        <v>795</v>
      </c>
    </row>
    <row r="142" spans="1:11" x14ac:dyDescent="0.25">
      <c r="A142" s="94" t="s">
        <v>205</v>
      </c>
      <c r="B142" s="94" t="s">
        <v>127</v>
      </c>
      <c r="C142" s="94">
        <v>52600</v>
      </c>
      <c r="D142" s="94" t="s">
        <v>852</v>
      </c>
      <c r="E142" s="94">
        <v>41114</v>
      </c>
      <c r="F142" s="94" t="s">
        <v>840</v>
      </c>
      <c r="G142" s="94" t="str">
        <f t="shared" si="2"/>
        <v>BrecilienB20</v>
      </c>
      <c r="H142" s="94" t="s">
        <v>377</v>
      </c>
      <c r="I142" s="94">
        <v>20</v>
      </c>
      <c r="J142">
        <v>41114</v>
      </c>
      <c r="K142" t="s">
        <v>840</v>
      </c>
    </row>
    <row r="143" spans="1:11" x14ac:dyDescent="0.25">
      <c r="A143" s="94" t="s">
        <v>205</v>
      </c>
      <c r="B143" s="94" t="s">
        <v>128</v>
      </c>
      <c r="C143" s="94">
        <v>57692</v>
      </c>
      <c r="D143" s="94" t="s">
        <v>853</v>
      </c>
      <c r="E143" s="94"/>
      <c r="F143" s="94"/>
      <c r="G143" s="94" t="str">
        <f t="shared" si="2"/>
        <v>BridgewatchB20</v>
      </c>
      <c r="H143" s="94" t="s">
        <v>377</v>
      </c>
      <c r="I143" s="94">
        <v>20</v>
      </c>
    </row>
    <row r="144" spans="1:11" x14ac:dyDescent="0.25">
      <c r="A144" s="94" t="s">
        <v>205</v>
      </c>
      <c r="B144" s="94" t="s">
        <v>129</v>
      </c>
      <c r="C144" s="94">
        <v>69991</v>
      </c>
      <c r="D144" s="94" t="s">
        <v>854</v>
      </c>
      <c r="E144" s="94"/>
      <c r="F144" s="94"/>
      <c r="G144" s="94" t="str">
        <f t="shared" si="2"/>
        <v>CaerleonB20</v>
      </c>
      <c r="H144" s="94" t="s">
        <v>377</v>
      </c>
      <c r="I144" s="94">
        <v>20</v>
      </c>
    </row>
    <row r="145" spans="1:11" x14ac:dyDescent="0.25">
      <c r="A145" s="94" t="s">
        <v>205</v>
      </c>
      <c r="B145" s="94" t="s">
        <v>130</v>
      </c>
      <c r="C145" s="94">
        <v>64958</v>
      </c>
      <c r="D145" s="94" t="s">
        <v>815</v>
      </c>
      <c r="E145" s="94"/>
      <c r="F145" s="94"/>
      <c r="G145" s="94" t="str">
        <f t="shared" si="2"/>
        <v>Fort SterlingB20</v>
      </c>
      <c r="H145" s="94" t="s">
        <v>377</v>
      </c>
      <c r="I145" s="94">
        <v>20</v>
      </c>
    </row>
    <row r="146" spans="1:11" x14ac:dyDescent="0.25">
      <c r="A146" s="94" t="s">
        <v>205</v>
      </c>
      <c r="B146" s="94" t="s">
        <v>131</v>
      </c>
      <c r="C146" s="94">
        <v>65498</v>
      </c>
      <c r="D146" s="94" t="s">
        <v>806</v>
      </c>
      <c r="E146" s="94">
        <v>58134</v>
      </c>
      <c r="F146" s="94" t="s">
        <v>793</v>
      </c>
      <c r="G146" s="94" t="str">
        <f t="shared" si="2"/>
        <v>LymhurstB20</v>
      </c>
      <c r="H146" s="94" t="s">
        <v>377</v>
      </c>
      <c r="I146" s="94">
        <v>20</v>
      </c>
      <c r="J146">
        <v>58134</v>
      </c>
      <c r="K146" t="s">
        <v>793</v>
      </c>
    </row>
    <row r="147" spans="1:11" x14ac:dyDescent="0.25">
      <c r="A147" s="94" t="s">
        <v>205</v>
      </c>
      <c r="B147" s="94" t="s">
        <v>132</v>
      </c>
      <c r="C147" s="94"/>
      <c r="D147" s="94"/>
      <c r="E147" s="94"/>
      <c r="F147" s="94"/>
      <c r="G147" s="94" t="str">
        <f t="shared" si="2"/>
        <v>MartlockB20</v>
      </c>
      <c r="H147" s="94" t="s">
        <v>377</v>
      </c>
      <c r="I147" s="94">
        <v>20</v>
      </c>
    </row>
    <row r="148" spans="1:11" x14ac:dyDescent="0.25">
      <c r="A148" s="94" t="s">
        <v>205</v>
      </c>
      <c r="B148" s="94" t="s">
        <v>133</v>
      </c>
      <c r="C148" s="94">
        <v>56445</v>
      </c>
      <c r="D148" s="94" t="s">
        <v>855</v>
      </c>
      <c r="E148" s="94">
        <v>51559</v>
      </c>
      <c r="F148" s="94" t="s">
        <v>856</v>
      </c>
      <c r="G148" s="94" t="str">
        <f t="shared" si="2"/>
        <v>ThetfordB20</v>
      </c>
      <c r="H148" s="94" t="s">
        <v>377</v>
      </c>
      <c r="I148" s="94">
        <v>20</v>
      </c>
      <c r="J148">
        <v>51559</v>
      </c>
      <c r="K148" t="s">
        <v>856</v>
      </c>
    </row>
    <row r="149" spans="1:11" x14ac:dyDescent="0.25">
      <c r="A149" s="94" t="s">
        <v>206</v>
      </c>
      <c r="B149" s="94" t="s">
        <v>127</v>
      </c>
      <c r="C149" s="94"/>
      <c r="D149" s="94"/>
      <c r="E149" s="94"/>
      <c r="F149" s="94"/>
      <c r="G149" s="94" t="str">
        <f t="shared" si="2"/>
        <v>BrecilienB21</v>
      </c>
      <c r="H149" s="94" t="s">
        <v>377</v>
      </c>
      <c r="I149" s="94">
        <v>21</v>
      </c>
    </row>
    <row r="150" spans="1:11" x14ac:dyDescent="0.25">
      <c r="A150" s="94" t="s">
        <v>206</v>
      </c>
      <c r="B150" s="94" t="s">
        <v>128</v>
      </c>
      <c r="C150" s="94">
        <v>184924</v>
      </c>
      <c r="D150" s="94" t="s">
        <v>857</v>
      </c>
      <c r="E150" s="94"/>
      <c r="F150" s="94"/>
      <c r="G150" s="94" t="str">
        <f t="shared" si="2"/>
        <v>BridgewatchB21</v>
      </c>
      <c r="H150" s="94" t="s">
        <v>377</v>
      </c>
      <c r="I150" s="94">
        <v>21</v>
      </c>
    </row>
    <row r="151" spans="1:11" x14ac:dyDescent="0.25">
      <c r="A151" s="94" t="s">
        <v>206</v>
      </c>
      <c r="B151" s="94" t="s">
        <v>129</v>
      </c>
      <c r="C151" s="94"/>
      <c r="D151" s="94"/>
      <c r="E151" s="94"/>
      <c r="F151" s="94"/>
      <c r="G151" s="94" t="str">
        <f t="shared" si="2"/>
        <v>CaerleonB21</v>
      </c>
      <c r="H151" s="94" t="s">
        <v>377</v>
      </c>
      <c r="I151" s="94">
        <v>21</v>
      </c>
    </row>
    <row r="152" spans="1:11" x14ac:dyDescent="0.25">
      <c r="A152" s="94" t="s">
        <v>206</v>
      </c>
      <c r="B152" s="94" t="s">
        <v>130</v>
      </c>
      <c r="C152" s="94"/>
      <c r="D152" s="94"/>
      <c r="E152" s="94"/>
      <c r="F152" s="94"/>
      <c r="G152" s="94" t="str">
        <f t="shared" si="2"/>
        <v>Fort SterlingB21</v>
      </c>
      <c r="H152" s="94" t="s">
        <v>377</v>
      </c>
      <c r="I152" s="94">
        <v>21</v>
      </c>
    </row>
    <row r="153" spans="1:11" x14ac:dyDescent="0.25">
      <c r="A153" s="94" t="s">
        <v>206</v>
      </c>
      <c r="B153" s="94" t="s">
        <v>131</v>
      </c>
      <c r="C153" s="94"/>
      <c r="D153" s="94"/>
      <c r="E153" s="94"/>
      <c r="F153" s="94"/>
      <c r="G153" s="94" t="str">
        <f t="shared" si="2"/>
        <v>LymhurstB21</v>
      </c>
      <c r="H153" s="94" t="s">
        <v>377</v>
      </c>
      <c r="I153" s="94">
        <v>21</v>
      </c>
    </row>
    <row r="154" spans="1:11" x14ac:dyDescent="0.25">
      <c r="A154" s="94" t="s">
        <v>206</v>
      </c>
      <c r="B154" s="94" t="s">
        <v>132</v>
      </c>
      <c r="C154" s="94">
        <v>174985</v>
      </c>
      <c r="D154" s="94" t="s">
        <v>824</v>
      </c>
      <c r="E154" s="94"/>
      <c r="F154" s="94"/>
      <c r="G154" s="94" t="str">
        <f t="shared" si="2"/>
        <v>MartlockB21</v>
      </c>
      <c r="H154" s="94" t="s">
        <v>377</v>
      </c>
      <c r="I154" s="94">
        <v>21</v>
      </c>
    </row>
    <row r="155" spans="1:11" x14ac:dyDescent="0.25">
      <c r="A155" s="94" t="s">
        <v>206</v>
      </c>
      <c r="B155" s="94" t="s">
        <v>133</v>
      </c>
      <c r="C155" s="94"/>
      <c r="D155" s="94"/>
      <c r="E155" s="94"/>
      <c r="F155" s="94"/>
      <c r="G155" s="94" t="str">
        <f t="shared" si="2"/>
        <v>ThetfordB21</v>
      </c>
      <c r="H155" s="94" t="s">
        <v>377</v>
      </c>
      <c r="I155" s="94">
        <v>21</v>
      </c>
    </row>
    <row r="156" spans="1:11" x14ac:dyDescent="0.25">
      <c r="A156" s="94" t="s">
        <v>207</v>
      </c>
      <c r="B156" s="94" t="s">
        <v>127</v>
      </c>
      <c r="C156" s="94">
        <v>6460</v>
      </c>
      <c r="D156" s="94" t="s">
        <v>841</v>
      </c>
      <c r="E156" s="94">
        <v>6305</v>
      </c>
      <c r="F156" s="94" t="s">
        <v>841</v>
      </c>
      <c r="G156" s="94" t="str">
        <f t="shared" si="2"/>
        <v>BrecilienB22</v>
      </c>
      <c r="H156" s="94" t="s">
        <v>377</v>
      </c>
      <c r="I156" s="94">
        <v>22</v>
      </c>
      <c r="J156">
        <v>6305</v>
      </c>
      <c r="K156" t="s">
        <v>841</v>
      </c>
    </row>
    <row r="157" spans="1:11" x14ac:dyDescent="0.25">
      <c r="A157" s="94" t="s">
        <v>207</v>
      </c>
      <c r="B157" s="94" t="s">
        <v>128</v>
      </c>
      <c r="C157" s="94"/>
      <c r="D157" s="94"/>
      <c r="E157" s="94"/>
      <c r="F157" s="94"/>
      <c r="G157" s="94" t="str">
        <f t="shared" si="2"/>
        <v>BridgewatchB22</v>
      </c>
      <c r="H157" s="94" t="s">
        <v>377</v>
      </c>
      <c r="I157" s="94">
        <v>22</v>
      </c>
    </row>
    <row r="158" spans="1:11" x14ac:dyDescent="0.25">
      <c r="A158" s="94" t="s">
        <v>207</v>
      </c>
      <c r="B158" s="94" t="s">
        <v>129</v>
      </c>
      <c r="C158" s="94">
        <v>6989</v>
      </c>
      <c r="D158" s="94" t="s">
        <v>854</v>
      </c>
      <c r="E158" s="94"/>
      <c r="F158" s="94"/>
      <c r="G158" s="94" t="str">
        <f t="shared" si="2"/>
        <v>CaerleonB22</v>
      </c>
      <c r="H158" s="94" t="s">
        <v>377</v>
      </c>
      <c r="I158" s="94">
        <v>22</v>
      </c>
    </row>
    <row r="159" spans="1:11" x14ac:dyDescent="0.25">
      <c r="A159" s="94" t="s">
        <v>207</v>
      </c>
      <c r="B159" s="94" t="s">
        <v>130</v>
      </c>
      <c r="C159" s="94">
        <v>7191</v>
      </c>
      <c r="D159" s="94" t="s">
        <v>823</v>
      </c>
      <c r="E159" s="94"/>
      <c r="F159" s="94"/>
      <c r="G159" s="94" t="str">
        <f t="shared" si="2"/>
        <v>Fort SterlingB22</v>
      </c>
      <c r="H159" s="94" t="s">
        <v>377</v>
      </c>
      <c r="I159" s="94">
        <v>22</v>
      </c>
    </row>
    <row r="160" spans="1:11" x14ac:dyDescent="0.25">
      <c r="A160" s="94" t="s">
        <v>207</v>
      </c>
      <c r="B160" s="94" t="s">
        <v>131</v>
      </c>
      <c r="C160" s="94">
        <v>7467</v>
      </c>
      <c r="D160" s="94" t="s">
        <v>800</v>
      </c>
      <c r="E160" s="94">
        <v>7124</v>
      </c>
      <c r="F160" s="94" t="s">
        <v>800</v>
      </c>
      <c r="G160" s="94" t="str">
        <f t="shared" si="2"/>
        <v>LymhurstB22</v>
      </c>
      <c r="H160" s="94" t="s">
        <v>377</v>
      </c>
      <c r="I160" s="94">
        <v>22</v>
      </c>
      <c r="J160">
        <v>7124</v>
      </c>
      <c r="K160" t="s">
        <v>800</v>
      </c>
    </row>
    <row r="161" spans="1:11" x14ac:dyDescent="0.25">
      <c r="A161" s="94" t="s">
        <v>207</v>
      </c>
      <c r="B161" s="94" t="s">
        <v>132</v>
      </c>
      <c r="C161" s="94">
        <v>7142</v>
      </c>
      <c r="D161" s="94" t="s">
        <v>846</v>
      </c>
      <c r="E161" s="94">
        <v>6632</v>
      </c>
      <c r="F161" s="94" t="s">
        <v>858</v>
      </c>
      <c r="G161" s="94" t="str">
        <f t="shared" si="2"/>
        <v>MartlockB22</v>
      </c>
      <c r="H161" s="94" t="s">
        <v>377</v>
      </c>
      <c r="I161" s="94">
        <v>22</v>
      </c>
      <c r="J161">
        <v>6632</v>
      </c>
      <c r="K161" t="s">
        <v>858</v>
      </c>
    </row>
    <row r="162" spans="1:11" x14ac:dyDescent="0.25">
      <c r="A162" s="94" t="s">
        <v>207</v>
      </c>
      <c r="B162" s="94" t="s">
        <v>133</v>
      </c>
      <c r="C162" s="94">
        <v>6991</v>
      </c>
      <c r="D162" s="94" t="s">
        <v>795</v>
      </c>
      <c r="E162" s="94">
        <v>6901</v>
      </c>
      <c r="F162" s="94" t="s">
        <v>795</v>
      </c>
      <c r="G162" s="94" t="str">
        <f t="shared" si="2"/>
        <v>ThetfordB22</v>
      </c>
      <c r="H162" s="94" t="s">
        <v>377</v>
      </c>
      <c r="I162" s="94">
        <v>22</v>
      </c>
      <c r="J162">
        <v>6901</v>
      </c>
      <c r="K162" t="s">
        <v>795</v>
      </c>
    </row>
    <row r="163" spans="1:11" x14ac:dyDescent="0.25">
      <c r="A163" s="94" t="s">
        <v>208</v>
      </c>
      <c r="B163" s="94" t="s">
        <v>127</v>
      </c>
      <c r="C163" s="94">
        <v>14932</v>
      </c>
      <c r="D163" s="94" t="s">
        <v>840</v>
      </c>
      <c r="E163" s="94">
        <v>12501</v>
      </c>
      <c r="F163" s="94" t="s">
        <v>859</v>
      </c>
      <c r="G163" s="94" t="str">
        <f t="shared" si="2"/>
        <v>BrecilienB23</v>
      </c>
      <c r="H163" s="94" t="s">
        <v>377</v>
      </c>
      <c r="I163" s="94">
        <v>23</v>
      </c>
      <c r="J163">
        <v>12501</v>
      </c>
      <c r="K163" t="s">
        <v>859</v>
      </c>
    </row>
    <row r="164" spans="1:11" x14ac:dyDescent="0.25">
      <c r="A164" s="94" t="s">
        <v>208</v>
      </c>
      <c r="B164" s="94" t="s">
        <v>128</v>
      </c>
      <c r="C164" s="94"/>
      <c r="D164" s="94"/>
      <c r="E164" s="94"/>
      <c r="F164" s="94"/>
      <c r="G164" s="94" t="str">
        <f t="shared" si="2"/>
        <v>BridgewatchB23</v>
      </c>
      <c r="H164" s="94" t="s">
        <v>377</v>
      </c>
      <c r="I164" s="94">
        <v>23</v>
      </c>
    </row>
    <row r="165" spans="1:11" x14ac:dyDescent="0.25">
      <c r="A165" s="94" t="s">
        <v>208</v>
      </c>
      <c r="B165" s="94" t="s">
        <v>129</v>
      </c>
      <c r="C165" s="94">
        <v>14895</v>
      </c>
      <c r="D165" s="94" t="s">
        <v>854</v>
      </c>
      <c r="E165" s="94"/>
      <c r="F165" s="94"/>
      <c r="G165" s="94" t="str">
        <f t="shared" si="2"/>
        <v>CaerleonB23</v>
      </c>
      <c r="H165" s="94" t="s">
        <v>377</v>
      </c>
      <c r="I165" s="94">
        <v>23</v>
      </c>
    </row>
    <row r="166" spans="1:11" x14ac:dyDescent="0.25">
      <c r="A166" s="94" t="s">
        <v>208</v>
      </c>
      <c r="B166" s="94" t="s">
        <v>130</v>
      </c>
      <c r="C166" s="94">
        <v>15183</v>
      </c>
      <c r="D166" s="94" t="s">
        <v>823</v>
      </c>
      <c r="E166" s="94"/>
      <c r="F166" s="94"/>
      <c r="G166" s="94" t="str">
        <f t="shared" si="2"/>
        <v>Fort SterlingB23</v>
      </c>
      <c r="H166" s="94" t="s">
        <v>377</v>
      </c>
      <c r="I166" s="94">
        <v>23</v>
      </c>
    </row>
    <row r="167" spans="1:11" x14ac:dyDescent="0.25">
      <c r="A167" s="94" t="s">
        <v>208</v>
      </c>
      <c r="B167" s="94" t="s">
        <v>131</v>
      </c>
      <c r="C167" s="94">
        <v>16464</v>
      </c>
      <c r="D167" s="94" t="s">
        <v>860</v>
      </c>
      <c r="E167" s="94">
        <v>14315</v>
      </c>
      <c r="F167" s="94" t="s">
        <v>793</v>
      </c>
      <c r="G167" s="94" t="str">
        <f t="shared" si="2"/>
        <v>LymhurstB23</v>
      </c>
      <c r="H167" s="94" t="s">
        <v>377</v>
      </c>
      <c r="I167" s="94">
        <v>23</v>
      </c>
      <c r="J167">
        <v>14315</v>
      </c>
      <c r="K167" t="s">
        <v>793</v>
      </c>
    </row>
    <row r="168" spans="1:11" x14ac:dyDescent="0.25">
      <c r="A168" s="94" t="s">
        <v>208</v>
      </c>
      <c r="B168" s="94" t="s">
        <v>132</v>
      </c>
      <c r="C168" s="94"/>
      <c r="D168" s="94"/>
      <c r="E168" s="94"/>
      <c r="F168" s="94"/>
      <c r="G168" s="94" t="str">
        <f t="shared" si="2"/>
        <v>MartlockB23</v>
      </c>
      <c r="H168" s="94" t="s">
        <v>377</v>
      </c>
      <c r="I168" s="94">
        <v>23</v>
      </c>
    </row>
    <row r="169" spans="1:11" x14ac:dyDescent="0.25">
      <c r="A169" s="94" t="s">
        <v>208</v>
      </c>
      <c r="B169" s="94" t="s">
        <v>133</v>
      </c>
      <c r="C169" s="94">
        <v>13992</v>
      </c>
      <c r="D169" s="94" t="s">
        <v>861</v>
      </c>
      <c r="E169" s="94"/>
      <c r="F169" s="94"/>
      <c r="G169" s="94" t="str">
        <f t="shared" si="2"/>
        <v>ThetfordB23</v>
      </c>
      <c r="H169" s="94" t="s">
        <v>377</v>
      </c>
      <c r="I169" s="94">
        <v>23</v>
      </c>
    </row>
    <row r="170" spans="1:11" x14ac:dyDescent="0.25">
      <c r="A170" s="94" t="s">
        <v>209</v>
      </c>
      <c r="B170" s="94" t="s">
        <v>127</v>
      </c>
      <c r="C170" s="94">
        <v>45654</v>
      </c>
      <c r="D170" s="94" t="s">
        <v>846</v>
      </c>
      <c r="E170" s="94"/>
      <c r="F170" s="94"/>
      <c r="G170" s="94" t="str">
        <f t="shared" si="2"/>
        <v>BrecilienB24</v>
      </c>
      <c r="H170" s="94" t="s">
        <v>377</v>
      </c>
      <c r="I170" s="94">
        <v>24</v>
      </c>
    </row>
    <row r="171" spans="1:11" x14ac:dyDescent="0.25">
      <c r="A171" s="94" t="s">
        <v>209</v>
      </c>
      <c r="B171" s="94" t="s">
        <v>128</v>
      </c>
      <c r="C171" s="94">
        <v>54991</v>
      </c>
      <c r="D171" s="94" t="s">
        <v>862</v>
      </c>
      <c r="E171" s="94"/>
      <c r="F171" s="94"/>
      <c r="G171" s="94" t="str">
        <f t="shared" si="2"/>
        <v>BridgewatchB24</v>
      </c>
      <c r="H171" s="94" t="s">
        <v>377</v>
      </c>
      <c r="I171" s="94">
        <v>24</v>
      </c>
    </row>
    <row r="172" spans="1:11" x14ac:dyDescent="0.25">
      <c r="A172" s="94" t="s">
        <v>209</v>
      </c>
      <c r="B172" s="94" t="s">
        <v>129</v>
      </c>
      <c r="C172" s="94">
        <v>49997</v>
      </c>
      <c r="D172" s="94" t="s">
        <v>854</v>
      </c>
      <c r="E172" s="94"/>
      <c r="F172" s="94"/>
      <c r="G172" s="94" t="str">
        <f t="shared" si="2"/>
        <v>CaerleonB24</v>
      </c>
      <c r="H172" s="94" t="s">
        <v>377</v>
      </c>
      <c r="I172" s="94">
        <v>24</v>
      </c>
    </row>
    <row r="173" spans="1:11" x14ac:dyDescent="0.25">
      <c r="A173" s="94" t="s">
        <v>209</v>
      </c>
      <c r="B173" s="94" t="s">
        <v>130</v>
      </c>
      <c r="C173" s="94">
        <v>54893</v>
      </c>
      <c r="D173" s="94" t="s">
        <v>815</v>
      </c>
      <c r="E173" s="94"/>
      <c r="F173" s="94"/>
      <c r="G173" s="94" t="str">
        <f t="shared" si="2"/>
        <v>Fort SterlingB24</v>
      </c>
      <c r="H173" s="94" t="s">
        <v>377</v>
      </c>
      <c r="I173" s="94">
        <v>24</v>
      </c>
    </row>
    <row r="174" spans="1:11" x14ac:dyDescent="0.25">
      <c r="A174" s="94" t="s">
        <v>209</v>
      </c>
      <c r="B174" s="94" t="s">
        <v>131</v>
      </c>
      <c r="C174" s="94">
        <v>59998</v>
      </c>
      <c r="D174" s="94" t="s">
        <v>805</v>
      </c>
      <c r="E174" s="94">
        <v>53073</v>
      </c>
      <c r="F174" s="94" t="s">
        <v>833</v>
      </c>
      <c r="G174" s="94" t="str">
        <f t="shared" si="2"/>
        <v>LymhurstB24</v>
      </c>
      <c r="H174" s="94" t="s">
        <v>377</v>
      </c>
      <c r="I174" s="94">
        <v>24</v>
      </c>
      <c r="J174">
        <v>53073</v>
      </c>
      <c r="K174" t="s">
        <v>833</v>
      </c>
    </row>
    <row r="175" spans="1:11" x14ac:dyDescent="0.25">
      <c r="A175" s="94" t="s">
        <v>209</v>
      </c>
      <c r="B175" s="94" t="s">
        <v>132</v>
      </c>
      <c r="C175" s="94">
        <v>55468</v>
      </c>
      <c r="D175" s="94" t="s">
        <v>863</v>
      </c>
      <c r="E175" s="94"/>
      <c r="F175" s="94"/>
      <c r="G175" s="94" t="str">
        <f t="shared" si="2"/>
        <v>MartlockB24</v>
      </c>
      <c r="H175" s="94" t="s">
        <v>377</v>
      </c>
      <c r="I175" s="94">
        <v>24</v>
      </c>
    </row>
    <row r="176" spans="1:11" x14ac:dyDescent="0.25">
      <c r="A176" s="94" t="s">
        <v>209</v>
      </c>
      <c r="B176" s="94" t="s">
        <v>133</v>
      </c>
      <c r="C176" s="94">
        <v>50999</v>
      </c>
      <c r="D176" s="94" t="s">
        <v>864</v>
      </c>
      <c r="E176" s="94">
        <v>42019</v>
      </c>
      <c r="F176" s="94" t="s">
        <v>864</v>
      </c>
      <c r="G176" s="94" t="str">
        <f t="shared" si="2"/>
        <v>ThetfordB24</v>
      </c>
      <c r="H176" s="94" t="s">
        <v>377</v>
      </c>
      <c r="I176" s="94">
        <v>24</v>
      </c>
      <c r="J176">
        <v>42019</v>
      </c>
      <c r="K176" t="s">
        <v>864</v>
      </c>
    </row>
    <row r="177" spans="1:9" x14ac:dyDescent="0.25">
      <c r="A177" s="94" t="s">
        <v>210</v>
      </c>
      <c r="B177" s="94" t="s">
        <v>127</v>
      </c>
      <c r="C177" s="94"/>
      <c r="D177" s="94"/>
      <c r="E177" s="94"/>
      <c r="F177" s="94"/>
      <c r="G177" s="94" t="str">
        <f t="shared" si="2"/>
        <v>BrecilienB25</v>
      </c>
      <c r="H177" s="94" t="s">
        <v>377</v>
      </c>
      <c r="I177" s="94">
        <v>25</v>
      </c>
    </row>
    <row r="178" spans="1:9" x14ac:dyDescent="0.25">
      <c r="A178" s="94" t="s">
        <v>210</v>
      </c>
      <c r="B178" s="94" t="s">
        <v>128</v>
      </c>
      <c r="C178" s="94"/>
      <c r="D178" s="94"/>
      <c r="E178" s="94"/>
      <c r="F178" s="94"/>
      <c r="G178" s="94" t="str">
        <f t="shared" si="2"/>
        <v>BridgewatchB25</v>
      </c>
      <c r="H178" s="94" t="s">
        <v>377</v>
      </c>
      <c r="I178" s="94">
        <v>25</v>
      </c>
    </row>
    <row r="179" spans="1:9" x14ac:dyDescent="0.25">
      <c r="A179" s="94" t="s">
        <v>210</v>
      </c>
      <c r="B179" s="94" t="s">
        <v>129</v>
      </c>
      <c r="C179" s="94">
        <v>248999</v>
      </c>
      <c r="D179" s="94" t="s">
        <v>854</v>
      </c>
      <c r="E179" s="94"/>
      <c r="F179" s="94"/>
      <c r="G179" s="94" t="str">
        <f t="shared" si="2"/>
        <v>CaerleonB25</v>
      </c>
      <c r="H179" s="94" t="s">
        <v>377</v>
      </c>
      <c r="I179" s="94">
        <v>25</v>
      </c>
    </row>
    <row r="180" spans="1:9" x14ac:dyDescent="0.25">
      <c r="A180" s="94" t="s">
        <v>210</v>
      </c>
      <c r="B180" s="94" t="s">
        <v>130</v>
      </c>
      <c r="C180" s="94">
        <v>209982</v>
      </c>
      <c r="D180" s="94" t="s">
        <v>865</v>
      </c>
      <c r="E180" s="94"/>
      <c r="F180" s="94"/>
      <c r="G180" s="94" t="str">
        <f t="shared" si="2"/>
        <v>Fort SterlingB25</v>
      </c>
      <c r="H180" s="94" t="s">
        <v>377</v>
      </c>
      <c r="I180" s="94">
        <v>25</v>
      </c>
    </row>
    <row r="181" spans="1:9" x14ac:dyDescent="0.25">
      <c r="A181" s="94" t="s">
        <v>210</v>
      </c>
      <c r="B181" s="94" t="s">
        <v>131</v>
      </c>
      <c r="C181" s="94"/>
      <c r="D181" s="94"/>
      <c r="E181" s="94"/>
      <c r="F181" s="94"/>
      <c r="G181" s="94" t="str">
        <f t="shared" si="2"/>
        <v>LymhurstB25</v>
      </c>
      <c r="H181" s="94" t="s">
        <v>377</v>
      </c>
      <c r="I181" s="94">
        <v>25</v>
      </c>
    </row>
    <row r="182" spans="1:9" x14ac:dyDescent="0.25">
      <c r="A182" s="94" t="s">
        <v>210</v>
      </c>
      <c r="B182" s="94" t="s">
        <v>132</v>
      </c>
      <c r="C182" s="94"/>
      <c r="D182" s="94"/>
      <c r="E182" s="94"/>
      <c r="F182" s="94"/>
      <c r="G182" s="94" t="str">
        <f t="shared" si="2"/>
        <v>MartlockB25</v>
      </c>
      <c r="H182" s="94" t="s">
        <v>377</v>
      </c>
      <c r="I182" s="94">
        <v>25</v>
      </c>
    </row>
    <row r="183" spans="1:9" x14ac:dyDescent="0.25">
      <c r="A183" s="94" t="s">
        <v>210</v>
      </c>
      <c r="B183" s="94" t="s">
        <v>133</v>
      </c>
      <c r="C183" s="94">
        <v>209888</v>
      </c>
      <c r="D183" s="94" t="s">
        <v>797</v>
      </c>
      <c r="E183" s="94"/>
      <c r="F183" s="94"/>
      <c r="G183" s="94" t="str">
        <f t="shared" si="2"/>
        <v>ThetfordB25</v>
      </c>
      <c r="H183" s="94" t="s">
        <v>377</v>
      </c>
      <c r="I183" s="94">
        <v>25</v>
      </c>
    </row>
    <row r="184" spans="1:9" x14ac:dyDescent="0.25">
      <c r="A184" s="94" t="s">
        <v>211</v>
      </c>
      <c r="B184" s="94" t="s">
        <v>127</v>
      </c>
      <c r="C184" s="94"/>
      <c r="D184" s="94"/>
      <c r="E184" s="94"/>
      <c r="F184" s="94"/>
      <c r="G184" s="94" t="str">
        <f t="shared" si="2"/>
        <v>BrecilienB26</v>
      </c>
      <c r="H184" s="94" t="s">
        <v>377</v>
      </c>
      <c r="I184" s="94">
        <v>26</v>
      </c>
    </row>
    <row r="185" spans="1:9" x14ac:dyDescent="0.25">
      <c r="A185" s="94" t="s">
        <v>211</v>
      </c>
      <c r="B185" s="94" t="s">
        <v>128</v>
      </c>
      <c r="C185" s="94"/>
      <c r="D185" s="94"/>
      <c r="E185" s="94"/>
      <c r="F185" s="94"/>
      <c r="G185" s="94" t="str">
        <f t="shared" si="2"/>
        <v>BridgewatchB26</v>
      </c>
      <c r="H185" s="94" t="s">
        <v>377</v>
      </c>
      <c r="I185" s="94">
        <v>26</v>
      </c>
    </row>
    <row r="186" spans="1:9" x14ac:dyDescent="0.25">
      <c r="A186" s="94" t="s">
        <v>211</v>
      </c>
      <c r="B186" s="94" t="s">
        <v>129</v>
      </c>
      <c r="C186" s="94"/>
      <c r="D186" s="94"/>
      <c r="E186" s="94"/>
      <c r="F186" s="94"/>
      <c r="G186" s="94" t="str">
        <f t="shared" si="2"/>
        <v>CaerleonB26</v>
      </c>
      <c r="H186" s="94" t="s">
        <v>377</v>
      </c>
      <c r="I186" s="94">
        <v>26</v>
      </c>
    </row>
    <row r="187" spans="1:9" x14ac:dyDescent="0.25">
      <c r="A187" s="94" t="s">
        <v>211</v>
      </c>
      <c r="B187" s="94" t="s">
        <v>130</v>
      </c>
      <c r="C187" s="94">
        <v>999975</v>
      </c>
      <c r="D187" s="94" t="s">
        <v>811</v>
      </c>
      <c r="E187" s="94"/>
      <c r="F187" s="94"/>
      <c r="G187" s="94" t="str">
        <f t="shared" si="2"/>
        <v>Fort SterlingB26</v>
      </c>
      <c r="H187" s="94" t="s">
        <v>377</v>
      </c>
      <c r="I187" s="94">
        <v>26</v>
      </c>
    </row>
    <row r="188" spans="1:9" x14ac:dyDescent="0.25">
      <c r="A188" s="94" t="s">
        <v>211</v>
      </c>
      <c r="B188" s="94" t="s">
        <v>131</v>
      </c>
      <c r="C188" s="94"/>
      <c r="D188" s="94"/>
      <c r="E188" s="94"/>
      <c r="F188" s="94"/>
      <c r="G188" s="94" t="str">
        <f t="shared" si="2"/>
        <v>LymhurstB26</v>
      </c>
      <c r="H188" s="94" t="s">
        <v>377</v>
      </c>
      <c r="I188" s="94">
        <v>26</v>
      </c>
    </row>
    <row r="189" spans="1:9" x14ac:dyDescent="0.25">
      <c r="A189" s="94" t="s">
        <v>211</v>
      </c>
      <c r="B189" s="94" t="s">
        <v>132</v>
      </c>
      <c r="C189" s="94">
        <v>998988</v>
      </c>
      <c r="D189" s="94" t="s">
        <v>863</v>
      </c>
      <c r="E189" s="94"/>
      <c r="F189" s="94"/>
      <c r="G189" s="94" t="str">
        <f t="shared" si="2"/>
        <v>MartlockB26</v>
      </c>
      <c r="H189" s="94" t="s">
        <v>377</v>
      </c>
      <c r="I189" s="94">
        <v>26</v>
      </c>
    </row>
    <row r="190" spans="1:9" x14ac:dyDescent="0.25">
      <c r="A190" s="94" t="s">
        <v>211</v>
      </c>
      <c r="B190" s="94" t="s">
        <v>133</v>
      </c>
      <c r="C190" s="94">
        <v>988867</v>
      </c>
      <c r="D190" s="94" t="s">
        <v>866</v>
      </c>
      <c r="E190" s="94"/>
      <c r="F190" s="94"/>
      <c r="G190" s="94" t="str">
        <f t="shared" si="2"/>
        <v>ThetfordB26</v>
      </c>
      <c r="H190" s="94" t="s">
        <v>377</v>
      </c>
      <c r="I190" s="94">
        <v>26</v>
      </c>
    </row>
    <row r="191" spans="1:9" x14ac:dyDescent="0.25">
      <c r="A191" s="103"/>
      <c r="B191" s="103"/>
      <c r="C191" s="103"/>
      <c r="D191" s="103"/>
      <c r="E191" s="103"/>
      <c r="F191" s="103"/>
      <c r="G191" s="103"/>
      <c r="H191" s="44"/>
      <c r="I191" s="44"/>
    </row>
    <row r="192" spans="1:9" x14ac:dyDescent="0.25">
      <c r="A192" s="94" t="s">
        <v>561</v>
      </c>
      <c r="B192" s="94" t="s">
        <v>127</v>
      </c>
      <c r="C192" s="94">
        <v>28</v>
      </c>
      <c r="D192" s="94" t="s">
        <v>867</v>
      </c>
      <c r="E192" s="94"/>
      <c r="F192" s="94"/>
      <c r="G192" s="94" t="str">
        <f>_xlfn.CONCAT(B192,H192,I192)</f>
        <v>BrecilienR0</v>
      </c>
      <c r="H192" s="94" t="s">
        <v>380</v>
      </c>
      <c r="I192" s="94">
        <v>0</v>
      </c>
    </row>
    <row r="193" spans="1:11" x14ac:dyDescent="0.25">
      <c r="A193" s="94" t="s">
        <v>561</v>
      </c>
      <c r="B193" s="94" t="s">
        <v>128</v>
      </c>
      <c r="C193" s="94">
        <v>18</v>
      </c>
      <c r="D193" s="94" t="s">
        <v>796</v>
      </c>
      <c r="E193" s="94">
        <v>1</v>
      </c>
      <c r="F193" s="94" t="s">
        <v>893</v>
      </c>
      <c r="G193" s="94" t="str">
        <f t="shared" ref="G193:G256" si="3">_xlfn.CONCAT(B193,H193,I193)</f>
        <v>BridgewatchR0</v>
      </c>
      <c r="H193" s="94" t="s">
        <v>380</v>
      </c>
      <c r="I193" s="94">
        <v>0</v>
      </c>
      <c r="J193">
        <v>1</v>
      </c>
      <c r="K193" t="s">
        <v>868</v>
      </c>
    </row>
    <row r="194" spans="1:11" x14ac:dyDescent="0.25">
      <c r="A194" s="94" t="s">
        <v>561</v>
      </c>
      <c r="B194" s="94" t="s">
        <v>129</v>
      </c>
      <c r="C194" s="94">
        <v>184</v>
      </c>
      <c r="D194" s="94" t="s">
        <v>869</v>
      </c>
      <c r="E194" s="94"/>
      <c r="F194" s="94"/>
      <c r="G194" s="94" t="str">
        <f t="shared" si="3"/>
        <v>CaerleonR0</v>
      </c>
      <c r="H194" s="94" t="s">
        <v>380</v>
      </c>
      <c r="I194" s="94">
        <v>0</v>
      </c>
    </row>
    <row r="195" spans="1:11" x14ac:dyDescent="0.25">
      <c r="A195" s="94" t="s">
        <v>561</v>
      </c>
      <c r="B195" s="94" t="s">
        <v>130</v>
      </c>
      <c r="C195" s="94">
        <v>18</v>
      </c>
      <c r="D195" s="94" t="s">
        <v>800</v>
      </c>
      <c r="E195" s="94"/>
      <c r="F195" s="94"/>
      <c r="G195" s="94" t="str">
        <f t="shared" si="3"/>
        <v>Fort SterlingR0</v>
      </c>
      <c r="H195" s="94" t="s">
        <v>380</v>
      </c>
      <c r="I195" s="94">
        <v>0</v>
      </c>
    </row>
    <row r="196" spans="1:11" x14ac:dyDescent="0.25">
      <c r="A196" s="94" t="s">
        <v>561</v>
      </c>
      <c r="B196" s="94" t="s">
        <v>131</v>
      </c>
      <c r="C196" s="94">
        <v>24</v>
      </c>
      <c r="D196" s="94" t="s">
        <v>893</v>
      </c>
      <c r="E196" s="94"/>
      <c r="F196" s="94"/>
      <c r="G196" s="94" t="str">
        <f t="shared" si="3"/>
        <v>LymhurstR0</v>
      </c>
      <c r="H196" s="94" t="s">
        <v>380</v>
      </c>
      <c r="I196" s="94">
        <v>0</v>
      </c>
    </row>
    <row r="197" spans="1:11" x14ac:dyDescent="0.25">
      <c r="A197" s="94" t="s">
        <v>561</v>
      </c>
      <c r="B197" s="94" t="s">
        <v>132</v>
      </c>
      <c r="C197" s="94">
        <v>15</v>
      </c>
      <c r="D197" s="94" t="s">
        <v>798</v>
      </c>
      <c r="E197" s="94"/>
      <c r="F197" s="94"/>
      <c r="G197" s="94" t="str">
        <f t="shared" si="3"/>
        <v>MartlockR0</v>
      </c>
      <c r="H197" s="94" t="s">
        <v>380</v>
      </c>
      <c r="I197" s="94">
        <v>0</v>
      </c>
    </row>
    <row r="198" spans="1:11" x14ac:dyDescent="0.25">
      <c r="A198" s="94" t="s">
        <v>561</v>
      </c>
      <c r="B198" s="94" t="s">
        <v>133</v>
      </c>
      <c r="C198" s="94">
        <v>23</v>
      </c>
      <c r="D198" s="94" t="s">
        <v>806</v>
      </c>
      <c r="E198" s="94"/>
      <c r="F198" s="94"/>
      <c r="G198" s="94" t="str">
        <f t="shared" si="3"/>
        <v>ThetfordR0</v>
      </c>
      <c r="H198" s="94" t="s">
        <v>380</v>
      </c>
      <c r="I198" s="94">
        <v>0</v>
      </c>
    </row>
    <row r="199" spans="1:11" x14ac:dyDescent="0.25">
      <c r="A199" s="94" t="s">
        <v>212</v>
      </c>
      <c r="B199" s="94" t="s">
        <v>127</v>
      </c>
      <c r="C199" s="94">
        <v>423</v>
      </c>
      <c r="D199" s="94" t="s">
        <v>807</v>
      </c>
      <c r="E199" s="94">
        <v>168</v>
      </c>
      <c r="F199" s="94" t="s">
        <v>807</v>
      </c>
      <c r="G199" s="94" t="str">
        <f t="shared" si="3"/>
        <v>BrecilienR1</v>
      </c>
      <c r="H199" s="94" t="s">
        <v>380</v>
      </c>
      <c r="I199" s="94">
        <v>1</v>
      </c>
      <c r="J199">
        <v>168</v>
      </c>
      <c r="K199" t="s">
        <v>807</v>
      </c>
    </row>
    <row r="200" spans="1:11" x14ac:dyDescent="0.25">
      <c r="A200" s="94" t="s">
        <v>212</v>
      </c>
      <c r="B200" s="94" t="s">
        <v>128</v>
      </c>
      <c r="C200" s="94"/>
      <c r="D200" s="94"/>
      <c r="E200" s="94"/>
      <c r="F200" s="94"/>
      <c r="G200" s="94" t="str">
        <f t="shared" si="3"/>
        <v>BridgewatchR1</v>
      </c>
      <c r="H200" s="94" t="s">
        <v>380</v>
      </c>
      <c r="I200" s="94">
        <v>1</v>
      </c>
    </row>
    <row r="201" spans="1:11" x14ac:dyDescent="0.25">
      <c r="A201" s="94" t="s">
        <v>212</v>
      </c>
      <c r="B201" s="94" t="s">
        <v>129</v>
      </c>
      <c r="C201" s="94">
        <v>294</v>
      </c>
      <c r="D201" s="94" t="s">
        <v>869</v>
      </c>
      <c r="E201" s="94"/>
      <c r="F201" s="94"/>
      <c r="G201" s="94" t="str">
        <f t="shared" si="3"/>
        <v>CaerleonR1</v>
      </c>
      <c r="H201" s="94" t="s">
        <v>380</v>
      </c>
      <c r="I201" s="94">
        <v>1</v>
      </c>
    </row>
    <row r="202" spans="1:11" x14ac:dyDescent="0.25">
      <c r="A202" s="94" t="s">
        <v>212</v>
      </c>
      <c r="B202" s="94" t="s">
        <v>130</v>
      </c>
      <c r="C202" s="94">
        <v>164</v>
      </c>
      <c r="D202" s="94" t="s">
        <v>797</v>
      </c>
      <c r="E202" s="94">
        <v>131</v>
      </c>
      <c r="F202" s="94" t="s">
        <v>832</v>
      </c>
      <c r="G202" s="94" t="str">
        <f t="shared" si="3"/>
        <v>Fort SterlingR1</v>
      </c>
      <c r="H202" s="94" t="s">
        <v>380</v>
      </c>
      <c r="I202" s="94">
        <v>1</v>
      </c>
      <c r="J202">
        <v>131</v>
      </c>
      <c r="K202" t="s">
        <v>832</v>
      </c>
    </row>
    <row r="203" spans="1:11" x14ac:dyDescent="0.25">
      <c r="A203" s="94" t="s">
        <v>212</v>
      </c>
      <c r="B203" s="94" t="s">
        <v>131</v>
      </c>
      <c r="C203" s="94">
        <v>159</v>
      </c>
      <c r="D203" s="94" t="s">
        <v>793</v>
      </c>
      <c r="E203" s="94">
        <v>132</v>
      </c>
      <c r="F203" s="94" t="s">
        <v>797</v>
      </c>
      <c r="G203" s="94" t="str">
        <f t="shared" si="3"/>
        <v>LymhurstR1</v>
      </c>
      <c r="H203" s="94" t="s">
        <v>380</v>
      </c>
      <c r="I203" s="94">
        <v>1</v>
      </c>
      <c r="J203">
        <v>132</v>
      </c>
      <c r="K203" t="s">
        <v>797</v>
      </c>
    </row>
    <row r="204" spans="1:11" x14ac:dyDescent="0.25">
      <c r="A204" s="94" t="s">
        <v>212</v>
      </c>
      <c r="B204" s="94" t="s">
        <v>132</v>
      </c>
      <c r="C204" s="94"/>
      <c r="D204" s="94"/>
      <c r="E204" s="94"/>
      <c r="F204" s="94"/>
      <c r="G204" s="94" t="str">
        <f t="shared" si="3"/>
        <v>MartlockR1</v>
      </c>
      <c r="H204" s="94" t="s">
        <v>380</v>
      </c>
      <c r="I204" s="94">
        <v>1</v>
      </c>
    </row>
    <row r="205" spans="1:11" x14ac:dyDescent="0.25">
      <c r="A205" s="94" t="s">
        <v>212</v>
      </c>
      <c r="B205" s="94" t="s">
        <v>133</v>
      </c>
      <c r="C205" s="94">
        <v>130</v>
      </c>
      <c r="D205" s="94" t="s">
        <v>894</v>
      </c>
      <c r="E205" s="94">
        <v>115</v>
      </c>
      <c r="F205" s="94" t="s">
        <v>894</v>
      </c>
      <c r="G205" s="94" t="str">
        <f t="shared" si="3"/>
        <v>ThetfordR1</v>
      </c>
      <c r="H205" s="94" t="s">
        <v>380</v>
      </c>
      <c r="I205" s="94">
        <v>1</v>
      </c>
    </row>
    <row r="206" spans="1:11" x14ac:dyDescent="0.25">
      <c r="A206" s="94" t="s">
        <v>213</v>
      </c>
      <c r="B206" s="94" t="s">
        <v>127</v>
      </c>
      <c r="C206" s="94">
        <v>298</v>
      </c>
      <c r="D206" s="94" t="s">
        <v>870</v>
      </c>
      <c r="E206" s="94"/>
      <c r="F206" s="94"/>
      <c r="G206" s="94" t="str">
        <f t="shared" si="3"/>
        <v>BrecilienR2</v>
      </c>
      <c r="H206" s="94" t="s">
        <v>380</v>
      </c>
      <c r="I206" s="94">
        <v>2</v>
      </c>
    </row>
    <row r="207" spans="1:11" x14ac:dyDescent="0.25">
      <c r="A207" s="94" t="s">
        <v>213</v>
      </c>
      <c r="B207" s="94" t="s">
        <v>128</v>
      </c>
      <c r="C207" s="94">
        <v>207</v>
      </c>
      <c r="D207" s="94" t="s">
        <v>893</v>
      </c>
      <c r="E207" s="94">
        <v>181</v>
      </c>
      <c r="F207" s="94" t="s">
        <v>871</v>
      </c>
      <c r="G207" s="94" t="str">
        <f t="shared" si="3"/>
        <v>BridgewatchR2</v>
      </c>
      <c r="H207" s="94" t="s">
        <v>380</v>
      </c>
      <c r="I207" s="94">
        <v>2</v>
      </c>
      <c r="J207">
        <v>181</v>
      </c>
      <c r="K207" t="s">
        <v>871</v>
      </c>
    </row>
    <row r="208" spans="1:11" x14ac:dyDescent="0.25">
      <c r="A208" s="94" t="s">
        <v>213</v>
      </c>
      <c r="B208" s="94" t="s">
        <v>129</v>
      </c>
      <c r="C208" s="94">
        <v>342</v>
      </c>
      <c r="D208" s="94" t="s">
        <v>869</v>
      </c>
      <c r="E208" s="94"/>
      <c r="F208" s="94"/>
      <c r="G208" s="94" t="str">
        <f t="shared" si="3"/>
        <v>CaerleonR2</v>
      </c>
      <c r="H208" s="94" t="s">
        <v>380</v>
      </c>
      <c r="I208" s="94">
        <v>2</v>
      </c>
    </row>
    <row r="209" spans="1:11" x14ac:dyDescent="0.25">
      <c r="A209" s="94" t="s">
        <v>213</v>
      </c>
      <c r="B209" s="94" t="s">
        <v>130</v>
      </c>
      <c r="C209" s="94">
        <v>214</v>
      </c>
      <c r="D209" s="94" t="s">
        <v>792</v>
      </c>
      <c r="E209" s="94">
        <v>178</v>
      </c>
      <c r="F209" s="94" t="s">
        <v>792</v>
      </c>
      <c r="G209" s="94" t="str">
        <f t="shared" si="3"/>
        <v>Fort SterlingR2</v>
      </c>
      <c r="H209" s="94" t="s">
        <v>380</v>
      </c>
      <c r="I209" s="94">
        <v>2</v>
      </c>
      <c r="J209">
        <v>178</v>
      </c>
      <c r="K209" t="s">
        <v>792</v>
      </c>
    </row>
    <row r="210" spans="1:11" x14ac:dyDescent="0.25">
      <c r="A210" s="94" t="s">
        <v>213</v>
      </c>
      <c r="B210" s="94" t="s">
        <v>131</v>
      </c>
      <c r="C210" s="94">
        <v>199</v>
      </c>
      <c r="D210" s="94" t="s">
        <v>849</v>
      </c>
      <c r="E210" s="94">
        <v>175</v>
      </c>
      <c r="F210" s="94" t="s">
        <v>849</v>
      </c>
      <c r="G210" s="94" t="str">
        <f t="shared" si="3"/>
        <v>LymhurstR2</v>
      </c>
      <c r="H210" s="94" t="s">
        <v>380</v>
      </c>
      <c r="I210" s="94">
        <v>2</v>
      </c>
      <c r="J210">
        <v>175</v>
      </c>
      <c r="K210" t="s">
        <v>849</v>
      </c>
    </row>
    <row r="211" spans="1:11" x14ac:dyDescent="0.25">
      <c r="A211" s="94" t="s">
        <v>213</v>
      </c>
      <c r="B211" s="94" t="s">
        <v>132</v>
      </c>
      <c r="C211" s="94">
        <v>205</v>
      </c>
      <c r="D211" s="94" t="s">
        <v>872</v>
      </c>
      <c r="E211" s="94">
        <v>202</v>
      </c>
      <c r="F211" s="94" t="s">
        <v>872</v>
      </c>
      <c r="G211" s="94" t="str">
        <f t="shared" si="3"/>
        <v>MartlockR2</v>
      </c>
      <c r="H211" s="94" t="s">
        <v>380</v>
      </c>
      <c r="I211" s="94">
        <v>2</v>
      </c>
      <c r="J211">
        <v>202</v>
      </c>
      <c r="K211" t="s">
        <v>872</v>
      </c>
    </row>
    <row r="212" spans="1:11" x14ac:dyDescent="0.25">
      <c r="A212" s="94" t="s">
        <v>213</v>
      </c>
      <c r="B212" s="94" t="s">
        <v>133</v>
      </c>
      <c r="C212" s="94">
        <v>244</v>
      </c>
      <c r="D212" s="94" t="s">
        <v>793</v>
      </c>
      <c r="E212" s="94">
        <v>193</v>
      </c>
      <c r="F212" s="94" t="s">
        <v>793</v>
      </c>
      <c r="G212" s="94" t="str">
        <f t="shared" si="3"/>
        <v>ThetfordR2</v>
      </c>
      <c r="H212" s="94" t="s">
        <v>380</v>
      </c>
      <c r="I212" s="94">
        <v>2</v>
      </c>
      <c r="J212">
        <v>193</v>
      </c>
      <c r="K212" t="s">
        <v>793</v>
      </c>
    </row>
    <row r="213" spans="1:11" x14ac:dyDescent="0.25">
      <c r="A213" s="94" t="s">
        <v>214</v>
      </c>
      <c r="B213" s="94" t="s">
        <v>127</v>
      </c>
      <c r="C213" s="94">
        <v>744</v>
      </c>
      <c r="D213" s="94" t="s">
        <v>870</v>
      </c>
      <c r="E213" s="94"/>
      <c r="F213" s="94"/>
      <c r="G213" s="94" t="str">
        <f t="shared" si="3"/>
        <v>BrecilienR3</v>
      </c>
      <c r="H213" s="94" t="s">
        <v>380</v>
      </c>
      <c r="I213" s="94">
        <v>3</v>
      </c>
    </row>
    <row r="214" spans="1:11" x14ac:dyDescent="0.25">
      <c r="A214" s="94" t="s">
        <v>214</v>
      </c>
      <c r="B214" s="94" t="s">
        <v>128</v>
      </c>
      <c r="C214" s="94">
        <v>349</v>
      </c>
      <c r="D214" s="94" t="s">
        <v>871</v>
      </c>
      <c r="E214" s="94">
        <v>340</v>
      </c>
      <c r="F214" s="94" t="s">
        <v>871</v>
      </c>
      <c r="G214" s="94" t="str">
        <f t="shared" si="3"/>
        <v>BridgewatchR3</v>
      </c>
      <c r="H214" s="94" t="s">
        <v>380</v>
      </c>
      <c r="I214" s="94">
        <v>3</v>
      </c>
      <c r="J214">
        <v>340</v>
      </c>
      <c r="K214" t="s">
        <v>871</v>
      </c>
    </row>
    <row r="215" spans="1:11" x14ac:dyDescent="0.25">
      <c r="A215" s="94" t="s">
        <v>214</v>
      </c>
      <c r="B215" s="94" t="s">
        <v>129</v>
      </c>
      <c r="C215" s="94">
        <v>482</v>
      </c>
      <c r="D215" s="94" t="s">
        <v>869</v>
      </c>
      <c r="E215" s="94"/>
      <c r="F215" s="94"/>
      <c r="G215" s="94" t="str">
        <f t="shared" si="3"/>
        <v>CaerleonR3</v>
      </c>
      <c r="H215" s="94" t="s">
        <v>380</v>
      </c>
      <c r="I215" s="94">
        <v>3</v>
      </c>
    </row>
    <row r="216" spans="1:11" x14ac:dyDescent="0.25">
      <c r="A216" s="94" t="s">
        <v>214</v>
      </c>
      <c r="B216" s="94" t="s">
        <v>130</v>
      </c>
      <c r="C216" s="94">
        <v>289</v>
      </c>
      <c r="D216" s="94" t="s">
        <v>800</v>
      </c>
      <c r="E216" s="94">
        <v>250</v>
      </c>
      <c r="F216" s="94" t="s">
        <v>800</v>
      </c>
      <c r="G216" s="94" t="str">
        <f t="shared" si="3"/>
        <v>Fort SterlingR3</v>
      </c>
      <c r="H216" s="94" t="s">
        <v>380</v>
      </c>
      <c r="I216" s="94">
        <v>3</v>
      </c>
      <c r="J216">
        <v>250</v>
      </c>
      <c r="K216" t="s">
        <v>800</v>
      </c>
    </row>
    <row r="217" spans="1:11" x14ac:dyDescent="0.25">
      <c r="A217" s="94" t="s">
        <v>214</v>
      </c>
      <c r="B217" s="94" t="s">
        <v>131</v>
      </c>
      <c r="C217" s="94">
        <v>308</v>
      </c>
      <c r="D217" s="94" t="s">
        <v>849</v>
      </c>
      <c r="E217" s="94">
        <v>278</v>
      </c>
      <c r="F217" s="94" t="s">
        <v>849</v>
      </c>
      <c r="G217" s="94" t="str">
        <f t="shared" si="3"/>
        <v>LymhurstR3</v>
      </c>
      <c r="H217" s="94" t="s">
        <v>380</v>
      </c>
      <c r="I217" s="94">
        <v>3</v>
      </c>
      <c r="J217">
        <v>278</v>
      </c>
      <c r="K217" t="s">
        <v>849</v>
      </c>
    </row>
    <row r="218" spans="1:11" x14ac:dyDescent="0.25">
      <c r="A218" s="94" t="s">
        <v>214</v>
      </c>
      <c r="B218" s="94" t="s">
        <v>132</v>
      </c>
      <c r="C218" s="94">
        <v>299</v>
      </c>
      <c r="D218" s="94" t="s">
        <v>860</v>
      </c>
      <c r="E218" s="94">
        <v>270</v>
      </c>
      <c r="F218" s="94" t="s">
        <v>860</v>
      </c>
      <c r="G218" s="94" t="str">
        <f t="shared" si="3"/>
        <v>MartlockR3</v>
      </c>
      <c r="H218" s="94" t="s">
        <v>380</v>
      </c>
      <c r="I218" s="94">
        <v>3</v>
      </c>
      <c r="J218">
        <v>270</v>
      </c>
      <c r="K218" t="s">
        <v>860</v>
      </c>
    </row>
    <row r="219" spans="1:11" x14ac:dyDescent="0.25">
      <c r="A219" s="94" t="s">
        <v>214</v>
      </c>
      <c r="B219" s="94" t="s">
        <v>133</v>
      </c>
      <c r="C219" s="94">
        <v>350</v>
      </c>
      <c r="D219" s="94" t="s">
        <v>793</v>
      </c>
      <c r="E219" s="94">
        <v>241</v>
      </c>
      <c r="F219" s="94" t="s">
        <v>793</v>
      </c>
      <c r="G219" s="94" t="str">
        <f t="shared" si="3"/>
        <v>ThetfordR3</v>
      </c>
      <c r="H219" s="94" t="s">
        <v>380</v>
      </c>
      <c r="I219" s="94">
        <v>3</v>
      </c>
      <c r="J219">
        <v>241</v>
      </c>
      <c r="K219" t="s">
        <v>793</v>
      </c>
    </row>
    <row r="220" spans="1:11" x14ac:dyDescent="0.25">
      <c r="A220" s="94" t="s">
        <v>215</v>
      </c>
      <c r="B220" s="94" t="s">
        <v>127</v>
      </c>
      <c r="C220" s="94">
        <v>1943</v>
      </c>
      <c r="D220" s="94" t="s">
        <v>870</v>
      </c>
      <c r="E220" s="94">
        <v>1144</v>
      </c>
      <c r="F220" s="94" t="s">
        <v>870</v>
      </c>
      <c r="G220" s="94" t="str">
        <f t="shared" si="3"/>
        <v>BrecilienR4</v>
      </c>
      <c r="H220" s="94" t="s">
        <v>380</v>
      </c>
      <c r="I220" s="94">
        <v>4</v>
      </c>
      <c r="J220">
        <v>1144</v>
      </c>
      <c r="K220" t="s">
        <v>870</v>
      </c>
    </row>
    <row r="221" spans="1:11" x14ac:dyDescent="0.25">
      <c r="A221" s="94" t="s">
        <v>215</v>
      </c>
      <c r="B221" s="94" t="s">
        <v>128</v>
      </c>
      <c r="C221" s="94">
        <v>1280</v>
      </c>
      <c r="D221" s="94" t="s">
        <v>873</v>
      </c>
      <c r="E221" s="94">
        <v>1100</v>
      </c>
      <c r="F221" s="94" t="s">
        <v>873</v>
      </c>
      <c r="G221" s="94" t="str">
        <f t="shared" si="3"/>
        <v>BridgewatchR4</v>
      </c>
      <c r="H221" s="94" t="s">
        <v>380</v>
      </c>
      <c r="I221" s="94">
        <v>4</v>
      </c>
      <c r="J221">
        <v>1100</v>
      </c>
      <c r="K221" t="s">
        <v>873</v>
      </c>
    </row>
    <row r="222" spans="1:11" x14ac:dyDescent="0.25">
      <c r="A222" s="94" t="s">
        <v>215</v>
      </c>
      <c r="B222" s="94" t="s">
        <v>129</v>
      </c>
      <c r="C222" s="94">
        <v>1567</v>
      </c>
      <c r="D222" s="94" t="s">
        <v>869</v>
      </c>
      <c r="E222" s="94"/>
      <c r="F222" s="94"/>
      <c r="G222" s="94" t="str">
        <f t="shared" si="3"/>
        <v>CaerleonR4</v>
      </c>
      <c r="H222" s="94" t="s">
        <v>380</v>
      </c>
      <c r="I222" s="94">
        <v>4</v>
      </c>
    </row>
    <row r="223" spans="1:11" x14ac:dyDescent="0.25">
      <c r="A223" s="94" t="s">
        <v>215</v>
      </c>
      <c r="B223" s="94" t="s">
        <v>130</v>
      </c>
      <c r="C223" s="94">
        <v>1199</v>
      </c>
      <c r="D223" s="94" t="s">
        <v>792</v>
      </c>
      <c r="E223" s="94">
        <v>1118</v>
      </c>
      <c r="F223" s="94" t="s">
        <v>792</v>
      </c>
      <c r="G223" s="94" t="str">
        <f t="shared" si="3"/>
        <v>Fort SterlingR4</v>
      </c>
      <c r="H223" s="94" t="s">
        <v>380</v>
      </c>
      <c r="I223" s="94">
        <v>4</v>
      </c>
      <c r="J223">
        <v>1118</v>
      </c>
      <c r="K223" t="s">
        <v>792</v>
      </c>
    </row>
    <row r="224" spans="1:11" x14ac:dyDescent="0.25">
      <c r="A224" s="94" t="s">
        <v>215</v>
      </c>
      <c r="B224" s="94" t="s">
        <v>131</v>
      </c>
      <c r="C224" s="94">
        <v>1484</v>
      </c>
      <c r="D224" s="94" t="s">
        <v>791</v>
      </c>
      <c r="E224" s="94">
        <v>1130</v>
      </c>
      <c r="F224" s="94" t="s">
        <v>801</v>
      </c>
      <c r="G224" s="94" t="str">
        <f t="shared" si="3"/>
        <v>LymhurstR4</v>
      </c>
      <c r="H224" s="94" t="s">
        <v>380</v>
      </c>
      <c r="I224" s="94">
        <v>4</v>
      </c>
      <c r="J224">
        <v>1130</v>
      </c>
      <c r="K224" t="s">
        <v>801</v>
      </c>
    </row>
    <row r="225" spans="1:11" x14ac:dyDescent="0.25">
      <c r="A225" s="94" t="s">
        <v>215</v>
      </c>
      <c r="B225" s="94" t="s">
        <v>132</v>
      </c>
      <c r="C225" s="94">
        <v>1494</v>
      </c>
      <c r="D225" s="94" t="s">
        <v>798</v>
      </c>
      <c r="E225" s="94">
        <v>1210</v>
      </c>
      <c r="F225" s="94" t="s">
        <v>860</v>
      </c>
      <c r="G225" s="94" t="str">
        <f t="shared" si="3"/>
        <v>MartlockR4</v>
      </c>
      <c r="H225" s="94" t="s">
        <v>380</v>
      </c>
      <c r="I225" s="94">
        <v>4</v>
      </c>
      <c r="J225">
        <v>1210</v>
      </c>
      <c r="K225" t="s">
        <v>860</v>
      </c>
    </row>
    <row r="226" spans="1:11" x14ac:dyDescent="0.25">
      <c r="A226" s="94" t="s">
        <v>215</v>
      </c>
      <c r="B226" s="94" t="s">
        <v>133</v>
      </c>
      <c r="C226" s="94">
        <v>2038</v>
      </c>
      <c r="D226" s="94" t="s">
        <v>895</v>
      </c>
      <c r="E226" s="94">
        <v>1181</v>
      </c>
      <c r="F226" s="94" t="s">
        <v>800</v>
      </c>
      <c r="G226" s="94" t="str">
        <f t="shared" si="3"/>
        <v>ThetfordR4</v>
      </c>
      <c r="H226" s="94" t="s">
        <v>380</v>
      </c>
      <c r="I226" s="94">
        <v>4</v>
      </c>
      <c r="J226">
        <v>1181</v>
      </c>
      <c r="K226" t="s">
        <v>800</v>
      </c>
    </row>
    <row r="227" spans="1:11" x14ac:dyDescent="0.25">
      <c r="A227" s="94" t="s">
        <v>216</v>
      </c>
      <c r="B227" s="94" t="s">
        <v>127</v>
      </c>
      <c r="C227" s="94">
        <v>13330</v>
      </c>
      <c r="D227" s="94" t="s">
        <v>874</v>
      </c>
      <c r="E227" s="94"/>
      <c r="F227" s="94"/>
      <c r="G227" s="94" t="str">
        <f t="shared" si="3"/>
        <v>BrecilienR5</v>
      </c>
      <c r="H227" s="94" t="s">
        <v>380</v>
      </c>
      <c r="I227" s="94">
        <v>5</v>
      </c>
    </row>
    <row r="228" spans="1:11" x14ac:dyDescent="0.25">
      <c r="A228" s="94" t="s">
        <v>216</v>
      </c>
      <c r="B228" s="94" t="s">
        <v>128</v>
      </c>
      <c r="C228" s="94">
        <v>9575</v>
      </c>
      <c r="D228" s="94" t="s">
        <v>871</v>
      </c>
      <c r="E228" s="94">
        <v>9006</v>
      </c>
      <c r="F228" s="94" t="s">
        <v>871</v>
      </c>
      <c r="G228" s="94" t="str">
        <f t="shared" si="3"/>
        <v>BridgewatchR5</v>
      </c>
      <c r="H228" s="94" t="s">
        <v>380</v>
      </c>
      <c r="I228" s="94">
        <v>5</v>
      </c>
      <c r="J228">
        <v>9006</v>
      </c>
      <c r="K228" t="s">
        <v>871</v>
      </c>
    </row>
    <row r="229" spans="1:11" x14ac:dyDescent="0.25">
      <c r="A229" s="94" t="s">
        <v>216</v>
      </c>
      <c r="B229" s="94" t="s">
        <v>129</v>
      </c>
      <c r="C229" s="94">
        <v>10992</v>
      </c>
      <c r="D229" s="94" t="s">
        <v>869</v>
      </c>
      <c r="E229" s="94"/>
      <c r="F229" s="94"/>
      <c r="G229" s="94" t="str">
        <f t="shared" si="3"/>
        <v>CaerleonR5</v>
      </c>
      <c r="H229" s="94" t="s">
        <v>380</v>
      </c>
      <c r="I229" s="94">
        <v>5</v>
      </c>
    </row>
    <row r="230" spans="1:11" x14ac:dyDescent="0.25">
      <c r="A230" s="94" t="s">
        <v>216</v>
      </c>
      <c r="B230" s="94" t="s">
        <v>130</v>
      </c>
      <c r="C230" s="94">
        <v>9490</v>
      </c>
      <c r="D230" s="94" t="s">
        <v>836</v>
      </c>
      <c r="E230" s="94">
        <v>8158</v>
      </c>
      <c r="F230" s="94" t="s">
        <v>875</v>
      </c>
      <c r="G230" s="94" t="str">
        <f t="shared" si="3"/>
        <v>Fort SterlingR5</v>
      </c>
      <c r="H230" s="94" t="s">
        <v>380</v>
      </c>
      <c r="I230" s="94">
        <v>5</v>
      </c>
      <c r="J230">
        <v>8158</v>
      </c>
      <c r="K230" t="s">
        <v>875</v>
      </c>
    </row>
    <row r="231" spans="1:11" x14ac:dyDescent="0.25">
      <c r="A231" s="94" t="s">
        <v>216</v>
      </c>
      <c r="B231" s="94" t="s">
        <v>131</v>
      </c>
      <c r="C231" s="94">
        <v>8997</v>
      </c>
      <c r="D231" s="94" t="s">
        <v>820</v>
      </c>
      <c r="E231" s="94">
        <v>8754</v>
      </c>
      <c r="F231" s="94" t="s">
        <v>794</v>
      </c>
      <c r="G231" s="94" t="str">
        <f t="shared" si="3"/>
        <v>LymhurstR5</v>
      </c>
      <c r="H231" s="94" t="s">
        <v>380</v>
      </c>
      <c r="I231" s="94">
        <v>5</v>
      </c>
      <c r="J231">
        <v>8754</v>
      </c>
      <c r="K231" t="s">
        <v>794</v>
      </c>
    </row>
    <row r="232" spans="1:11" x14ac:dyDescent="0.25">
      <c r="A232" s="94" t="s">
        <v>216</v>
      </c>
      <c r="B232" s="94" t="s">
        <v>132</v>
      </c>
      <c r="C232" s="94">
        <v>9744</v>
      </c>
      <c r="D232" s="94" t="s">
        <v>876</v>
      </c>
      <c r="E232" s="94">
        <v>8106</v>
      </c>
      <c r="F232" s="94" t="s">
        <v>876</v>
      </c>
      <c r="G232" s="94" t="str">
        <f t="shared" si="3"/>
        <v>MartlockR5</v>
      </c>
      <c r="H232" s="94" t="s">
        <v>380</v>
      </c>
      <c r="I232" s="94">
        <v>5</v>
      </c>
      <c r="J232">
        <v>8106</v>
      </c>
      <c r="K232" t="s">
        <v>876</v>
      </c>
    </row>
    <row r="233" spans="1:11" x14ac:dyDescent="0.25">
      <c r="A233" s="94" t="s">
        <v>216</v>
      </c>
      <c r="B233" s="94" t="s">
        <v>133</v>
      </c>
      <c r="C233" s="94">
        <v>9986</v>
      </c>
      <c r="D233" s="94" t="s">
        <v>896</v>
      </c>
      <c r="E233" s="94">
        <v>7781</v>
      </c>
      <c r="F233" s="94" t="s">
        <v>895</v>
      </c>
      <c r="G233" s="94" t="str">
        <f t="shared" si="3"/>
        <v>ThetfordR5</v>
      </c>
      <c r="H233" s="94" t="s">
        <v>380</v>
      </c>
      <c r="I233" s="94">
        <v>5</v>
      </c>
      <c r="J233">
        <v>7781</v>
      </c>
      <c r="K233" t="s">
        <v>868</v>
      </c>
    </row>
    <row r="234" spans="1:11" x14ac:dyDescent="0.25">
      <c r="A234" s="94" t="s">
        <v>217</v>
      </c>
      <c r="B234" s="94" t="s">
        <v>127</v>
      </c>
      <c r="C234" s="94"/>
      <c r="D234" s="94"/>
      <c r="E234" s="94"/>
      <c r="F234" s="94"/>
      <c r="G234" s="94" t="str">
        <f t="shared" si="3"/>
        <v>BrecilienR6</v>
      </c>
      <c r="H234" s="94" t="s">
        <v>380</v>
      </c>
      <c r="I234" s="94">
        <v>6</v>
      </c>
    </row>
    <row r="235" spans="1:11" x14ac:dyDescent="0.25">
      <c r="A235" s="94" t="s">
        <v>217</v>
      </c>
      <c r="B235" s="94" t="s">
        <v>128</v>
      </c>
      <c r="C235" s="94">
        <v>39045</v>
      </c>
      <c r="D235" s="94" t="s">
        <v>809</v>
      </c>
      <c r="E235" s="94">
        <v>32020</v>
      </c>
      <c r="F235" s="94" t="s">
        <v>809</v>
      </c>
      <c r="G235" s="94" t="str">
        <f t="shared" si="3"/>
        <v>BridgewatchR6</v>
      </c>
      <c r="H235" s="94" t="s">
        <v>380</v>
      </c>
      <c r="I235" s="94">
        <v>6</v>
      </c>
      <c r="J235">
        <v>32020</v>
      </c>
      <c r="K235" t="s">
        <v>809</v>
      </c>
    </row>
    <row r="236" spans="1:11" x14ac:dyDescent="0.25">
      <c r="A236" s="94" t="s">
        <v>217</v>
      </c>
      <c r="B236" s="94" t="s">
        <v>129</v>
      </c>
      <c r="C236" s="94">
        <v>45000</v>
      </c>
      <c r="D236" s="94" t="s">
        <v>794</v>
      </c>
      <c r="E236" s="94"/>
      <c r="F236" s="94"/>
      <c r="G236" s="94" t="str">
        <f t="shared" si="3"/>
        <v>CaerleonR6</v>
      </c>
      <c r="H236" s="94" t="s">
        <v>380</v>
      </c>
      <c r="I236" s="94">
        <v>6</v>
      </c>
    </row>
    <row r="237" spans="1:11" x14ac:dyDescent="0.25">
      <c r="A237" s="94" t="s">
        <v>217</v>
      </c>
      <c r="B237" s="94" t="s">
        <v>130</v>
      </c>
      <c r="C237" s="94">
        <v>43994</v>
      </c>
      <c r="D237" s="94" t="s">
        <v>836</v>
      </c>
      <c r="E237" s="94"/>
      <c r="F237" s="94"/>
      <c r="G237" s="94" t="str">
        <f t="shared" si="3"/>
        <v>Fort SterlingR6</v>
      </c>
      <c r="H237" s="94" t="s">
        <v>380</v>
      </c>
      <c r="I237" s="94">
        <v>6</v>
      </c>
    </row>
    <row r="238" spans="1:11" x14ac:dyDescent="0.25">
      <c r="A238" s="94" t="s">
        <v>217</v>
      </c>
      <c r="B238" s="94" t="s">
        <v>131</v>
      </c>
      <c r="C238" s="94">
        <v>39748</v>
      </c>
      <c r="D238" s="94" t="s">
        <v>860</v>
      </c>
      <c r="E238" s="94">
        <v>2</v>
      </c>
      <c r="F238" s="94" t="s">
        <v>820</v>
      </c>
      <c r="G238" s="94" t="str">
        <f t="shared" si="3"/>
        <v>LymhurstR6</v>
      </c>
      <c r="H238" s="94" t="s">
        <v>380</v>
      </c>
      <c r="I238" s="94">
        <v>6</v>
      </c>
      <c r="J238">
        <v>2</v>
      </c>
      <c r="K238" t="s">
        <v>820</v>
      </c>
    </row>
    <row r="239" spans="1:11" x14ac:dyDescent="0.25">
      <c r="A239" s="94" t="s">
        <v>217</v>
      </c>
      <c r="B239" s="94" t="s">
        <v>132</v>
      </c>
      <c r="C239" s="94">
        <v>42400</v>
      </c>
      <c r="D239" s="94" t="s">
        <v>824</v>
      </c>
      <c r="E239" s="94"/>
      <c r="F239" s="94"/>
      <c r="G239" s="94" t="str">
        <f t="shared" si="3"/>
        <v>MartlockR6</v>
      </c>
      <c r="H239" s="94" t="s">
        <v>380</v>
      </c>
      <c r="I239" s="94">
        <v>6</v>
      </c>
    </row>
    <row r="240" spans="1:11" x14ac:dyDescent="0.25">
      <c r="A240" s="94" t="s">
        <v>217</v>
      </c>
      <c r="B240" s="94" t="s">
        <v>133</v>
      </c>
      <c r="C240" s="94"/>
      <c r="D240" s="94"/>
      <c r="E240" s="94"/>
      <c r="F240" s="94"/>
      <c r="G240" s="94" t="str">
        <f t="shared" si="3"/>
        <v>ThetfordR6</v>
      </c>
      <c r="H240" s="94" t="s">
        <v>380</v>
      </c>
      <c r="I240" s="94">
        <v>6</v>
      </c>
    </row>
    <row r="241" spans="1:11" x14ac:dyDescent="0.25">
      <c r="A241" s="94" t="s">
        <v>218</v>
      </c>
      <c r="B241" s="94" t="s">
        <v>127</v>
      </c>
      <c r="C241" s="94">
        <v>810</v>
      </c>
      <c r="D241" s="94" t="s">
        <v>835</v>
      </c>
      <c r="E241" s="94">
        <v>621</v>
      </c>
      <c r="F241" s="94" t="s">
        <v>835</v>
      </c>
      <c r="G241" s="94" t="str">
        <f t="shared" si="3"/>
        <v>BrecilienR7</v>
      </c>
      <c r="H241" s="94" t="s">
        <v>380</v>
      </c>
      <c r="I241" s="94">
        <v>7</v>
      </c>
      <c r="J241">
        <v>621</v>
      </c>
      <c r="K241" t="s">
        <v>835</v>
      </c>
    </row>
    <row r="242" spans="1:11" x14ac:dyDescent="0.25">
      <c r="A242" s="94" t="s">
        <v>218</v>
      </c>
      <c r="B242" s="94" t="s">
        <v>128</v>
      </c>
      <c r="C242" s="94">
        <v>776</v>
      </c>
      <c r="D242" s="94" t="s">
        <v>871</v>
      </c>
      <c r="E242" s="94">
        <v>608</v>
      </c>
      <c r="F242" s="94" t="s">
        <v>860</v>
      </c>
      <c r="G242" s="94" t="str">
        <f t="shared" si="3"/>
        <v>BridgewatchR7</v>
      </c>
      <c r="H242" s="94" t="s">
        <v>380</v>
      </c>
      <c r="I242" s="94">
        <v>7</v>
      </c>
      <c r="J242">
        <v>608</v>
      </c>
      <c r="K242" t="s">
        <v>860</v>
      </c>
    </row>
    <row r="243" spans="1:11" x14ac:dyDescent="0.25">
      <c r="A243" s="94" t="s">
        <v>218</v>
      </c>
      <c r="B243" s="94" t="s">
        <v>129</v>
      </c>
      <c r="C243" s="94">
        <v>1263</v>
      </c>
      <c r="D243" s="94" t="s">
        <v>869</v>
      </c>
      <c r="E243" s="94"/>
      <c r="F243" s="94"/>
      <c r="G243" s="94" t="str">
        <f t="shared" si="3"/>
        <v>CaerleonR7</v>
      </c>
      <c r="H243" s="94" t="s">
        <v>380</v>
      </c>
      <c r="I243" s="94">
        <v>7</v>
      </c>
    </row>
    <row r="244" spans="1:11" x14ac:dyDescent="0.25">
      <c r="A244" s="94" t="s">
        <v>218</v>
      </c>
      <c r="B244" s="94" t="s">
        <v>130</v>
      </c>
      <c r="C244" s="94">
        <v>796</v>
      </c>
      <c r="D244" s="94" t="s">
        <v>800</v>
      </c>
      <c r="E244" s="94">
        <v>755</v>
      </c>
      <c r="F244" s="94" t="s">
        <v>800</v>
      </c>
      <c r="G244" s="94" t="str">
        <f t="shared" si="3"/>
        <v>Fort SterlingR7</v>
      </c>
      <c r="H244" s="94" t="s">
        <v>380</v>
      </c>
      <c r="I244" s="94">
        <v>7</v>
      </c>
      <c r="J244">
        <v>755</v>
      </c>
      <c r="K244" t="s">
        <v>800</v>
      </c>
    </row>
    <row r="245" spans="1:11" x14ac:dyDescent="0.25">
      <c r="A245" s="94" t="s">
        <v>218</v>
      </c>
      <c r="B245" s="94" t="s">
        <v>131</v>
      </c>
      <c r="C245" s="94">
        <v>803</v>
      </c>
      <c r="D245" s="94" t="s">
        <v>849</v>
      </c>
      <c r="E245" s="94">
        <v>731</v>
      </c>
      <c r="F245" s="94" t="s">
        <v>849</v>
      </c>
      <c r="G245" s="94" t="str">
        <f t="shared" si="3"/>
        <v>LymhurstR7</v>
      </c>
      <c r="H245" s="94" t="s">
        <v>380</v>
      </c>
      <c r="I245" s="94">
        <v>7</v>
      </c>
      <c r="J245">
        <v>731</v>
      </c>
      <c r="K245" t="s">
        <v>849</v>
      </c>
    </row>
    <row r="246" spans="1:11" x14ac:dyDescent="0.25">
      <c r="A246" s="94" t="s">
        <v>218</v>
      </c>
      <c r="B246" s="94" t="s">
        <v>132</v>
      </c>
      <c r="C246" s="94">
        <v>720</v>
      </c>
      <c r="D246" s="94" t="s">
        <v>860</v>
      </c>
      <c r="E246" s="94">
        <v>703</v>
      </c>
      <c r="F246" s="94" t="s">
        <v>860</v>
      </c>
      <c r="G246" s="94" t="str">
        <f t="shared" si="3"/>
        <v>MartlockR7</v>
      </c>
      <c r="H246" s="94" t="s">
        <v>380</v>
      </c>
      <c r="I246" s="94">
        <v>7</v>
      </c>
      <c r="J246">
        <v>703</v>
      </c>
      <c r="K246" t="s">
        <v>860</v>
      </c>
    </row>
    <row r="247" spans="1:11" x14ac:dyDescent="0.25">
      <c r="A247" s="94" t="s">
        <v>218</v>
      </c>
      <c r="B247" s="94" t="s">
        <v>133</v>
      </c>
      <c r="C247" s="94">
        <v>827</v>
      </c>
      <c r="D247" s="94" t="s">
        <v>793</v>
      </c>
      <c r="E247" s="94">
        <v>731</v>
      </c>
      <c r="F247" s="94" t="s">
        <v>793</v>
      </c>
      <c r="G247" s="94" t="str">
        <f t="shared" si="3"/>
        <v>ThetfordR7</v>
      </c>
      <c r="H247" s="94" t="s">
        <v>380</v>
      </c>
      <c r="I247" s="94">
        <v>7</v>
      </c>
      <c r="J247">
        <v>731</v>
      </c>
      <c r="K247" t="s">
        <v>793</v>
      </c>
    </row>
    <row r="248" spans="1:11" x14ac:dyDescent="0.25">
      <c r="A248" s="94" t="s">
        <v>219</v>
      </c>
      <c r="B248" s="94" t="s">
        <v>127</v>
      </c>
      <c r="C248" s="94">
        <v>1300</v>
      </c>
      <c r="D248" s="94" t="s">
        <v>834</v>
      </c>
      <c r="E248" s="94"/>
      <c r="F248" s="94"/>
      <c r="G248" s="94" t="str">
        <f t="shared" si="3"/>
        <v>BrecilienR8</v>
      </c>
      <c r="H248" s="94" t="s">
        <v>380</v>
      </c>
      <c r="I248" s="94">
        <v>8</v>
      </c>
    </row>
    <row r="249" spans="1:11" x14ac:dyDescent="0.25">
      <c r="A249" s="94" t="s">
        <v>219</v>
      </c>
      <c r="B249" s="94" t="s">
        <v>128</v>
      </c>
      <c r="C249" s="94">
        <v>1358</v>
      </c>
      <c r="D249" s="94" t="s">
        <v>871</v>
      </c>
      <c r="E249" s="94">
        <v>1134</v>
      </c>
      <c r="F249" s="94" t="s">
        <v>860</v>
      </c>
      <c r="G249" s="94" t="str">
        <f t="shared" si="3"/>
        <v>BridgewatchR8</v>
      </c>
      <c r="H249" s="94" t="s">
        <v>380</v>
      </c>
      <c r="I249" s="94">
        <v>8</v>
      </c>
      <c r="J249">
        <v>1134</v>
      </c>
      <c r="K249" t="s">
        <v>860</v>
      </c>
    </row>
    <row r="250" spans="1:11" x14ac:dyDescent="0.25">
      <c r="A250" s="94" t="s">
        <v>219</v>
      </c>
      <c r="B250" s="94" t="s">
        <v>129</v>
      </c>
      <c r="C250" s="94">
        <v>1979</v>
      </c>
      <c r="D250" s="94" t="s">
        <v>878</v>
      </c>
      <c r="E250" s="94">
        <v>1594</v>
      </c>
      <c r="F250" s="94" t="s">
        <v>878</v>
      </c>
      <c r="G250" s="94" t="str">
        <f t="shared" si="3"/>
        <v>CaerleonR8</v>
      </c>
      <c r="H250" s="94" t="s">
        <v>380</v>
      </c>
      <c r="I250" s="94">
        <v>8</v>
      </c>
      <c r="J250">
        <v>1594</v>
      </c>
      <c r="K250" t="s">
        <v>878</v>
      </c>
    </row>
    <row r="251" spans="1:11" x14ac:dyDescent="0.25">
      <c r="A251" s="94" t="s">
        <v>219</v>
      </c>
      <c r="B251" s="94" t="s">
        <v>130</v>
      </c>
      <c r="C251" s="94">
        <v>1622</v>
      </c>
      <c r="D251" s="94" t="s">
        <v>800</v>
      </c>
      <c r="E251" s="94">
        <v>1202</v>
      </c>
      <c r="F251" s="94" t="s">
        <v>792</v>
      </c>
      <c r="G251" s="94" t="str">
        <f t="shared" si="3"/>
        <v>Fort SterlingR8</v>
      </c>
      <c r="H251" s="94" t="s">
        <v>380</v>
      </c>
      <c r="I251" s="94">
        <v>8</v>
      </c>
      <c r="J251">
        <v>1202</v>
      </c>
      <c r="K251" t="s">
        <v>792</v>
      </c>
    </row>
    <row r="252" spans="1:11" x14ac:dyDescent="0.25">
      <c r="A252" s="94" t="s">
        <v>219</v>
      </c>
      <c r="B252" s="94" t="s">
        <v>131</v>
      </c>
      <c r="C252" s="94">
        <v>1484</v>
      </c>
      <c r="D252" s="94" t="s">
        <v>849</v>
      </c>
      <c r="E252" s="94">
        <v>1396</v>
      </c>
      <c r="F252" s="94" t="s">
        <v>849</v>
      </c>
      <c r="G252" s="94" t="str">
        <f t="shared" si="3"/>
        <v>LymhurstR8</v>
      </c>
      <c r="H252" s="94" t="s">
        <v>380</v>
      </c>
      <c r="I252" s="94">
        <v>8</v>
      </c>
      <c r="J252">
        <v>1396</v>
      </c>
      <c r="K252" t="s">
        <v>849</v>
      </c>
    </row>
    <row r="253" spans="1:11" x14ac:dyDescent="0.25">
      <c r="A253" s="94" t="s">
        <v>219</v>
      </c>
      <c r="B253" s="94" t="s">
        <v>132</v>
      </c>
      <c r="C253" s="94">
        <v>1470</v>
      </c>
      <c r="D253" s="94" t="s">
        <v>860</v>
      </c>
      <c r="E253" s="94">
        <v>1301</v>
      </c>
      <c r="F253" s="94" t="s">
        <v>860</v>
      </c>
      <c r="G253" s="94" t="str">
        <f t="shared" si="3"/>
        <v>MartlockR8</v>
      </c>
      <c r="H253" s="94" t="s">
        <v>380</v>
      </c>
      <c r="I253" s="94">
        <v>8</v>
      </c>
      <c r="J253">
        <v>1301</v>
      </c>
      <c r="K253" t="s">
        <v>860</v>
      </c>
    </row>
    <row r="254" spans="1:11" x14ac:dyDescent="0.25">
      <c r="A254" s="94" t="s">
        <v>219</v>
      </c>
      <c r="B254" s="94" t="s">
        <v>133</v>
      </c>
      <c r="C254" s="94">
        <v>1593</v>
      </c>
      <c r="D254" s="94" t="s">
        <v>793</v>
      </c>
      <c r="E254" s="94">
        <v>1238</v>
      </c>
      <c r="F254" s="94" t="s">
        <v>793</v>
      </c>
      <c r="G254" s="94" t="str">
        <f t="shared" si="3"/>
        <v>ThetfordR8</v>
      </c>
      <c r="H254" s="94" t="s">
        <v>380</v>
      </c>
      <c r="I254" s="94">
        <v>8</v>
      </c>
      <c r="J254">
        <v>1238</v>
      </c>
      <c r="K254" t="s">
        <v>793</v>
      </c>
    </row>
    <row r="255" spans="1:11" x14ac:dyDescent="0.25">
      <c r="A255" s="94" t="s">
        <v>220</v>
      </c>
      <c r="B255" s="94" t="s">
        <v>127</v>
      </c>
      <c r="C255" s="94">
        <v>3282</v>
      </c>
      <c r="D255" s="94" t="s">
        <v>804</v>
      </c>
      <c r="E255" s="94"/>
      <c r="F255" s="94"/>
      <c r="G255" s="94" t="str">
        <f t="shared" si="3"/>
        <v>BrecilienR9</v>
      </c>
      <c r="H255" s="94" t="s">
        <v>380</v>
      </c>
      <c r="I255" s="94">
        <v>9</v>
      </c>
    </row>
    <row r="256" spans="1:11" x14ac:dyDescent="0.25">
      <c r="A256" s="94" t="s">
        <v>220</v>
      </c>
      <c r="B256" s="94" t="s">
        <v>128</v>
      </c>
      <c r="C256" s="94">
        <v>3328</v>
      </c>
      <c r="D256" s="94" t="s">
        <v>860</v>
      </c>
      <c r="E256" s="94">
        <v>2522</v>
      </c>
      <c r="F256" s="94" t="s">
        <v>860</v>
      </c>
      <c r="G256" s="94" t="str">
        <f t="shared" si="3"/>
        <v>BridgewatchR9</v>
      </c>
      <c r="H256" s="94" t="s">
        <v>380</v>
      </c>
      <c r="I256" s="94">
        <v>9</v>
      </c>
      <c r="J256">
        <v>2522</v>
      </c>
      <c r="K256" t="s">
        <v>860</v>
      </c>
    </row>
    <row r="257" spans="1:11" x14ac:dyDescent="0.25">
      <c r="A257" s="94" t="s">
        <v>220</v>
      </c>
      <c r="B257" s="94" t="s">
        <v>129</v>
      </c>
      <c r="C257" s="94">
        <v>4233</v>
      </c>
      <c r="D257" s="94" t="s">
        <v>869</v>
      </c>
      <c r="E257" s="94"/>
      <c r="F257" s="94"/>
      <c r="G257" s="94" t="str">
        <f t="shared" ref="G257:G320" si="4">_xlfn.CONCAT(B257,H257,I257)</f>
        <v>CaerleonR9</v>
      </c>
      <c r="H257" s="94" t="s">
        <v>380</v>
      </c>
      <c r="I257" s="94">
        <v>9</v>
      </c>
    </row>
    <row r="258" spans="1:11" x14ac:dyDescent="0.25">
      <c r="A258" s="94" t="s">
        <v>220</v>
      </c>
      <c r="B258" s="94" t="s">
        <v>130</v>
      </c>
      <c r="C258" s="94">
        <v>3382</v>
      </c>
      <c r="D258" s="94" t="s">
        <v>792</v>
      </c>
      <c r="E258" s="94">
        <v>3154</v>
      </c>
      <c r="F258" s="94" t="s">
        <v>792</v>
      </c>
      <c r="G258" s="94" t="str">
        <f t="shared" si="4"/>
        <v>Fort SterlingR9</v>
      </c>
      <c r="H258" s="94" t="s">
        <v>380</v>
      </c>
      <c r="I258" s="94">
        <v>9</v>
      </c>
      <c r="J258">
        <v>3154</v>
      </c>
      <c r="K258" t="s">
        <v>792</v>
      </c>
    </row>
    <row r="259" spans="1:11" x14ac:dyDescent="0.25">
      <c r="A259" s="94" t="s">
        <v>220</v>
      </c>
      <c r="B259" s="94" t="s">
        <v>131</v>
      </c>
      <c r="C259" s="94">
        <v>3171</v>
      </c>
      <c r="D259" s="94" t="s">
        <v>852</v>
      </c>
      <c r="E259" s="94">
        <v>2912</v>
      </c>
      <c r="F259" s="94" t="s">
        <v>852</v>
      </c>
      <c r="G259" s="94" t="str">
        <f t="shared" si="4"/>
        <v>LymhurstR9</v>
      </c>
      <c r="H259" s="94" t="s">
        <v>380</v>
      </c>
      <c r="I259" s="94">
        <v>9</v>
      </c>
      <c r="J259">
        <v>2912</v>
      </c>
      <c r="K259" t="s">
        <v>852</v>
      </c>
    </row>
    <row r="260" spans="1:11" x14ac:dyDescent="0.25">
      <c r="A260" s="94" t="s">
        <v>220</v>
      </c>
      <c r="B260" s="94" t="s">
        <v>132</v>
      </c>
      <c r="C260" s="94">
        <v>3848</v>
      </c>
      <c r="D260" s="94" t="s">
        <v>860</v>
      </c>
      <c r="E260" s="94">
        <v>3201</v>
      </c>
      <c r="F260" s="94" t="s">
        <v>860</v>
      </c>
      <c r="G260" s="94" t="str">
        <f t="shared" si="4"/>
        <v>MartlockR9</v>
      </c>
      <c r="H260" s="94" t="s">
        <v>380</v>
      </c>
      <c r="I260" s="94">
        <v>9</v>
      </c>
      <c r="J260">
        <v>3201</v>
      </c>
      <c r="K260" t="s">
        <v>860</v>
      </c>
    </row>
    <row r="261" spans="1:11" x14ac:dyDescent="0.25">
      <c r="A261" s="94" t="s">
        <v>220</v>
      </c>
      <c r="B261" s="94" t="s">
        <v>133</v>
      </c>
      <c r="C261" s="94">
        <v>4554</v>
      </c>
      <c r="D261" s="94" t="s">
        <v>808</v>
      </c>
      <c r="E261" s="94">
        <v>3381</v>
      </c>
      <c r="F261" s="94" t="s">
        <v>795</v>
      </c>
      <c r="G261" s="94" t="str">
        <f t="shared" si="4"/>
        <v>ThetfordR9</v>
      </c>
      <c r="H261" s="94" t="s">
        <v>380</v>
      </c>
      <c r="I261" s="94">
        <v>9</v>
      </c>
      <c r="J261">
        <v>3381</v>
      </c>
      <c r="K261" t="s">
        <v>795</v>
      </c>
    </row>
    <row r="262" spans="1:11" x14ac:dyDescent="0.25">
      <c r="A262" s="94" t="s">
        <v>221</v>
      </c>
      <c r="B262" s="94" t="s">
        <v>127</v>
      </c>
      <c r="C262" s="94">
        <v>26984</v>
      </c>
      <c r="D262" s="94" t="s">
        <v>874</v>
      </c>
      <c r="E262" s="94"/>
      <c r="F262" s="94"/>
      <c r="G262" s="94" t="str">
        <f t="shared" si="4"/>
        <v>BrecilienR10</v>
      </c>
      <c r="H262" s="94" t="s">
        <v>380</v>
      </c>
      <c r="I262" s="94">
        <v>10</v>
      </c>
    </row>
    <row r="263" spans="1:11" x14ac:dyDescent="0.25">
      <c r="A263" s="94" t="s">
        <v>221</v>
      </c>
      <c r="B263" s="94" t="s">
        <v>128</v>
      </c>
      <c r="C263" s="94">
        <v>22990</v>
      </c>
      <c r="D263" s="94" t="s">
        <v>871</v>
      </c>
      <c r="E263" s="94">
        <v>20680</v>
      </c>
      <c r="F263" s="94" t="s">
        <v>860</v>
      </c>
      <c r="G263" s="94" t="str">
        <f t="shared" si="4"/>
        <v>BridgewatchR10</v>
      </c>
      <c r="H263" s="94" t="s">
        <v>380</v>
      </c>
      <c r="I263" s="94">
        <v>10</v>
      </c>
      <c r="J263">
        <v>20680</v>
      </c>
      <c r="K263" t="s">
        <v>860</v>
      </c>
    </row>
    <row r="264" spans="1:11" x14ac:dyDescent="0.25">
      <c r="A264" s="94" t="s">
        <v>221</v>
      </c>
      <c r="B264" s="94" t="s">
        <v>129</v>
      </c>
      <c r="C264" s="94">
        <v>43334</v>
      </c>
      <c r="D264" s="94" t="s">
        <v>869</v>
      </c>
      <c r="E264" s="94"/>
      <c r="F264" s="94"/>
      <c r="G264" s="94" t="str">
        <f t="shared" si="4"/>
        <v>CaerleonR10</v>
      </c>
      <c r="H264" s="94" t="s">
        <v>380</v>
      </c>
      <c r="I264" s="94">
        <v>10</v>
      </c>
    </row>
    <row r="265" spans="1:11" x14ac:dyDescent="0.25">
      <c r="A265" s="94" t="s">
        <v>221</v>
      </c>
      <c r="B265" s="94" t="s">
        <v>130</v>
      </c>
      <c r="C265" s="94">
        <v>25872</v>
      </c>
      <c r="D265" s="94" t="s">
        <v>879</v>
      </c>
      <c r="E265" s="94">
        <v>22000</v>
      </c>
      <c r="F265" s="94" t="s">
        <v>879</v>
      </c>
      <c r="G265" s="94" t="str">
        <f t="shared" si="4"/>
        <v>Fort SterlingR10</v>
      </c>
      <c r="H265" s="94" t="s">
        <v>380</v>
      </c>
      <c r="I265" s="94">
        <v>10</v>
      </c>
      <c r="J265">
        <v>22000</v>
      </c>
      <c r="K265" t="s">
        <v>879</v>
      </c>
    </row>
    <row r="266" spans="1:11" x14ac:dyDescent="0.25">
      <c r="A266" s="94" t="s">
        <v>221</v>
      </c>
      <c r="B266" s="94" t="s">
        <v>131</v>
      </c>
      <c r="C266" s="94">
        <v>22926</v>
      </c>
      <c r="D266" s="94" t="s">
        <v>880</v>
      </c>
      <c r="E266" s="94"/>
      <c r="F266" s="94"/>
      <c r="G266" s="94" t="str">
        <f t="shared" si="4"/>
        <v>LymhurstR10</v>
      </c>
      <c r="H266" s="94" t="s">
        <v>380</v>
      </c>
      <c r="I266" s="94">
        <v>10</v>
      </c>
    </row>
    <row r="267" spans="1:11" x14ac:dyDescent="0.25">
      <c r="A267" s="94" t="s">
        <v>221</v>
      </c>
      <c r="B267" s="94" t="s">
        <v>132</v>
      </c>
      <c r="C267" s="94">
        <v>24896</v>
      </c>
      <c r="D267" s="94" t="s">
        <v>878</v>
      </c>
      <c r="E267" s="94">
        <v>22515</v>
      </c>
      <c r="F267" s="94" t="s">
        <v>878</v>
      </c>
      <c r="G267" s="94" t="str">
        <f t="shared" si="4"/>
        <v>MartlockR10</v>
      </c>
      <c r="H267" s="94" t="s">
        <v>380</v>
      </c>
      <c r="I267" s="94">
        <v>10</v>
      </c>
      <c r="J267">
        <v>22515</v>
      </c>
      <c r="K267" t="s">
        <v>878</v>
      </c>
    </row>
    <row r="268" spans="1:11" x14ac:dyDescent="0.25">
      <c r="A268" s="94" t="s">
        <v>221</v>
      </c>
      <c r="B268" s="94" t="s">
        <v>133</v>
      </c>
      <c r="C268" s="94">
        <v>23110</v>
      </c>
      <c r="D268" s="94" t="s">
        <v>839</v>
      </c>
      <c r="E268" s="94">
        <v>21112</v>
      </c>
      <c r="F268" s="94" t="s">
        <v>835</v>
      </c>
      <c r="G268" s="94" t="str">
        <f t="shared" si="4"/>
        <v>ThetfordR10</v>
      </c>
      <c r="H268" s="94" t="s">
        <v>380</v>
      </c>
      <c r="I268" s="94">
        <v>10</v>
      </c>
      <c r="J268">
        <v>21112</v>
      </c>
      <c r="K268" t="s">
        <v>835</v>
      </c>
    </row>
    <row r="269" spans="1:11" x14ac:dyDescent="0.25">
      <c r="A269" s="94" t="s">
        <v>222</v>
      </c>
      <c r="B269" s="94" t="s">
        <v>127</v>
      </c>
      <c r="C269" s="94"/>
      <c r="D269" s="94"/>
      <c r="E269" s="94"/>
      <c r="F269" s="94"/>
      <c r="G269" s="94" t="str">
        <f t="shared" si="4"/>
        <v>BrecilienR11</v>
      </c>
      <c r="H269" s="94" t="s">
        <v>380</v>
      </c>
      <c r="I269" s="94">
        <v>11</v>
      </c>
    </row>
    <row r="270" spans="1:11" x14ac:dyDescent="0.25">
      <c r="A270" s="94" t="s">
        <v>222</v>
      </c>
      <c r="B270" s="94" t="s">
        <v>128</v>
      </c>
      <c r="C270" s="94"/>
      <c r="D270" s="94"/>
      <c r="E270" s="94"/>
      <c r="F270" s="94"/>
      <c r="G270" s="94" t="str">
        <f t="shared" si="4"/>
        <v>BridgewatchR11</v>
      </c>
      <c r="H270" s="94" t="s">
        <v>380</v>
      </c>
      <c r="I270" s="94">
        <v>11</v>
      </c>
    </row>
    <row r="271" spans="1:11" x14ac:dyDescent="0.25">
      <c r="A271" s="94" t="s">
        <v>222</v>
      </c>
      <c r="B271" s="94" t="s">
        <v>129</v>
      </c>
      <c r="C271" s="94"/>
      <c r="D271" s="94"/>
      <c r="E271" s="94"/>
      <c r="F271" s="94"/>
      <c r="G271" s="94" t="str">
        <f t="shared" si="4"/>
        <v>CaerleonR11</v>
      </c>
      <c r="H271" s="94" t="s">
        <v>380</v>
      </c>
      <c r="I271" s="94">
        <v>11</v>
      </c>
    </row>
    <row r="272" spans="1:11" x14ac:dyDescent="0.25">
      <c r="A272" s="94" t="s">
        <v>222</v>
      </c>
      <c r="B272" s="94" t="s">
        <v>130</v>
      </c>
      <c r="C272" s="94">
        <v>92996</v>
      </c>
      <c r="D272" s="94" t="s">
        <v>842</v>
      </c>
      <c r="E272" s="94"/>
      <c r="F272" s="94"/>
      <c r="G272" s="94" t="str">
        <f t="shared" si="4"/>
        <v>Fort SterlingR11</v>
      </c>
      <c r="H272" s="94" t="s">
        <v>380</v>
      </c>
      <c r="I272" s="94">
        <v>11</v>
      </c>
    </row>
    <row r="273" spans="1:11" x14ac:dyDescent="0.25">
      <c r="A273" s="94" t="s">
        <v>222</v>
      </c>
      <c r="B273" s="94" t="s">
        <v>131</v>
      </c>
      <c r="C273" s="94">
        <v>83656</v>
      </c>
      <c r="D273" s="94" t="s">
        <v>834</v>
      </c>
      <c r="E273" s="94"/>
      <c r="F273" s="94"/>
      <c r="G273" s="94" t="str">
        <f t="shared" si="4"/>
        <v>LymhurstR11</v>
      </c>
      <c r="H273" s="94" t="s">
        <v>380</v>
      </c>
      <c r="I273" s="94">
        <v>11</v>
      </c>
    </row>
    <row r="274" spans="1:11" x14ac:dyDescent="0.25">
      <c r="A274" s="94" t="s">
        <v>222</v>
      </c>
      <c r="B274" s="94" t="s">
        <v>132</v>
      </c>
      <c r="C274" s="94">
        <v>95469</v>
      </c>
      <c r="D274" s="94" t="s">
        <v>824</v>
      </c>
      <c r="E274" s="94"/>
      <c r="F274" s="94"/>
      <c r="G274" s="94" t="str">
        <f t="shared" si="4"/>
        <v>MartlockR11</v>
      </c>
      <c r="H274" s="94" t="s">
        <v>380</v>
      </c>
      <c r="I274" s="94">
        <v>11</v>
      </c>
    </row>
    <row r="275" spans="1:11" x14ac:dyDescent="0.25">
      <c r="A275" s="94" t="s">
        <v>222</v>
      </c>
      <c r="B275" s="94" t="s">
        <v>133</v>
      </c>
      <c r="C275" s="94">
        <v>99926</v>
      </c>
      <c r="D275" s="94" t="s">
        <v>860</v>
      </c>
      <c r="E275" s="94"/>
      <c r="F275" s="94"/>
      <c r="G275" s="94" t="str">
        <f t="shared" si="4"/>
        <v>ThetfordR11</v>
      </c>
      <c r="H275" s="94" t="s">
        <v>380</v>
      </c>
      <c r="I275" s="94">
        <v>11</v>
      </c>
    </row>
    <row r="276" spans="1:11" x14ac:dyDescent="0.25">
      <c r="A276" s="94" t="s">
        <v>223</v>
      </c>
      <c r="B276" s="94" t="s">
        <v>127</v>
      </c>
      <c r="C276" s="94">
        <v>3409</v>
      </c>
      <c r="D276" s="94" t="s">
        <v>881</v>
      </c>
      <c r="E276" s="94"/>
      <c r="F276" s="94"/>
      <c r="G276" s="94" t="str">
        <f t="shared" si="4"/>
        <v>BrecilienR12</v>
      </c>
      <c r="H276" s="94" t="s">
        <v>380</v>
      </c>
      <c r="I276" s="94">
        <v>12</v>
      </c>
    </row>
    <row r="277" spans="1:11" x14ac:dyDescent="0.25">
      <c r="A277" s="94" t="s">
        <v>223</v>
      </c>
      <c r="B277" s="94" t="s">
        <v>128</v>
      </c>
      <c r="C277" s="94"/>
      <c r="D277" s="94"/>
      <c r="E277" s="94"/>
      <c r="F277" s="94"/>
      <c r="G277" s="94" t="str">
        <f t="shared" si="4"/>
        <v>BridgewatchR12</v>
      </c>
      <c r="H277" s="94" t="s">
        <v>380</v>
      </c>
      <c r="I277" s="94">
        <v>12</v>
      </c>
    </row>
    <row r="278" spans="1:11" x14ac:dyDescent="0.25">
      <c r="A278" s="94" t="s">
        <v>223</v>
      </c>
      <c r="B278" s="94" t="s">
        <v>129</v>
      </c>
      <c r="C278" s="94">
        <v>3198</v>
      </c>
      <c r="D278" s="94" t="s">
        <v>869</v>
      </c>
      <c r="E278" s="94"/>
      <c r="F278" s="94"/>
      <c r="G278" s="94" t="str">
        <f t="shared" si="4"/>
        <v>CaerleonR12</v>
      </c>
      <c r="H278" s="94" t="s">
        <v>380</v>
      </c>
      <c r="I278" s="94">
        <v>12</v>
      </c>
    </row>
    <row r="279" spans="1:11" x14ac:dyDescent="0.25">
      <c r="A279" s="94" t="s">
        <v>223</v>
      </c>
      <c r="B279" s="94" t="s">
        <v>130</v>
      </c>
      <c r="C279" s="94">
        <v>2926</v>
      </c>
      <c r="D279" s="94" t="s">
        <v>792</v>
      </c>
      <c r="E279" s="94">
        <v>2569</v>
      </c>
      <c r="F279" s="94" t="s">
        <v>792</v>
      </c>
      <c r="G279" s="94" t="str">
        <f t="shared" si="4"/>
        <v>Fort SterlingR12</v>
      </c>
      <c r="H279" s="94" t="s">
        <v>380</v>
      </c>
      <c r="I279" s="94">
        <v>12</v>
      </c>
      <c r="J279">
        <v>2569</v>
      </c>
      <c r="K279" t="s">
        <v>792</v>
      </c>
    </row>
    <row r="280" spans="1:11" x14ac:dyDescent="0.25">
      <c r="A280" s="94" t="s">
        <v>223</v>
      </c>
      <c r="B280" s="94" t="s">
        <v>131</v>
      </c>
      <c r="C280" s="94">
        <v>2907</v>
      </c>
      <c r="D280" s="94" t="s">
        <v>820</v>
      </c>
      <c r="E280" s="94">
        <v>2749</v>
      </c>
      <c r="F280" s="94" t="s">
        <v>820</v>
      </c>
      <c r="G280" s="94" t="str">
        <f t="shared" si="4"/>
        <v>LymhurstR12</v>
      </c>
      <c r="H280" s="94" t="s">
        <v>380</v>
      </c>
      <c r="I280" s="94">
        <v>12</v>
      </c>
      <c r="J280">
        <v>2749</v>
      </c>
      <c r="K280" t="s">
        <v>820</v>
      </c>
    </row>
    <row r="281" spans="1:11" x14ac:dyDescent="0.25">
      <c r="A281" s="94" t="s">
        <v>223</v>
      </c>
      <c r="B281" s="94" t="s">
        <v>132</v>
      </c>
      <c r="C281" s="94"/>
      <c r="D281" s="94"/>
      <c r="E281" s="94"/>
      <c r="F281" s="94"/>
      <c r="G281" s="94" t="str">
        <f t="shared" si="4"/>
        <v>MartlockR12</v>
      </c>
      <c r="H281" s="94" t="s">
        <v>380</v>
      </c>
      <c r="I281" s="94">
        <v>12</v>
      </c>
    </row>
    <row r="282" spans="1:11" x14ac:dyDescent="0.25">
      <c r="A282" s="94" t="s">
        <v>223</v>
      </c>
      <c r="B282" s="94" t="s">
        <v>133</v>
      </c>
      <c r="C282" s="94">
        <v>2937</v>
      </c>
      <c r="D282" s="94" t="s">
        <v>798</v>
      </c>
      <c r="E282" s="94">
        <v>2631</v>
      </c>
      <c r="F282" s="94" t="s">
        <v>798</v>
      </c>
      <c r="G282" s="94" t="str">
        <f t="shared" si="4"/>
        <v>ThetfordR12</v>
      </c>
      <c r="H282" s="94" t="s">
        <v>380</v>
      </c>
      <c r="I282" s="94">
        <v>12</v>
      </c>
      <c r="J282">
        <v>2631</v>
      </c>
      <c r="K282" t="s">
        <v>798</v>
      </c>
    </row>
    <row r="283" spans="1:11" x14ac:dyDescent="0.25">
      <c r="A283" s="94" t="s">
        <v>224</v>
      </c>
      <c r="B283" s="94" t="s">
        <v>127</v>
      </c>
      <c r="C283" s="94"/>
      <c r="D283" s="94"/>
      <c r="E283" s="94"/>
      <c r="F283" s="94"/>
      <c r="G283" s="94" t="str">
        <f t="shared" si="4"/>
        <v>BrecilienR13</v>
      </c>
      <c r="H283" s="94" t="s">
        <v>380</v>
      </c>
      <c r="I283" s="94">
        <v>13</v>
      </c>
    </row>
    <row r="284" spans="1:11" x14ac:dyDescent="0.25">
      <c r="A284" s="94" t="s">
        <v>224</v>
      </c>
      <c r="B284" s="94" t="s">
        <v>128</v>
      </c>
      <c r="C284" s="94"/>
      <c r="D284" s="94"/>
      <c r="E284" s="94"/>
      <c r="F284" s="94"/>
      <c r="G284" s="94" t="str">
        <f t="shared" si="4"/>
        <v>BridgewatchR13</v>
      </c>
      <c r="H284" s="94" t="s">
        <v>380</v>
      </c>
      <c r="I284" s="94">
        <v>13</v>
      </c>
    </row>
    <row r="285" spans="1:11" x14ac:dyDescent="0.25">
      <c r="A285" s="94" t="s">
        <v>224</v>
      </c>
      <c r="B285" s="94" t="s">
        <v>129</v>
      </c>
      <c r="C285" s="94">
        <v>5952</v>
      </c>
      <c r="D285" s="94" t="s">
        <v>869</v>
      </c>
      <c r="E285" s="94"/>
      <c r="F285" s="94"/>
      <c r="G285" s="94" t="str">
        <f t="shared" si="4"/>
        <v>CaerleonR13</v>
      </c>
      <c r="H285" s="94" t="s">
        <v>380</v>
      </c>
      <c r="I285" s="94">
        <v>13</v>
      </c>
    </row>
    <row r="286" spans="1:11" x14ac:dyDescent="0.25">
      <c r="A286" s="94" t="s">
        <v>224</v>
      </c>
      <c r="B286" s="94" t="s">
        <v>130</v>
      </c>
      <c r="C286" s="94">
        <v>7033</v>
      </c>
      <c r="D286" s="94" t="s">
        <v>792</v>
      </c>
      <c r="E286" s="94">
        <v>4858</v>
      </c>
      <c r="F286" s="94" t="s">
        <v>792</v>
      </c>
      <c r="G286" s="94" t="str">
        <f t="shared" si="4"/>
        <v>Fort SterlingR13</v>
      </c>
      <c r="H286" s="94" t="s">
        <v>380</v>
      </c>
      <c r="I286" s="94">
        <v>13</v>
      </c>
      <c r="J286">
        <v>4858</v>
      </c>
      <c r="K286" t="s">
        <v>792</v>
      </c>
    </row>
    <row r="287" spans="1:11" x14ac:dyDescent="0.25">
      <c r="A287" s="94" t="s">
        <v>224</v>
      </c>
      <c r="B287" s="94" t="s">
        <v>131</v>
      </c>
      <c r="C287" s="94">
        <v>5485</v>
      </c>
      <c r="D287" s="94" t="s">
        <v>820</v>
      </c>
      <c r="E287" s="94">
        <v>4760</v>
      </c>
      <c r="F287" s="94" t="s">
        <v>820</v>
      </c>
      <c r="G287" s="94" t="str">
        <f t="shared" si="4"/>
        <v>LymhurstR13</v>
      </c>
      <c r="H287" s="94" t="s">
        <v>380</v>
      </c>
      <c r="I287" s="94">
        <v>13</v>
      </c>
      <c r="J287">
        <v>4760</v>
      </c>
      <c r="K287" t="s">
        <v>820</v>
      </c>
    </row>
    <row r="288" spans="1:11" x14ac:dyDescent="0.25">
      <c r="A288" s="94" t="s">
        <v>224</v>
      </c>
      <c r="B288" s="94" t="s">
        <v>132</v>
      </c>
      <c r="C288" s="94">
        <v>6818</v>
      </c>
      <c r="D288" s="94" t="s">
        <v>876</v>
      </c>
      <c r="E288" s="94"/>
      <c r="F288" s="94"/>
      <c r="G288" s="94" t="str">
        <f t="shared" si="4"/>
        <v>MartlockR13</v>
      </c>
      <c r="H288" s="94" t="s">
        <v>380</v>
      </c>
      <c r="I288" s="94">
        <v>13</v>
      </c>
    </row>
    <row r="289" spans="1:11" x14ac:dyDescent="0.25">
      <c r="A289" s="94" t="s">
        <v>224</v>
      </c>
      <c r="B289" s="94" t="s">
        <v>133</v>
      </c>
      <c r="C289" s="94"/>
      <c r="D289" s="94"/>
      <c r="E289" s="94"/>
      <c r="F289" s="94"/>
      <c r="G289" s="94" t="str">
        <f t="shared" si="4"/>
        <v>ThetfordR13</v>
      </c>
      <c r="H289" s="94" t="s">
        <v>380</v>
      </c>
      <c r="I289" s="94">
        <v>13</v>
      </c>
    </row>
    <row r="290" spans="1:11" x14ac:dyDescent="0.25">
      <c r="A290" s="94" t="s">
        <v>225</v>
      </c>
      <c r="B290" s="94" t="s">
        <v>127</v>
      </c>
      <c r="C290" s="94">
        <v>20974</v>
      </c>
      <c r="D290" s="94" t="s">
        <v>804</v>
      </c>
      <c r="E290" s="94"/>
      <c r="F290" s="94"/>
      <c r="G290" s="94" t="str">
        <f t="shared" si="4"/>
        <v>BrecilienR14</v>
      </c>
      <c r="H290" s="94" t="s">
        <v>380</v>
      </c>
      <c r="I290" s="94">
        <v>14</v>
      </c>
    </row>
    <row r="291" spans="1:11" x14ac:dyDescent="0.25">
      <c r="A291" s="94" t="s">
        <v>225</v>
      </c>
      <c r="B291" s="94" t="s">
        <v>128</v>
      </c>
      <c r="C291" s="94"/>
      <c r="D291" s="94"/>
      <c r="E291" s="94"/>
      <c r="F291" s="94"/>
      <c r="G291" s="94" t="str">
        <f t="shared" si="4"/>
        <v>BridgewatchR14</v>
      </c>
      <c r="H291" s="94" t="s">
        <v>380</v>
      </c>
      <c r="I291" s="94">
        <v>14</v>
      </c>
    </row>
    <row r="292" spans="1:11" x14ac:dyDescent="0.25">
      <c r="A292" s="94" t="s">
        <v>225</v>
      </c>
      <c r="B292" s="94" t="s">
        <v>129</v>
      </c>
      <c r="C292" s="94">
        <v>23866</v>
      </c>
      <c r="D292" s="94" t="s">
        <v>882</v>
      </c>
      <c r="E292" s="94"/>
      <c r="F292" s="94"/>
      <c r="G292" s="94" t="str">
        <f t="shared" si="4"/>
        <v>CaerleonR14</v>
      </c>
      <c r="H292" s="94" t="s">
        <v>380</v>
      </c>
      <c r="I292" s="94">
        <v>14</v>
      </c>
    </row>
    <row r="293" spans="1:11" x14ac:dyDescent="0.25">
      <c r="A293" s="94" t="s">
        <v>225</v>
      </c>
      <c r="B293" s="94" t="s">
        <v>130</v>
      </c>
      <c r="C293" s="94">
        <v>22795</v>
      </c>
      <c r="D293" s="94" t="s">
        <v>792</v>
      </c>
      <c r="E293" s="94">
        <v>17083</v>
      </c>
      <c r="F293" s="94" t="s">
        <v>792</v>
      </c>
      <c r="G293" s="94" t="str">
        <f t="shared" si="4"/>
        <v>Fort SterlingR14</v>
      </c>
      <c r="H293" s="94" t="s">
        <v>380</v>
      </c>
      <c r="I293" s="94">
        <v>14</v>
      </c>
      <c r="J293">
        <v>17083</v>
      </c>
      <c r="K293" t="s">
        <v>792</v>
      </c>
    </row>
    <row r="294" spans="1:11" x14ac:dyDescent="0.25">
      <c r="A294" s="94" t="s">
        <v>225</v>
      </c>
      <c r="B294" s="94" t="s">
        <v>131</v>
      </c>
      <c r="C294" s="94">
        <v>18997</v>
      </c>
      <c r="D294" s="94" t="s">
        <v>883</v>
      </c>
      <c r="E294" s="94">
        <v>18305</v>
      </c>
      <c r="F294" s="94" t="s">
        <v>791</v>
      </c>
      <c r="G294" s="94" t="str">
        <f t="shared" si="4"/>
        <v>LymhurstR14</v>
      </c>
      <c r="H294" s="94" t="s">
        <v>380</v>
      </c>
      <c r="I294" s="94">
        <v>14</v>
      </c>
      <c r="J294">
        <v>18305</v>
      </c>
      <c r="K294" t="s">
        <v>791</v>
      </c>
    </row>
    <row r="295" spans="1:11" x14ac:dyDescent="0.25">
      <c r="A295" s="94" t="s">
        <v>225</v>
      </c>
      <c r="B295" s="94" t="s">
        <v>132</v>
      </c>
      <c r="C295" s="94">
        <v>27000</v>
      </c>
      <c r="D295" s="94" t="s">
        <v>876</v>
      </c>
      <c r="E295" s="94">
        <v>15015</v>
      </c>
      <c r="F295" s="94" t="s">
        <v>876</v>
      </c>
      <c r="G295" s="94" t="str">
        <f t="shared" si="4"/>
        <v>MartlockR14</v>
      </c>
      <c r="H295" s="94" t="s">
        <v>380</v>
      </c>
      <c r="I295" s="94">
        <v>14</v>
      </c>
      <c r="J295">
        <v>15015</v>
      </c>
      <c r="K295" t="s">
        <v>876</v>
      </c>
    </row>
    <row r="296" spans="1:11" x14ac:dyDescent="0.25">
      <c r="A296" s="94" t="s">
        <v>225</v>
      </c>
      <c r="B296" s="94" t="s">
        <v>133</v>
      </c>
      <c r="C296" s="94">
        <v>23768</v>
      </c>
      <c r="D296" s="94" t="s">
        <v>797</v>
      </c>
      <c r="E296" s="94">
        <v>17106</v>
      </c>
      <c r="F296" s="94" t="s">
        <v>798</v>
      </c>
      <c r="G296" s="94" t="str">
        <f t="shared" si="4"/>
        <v>ThetfordR14</v>
      </c>
      <c r="H296" s="94" t="s">
        <v>380</v>
      </c>
      <c r="I296" s="94">
        <v>14</v>
      </c>
      <c r="J296">
        <v>17106</v>
      </c>
      <c r="K296" t="s">
        <v>798</v>
      </c>
    </row>
    <row r="297" spans="1:11" x14ac:dyDescent="0.25">
      <c r="A297" s="94" t="s">
        <v>226</v>
      </c>
      <c r="B297" s="94" t="s">
        <v>127</v>
      </c>
      <c r="C297" s="94">
        <v>42985</v>
      </c>
      <c r="D297" s="94" t="s">
        <v>874</v>
      </c>
      <c r="E297" s="94"/>
      <c r="F297" s="94"/>
      <c r="G297" s="94" t="str">
        <f t="shared" si="4"/>
        <v>BrecilienR15</v>
      </c>
      <c r="H297" s="94" t="s">
        <v>380</v>
      </c>
      <c r="I297" s="94">
        <v>15</v>
      </c>
    </row>
    <row r="298" spans="1:11" x14ac:dyDescent="0.25">
      <c r="A298" s="94" t="s">
        <v>226</v>
      </c>
      <c r="B298" s="94" t="s">
        <v>128</v>
      </c>
      <c r="C298" s="94"/>
      <c r="D298" s="94"/>
      <c r="E298" s="94"/>
      <c r="F298" s="94"/>
      <c r="G298" s="94" t="str">
        <f t="shared" si="4"/>
        <v>BridgewatchR15</v>
      </c>
      <c r="H298" s="94" t="s">
        <v>380</v>
      </c>
      <c r="I298" s="94">
        <v>15</v>
      </c>
    </row>
    <row r="299" spans="1:11" x14ac:dyDescent="0.25">
      <c r="A299" s="94" t="s">
        <v>226</v>
      </c>
      <c r="B299" s="94" t="s">
        <v>129</v>
      </c>
      <c r="C299" s="94">
        <v>69991</v>
      </c>
      <c r="D299" s="94" t="s">
        <v>869</v>
      </c>
      <c r="E299" s="94"/>
      <c r="F299" s="94"/>
      <c r="G299" s="94" t="str">
        <f t="shared" si="4"/>
        <v>CaerleonR15</v>
      </c>
      <c r="H299" s="94" t="s">
        <v>380</v>
      </c>
      <c r="I299" s="94">
        <v>15</v>
      </c>
    </row>
    <row r="300" spans="1:11" x14ac:dyDescent="0.25">
      <c r="A300" s="94" t="s">
        <v>226</v>
      </c>
      <c r="B300" s="94" t="s">
        <v>130</v>
      </c>
      <c r="C300" s="94">
        <v>49977</v>
      </c>
      <c r="D300" s="94" t="s">
        <v>840</v>
      </c>
      <c r="E300" s="94">
        <v>39846</v>
      </c>
      <c r="F300" s="94" t="s">
        <v>884</v>
      </c>
      <c r="G300" s="94" t="str">
        <f t="shared" si="4"/>
        <v>Fort SterlingR15</v>
      </c>
      <c r="H300" s="94" t="s">
        <v>380</v>
      </c>
      <c r="I300" s="94">
        <v>15</v>
      </c>
      <c r="J300">
        <v>39846</v>
      </c>
      <c r="K300" t="s">
        <v>884</v>
      </c>
    </row>
    <row r="301" spans="1:11" x14ac:dyDescent="0.25">
      <c r="A301" s="94" t="s">
        <v>226</v>
      </c>
      <c r="B301" s="94" t="s">
        <v>131</v>
      </c>
      <c r="C301" s="94">
        <v>42790</v>
      </c>
      <c r="D301" s="94" t="s">
        <v>794</v>
      </c>
      <c r="E301" s="94">
        <v>38780</v>
      </c>
      <c r="F301" s="94" t="s">
        <v>794</v>
      </c>
      <c r="G301" s="94" t="str">
        <f t="shared" si="4"/>
        <v>LymhurstR15</v>
      </c>
      <c r="H301" s="94" t="s">
        <v>380</v>
      </c>
      <c r="I301" s="94">
        <v>15</v>
      </c>
      <c r="J301">
        <v>38780</v>
      </c>
      <c r="K301" t="s">
        <v>794</v>
      </c>
    </row>
    <row r="302" spans="1:11" x14ac:dyDescent="0.25">
      <c r="A302" s="94" t="s">
        <v>226</v>
      </c>
      <c r="B302" s="94" t="s">
        <v>132</v>
      </c>
      <c r="C302" s="94">
        <v>54970</v>
      </c>
      <c r="D302" s="94" t="s">
        <v>885</v>
      </c>
      <c r="E302" s="94"/>
      <c r="F302" s="94"/>
      <c r="G302" s="94" t="str">
        <f t="shared" si="4"/>
        <v>MartlockR15</v>
      </c>
      <c r="H302" s="94" t="s">
        <v>380</v>
      </c>
      <c r="I302" s="94">
        <v>15</v>
      </c>
    </row>
    <row r="303" spans="1:11" x14ac:dyDescent="0.25">
      <c r="A303" s="94" t="s">
        <v>226</v>
      </c>
      <c r="B303" s="94" t="s">
        <v>133</v>
      </c>
      <c r="C303" s="94"/>
      <c r="D303" s="94"/>
      <c r="E303" s="94"/>
      <c r="F303" s="94"/>
      <c r="G303" s="94" t="str">
        <f t="shared" si="4"/>
        <v>ThetfordR15</v>
      </c>
      <c r="H303" s="94" t="s">
        <v>380</v>
      </c>
      <c r="I303" s="94">
        <v>15</v>
      </c>
    </row>
    <row r="304" spans="1:11" x14ac:dyDescent="0.25">
      <c r="A304" s="94" t="s">
        <v>227</v>
      </c>
      <c r="B304" s="94" t="s">
        <v>127</v>
      </c>
      <c r="C304" s="94"/>
      <c r="D304" s="94"/>
      <c r="E304" s="94"/>
      <c r="F304" s="94"/>
      <c r="G304" s="94" t="str">
        <f t="shared" si="4"/>
        <v>BrecilienR16</v>
      </c>
      <c r="H304" s="94" t="s">
        <v>380</v>
      </c>
      <c r="I304" s="94">
        <v>16</v>
      </c>
    </row>
    <row r="305" spans="1:11" x14ac:dyDescent="0.25">
      <c r="A305" s="94" t="s">
        <v>227</v>
      </c>
      <c r="B305" s="94" t="s">
        <v>128</v>
      </c>
      <c r="C305" s="94"/>
      <c r="D305" s="94"/>
      <c r="E305" s="94"/>
      <c r="F305" s="94"/>
      <c r="G305" s="94" t="str">
        <f t="shared" si="4"/>
        <v>BridgewatchR16</v>
      </c>
      <c r="H305" s="94" t="s">
        <v>380</v>
      </c>
      <c r="I305" s="94">
        <v>16</v>
      </c>
    </row>
    <row r="306" spans="1:11" x14ac:dyDescent="0.25">
      <c r="A306" s="94" t="s">
        <v>227</v>
      </c>
      <c r="B306" s="94" t="s">
        <v>129</v>
      </c>
      <c r="C306" s="94"/>
      <c r="D306" s="94"/>
      <c r="E306" s="94"/>
      <c r="F306" s="94"/>
      <c r="G306" s="94" t="str">
        <f t="shared" si="4"/>
        <v>CaerleonR16</v>
      </c>
      <c r="H306" s="94" t="s">
        <v>380</v>
      </c>
      <c r="I306" s="94">
        <v>16</v>
      </c>
    </row>
    <row r="307" spans="1:11" x14ac:dyDescent="0.25">
      <c r="A307" s="94" t="s">
        <v>227</v>
      </c>
      <c r="B307" s="94" t="s">
        <v>130</v>
      </c>
      <c r="C307" s="94">
        <v>226880</v>
      </c>
      <c r="D307" s="94" t="s">
        <v>811</v>
      </c>
      <c r="E307" s="94"/>
      <c r="F307" s="94"/>
      <c r="G307" s="94" t="str">
        <f t="shared" si="4"/>
        <v>Fort SterlingR16</v>
      </c>
      <c r="H307" s="94" t="s">
        <v>380</v>
      </c>
      <c r="I307" s="94">
        <v>16</v>
      </c>
    </row>
    <row r="308" spans="1:11" x14ac:dyDescent="0.25">
      <c r="A308" s="94" t="s">
        <v>227</v>
      </c>
      <c r="B308" s="94" t="s">
        <v>131</v>
      </c>
      <c r="C308" s="94"/>
      <c r="D308" s="94"/>
      <c r="E308" s="94"/>
      <c r="F308" s="94"/>
      <c r="G308" s="94" t="str">
        <f t="shared" si="4"/>
        <v>LymhurstR16</v>
      </c>
      <c r="H308" s="94" t="s">
        <v>380</v>
      </c>
      <c r="I308" s="94">
        <v>16</v>
      </c>
    </row>
    <row r="309" spans="1:11" x14ac:dyDescent="0.25">
      <c r="A309" s="94" t="s">
        <v>227</v>
      </c>
      <c r="B309" s="94" t="s">
        <v>132</v>
      </c>
      <c r="C309" s="94">
        <v>244928</v>
      </c>
      <c r="D309" s="94" t="s">
        <v>824</v>
      </c>
      <c r="E309" s="94"/>
      <c r="F309" s="94"/>
      <c r="G309" s="94" t="str">
        <f t="shared" si="4"/>
        <v>MartlockR16</v>
      </c>
      <c r="H309" s="94" t="s">
        <v>380</v>
      </c>
      <c r="I309" s="94">
        <v>16</v>
      </c>
    </row>
    <row r="310" spans="1:11" x14ac:dyDescent="0.25">
      <c r="A310" s="94" t="s">
        <v>227</v>
      </c>
      <c r="B310" s="94" t="s">
        <v>133</v>
      </c>
      <c r="C310" s="94">
        <v>239991</v>
      </c>
      <c r="D310" s="94" t="s">
        <v>798</v>
      </c>
      <c r="E310" s="94"/>
      <c r="F310" s="94"/>
      <c r="G310" s="94" t="str">
        <f t="shared" si="4"/>
        <v>ThetfordR16</v>
      </c>
      <c r="H310" s="94" t="s">
        <v>380</v>
      </c>
      <c r="I310" s="94">
        <v>16</v>
      </c>
    </row>
    <row r="311" spans="1:11" x14ac:dyDescent="0.25">
      <c r="A311" s="94" t="s">
        <v>228</v>
      </c>
      <c r="B311" s="94" t="s">
        <v>127</v>
      </c>
      <c r="C311" s="94"/>
      <c r="D311" s="94"/>
      <c r="E311" s="94"/>
      <c r="F311" s="94"/>
      <c r="G311" s="94" t="str">
        <f t="shared" si="4"/>
        <v>BrecilienR17</v>
      </c>
      <c r="H311" s="94" t="s">
        <v>380</v>
      </c>
      <c r="I311" s="94">
        <v>17</v>
      </c>
    </row>
    <row r="312" spans="1:11" x14ac:dyDescent="0.25">
      <c r="A312" s="94" t="s">
        <v>228</v>
      </c>
      <c r="B312" s="94" t="s">
        <v>128</v>
      </c>
      <c r="C312" s="94">
        <v>8422</v>
      </c>
      <c r="D312" s="94" t="s">
        <v>796</v>
      </c>
      <c r="E312" s="94">
        <v>7785</v>
      </c>
      <c r="F312" s="94" t="s">
        <v>794</v>
      </c>
      <c r="G312" s="94" t="str">
        <f t="shared" si="4"/>
        <v>BridgewatchR17</v>
      </c>
      <c r="H312" s="94" t="s">
        <v>380</v>
      </c>
      <c r="I312" s="94">
        <v>17</v>
      </c>
      <c r="J312">
        <v>7785</v>
      </c>
      <c r="K312" t="s">
        <v>794</v>
      </c>
    </row>
    <row r="313" spans="1:11" x14ac:dyDescent="0.25">
      <c r="A313" s="94" t="s">
        <v>228</v>
      </c>
      <c r="B313" s="94" t="s">
        <v>129</v>
      </c>
      <c r="C313" s="94">
        <v>9213</v>
      </c>
      <c r="D313" s="94" t="s">
        <v>869</v>
      </c>
      <c r="E313" s="94"/>
      <c r="F313" s="94"/>
      <c r="G313" s="94" t="str">
        <f t="shared" si="4"/>
        <v>CaerleonR17</v>
      </c>
      <c r="H313" s="94" t="s">
        <v>380</v>
      </c>
      <c r="I313" s="94">
        <v>17</v>
      </c>
    </row>
    <row r="314" spans="1:11" x14ac:dyDescent="0.25">
      <c r="A314" s="94" t="s">
        <v>228</v>
      </c>
      <c r="B314" s="94" t="s">
        <v>130</v>
      </c>
      <c r="C314" s="94">
        <v>7753</v>
      </c>
      <c r="D314" s="94" t="s">
        <v>832</v>
      </c>
      <c r="E314" s="94">
        <v>6260</v>
      </c>
      <c r="F314" s="94" t="s">
        <v>832</v>
      </c>
      <c r="G314" s="94" t="str">
        <f t="shared" si="4"/>
        <v>Fort SterlingR17</v>
      </c>
      <c r="H314" s="94" t="s">
        <v>380</v>
      </c>
      <c r="I314" s="94">
        <v>17</v>
      </c>
      <c r="J314">
        <v>6260</v>
      </c>
      <c r="K314" t="s">
        <v>832</v>
      </c>
    </row>
    <row r="315" spans="1:11" x14ac:dyDescent="0.25">
      <c r="A315" s="94" t="s">
        <v>228</v>
      </c>
      <c r="B315" s="94" t="s">
        <v>131</v>
      </c>
      <c r="C315" s="94">
        <v>7180</v>
      </c>
      <c r="D315" s="94" t="s">
        <v>893</v>
      </c>
      <c r="E315" s="94"/>
      <c r="F315" s="94"/>
      <c r="G315" s="94" t="str">
        <f t="shared" si="4"/>
        <v>LymhurstR17</v>
      </c>
      <c r="H315" s="94" t="s">
        <v>380</v>
      </c>
      <c r="I315" s="94">
        <v>17</v>
      </c>
    </row>
    <row r="316" spans="1:11" x14ac:dyDescent="0.25">
      <c r="A316" s="94" t="s">
        <v>228</v>
      </c>
      <c r="B316" s="94" t="s">
        <v>132</v>
      </c>
      <c r="C316" s="94">
        <v>9143</v>
      </c>
      <c r="D316" s="94" t="s">
        <v>878</v>
      </c>
      <c r="E316" s="94">
        <v>6548</v>
      </c>
      <c r="F316" s="94" t="s">
        <v>878</v>
      </c>
      <c r="G316" s="94" t="str">
        <f t="shared" si="4"/>
        <v>MartlockR17</v>
      </c>
      <c r="H316" s="94" t="s">
        <v>380</v>
      </c>
      <c r="I316" s="94">
        <v>17</v>
      </c>
      <c r="J316">
        <v>6548</v>
      </c>
      <c r="K316" t="s">
        <v>878</v>
      </c>
    </row>
    <row r="317" spans="1:11" x14ac:dyDescent="0.25">
      <c r="A317" s="94" t="s">
        <v>228</v>
      </c>
      <c r="B317" s="94" t="s">
        <v>133</v>
      </c>
      <c r="C317" s="94">
        <v>8195</v>
      </c>
      <c r="D317" s="94" t="s">
        <v>829</v>
      </c>
      <c r="E317" s="94"/>
      <c r="F317" s="94"/>
      <c r="G317" s="94" t="str">
        <f t="shared" si="4"/>
        <v>ThetfordR17</v>
      </c>
      <c r="H317" s="94" t="s">
        <v>380</v>
      </c>
      <c r="I317" s="94">
        <v>17</v>
      </c>
    </row>
    <row r="318" spans="1:11" x14ac:dyDescent="0.25">
      <c r="A318" s="94" t="s">
        <v>229</v>
      </c>
      <c r="B318" s="94" t="s">
        <v>127</v>
      </c>
      <c r="C318" s="94">
        <v>19995</v>
      </c>
      <c r="D318" s="94" t="s">
        <v>886</v>
      </c>
      <c r="E318" s="94"/>
      <c r="F318" s="94"/>
      <c r="G318" s="94" t="str">
        <f t="shared" si="4"/>
        <v>BrecilienR18</v>
      </c>
      <c r="H318" s="94" t="s">
        <v>380</v>
      </c>
      <c r="I318" s="94">
        <v>18</v>
      </c>
    </row>
    <row r="319" spans="1:11" x14ac:dyDescent="0.25">
      <c r="A319" s="94" t="s">
        <v>229</v>
      </c>
      <c r="B319" s="94" t="s">
        <v>128</v>
      </c>
      <c r="C319" s="94"/>
      <c r="D319" s="94"/>
      <c r="E319" s="94"/>
      <c r="F319" s="94"/>
      <c r="G319" s="94" t="str">
        <f t="shared" si="4"/>
        <v>BridgewatchR18</v>
      </c>
      <c r="H319" s="94" t="s">
        <v>380</v>
      </c>
      <c r="I319" s="94">
        <v>18</v>
      </c>
    </row>
    <row r="320" spans="1:11" x14ac:dyDescent="0.25">
      <c r="A320" s="94" t="s">
        <v>229</v>
      </c>
      <c r="B320" s="94" t="s">
        <v>129</v>
      </c>
      <c r="C320" s="94">
        <v>19992</v>
      </c>
      <c r="D320" s="94" t="s">
        <v>848</v>
      </c>
      <c r="E320" s="94"/>
      <c r="F320" s="94"/>
      <c r="G320" s="94" t="str">
        <f t="shared" si="4"/>
        <v>CaerleonR18</v>
      </c>
      <c r="H320" s="94" t="s">
        <v>380</v>
      </c>
      <c r="I320" s="94">
        <v>18</v>
      </c>
    </row>
    <row r="321" spans="1:11" x14ac:dyDescent="0.25">
      <c r="A321" s="94" t="s">
        <v>229</v>
      </c>
      <c r="B321" s="94" t="s">
        <v>130</v>
      </c>
      <c r="C321" s="94">
        <v>16983</v>
      </c>
      <c r="D321" s="94" t="s">
        <v>832</v>
      </c>
      <c r="E321" s="94">
        <v>15102</v>
      </c>
      <c r="F321" s="94" t="s">
        <v>832</v>
      </c>
      <c r="G321" s="94" t="str">
        <f t="shared" ref="G321:G380" si="5">_xlfn.CONCAT(B321,H321,I321)</f>
        <v>Fort SterlingR18</v>
      </c>
      <c r="H321" s="94" t="s">
        <v>380</v>
      </c>
      <c r="I321" s="94">
        <v>18</v>
      </c>
      <c r="J321">
        <v>15102</v>
      </c>
      <c r="K321" t="s">
        <v>832</v>
      </c>
    </row>
    <row r="322" spans="1:11" x14ac:dyDescent="0.25">
      <c r="A322" s="94" t="s">
        <v>229</v>
      </c>
      <c r="B322" s="94" t="s">
        <v>131</v>
      </c>
      <c r="C322" s="94">
        <v>17413</v>
      </c>
      <c r="D322" s="94" t="s">
        <v>794</v>
      </c>
      <c r="E322" s="94">
        <v>15020</v>
      </c>
      <c r="F322" s="94" t="s">
        <v>794</v>
      </c>
      <c r="G322" s="94" t="str">
        <f t="shared" si="5"/>
        <v>LymhurstR18</v>
      </c>
      <c r="H322" s="94" t="s">
        <v>380</v>
      </c>
      <c r="I322" s="94">
        <v>18</v>
      </c>
      <c r="J322">
        <v>15020</v>
      </c>
      <c r="K322" t="s">
        <v>794</v>
      </c>
    </row>
    <row r="323" spans="1:11" x14ac:dyDescent="0.25">
      <c r="A323" s="94" t="s">
        <v>229</v>
      </c>
      <c r="B323" s="94" t="s">
        <v>132</v>
      </c>
      <c r="C323" s="94">
        <v>18999</v>
      </c>
      <c r="D323" s="94" t="s">
        <v>887</v>
      </c>
      <c r="E323" s="94"/>
      <c r="F323" s="94"/>
      <c r="G323" s="94" t="str">
        <f t="shared" si="5"/>
        <v>MartlockR18</v>
      </c>
      <c r="H323" s="94" t="s">
        <v>380</v>
      </c>
      <c r="I323" s="94">
        <v>18</v>
      </c>
    </row>
    <row r="324" spans="1:11" x14ac:dyDescent="0.25">
      <c r="A324" s="94" t="s">
        <v>229</v>
      </c>
      <c r="B324" s="94" t="s">
        <v>133</v>
      </c>
      <c r="C324" s="94">
        <v>25500</v>
      </c>
      <c r="D324" s="94" t="s">
        <v>877</v>
      </c>
      <c r="E324" s="94">
        <v>15559</v>
      </c>
      <c r="F324" s="94" t="s">
        <v>795</v>
      </c>
      <c r="G324" s="94" t="str">
        <f t="shared" si="5"/>
        <v>ThetfordR18</v>
      </c>
      <c r="H324" s="94" t="s">
        <v>380</v>
      </c>
      <c r="I324" s="94">
        <v>18</v>
      </c>
      <c r="J324">
        <v>15559</v>
      </c>
      <c r="K324" t="s">
        <v>795</v>
      </c>
    </row>
    <row r="325" spans="1:11" x14ac:dyDescent="0.25">
      <c r="A325" s="94" t="s">
        <v>230</v>
      </c>
      <c r="B325" s="94" t="s">
        <v>127</v>
      </c>
      <c r="C325" s="94">
        <v>46994</v>
      </c>
      <c r="D325" s="94" t="s">
        <v>804</v>
      </c>
      <c r="E325" s="94"/>
      <c r="F325" s="94"/>
      <c r="G325" s="94" t="str">
        <f t="shared" si="5"/>
        <v>BrecilienR19</v>
      </c>
      <c r="H325" s="94" t="s">
        <v>380</v>
      </c>
      <c r="I325" s="94">
        <v>19</v>
      </c>
    </row>
    <row r="326" spans="1:11" x14ac:dyDescent="0.25">
      <c r="A326" s="94" t="s">
        <v>230</v>
      </c>
      <c r="B326" s="94" t="s">
        <v>128</v>
      </c>
      <c r="C326" s="94"/>
      <c r="D326" s="94"/>
      <c r="E326" s="94"/>
      <c r="F326" s="94"/>
      <c r="G326" s="94" t="str">
        <f t="shared" si="5"/>
        <v>BridgewatchR19</v>
      </c>
      <c r="H326" s="94" t="s">
        <v>380</v>
      </c>
      <c r="I326" s="94">
        <v>19</v>
      </c>
    </row>
    <row r="327" spans="1:11" x14ac:dyDescent="0.25">
      <c r="A327" s="94" t="s">
        <v>230</v>
      </c>
      <c r="B327" s="94" t="s">
        <v>129</v>
      </c>
      <c r="C327" s="94">
        <v>44997</v>
      </c>
      <c r="D327" s="94" t="s">
        <v>869</v>
      </c>
      <c r="E327" s="94"/>
      <c r="F327" s="94"/>
      <c r="G327" s="94" t="str">
        <f t="shared" si="5"/>
        <v>CaerleonR19</v>
      </c>
      <c r="H327" s="94" t="s">
        <v>380</v>
      </c>
      <c r="I327" s="94">
        <v>19</v>
      </c>
    </row>
    <row r="328" spans="1:11" x14ac:dyDescent="0.25">
      <c r="A328" s="94" t="s">
        <v>230</v>
      </c>
      <c r="B328" s="94" t="s">
        <v>130</v>
      </c>
      <c r="C328" s="94">
        <v>49482</v>
      </c>
      <c r="D328" s="94" t="s">
        <v>823</v>
      </c>
      <c r="E328" s="94"/>
      <c r="F328" s="94"/>
      <c r="G328" s="94" t="str">
        <f t="shared" si="5"/>
        <v>Fort SterlingR19</v>
      </c>
      <c r="H328" s="94" t="s">
        <v>380</v>
      </c>
      <c r="I328" s="94">
        <v>19</v>
      </c>
    </row>
    <row r="329" spans="1:11" x14ac:dyDescent="0.25">
      <c r="A329" s="94" t="s">
        <v>230</v>
      </c>
      <c r="B329" s="94" t="s">
        <v>131</v>
      </c>
      <c r="C329" s="94"/>
      <c r="D329" s="94"/>
      <c r="E329" s="94"/>
      <c r="F329" s="94"/>
      <c r="G329" s="94" t="str">
        <f t="shared" si="5"/>
        <v>LymhurstR19</v>
      </c>
      <c r="H329" s="94" t="s">
        <v>380</v>
      </c>
      <c r="I329" s="94">
        <v>19</v>
      </c>
    </row>
    <row r="330" spans="1:11" x14ac:dyDescent="0.25">
      <c r="A330" s="94" t="s">
        <v>230</v>
      </c>
      <c r="B330" s="94" t="s">
        <v>132</v>
      </c>
      <c r="C330" s="94"/>
      <c r="D330" s="94"/>
      <c r="E330" s="94"/>
      <c r="F330" s="94"/>
      <c r="G330" s="94" t="str">
        <f t="shared" si="5"/>
        <v>MartlockR19</v>
      </c>
      <c r="H330" s="94" t="s">
        <v>380</v>
      </c>
      <c r="I330" s="94">
        <v>19</v>
      </c>
    </row>
    <row r="331" spans="1:11" x14ac:dyDescent="0.25">
      <c r="A331" s="94" t="s">
        <v>230</v>
      </c>
      <c r="B331" s="94" t="s">
        <v>133</v>
      </c>
      <c r="C331" s="94"/>
      <c r="D331" s="94"/>
      <c r="E331" s="94"/>
      <c r="F331" s="94"/>
      <c r="G331" s="94" t="str">
        <f t="shared" si="5"/>
        <v>ThetfordR19</v>
      </c>
      <c r="H331" s="94" t="s">
        <v>380</v>
      </c>
      <c r="I331" s="94">
        <v>19</v>
      </c>
    </row>
    <row r="332" spans="1:11" x14ac:dyDescent="0.25">
      <c r="A332" s="94" t="s">
        <v>231</v>
      </c>
      <c r="B332" s="94" t="s">
        <v>127</v>
      </c>
      <c r="C332" s="94">
        <v>204999</v>
      </c>
      <c r="D332" s="94" t="s">
        <v>888</v>
      </c>
      <c r="E332" s="94"/>
      <c r="F332" s="94"/>
      <c r="G332" s="94" t="str">
        <f t="shared" si="5"/>
        <v>BrecilienR20</v>
      </c>
      <c r="H332" s="94" t="s">
        <v>380</v>
      </c>
      <c r="I332" s="94">
        <v>20</v>
      </c>
    </row>
    <row r="333" spans="1:11" x14ac:dyDescent="0.25">
      <c r="A333" s="94" t="s">
        <v>231</v>
      </c>
      <c r="B333" s="94" t="s">
        <v>128</v>
      </c>
      <c r="C333" s="94"/>
      <c r="D333" s="94"/>
      <c r="E333" s="94"/>
      <c r="F333" s="94"/>
      <c r="G333" s="94" t="str">
        <f t="shared" si="5"/>
        <v>BridgewatchR20</v>
      </c>
      <c r="H333" s="94" t="s">
        <v>380</v>
      </c>
      <c r="I333" s="94">
        <v>20</v>
      </c>
    </row>
    <row r="334" spans="1:11" x14ac:dyDescent="0.25">
      <c r="A334" s="94" t="s">
        <v>231</v>
      </c>
      <c r="B334" s="94" t="s">
        <v>129</v>
      </c>
      <c r="C334" s="94">
        <v>239957</v>
      </c>
      <c r="D334" s="94" t="s">
        <v>869</v>
      </c>
      <c r="E334" s="94"/>
      <c r="F334" s="94"/>
      <c r="G334" s="94" t="str">
        <f t="shared" si="5"/>
        <v>CaerleonR20</v>
      </c>
      <c r="H334" s="94" t="s">
        <v>380</v>
      </c>
      <c r="I334" s="94">
        <v>20</v>
      </c>
    </row>
    <row r="335" spans="1:11" x14ac:dyDescent="0.25">
      <c r="A335" s="94" t="s">
        <v>231</v>
      </c>
      <c r="B335" s="94" t="s">
        <v>130</v>
      </c>
      <c r="C335" s="94">
        <v>205997</v>
      </c>
      <c r="D335" s="94" t="s">
        <v>855</v>
      </c>
      <c r="E335" s="94"/>
      <c r="F335" s="94"/>
      <c r="G335" s="94" t="str">
        <f t="shared" si="5"/>
        <v>Fort SterlingR20</v>
      </c>
      <c r="H335" s="94" t="s">
        <v>380</v>
      </c>
      <c r="I335" s="94">
        <v>20</v>
      </c>
    </row>
    <row r="336" spans="1:11" x14ac:dyDescent="0.25">
      <c r="A336" s="94" t="s">
        <v>231</v>
      </c>
      <c r="B336" s="94" t="s">
        <v>131</v>
      </c>
      <c r="C336" s="94">
        <v>190858</v>
      </c>
      <c r="D336" s="94" t="s">
        <v>889</v>
      </c>
      <c r="E336" s="94"/>
      <c r="F336" s="94"/>
      <c r="G336" s="94" t="str">
        <f t="shared" si="5"/>
        <v>LymhurstR20</v>
      </c>
      <c r="H336" s="94" t="s">
        <v>380</v>
      </c>
      <c r="I336" s="94">
        <v>20</v>
      </c>
    </row>
    <row r="337" spans="1:11" x14ac:dyDescent="0.25">
      <c r="A337" s="94" t="s">
        <v>231</v>
      </c>
      <c r="B337" s="94" t="s">
        <v>132</v>
      </c>
      <c r="C337" s="94">
        <v>210000</v>
      </c>
      <c r="D337" s="94" t="s">
        <v>885</v>
      </c>
      <c r="E337" s="94"/>
      <c r="F337" s="94"/>
      <c r="G337" s="94" t="str">
        <f t="shared" si="5"/>
        <v>MartlockR20</v>
      </c>
      <c r="H337" s="94" t="s">
        <v>380</v>
      </c>
      <c r="I337" s="94">
        <v>20</v>
      </c>
    </row>
    <row r="338" spans="1:11" x14ac:dyDescent="0.25">
      <c r="A338" s="94" t="s">
        <v>231</v>
      </c>
      <c r="B338" s="94" t="s">
        <v>133</v>
      </c>
      <c r="C338" s="94">
        <v>307962</v>
      </c>
      <c r="D338" s="94" t="s">
        <v>855</v>
      </c>
      <c r="E338" s="94">
        <v>190794</v>
      </c>
      <c r="F338" s="94" t="s">
        <v>855</v>
      </c>
      <c r="G338" s="94" t="str">
        <f t="shared" si="5"/>
        <v>ThetfordR20</v>
      </c>
      <c r="H338" s="94" t="s">
        <v>380</v>
      </c>
      <c r="I338" s="94">
        <v>20</v>
      </c>
      <c r="J338">
        <v>190794</v>
      </c>
      <c r="K338" t="s">
        <v>855</v>
      </c>
    </row>
    <row r="339" spans="1:11" x14ac:dyDescent="0.25">
      <c r="A339" s="94" t="s">
        <v>232</v>
      </c>
      <c r="B339" s="94" t="s">
        <v>127</v>
      </c>
      <c r="C339" s="94"/>
      <c r="D339" s="94"/>
      <c r="E339" s="94"/>
      <c r="F339" s="94"/>
      <c r="G339" s="94" t="str">
        <f t="shared" si="5"/>
        <v>BrecilienR21</v>
      </c>
      <c r="H339" s="94" t="s">
        <v>380</v>
      </c>
      <c r="I339" s="94">
        <v>21</v>
      </c>
    </row>
    <row r="340" spans="1:11" x14ac:dyDescent="0.25">
      <c r="A340" s="94" t="s">
        <v>232</v>
      </c>
      <c r="B340" s="94" t="s">
        <v>128</v>
      </c>
      <c r="C340" s="94">
        <v>674996</v>
      </c>
      <c r="D340" s="94" t="s">
        <v>890</v>
      </c>
      <c r="E340" s="94"/>
      <c r="F340" s="94"/>
      <c r="G340" s="94" t="str">
        <f t="shared" si="5"/>
        <v>BridgewatchR21</v>
      </c>
      <c r="H340" s="94" t="s">
        <v>380</v>
      </c>
      <c r="I340" s="94">
        <v>21</v>
      </c>
    </row>
    <row r="341" spans="1:11" x14ac:dyDescent="0.25">
      <c r="A341" s="94" t="s">
        <v>232</v>
      </c>
      <c r="B341" s="94" t="s">
        <v>129</v>
      </c>
      <c r="C341" s="94">
        <v>599999</v>
      </c>
      <c r="D341" s="94" t="s">
        <v>890</v>
      </c>
      <c r="E341" s="94"/>
      <c r="F341" s="94"/>
      <c r="G341" s="94" t="str">
        <f t="shared" si="5"/>
        <v>CaerleonR21</v>
      </c>
      <c r="H341" s="94" t="s">
        <v>380</v>
      </c>
      <c r="I341" s="94">
        <v>21</v>
      </c>
    </row>
    <row r="342" spans="1:11" x14ac:dyDescent="0.25">
      <c r="A342" s="94" t="s">
        <v>232</v>
      </c>
      <c r="B342" s="94" t="s">
        <v>130</v>
      </c>
      <c r="C342" s="94">
        <v>689993</v>
      </c>
      <c r="D342" s="94" t="s">
        <v>836</v>
      </c>
      <c r="E342" s="94"/>
      <c r="F342" s="94"/>
      <c r="G342" s="94" t="str">
        <f t="shared" si="5"/>
        <v>Fort SterlingR21</v>
      </c>
      <c r="H342" s="94" t="s">
        <v>380</v>
      </c>
      <c r="I342" s="94">
        <v>21</v>
      </c>
    </row>
    <row r="343" spans="1:11" x14ac:dyDescent="0.25">
      <c r="A343" s="94" t="s">
        <v>232</v>
      </c>
      <c r="B343" s="94" t="s">
        <v>131</v>
      </c>
      <c r="C343" s="94"/>
      <c r="D343" s="94"/>
      <c r="E343" s="94"/>
      <c r="F343" s="94"/>
      <c r="G343" s="94" t="str">
        <f t="shared" si="5"/>
        <v>LymhurstR21</v>
      </c>
      <c r="H343" s="94" t="s">
        <v>380</v>
      </c>
      <c r="I343" s="94">
        <v>21</v>
      </c>
    </row>
    <row r="344" spans="1:11" x14ac:dyDescent="0.25">
      <c r="A344" s="94" t="s">
        <v>232</v>
      </c>
      <c r="B344" s="94" t="s">
        <v>132</v>
      </c>
      <c r="C344" s="94">
        <v>699994</v>
      </c>
      <c r="D344" s="94" t="s">
        <v>863</v>
      </c>
      <c r="E344" s="94"/>
      <c r="F344" s="94"/>
      <c r="G344" s="94" t="str">
        <f t="shared" si="5"/>
        <v>MartlockR21</v>
      </c>
      <c r="H344" s="94" t="s">
        <v>380</v>
      </c>
      <c r="I344" s="94">
        <v>21</v>
      </c>
    </row>
    <row r="345" spans="1:11" x14ac:dyDescent="0.25">
      <c r="A345" s="94" t="s">
        <v>232</v>
      </c>
      <c r="B345" s="94" t="s">
        <v>133</v>
      </c>
      <c r="C345" s="94"/>
      <c r="D345" s="94"/>
      <c r="E345" s="94"/>
      <c r="F345" s="94"/>
      <c r="G345" s="94" t="str">
        <f t="shared" si="5"/>
        <v>ThetfordR21</v>
      </c>
      <c r="H345" s="94" t="s">
        <v>380</v>
      </c>
      <c r="I345" s="94">
        <v>21</v>
      </c>
    </row>
    <row r="346" spans="1:11" x14ac:dyDescent="0.25">
      <c r="A346" s="94" t="s">
        <v>233</v>
      </c>
      <c r="B346" s="94" t="s">
        <v>127</v>
      </c>
      <c r="C346" s="94"/>
      <c r="D346" s="94"/>
      <c r="E346" s="94"/>
      <c r="F346" s="94"/>
      <c r="G346" s="94" t="str">
        <f t="shared" si="5"/>
        <v>BrecilienR22</v>
      </c>
      <c r="H346" s="94" t="s">
        <v>380</v>
      </c>
      <c r="I346" s="94">
        <v>22</v>
      </c>
    </row>
    <row r="347" spans="1:11" x14ac:dyDescent="0.25">
      <c r="A347" s="94" t="s">
        <v>233</v>
      </c>
      <c r="B347" s="94" t="s">
        <v>128</v>
      </c>
      <c r="C347" s="94">
        <v>27280</v>
      </c>
      <c r="D347" s="94" t="s">
        <v>797</v>
      </c>
      <c r="E347" s="94">
        <v>24045</v>
      </c>
      <c r="F347" s="94" t="s">
        <v>891</v>
      </c>
      <c r="G347" s="94" t="str">
        <f t="shared" si="5"/>
        <v>BridgewatchR22</v>
      </c>
      <c r="H347" s="94" t="s">
        <v>380</v>
      </c>
      <c r="I347" s="94">
        <v>22</v>
      </c>
      <c r="J347">
        <v>24045</v>
      </c>
      <c r="K347" t="s">
        <v>891</v>
      </c>
    </row>
    <row r="348" spans="1:11" x14ac:dyDescent="0.25">
      <c r="A348" s="94" t="s">
        <v>233</v>
      </c>
      <c r="B348" s="94" t="s">
        <v>129</v>
      </c>
      <c r="C348" s="94">
        <v>31983</v>
      </c>
      <c r="D348" s="94" t="s">
        <v>869</v>
      </c>
      <c r="E348" s="94"/>
      <c r="F348" s="94"/>
      <c r="G348" s="94" t="str">
        <f t="shared" si="5"/>
        <v>CaerleonR22</v>
      </c>
      <c r="H348" s="94" t="s">
        <v>380</v>
      </c>
      <c r="I348" s="94">
        <v>22</v>
      </c>
    </row>
    <row r="349" spans="1:11" x14ac:dyDescent="0.25">
      <c r="A349" s="94" t="s">
        <v>233</v>
      </c>
      <c r="B349" s="94" t="s">
        <v>130</v>
      </c>
      <c r="C349" s="94">
        <v>28847</v>
      </c>
      <c r="D349" s="94" t="s">
        <v>832</v>
      </c>
      <c r="E349" s="94">
        <v>24509</v>
      </c>
      <c r="F349" s="94" t="s">
        <v>832</v>
      </c>
      <c r="G349" s="94" t="str">
        <f t="shared" si="5"/>
        <v>Fort SterlingR22</v>
      </c>
      <c r="H349" s="94" t="s">
        <v>380</v>
      </c>
      <c r="I349" s="94">
        <v>22</v>
      </c>
      <c r="J349">
        <v>24509</v>
      </c>
      <c r="K349" t="s">
        <v>832</v>
      </c>
    </row>
    <row r="350" spans="1:11" x14ac:dyDescent="0.25">
      <c r="A350" s="94" t="s">
        <v>233</v>
      </c>
      <c r="B350" s="94" t="s">
        <v>131</v>
      </c>
      <c r="C350" s="94">
        <v>26999</v>
      </c>
      <c r="D350" s="94" t="s">
        <v>820</v>
      </c>
      <c r="E350" s="94">
        <v>24105</v>
      </c>
      <c r="F350" s="94" t="s">
        <v>820</v>
      </c>
      <c r="G350" s="94" t="str">
        <f t="shared" si="5"/>
        <v>LymhurstR22</v>
      </c>
      <c r="H350" s="94" t="s">
        <v>380</v>
      </c>
      <c r="I350" s="94">
        <v>22</v>
      </c>
      <c r="J350">
        <v>24105</v>
      </c>
      <c r="K350" t="s">
        <v>820</v>
      </c>
    </row>
    <row r="351" spans="1:11" x14ac:dyDescent="0.25">
      <c r="A351" s="94" t="s">
        <v>233</v>
      </c>
      <c r="B351" s="94" t="s">
        <v>132</v>
      </c>
      <c r="C351" s="94"/>
      <c r="D351" s="94"/>
      <c r="E351" s="94"/>
      <c r="F351" s="94"/>
      <c r="G351" s="94" t="str">
        <f t="shared" si="5"/>
        <v>MartlockR22</v>
      </c>
      <c r="H351" s="94" t="s">
        <v>380</v>
      </c>
      <c r="I351" s="94">
        <v>22</v>
      </c>
    </row>
    <row r="352" spans="1:11" x14ac:dyDescent="0.25">
      <c r="A352" s="94" t="s">
        <v>233</v>
      </c>
      <c r="B352" s="94" t="s">
        <v>133</v>
      </c>
      <c r="C352" s="94">
        <v>27961</v>
      </c>
      <c r="D352" s="94" t="s">
        <v>795</v>
      </c>
      <c r="E352" s="94">
        <v>26001</v>
      </c>
      <c r="F352" s="94" t="s">
        <v>795</v>
      </c>
      <c r="G352" s="94" t="str">
        <f t="shared" si="5"/>
        <v>ThetfordR22</v>
      </c>
      <c r="H352" s="94" t="s">
        <v>380</v>
      </c>
      <c r="I352" s="94">
        <v>22</v>
      </c>
      <c r="J352">
        <v>26001</v>
      </c>
      <c r="K352" t="s">
        <v>795</v>
      </c>
    </row>
    <row r="353" spans="1:11" x14ac:dyDescent="0.25">
      <c r="A353" s="94" t="s">
        <v>234</v>
      </c>
      <c r="B353" s="94" t="s">
        <v>127</v>
      </c>
      <c r="C353" s="94"/>
      <c r="D353" s="94"/>
      <c r="E353" s="94"/>
      <c r="F353" s="94"/>
      <c r="G353" s="94" t="str">
        <f t="shared" si="5"/>
        <v>BrecilienR23</v>
      </c>
      <c r="H353" s="94" t="s">
        <v>380</v>
      </c>
      <c r="I353" s="94">
        <v>23</v>
      </c>
    </row>
    <row r="354" spans="1:11" x14ac:dyDescent="0.25">
      <c r="A354" s="94" t="s">
        <v>234</v>
      </c>
      <c r="B354" s="94" t="s">
        <v>128</v>
      </c>
      <c r="C354" s="94">
        <v>55492</v>
      </c>
      <c r="D354" s="94" t="s">
        <v>797</v>
      </c>
      <c r="E354" s="94">
        <v>34074</v>
      </c>
      <c r="F354" s="94" t="s">
        <v>796</v>
      </c>
      <c r="G354" s="94" t="str">
        <f t="shared" si="5"/>
        <v>BridgewatchR23</v>
      </c>
      <c r="H354" s="94" t="s">
        <v>380</v>
      </c>
      <c r="I354" s="94">
        <v>23</v>
      </c>
      <c r="J354">
        <v>34074</v>
      </c>
      <c r="K354" t="s">
        <v>796</v>
      </c>
    </row>
    <row r="355" spans="1:11" x14ac:dyDescent="0.25">
      <c r="A355" s="94" t="s">
        <v>234</v>
      </c>
      <c r="B355" s="94" t="s">
        <v>129</v>
      </c>
      <c r="C355" s="94">
        <v>77269</v>
      </c>
      <c r="D355" s="94" t="s">
        <v>869</v>
      </c>
      <c r="E355" s="94"/>
      <c r="F355" s="94"/>
      <c r="G355" s="94" t="str">
        <f t="shared" si="5"/>
        <v>CaerleonR23</v>
      </c>
      <c r="H355" s="94" t="s">
        <v>380</v>
      </c>
      <c r="I355" s="94">
        <v>23</v>
      </c>
    </row>
    <row r="356" spans="1:11" x14ac:dyDescent="0.25">
      <c r="A356" s="94" t="s">
        <v>234</v>
      </c>
      <c r="B356" s="94" t="s">
        <v>130</v>
      </c>
      <c r="C356" s="94">
        <v>74889</v>
      </c>
      <c r="D356" s="94" t="s">
        <v>842</v>
      </c>
      <c r="E356" s="94"/>
      <c r="F356" s="94"/>
      <c r="G356" s="94" t="str">
        <f t="shared" si="5"/>
        <v>Fort SterlingR23</v>
      </c>
      <c r="H356" s="94" t="s">
        <v>380</v>
      </c>
      <c r="I356" s="94">
        <v>23</v>
      </c>
    </row>
    <row r="357" spans="1:11" x14ac:dyDescent="0.25">
      <c r="A357" s="94" t="s">
        <v>234</v>
      </c>
      <c r="B357" s="94" t="s">
        <v>131</v>
      </c>
      <c r="C357" s="94">
        <v>54925</v>
      </c>
      <c r="D357" s="94" t="s">
        <v>820</v>
      </c>
      <c r="E357" s="94">
        <v>47017</v>
      </c>
      <c r="F357" s="94" t="s">
        <v>820</v>
      </c>
      <c r="G357" s="94" t="str">
        <f t="shared" si="5"/>
        <v>LymhurstR23</v>
      </c>
      <c r="H357" s="94" t="s">
        <v>380</v>
      </c>
      <c r="I357" s="94">
        <v>23</v>
      </c>
      <c r="J357">
        <v>47017</v>
      </c>
      <c r="K357" t="s">
        <v>820</v>
      </c>
    </row>
    <row r="358" spans="1:11" x14ac:dyDescent="0.25">
      <c r="A358" s="94" t="s">
        <v>234</v>
      </c>
      <c r="B358" s="94" t="s">
        <v>132</v>
      </c>
      <c r="C358" s="94">
        <v>55467</v>
      </c>
      <c r="D358" s="94" t="s">
        <v>832</v>
      </c>
      <c r="E358" s="94">
        <v>41624</v>
      </c>
      <c r="F358" s="94" t="s">
        <v>832</v>
      </c>
      <c r="G358" s="94" t="str">
        <f t="shared" si="5"/>
        <v>MartlockR23</v>
      </c>
      <c r="H358" s="94" t="s">
        <v>380</v>
      </c>
      <c r="I358" s="94">
        <v>23</v>
      </c>
      <c r="J358">
        <v>41624</v>
      </c>
      <c r="K358" t="s">
        <v>832</v>
      </c>
    </row>
    <row r="359" spans="1:11" x14ac:dyDescent="0.25">
      <c r="A359" s="94" t="s">
        <v>234</v>
      </c>
      <c r="B359" s="94" t="s">
        <v>133</v>
      </c>
      <c r="C359" s="94">
        <v>54973</v>
      </c>
      <c r="D359" s="94" t="s">
        <v>892</v>
      </c>
      <c r="E359" s="94"/>
      <c r="F359" s="94"/>
      <c r="G359" s="94" t="str">
        <f t="shared" si="5"/>
        <v>ThetfordR23</v>
      </c>
      <c r="H359" s="94" t="s">
        <v>380</v>
      </c>
      <c r="I359" s="94">
        <v>23</v>
      </c>
    </row>
    <row r="360" spans="1:11" x14ac:dyDescent="0.25">
      <c r="A360" s="94" t="s">
        <v>235</v>
      </c>
      <c r="B360" s="94" t="s">
        <v>127</v>
      </c>
      <c r="C360" s="94"/>
      <c r="D360" s="94"/>
      <c r="E360" s="94"/>
      <c r="F360" s="94"/>
      <c r="G360" s="94" t="str">
        <f t="shared" si="5"/>
        <v>BrecilienR24</v>
      </c>
      <c r="H360" s="94" t="s">
        <v>380</v>
      </c>
      <c r="I360" s="94">
        <v>24</v>
      </c>
    </row>
    <row r="361" spans="1:11" x14ac:dyDescent="0.25">
      <c r="A361" s="94" t="s">
        <v>235</v>
      </c>
      <c r="B361" s="94" t="s">
        <v>128</v>
      </c>
      <c r="C361" s="94">
        <v>209962</v>
      </c>
      <c r="D361" s="94" t="s">
        <v>797</v>
      </c>
      <c r="E361" s="94"/>
      <c r="F361" s="94"/>
      <c r="G361" s="94" t="str">
        <f t="shared" si="5"/>
        <v>BridgewatchR24</v>
      </c>
      <c r="H361" s="94" t="s">
        <v>380</v>
      </c>
      <c r="I361" s="94">
        <v>24</v>
      </c>
    </row>
    <row r="362" spans="1:11" x14ac:dyDescent="0.25">
      <c r="A362" s="94" t="s">
        <v>235</v>
      </c>
      <c r="B362" s="94" t="s">
        <v>129</v>
      </c>
      <c r="C362" s="94">
        <v>269988</v>
      </c>
      <c r="D362" s="94" t="s">
        <v>869</v>
      </c>
      <c r="E362" s="94"/>
      <c r="F362" s="94"/>
      <c r="G362" s="94" t="str">
        <f t="shared" si="5"/>
        <v>CaerleonR24</v>
      </c>
      <c r="H362" s="94" t="s">
        <v>380</v>
      </c>
      <c r="I362" s="94">
        <v>24</v>
      </c>
    </row>
    <row r="363" spans="1:11" x14ac:dyDescent="0.25">
      <c r="A363" s="94" t="s">
        <v>235</v>
      </c>
      <c r="B363" s="94" t="s">
        <v>130</v>
      </c>
      <c r="C363" s="94">
        <v>189977</v>
      </c>
      <c r="D363" s="94" t="s">
        <v>811</v>
      </c>
      <c r="E363" s="94"/>
      <c r="F363" s="94"/>
      <c r="G363" s="94" t="str">
        <f t="shared" si="5"/>
        <v>Fort SterlingR24</v>
      </c>
      <c r="H363" s="94" t="s">
        <v>380</v>
      </c>
      <c r="I363" s="94">
        <v>24</v>
      </c>
    </row>
    <row r="364" spans="1:11" x14ac:dyDescent="0.25">
      <c r="A364" s="94" t="s">
        <v>235</v>
      </c>
      <c r="B364" s="94" t="s">
        <v>131</v>
      </c>
      <c r="C364" s="94">
        <v>181987</v>
      </c>
      <c r="D364" s="94" t="s">
        <v>820</v>
      </c>
      <c r="E364" s="94">
        <v>150036</v>
      </c>
      <c r="F364" s="94" t="s">
        <v>820</v>
      </c>
      <c r="G364" s="94" t="str">
        <f t="shared" si="5"/>
        <v>LymhurstR24</v>
      </c>
      <c r="H364" s="94" t="s">
        <v>380</v>
      </c>
      <c r="I364" s="94">
        <v>24</v>
      </c>
      <c r="J364">
        <v>150036</v>
      </c>
      <c r="K364" t="s">
        <v>820</v>
      </c>
    </row>
    <row r="365" spans="1:11" x14ac:dyDescent="0.25">
      <c r="A365" s="94" t="s">
        <v>235</v>
      </c>
      <c r="B365" s="94" t="s">
        <v>132</v>
      </c>
      <c r="C365" s="94">
        <v>229997</v>
      </c>
      <c r="D365" s="94" t="s">
        <v>863</v>
      </c>
      <c r="E365" s="94"/>
      <c r="F365" s="94"/>
      <c r="G365" s="94" t="str">
        <f t="shared" si="5"/>
        <v>MartlockR24</v>
      </c>
      <c r="H365" s="94" t="s">
        <v>380</v>
      </c>
      <c r="I365" s="94">
        <v>24</v>
      </c>
    </row>
    <row r="366" spans="1:11" x14ac:dyDescent="0.25">
      <c r="A366" s="94" t="s">
        <v>235</v>
      </c>
      <c r="B366" s="94" t="s">
        <v>133</v>
      </c>
      <c r="C366" s="94">
        <v>209970</v>
      </c>
      <c r="D366" s="94" t="s">
        <v>793</v>
      </c>
      <c r="E366" s="94">
        <v>140062</v>
      </c>
      <c r="F366" s="94" t="s">
        <v>798</v>
      </c>
      <c r="G366" s="94" t="str">
        <f t="shared" si="5"/>
        <v>ThetfordR24</v>
      </c>
      <c r="H366" s="94" t="s">
        <v>380</v>
      </c>
      <c r="I366" s="94">
        <v>24</v>
      </c>
      <c r="J366">
        <v>140062</v>
      </c>
      <c r="K366" t="s">
        <v>798</v>
      </c>
    </row>
    <row r="367" spans="1:11" x14ac:dyDescent="0.25">
      <c r="A367" s="68" t="s">
        <v>236</v>
      </c>
      <c r="B367" s="68" t="s">
        <v>127</v>
      </c>
      <c r="C367" s="68"/>
      <c r="D367" s="68"/>
      <c r="E367" s="68"/>
      <c r="F367" s="68"/>
      <c r="G367" s="94" t="str">
        <f t="shared" si="5"/>
        <v>BrecilienR25</v>
      </c>
      <c r="H367" s="94" t="s">
        <v>380</v>
      </c>
      <c r="I367" s="94">
        <v>25</v>
      </c>
    </row>
    <row r="368" spans="1:11" x14ac:dyDescent="0.25">
      <c r="A368" s="81" t="s">
        <v>236</v>
      </c>
      <c r="B368" s="81" t="s">
        <v>128</v>
      </c>
      <c r="C368" s="81">
        <v>619994</v>
      </c>
      <c r="D368" s="81" t="s">
        <v>797</v>
      </c>
      <c r="E368" s="81"/>
      <c r="F368" s="81"/>
      <c r="G368" s="94" t="str">
        <f t="shared" si="5"/>
        <v>BridgewatchR25</v>
      </c>
      <c r="H368" s="94" t="s">
        <v>380</v>
      </c>
      <c r="I368" s="94">
        <v>25</v>
      </c>
    </row>
    <row r="369" spans="1:9" x14ac:dyDescent="0.25">
      <c r="A369" s="81" t="s">
        <v>236</v>
      </c>
      <c r="B369" s="81" t="s">
        <v>129</v>
      </c>
      <c r="C369" s="81">
        <v>644444</v>
      </c>
      <c r="D369" s="81" t="s">
        <v>869</v>
      </c>
      <c r="E369" s="81"/>
      <c r="F369" s="81"/>
      <c r="G369" s="94" t="str">
        <f t="shared" si="5"/>
        <v>CaerleonR25</v>
      </c>
      <c r="H369" s="94" t="s">
        <v>380</v>
      </c>
      <c r="I369" s="94">
        <v>25</v>
      </c>
    </row>
    <row r="370" spans="1:9" x14ac:dyDescent="0.25">
      <c r="A370" s="81" t="s">
        <v>236</v>
      </c>
      <c r="B370" s="81" t="s">
        <v>130</v>
      </c>
      <c r="C370" s="81">
        <v>589891</v>
      </c>
      <c r="D370" s="81" t="s">
        <v>836</v>
      </c>
      <c r="E370" s="81"/>
      <c r="F370" s="81"/>
      <c r="G370" s="94" t="str">
        <f t="shared" si="5"/>
        <v>Fort SterlingR25</v>
      </c>
      <c r="H370" s="94" t="s">
        <v>380</v>
      </c>
      <c r="I370" s="94">
        <v>25</v>
      </c>
    </row>
    <row r="371" spans="1:9" x14ac:dyDescent="0.25">
      <c r="A371" s="81" t="s">
        <v>236</v>
      </c>
      <c r="B371" s="81" t="s">
        <v>131</v>
      </c>
      <c r="C371" s="81"/>
      <c r="D371" s="81"/>
      <c r="E371" s="81"/>
      <c r="F371" s="81"/>
      <c r="G371" s="94" t="str">
        <f t="shared" si="5"/>
        <v>LymhurstR25</v>
      </c>
      <c r="H371" s="94" t="s">
        <v>380</v>
      </c>
      <c r="I371" s="94">
        <v>25</v>
      </c>
    </row>
    <row r="372" spans="1:9" x14ac:dyDescent="0.25">
      <c r="A372" s="81" t="s">
        <v>236</v>
      </c>
      <c r="B372" s="81" t="s">
        <v>132</v>
      </c>
      <c r="C372" s="81">
        <v>594000</v>
      </c>
      <c r="D372" s="81" t="s">
        <v>863</v>
      </c>
      <c r="E372" s="81"/>
      <c r="F372" s="81"/>
      <c r="G372" s="94" t="str">
        <f t="shared" si="5"/>
        <v>MartlockR25</v>
      </c>
      <c r="H372" s="94" t="s">
        <v>380</v>
      </c>
      <c r="I372" s="94">
        <v>25</v>
      </c>
    </row>
    <row r="373" spans="1:9" x14ac:dyDescent="0.25">
      <c r="A373" s="81" t="s">
        <v>236</v>
      </c>
      <c r="B373" s="81" t="s">
        <v>133</v>
      </c>
      <c r="C373" s="81">
        <v>599958</v>
      </c>
      <c r="D373" s="81" t="s">
        <v>797</v>
      </c>
      <c r="E373" s="81"/>
      <c r="F373" s="81"/>
      <c r="G373" s="94" t="str">
        <f t="shared" si="5"/>
        <v>ThetfordR25</v>
      </c>
      <c r="H373" s="94" t="s">
        <v>380</v>
      </c>
      <c r="I373" s="94">
        <v>25</v>
      </c>
    </row>
    <row r="374" spans="1:9" x14ac:dyDescent="0.25">
      <c r="A374" s="81" t="s">
        <v>237</v>
      </c>
      <c r="B374" s="81" t="s">
        <v>127</v>
      </c>
      <c r="C374" s="81"/>
      <c r="D374" s="81"/>
      <c r="E374" s="81"/>
      <c r="F374" s="81"/>
      <c r="G374" s="94" t="str">
        <f t="shared" si="5"/>
        <v>BrecilienR26</v>
      </c>
      <c r="H374" s="94" t="s">
        <v>380</v>
      </c>
      <c r="I374" s="94">
        <v>26</v>
      </c>
    </row>
    <row r="375" spans="1:9" x14ac:dyDescent="0.25">
      <c r="A375" s="81" t="s">
        <v>237</v>
      </c>
      <c r="B375" s="81" t="s">
        <v>128</v>
      </c>
      <c r="C375" s="81">
        <v>3189986</v>
      </c>
      <c r="D375" s="81" t="s">
        <v>797</v>
      </c>
      <c r="E375" s="81"/>
      <c r="F375" s="81"/>
      <c r="G375" s="94" t="str">
        <f t="shared" si="5"/>
        <v>BridgewatchR26</v>
      </c>
      <c r="H375" s="94" t="s">
        <v>380</v>
      </c>
      <c r="I375" s="94">
        <v>26</v>
      </c>
    </row>
    <row r="376" spans="1:9" x14ac:dyDescent="0.25">
      <c r="A376" s="81" t="s">
        <v>237</v>
      </c>
      <c r="B376" s="81" t="s">
        <v>129</v>
      </c>
      <c r="C376" s="81"/>
      <c r="D376" s="81"/>
      <c r="E376" s="81"/>
      <c r="F376" s="81"/>
      <c r="G376" s="94" t="str">
        <f t="shared" si="5"/>
        <v>CaerleonR26</v>
      </c>
      <c r="H376" s="94" t="s">
        <v>380</v>
      </c>
      <c r="I376" s="94">
        <v>26</v>
      </c>
    </row>
    <row r="377" spans="1:9" x14ac:dyDescent="0.25">
      <c r="A377" s="81" t="s">
        <v>237</v>
      </c>
      <c r="B377" s="81" t="s">
        <v>130</v>
      </c>
      <c r="C377" s="81">
        <v>2980999</v>
      </c>
      <c r="D377" s="81" t="s">
        <v>842</v>
      </c>
      <c r="E377" s="81"/>
      <c r="F377" s="81"/>
      <c r="G377" s="94" t="str">
        <f t="shared" si="5"/>
        <v>Fort SterlingR26</v>
      </c>
      <c r="H377" s="94" t="s">
        <v>380</v>
      </c>
      <c r="I377" s="94">
        <v>26</v>
      </c>
    </row>
    <row r="378" spans="1:9" x14ac:dyDescent="0.25">
      <c r="A378" s="81" t="s">
        <v>237</v>
      </c>
      <c r="B378" s="81" t="s">
        <v>131</v>
      </c>
      <c r="C378" s="81"/>
      <c r="D378" s="81"/>
      <c r="E378" s="81"/>
      <c r="F378" s="81"/>
      <c r="G378" s="94" t="str">
        <f t="shared" si="5"/>
        <v>LymhurstR26</v>
      </c>
      <c r="H378" s="94" t="s">
        <v>380</v>
      </c>
      <c r="I378" s="94">
        <v>26</v>
      </c>
    </row>
    <row r="379" spans="1:9" x14ac:dyDescent="0.25">
      <c r="A379" s="81" t="s">
        <v>237</v>
      </c>
      <c r="B379" s="81" t="s">
        <v>132</v>
      </c>
      <c r="C379" s="81">
        <v>2850000</v>
      </c>
      <c r="D379" s="81" t="s">
        <v>863</v>
      </c>
      <c r="E379" s="81"/>
      <c r="F379" s="81"/>
      <c r="G379" s="94" t="str">
        <f t="shared" si="5"/>
        <v>MartlockR26</v>
      </c>
      <c r="H379" s="94" t="s">
        <v>380</v>
      </c>
      <c r="I379" s="94">
        <v>26</v>
      </c>
    </row>
    <row r="380" spans="1:9" x14ac:dyDescent="0.25">
      <c r="A380" s="81" t="s">
        <v>237</v>
      </c>
      <c r="B380" s="81" t="s">
        <v>133</v>
      </c>
      <c r="C380" s="81">
        <v>2999981</v>
      </c>
      <c r="D380" s="81" t="s">
        <v>797</v>
      </c>
      <c r="E380" s="81"/>
      <c r="F380" s="81"/>
      <c r="G380" s="94" t="str">
        <f t="shared" si="5"/>
        <v>ThetfordR26</v>
      </c>
      <c r="H380" s="94" t="s">
        <v>380</v>
      </c>
      <c r="I380" s="94">
        <v>26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80BE1-179E-46DB-B033-CA39B2CCE8BB}">
  <sheetPr codeName="Planilha16">
    <tabColor rgb="FFFFC000"/>
  </sheetPr>
  <dimension ref="A1:I380"/>
  <sheetViews>
    <sheetView showGridLines="0" showRowColHeaders="0" showZeros="0" workbookViewId="0">
      <selection activeCell="F7" sqref="F7:G7"/>
    </sheetView>
  </sheetViews>
  <sheetFormatPr defaultColWidth="0" defaultRowHeight="15" zeroHeight="1" x14ac:dyDescent="0.25"/>
  <cols>
    <col min="1" max="7" width="18.42578125" customWidth="1"/>
    <col min="8" max="9" width="6.85546875" customWidth="1"/>
    <col min="10" max="16384" width="9.140625" hidden="1"/>
  </cols>
  <sheetData>
    <row r="1" spans="1:9" x14ac:dyDescent="0.25">
      <c r="A1" s="98"/>
      <c r="B1" s="98"/>
      <c r="C1" s="98"/>
      <c r="D1" s="98"/>
      <c r="E1" s="98"/>
      <c r="F1" s="98"/>
      <c r="G1" s="98" t="s">
        <v>381</v>
      </c>
      <c r="H1" s="98" t="s">
        <v>382</v>
      </c>
      <c r="I1" s="98" t="s">
        <v>365</v>
      </c>
    </row>
    <row r="2" spans="1:9" x14ac:dyDescent="0.25">
      <c r="A2" s="94" t="s">
        <v>563</v>
      </c>
      <c r="B2" s="94" t="s">
        <v>127</v>
      </c>
      <c r="C2" s="94">
        <v>19</v>
      </c>
      <c r="D2" s="94" t="s">
        <v>597</v>
      </c>
      <c r="E2" s="94"/>
      <c r="F2" s="94"/>
      <c r="G2" s="94" t="str">
        <f>_xlfn.CONCAT(B2,H2,I2)</f>
        <v>BrecilienB0</v>
      </c>
      <c r="H2" s="94" t="s">
        <v>377</v>
      </c>
      <c r="I2" s="94">
        <v>0</v>
      </c>
    </row>
    <row r="3" spans="1:9" x14ac:dyDescent="0.25">
      <c r="A3" s="94" t="s">
        <v>563</v>
      </c>
      <c r="B3" s="94" t="s">
        <v>128</v>
      </c>
      <c r="C3" s="94">
        <v>34</v>
      </c>
      <c r="D3" s="94" t="s">
        <v>659</v>
      </c>
      <c r="E3" s="94"/>
      <c r="F3" s="94"/>
      <c r="G3" s="94" t="str">
        <f t="shared" ref="G3:G66" si="0">_xlfn.CONCAT(B3,H3,I3)</f>
        <v>BridgewatchB0</v>
      </c>
      <c r="H3" s="94" t="s">
        <v>377</v>
      </c>
      <c r="I3" s="94">
        <v>0</v>
      </c>
    </row>
    <row r="4" spans="1:9" x14ac:dyDescent="0.25">
      <c r="A4" s="94" t="s">
        <v>563</v>
      </c>
      <c r="B4" s="94" t="s">
        <v>129</v>
      </c>
      <c r="C4" s="94">
        <v>50</v>
      </c>
      <c r="D4" s="94" t="s">
        <v>578</v>
      </c>
      <c r="E4" s="94"/>
      <c r="F4" s="94"/>
      <c r="G4" s="94" t="str">
        <f t="shared" si="0"/>
        <v>CaerleonB0</v>
      </c>
      <c r="H4" s="94" t="s">
        <v>377</v>
      </c>
      <c r="I4" s="94">
        <v>0</v>
      </c>
    </row>
    <row r="5" spans="1:9" x14ac:dyDescent="0.25">
      <c r="A5" s="94" t="s">
        <v>563</v>
      </c>
      <c r="B5" s="94" t="s">
        <v>130</v>
      </c>
      <c r="C5" s="94">
        <v>43</v>
      </c>
      <c r="D5" s="94" t="s">
        <v>629</v>
      </c>
      <c r="E5" s="94"/>
      <c r="F5" s="94"/>
      <c r="G5" s="94" t="str">
        <f t="shared" si="0"/>
        <v>Fort SterlingB0</v>
      </c>
      <c r="H5" s="94" t="s">
        <v>377</v>
      </c>
      <c r="I5" s="94">
        <v>0</v>
      </c>
    </row>
    <row r="6" spans="1:9" x14ac:dyDescent="0.25">
      <c r="A6" s="94" t="s">
        <v>563</v>
      </c>
      <c r="B6" s="94" t="s">
        <v>131</v>
      </c>
      <c r="C6" s="94">
        <v>19</v>
      </c>
      <c r="D6" s="94" t="s">
        <v>660</v>
      </c>
      <c r="E6" s="94"/>
      <c r="F6" s="94"/>
      <c r="G6" s="94" t="str">
        <f t="shared" si="0"/>
        <v>LymhurstB0</v>
      </c>
      <c r="H6" s="94" t="s">
        <v>377</v>
      </c>
      <c r="I6" s="94">
        <v>0</v>
      </c>
    </row>
    <row r="7" spans="1:9" x14ac:dyDescent="0.25">
      <c r="A7" s="94" t="s">
        <v>563</v>
      </c>
      <c r="B7" s="94" t="s">
        <v>132</v>
      </c>
      <c r="C7" s="94">
        <v>32</v>
      </c>
      <c r="D7" s="94" t="s">
        <v>609</v>
      </c>
      <c r="E7" s="94"/>
      <c r="F7" s="94"/>
      <c r="G7" s="94" t="str">
        <f t="shared" si="0"/>
        <v>MartlockB0</v>
      </c>
      <c r="H7" s="94" t="s">
        <v>377</v>
      </c>
      <c r="I7" s="94">
        <v>0</v>
      </c>
    </row>
    <row r="8" spans="1:9" x14ac:dyDescent="0.25">
      <c r="A8" s="94" t="s">
        <v>563</v>
      </c>
      <c r="B8" s="94" t="s">
        <v>133</v>
      </c>
      <c r="C8" s="94">
        <v>50</v>
      </c>
      <c r="D8" s="94" t="s">
        <v>650</v>
      </c>
      <c r="E8" s="94"/>
      <c r="F8" s="94"/>
      <c r="G8" s="94" t="str">
        <f t="shared" si="0"/>
        <v>ThetfordB0</v>
      </c>
      <c r="H8" s="94" t="s">
        <v>377</v>
      </c>
      <c r="I8" s="94">
        <v>0</v>
      </c>
    </row>
    <row r="9" spans="1:9" x14ac:dyDescent="0.25">
      <c r="A9" s="94" t="s">
        <v>238</v>
      </c>
      <c r="B9" s="94" t="s">
        <v>127</v>
      </c>
      <c r="C9" s="94">
        <v>14</v>
      </c>
      <c r="D9" s="94" t="s">
        <v>597</v>
      </c>
      <c r="E9" s="94"/>
      <c r="F9" s="94"/>
      <c r="G9" s="94" t="str">
        <f t="shared" si="0"/>
        <v>BrecilienB1</v>
      </c>
      <c r="H9" s="94" t="s">
        <v>377</v>
      </c>
      <c r="I9" s="94">
        <v>1</v>
      </c>
    </row>
    <row r="10" spans="1:9" x14ac:dyDescent="0.25">
      <c r="A10" s="94" t="s">
        <v>238</v>
      </c>
      <c r="B10" s="94" t="s">
        <v>128</v>
      </c>
      <c r="C10" s="94"/>
      <c r="D10" s="94"/>
      <c r="E10" s="94"/>
      <c r="F10" s="94"/>
      <c r="G10" s="94" t="str">
        <f t="shared" si="0"/>
        <v>BridgewatchB1</v>
      </c>
      <c r="H10" s="94" t="s">
        <v>377</v>
      </c>
      <c r="I10" s="94">
        <v>1</v>
      </c>
    </row>
    <row r="11" spans="1:9" x14ac:dyDescent="0.25">
      <c r="A11" s="94" t="s">
        <v>238</v>
      </c>
      <c r="B11" s="94" t="s">
        <v>129</v>
      </c>
      <c r="C11" s="94">
        <v>85</v>
      </c>
      <c r="D11" s="94" t="s">
        <v>578</v>
      </c>
      <c r="E11" s="94"/>
      <c r="F11" s="94"/>
      <c r="G11" s="94" t="str">
        <f t="shared" si="0"/>
        <v>CaerleonB1</v>
      </c>
      <c r="H11" s="94" t="s">
        <v>377</v>
      </c>
      <c r="I11" s="94">
        <v>1</v>
      </c>
    </row>
    <row r="12" spans="1:9" x14ac:dyDescent="0.25">
      <c r="A12" s="94" t="s">
        <v>238</v>
      </c>
      <c r="B12" s="94" t="s">
        <v>130</v>
      </c>
      <c r="C12" s="94">
        <v>50</v>
      </c>
      <c r="D12" s="94" t="s">
        <v>629</v>
      </c>
      <c r="E12" s="94">
        <v>1</v>
      </c>
      <c r="F12" s="94" t="s">
        <v>631</v>
      </c>
      <c r="G12" s="94" t="str">
        <f t="shared" si="0"/>
        <v>Fort SterlingB1</v>
      </c>
      <c r="H12" s="94" t="s">
        <v>377</v>
      </c>
      <c r="I12" s="94">
        <v>1</v>
      </c>
    </row>
    <row r="13" spans="1:9" x14ac:dyDescent="0.25">
      <c r="A13" s="94" t="s">
        <v>238</v>
      </c>
      <c r="B13" s="94" t="s">
        <v>131</v>
      </c>
      <c r="C13" s="94">
        <v>48</v>
      </c>
      <c r="D13" s="94" t="s">
        <v>660</v>
      </c>
      <c r="E13" s="94"/>
      <c r="F13" s="94"/>
      <c r="G13" s="94" t="str">
        <f t="shared" si="0"/>
        <v>LymhurstB1</v>
      </c>
      <c r="H13" s="94" t="s">
        <v>377</v>
      </c>
      <c r="I13" s="94">
        <v>1</v>
      </c>
    </row>
    <row r="14" spans="1:9" x14ac:dyDescent="0.25">
      <c r="A14" s="94" t="s">
        <v>238</v>
      </c>
      <c r="B14" s="94" t="s">
        <v>132</v>
      </c>
      <c r="C14" s="94"/>
      <c r="D14" s="94"/>
      <c r="E14" s="94"/>
      <c r="F14" s="94"/>
      <c r="G14" s="94" t="str">
        <f t="shared" si="0"/>
        <v>MartlockB1</v>
      </c>
      <c r="H14" s="94" t="s">
        <v>377</v>
      </c>
      <c r="I14" s="94">
        <v>1</v>
      </c>
    </row>
    <row r="15" spans="1:9" x14ac:dyDescent="0.25">
      <c r="A15" s="94" t="s">
        <v>238</v>
      </c>
      <c r="B15" s="94" t="s">
        <v>133</v>
      </c>
      <c r="C15" s="94">
        <v>83</v>
      </c>
      <c r="D15" s="94" t="s">
        <v>616</v>
      </c>
      <c r="E15" s="94"/>
      <c r="F15" s="94"/>
      <c r="G15" s="94" t="str">
        <f t="shared" si="0"/>
        <v>ThetfordB1</v>
      </c>
      <c r="H15" s="94" t="s">
        <v>377</v>
      </c>
      <c r="I15" s="94">
        <v>1</v>
      </c>
    </row>
    <row r="16" spans="1:9" x14ac:dyDescent="0.25">
      <c r="A16" s="94" t="s">
        <v>239</v>
      </c>
      <c r="B16" s="94" t="s">
        <v>127</v>
      </c>
      <c r="C16" s="94">
        <v>63</v>
      </c>
      <c r="D16" s="94" t="s">
        <v>632</v>
      </c>
      <c r="E16" s="94">
        <v>62</v>
      </c>
      <c r="F16" s="94" t="s">
        <v>632</v>
      </c>
      <c r="G16" s="94" t="str">
        <f t="shared" si="0"/>
        <v>BrecilienB2</v>
      </c>
      <c r="H16" s="94" t="s">
        <v>377</v>
      </c>
      <c r="I16" s="94">
        <v>2</v>
      </c>
    </row>
    <row r="17" spans="1:9" x14ac:dyDescent="0.25">
      <c r="A17" s="94" t="s">
        <v>239</v>
      </c>
      <c r="B17" s="94" t="s">
        <v>128</v>
      </c>
      <c r="C17" s="94">
        <v>48</v>
      </c>
      <c r="D17" s="94" t="s">
        <v>652</v>
      </c>
      <c r="E17" s="94"/>
      <c r="F17" s="94"/>
      <c r="G17" s="94" t="str">
        <f t="shared" si="0"/>
        <v>BridgewatchB2</v>
      </c>
      <c r="H17" s="94" t="s">
        <v>377</v>
      </c>
      <c r="I17" s="94">
        <v>2</v>
      </c>
    </row>
    <row r="18" spans="1:9" x14ac:dyDescent="0.25">
      <c r="A18" s="94" t="s">
        <v>239</v>
      </c>
      <c r="B18" s="94" t="s">
        <v>129</v>
      </c>
      <c r="C18" s="94">
        <v>56</v>
      </c>
      <c r="D18" s="94" t="s">
        <v>577</v>
      </c>
      <c r="E18" s="94">
        <v>52</v>
      </c>
      <c r="F18" s="94" t="s">
        <v>635</v>
      </c>
      <c r="G18" s="94" t="str">
        <f t="shared" si="0"/>
        <v>CaerleonB2</v>
      </c>
      <c r="H18" s="94" t="s">
        <v>377</v>
      </c>
      <c r="I18" s="94">
        <v>2</v>
      </c>
    </row>
    <row r="19" spans="1:9" x14ac:dyDescent="0.25">
      <c r="A19" s="94" t="s">
        <v>239</v>
      </c>
      <c r="B19" s="94" t="s">
        <v>130</v>
      </c>
      <c r="C19" s="94">
        <v>73</v>
      </c>
      <c r="D19" s="94" t="s">
        <v>614</v>
      </c>
      <c r="E19" s="94">
        <v>1</v>
      </c>
      <c r="F19" s="94" t="s">
        <v>631</v>
      </c>
      <c r="G19" s="94" t="str">
        <f t="shared" si="0"/>
        <v>Fort SterlingB2</v>
      </c>
      <c r="H19" s="94" t="s">
        <v>377</v>
      </c>
      <c r="I19" s="94">
        <v>2</v>
      </c>
    </row>
    <row r="20" spans="1:9" x14ac:dyDescent="0.25">
      <c r="A20" s="94" t="s">
        <v>239</v>
      </c>
      <c r="B20" s="94" t="s">
        <v>131</v>
      </c>
      <c r="C20" s="94">
        <v>72</v>
      </c>
      <c r="D20" s="94" t="s">
        <v>621</v>
      </c>
      <c r="E20" s="94"/>
      <c r="F20" s="94"/>
      <c r="G20" s="94" t="str">
        <f t="shared" si="0"/>
        <v>LymhurstB2</v>
      </c>
      <c r="H20" s="94" t="s">
        <v>377</v>
      </c>
      <c r="I20" s="94">
        <v>2</v>
      </c>
    </row>
    <row r="21" spans="1:9" x14ac:dyDescent="0.25">
      <c r="A21" s="94" t="s">
        <v>239</v>
      </c>
      <c r="B21" s="94" t="s">
        <v>132</v>
      </c>
      <c r="C21" s="94">
        <v>56</v>
      </c>
      <c r="D21" s="94" t="s">
        <v>614</v>
      </c>
      <c r="E21" s="94"/>
      <c r="F21" s="94"/>
      <c r="G21" s="94" t="str">
        <f t="shared" si="0"/>
        <v>MartlockB2</v>
      </c>
      <c r="H21" s="94" t="s">
        <v>377</v>
      </c>
      <c r="I21" s="94">
        <v>2</v>
      </c>
    </row>
    <row r="22" spans="1:9" x14ac:dyDescent="0.25">
      <c r="A22" s="94" t="s">
        <v>239</v>
      </c>
      <c r="B22" s="94" t="s">
        <v>133</v>
      </c>
      <c r="C22" s="94">
        <v>95</v>
      </c>
      <c r="D22" s="94" t="s">
        <v>650</v>
      </c>
      <c r="E22" s="94">
        <v>78</v>
      </c>
      <c r="F22" s="94" t="s">
        <v>619</v>
      </c>
      <c r="G22" s="94" t="str">
        <f t="shared" si="0"/>
        <v>ThetfordB2</v>
      </c>
      <c r="H22" s="94" t="s">
        <v>377</v>
      </c>
      <c r="I22" s="94">
        <v>2</v>
      </c>
    </row>
    <row r="23" spans="1:9" x14ac:dyDescent="0.25">
      <c r="A23" s="94" t="s">
        <v>240</v>
      </c>
      <c r="B23" s="94" t="s">
        <v>127</v>
      </c>
      <c r="C23" s="94">
        <v>167</v>
      </c>
      <c r="D23" s="94" t="s">
        <v>632</v>
      </c>
      <c r="E23" s="94">
        <v>157</v>
      </c>
      <c r="F23" s="94" t="s">
        <v>632</v>
      </c>
      <c r="G23" s="94" t="str">
        <f t="shared" si="0"/>
        <v>BrecilienB3</v>
      </c>
      <c r="H23" s="94" t="s">
        <v>377</v>
      </c>
      <c r="I23" s="94">
        <v>3</v>
      </c>
    </row>
    <row r="24" spans="1:9" x14ac:dyDescent="0.25">
      <c r="A24" s="94" t="s">
        <v>240</v>
      </c>
      <c r="B24" s="94" t="s">
        <v>128</v>
      </c>
      <c r="C24" s="94">
        <v>217</v>
      </c>
      <c r="D24" s="94" t="s">
        <v>602</v>
      </c>
      <c r="E24" s="94">
        <v>216</v>
      </c>
      <c r="F24" s="94" t="s">
        <v>602</v>
      </c>
      <c r="G24" s="94" t="str">
        <f t="shared" si="0"/>
        <v>BridgewatchB3</v>
      </c>
      <c r="H24" s="94" t="s">
        <v>377</v>
      </c>
      <c r="I24" s="94">
        <v>3</v>
      </c>
    </row>
    <row r="25" spans="1:9" x14ac:dyDescent="0.25">
      <c r="A25" s="94" t="s">
        <v>240</v>
      </c>
      <c r="B25" s="94" t="s">
        <v>129</v>
      </c>
      <c r="C25" s="94">
        <v>226</v>
      </c>
      <c r="D25" s="94" t="s">
        <v>577</v>
      </c>
      <c r="E25" s="94"/>
      <c r="F25" s="94"/>
      <c r="G25" s="94" t="str">
        <f t="shared" si="0"/>
        <v>CaerleonB3</v>
      </c>
      <c r="H25" s="94" t="s">
        <v>377</v>
      </c>
      <c r="I25" s="94">
        <v>3</v>
      </c>
    </row>
    <row r="26" spans="1:9" x14ac:dyDescent="0.25">
      <c r="A26" s="94" t="s">
        <v>240</v>
      </c>
      <c r="B26" s="94" t="s">
        <v>130</v>
      </c>
      <c r="C26" s="94">
        <v>255</v>
      </c>
      <c r="D26" s="94" t="s">
        <v>614</v>
      </c>
      <c r="E26" s="94">
        <v>253</v>
      </c>
      <c r="F26" s="94" t="s">
        <v>614</v>
      </c>
      <c r="G26" s="94" t="str">
        <f t="shared" si="0"/>
        <v>Fort SterlingB3</v>
      </c>
      <c r="H26" s="94" t="s">
        <v>377</v>
      </c>
      <c r="I26" s="94">
        <v>3</v>
      </c>
    </row>
    <row r="27" spans="1:9" x14ac:dyDescent="0.25">
      <c r="A27" s="94" t="s">
        <v>240</v>
      </c>
      <c r="B27" s="94" t="s">
        <v>131</v>
      </c>
      <c r="C27" s="94">
        <v>221</v>
      </c>
      <c r="D27" s="94" t="s">
        <v>626</v>
      </c>
      <c r="E27" s="94">
        <v>217</v>
      </c>
      <c r="F27" s="94" t="s">
        <v>639</v>
      </c>
      <c r="G27" s="94" t="str">
        <f t="shared" si="0"/>
        <v>LymhurstB3</v>
      </c>
      <c r="H27" s="94" t="s">
        <v>377</v>
      </c>
      <c r="I27" s="94">
        <v>3</v>
      </c>
    </row>
    <row r="28" spans="1:9" x14ac:dyDescent="0.25">
      <c r="A28" s="94" t="s">
        <v>240</v>
      </c>
      <c r="B28" s="94" t="s">
        <v>132</v>
      </c>
      <c r="C28" s="94">
        <v>217</v>
      </c>
      <c r="D28" s="94" t="s">
        <v>596</v>
      </c>
      <c r="E28" s="94">
        <v>206</v>
      </c>
      <c r="F28" s="94" t="s">
        <v>596</v>
      </c>
      <c r="G28" s="94" t="str">
        <f t="shared" si="0"/>
        <v>MartlockB3</v>
      </c>
      <c r="H28" s="94" t="s">
        <v>377</v>
      </c>
      <c r="I28" s="94">
        <v>3</v>
      </c>
    </row>
    <row r="29" spans="1:9" x14ac:dyDescent="0.25">
      <c r="A29" s="94" t="s">
        <v>240</v>
      </c>
      <c r="B29" s="94" t="s">
        <v>133</v>
      </c>
      <c r="C29" s="94">
        <v>235</v>
      </c>
      <c r="D29" s="94" t="s">
        <v>650</v>
      </c>
      <c r="E29" s="94"/>
      <c r="F29" s="94"/>
      <c r="G29" s="94" t="str">
        <f t="shared" si="0"/>
        <v>ThetfordB3</v>
      </c>
      <c r="H29" s="94" t="s">
        <v>377</v>
      </c>
      <c r="I29" s="94">
        <v>3</v>
      </c>
    </row>
    <row r="30" spans="1:9" x14ac:dyDescent="0.25">
      <c r="A30" s="94" t="s">
        <v>241</v>
      </c>
      <c r="B30" s="94" t="s">
        <v>127</v>
      </c>
      <c r="C30" s="94">
        <v>739</v>
      </c>
      <c r="D30" s="94" t="s">
        <v>661</v>
      </c>
      <c r="E30" s="94">
        <v>727</v>
      </c>
      <c r="F30" s="94" t="s">
        <v>632</v>
      </c>
      <c r="G30" s="94" t="str">
        <f t="shared" si="0"/>
        <v>BrecilienB4</v>
      </c>
      <c r="H30" s="94" t="s">
        <v>377</v>
      </c>
      <c r="I30" s="94">
        <v>4</v>
      </c>
    </row>
    <row r="31" spans="1:9" x14ac:dyDescent="0.25">
      <c r="A31" s="94" t="s">
        <v>241</v>
      </c>
      <c r="B31" s="94" t="s">
        <v>128</v>
      </c>
      <c r="C31" s="94"/>
      <c r="D31" s="94"/>
      <c r="E31" s="94"/>
      <c r="F31" s="94"/>
      <c r="G31" s="94" t="str">
        <f t="shared" si="0"/>
        <v>BridgewatchB4</v>
      </c>
      <c r="H31" s="94" t="s">
        <v>377</v>
      </c>
      <c r="I31" s="94">
        <v>4</v>
      </c>
    </row>
    <row r="32" spans="1:9" x14ac:dyDescent="0.25">
      <c r="A32" s="94" t="s">
        <v>241</v>
      </c>
      <c r="B32" s="94" t="s">
        <v>129</v>
      </c>
      <c r="C32" s="94">
        <v>700</v>
      </c>
      <c r="D32" s="94" t="s">
        <v>577</v>
      </c>
      <c r="E32" s="94"/>
      <c r="F32" s="94"/>
      <c r="G32" s="94" t="str">
        <f t="shared" si="0"/>
        <v>CaerleonB4</v>
      </c>
      <c r="H32" s="94" t="s">
        <v>377</v>
      </c>
      <c r="I32" s="94">
        <v>4</v>
      </c>
    </row>
    <row r="33" spans="1:9" x14ac:dyDescent="0.25">
      <c r="A33" s="94" t="s">
        <v>241</v>
      </c>
      <c r="B33" s="94" t="s">
        <v>130</v>
      </c>
      <c r="C33" s="94">
        <v>899</v>
      </c>
      <c r="D33" s="94" t="s">
        <v>614</v>
      </c>
      <c r="E33" s="94">
        <v>898</v>
      </c>
      <c r="F33" s="94" t="s">
        <v>614</v>
      </c>
      <c r="G33" s="94" t="str">
        <f t="shared" si="0"/>
        <v>Fort SterlingB4</v>
      </c>
      <c r="H33" s="94" t="s">
        <v>377</v>
      </c>
      <c r="I33" s="94">
        <v>4</v>
      </c>
    </row>
    <row r="34" spans="1:9" x14ac:dyDescent="0.25">
      <c r="A34" s="94" t="s">
        <v>241</v>
      </c>
      <c r="B34" s="94" t="s">
        <v>131</v>
      </c>
      <c r="C34" s="94">
        <v>874</v>
      </c>
      <c r="D34" s="94" t="s">
        <v>594</v>
      </c>
      <c r="E34" s="94">
        <v>873</v>
      </c>
      <c r="F34" s="94" t="s">
        <v>662</v>
      </c>
      <c r="G34" s="94" t="str">
        <f t="shared" si="0"/>
        <v>LymhurstB4</v>
      </c>
      <c r="H34" s="94" t="s">
        <v>377</v>
      </c>
      <c r="I34" s="94">
        <v>4</v>
      </c>
    </row>
    <row r="35" spans="1:9" x14ac:dyDescent="0.25">
      <c r="A35" s="94" t="s">
        <v>241</v>
      </c>
      <c r="B35" s="94" t="s">
        <v>132</v>
      </c>
      <c r="C35" s="94"/>
      <c r="D35" s="94"/>
      <c r="E35" s="94"/>
      <c r="F35" s="94"/>
      <c r="G35" s="94" t="str">
        <f t="shared" si="0"/>
        <v>MartlockB4</v>
      </c>
      <c r="H35" s="94" t="s">
        <v>377</v>
      </c>
      <c r="I35" s="94">
        <v>4</v>
      </c>
    </row>
    <row r="36" spans="1:9" x14ac:dyDescent="0.25">
      <c r="A36" s="94" t="s">
        <v>241</v>
      </c>
      <c r="B36" s="94" t="s">
        <v>133</v>
      </c>
      <c r="C36" s="94">
        <v>972</v>
      </c>
      <c r="D36" s="94" t="s">
        <v>650</v>
      </c>
      <c r="E36" s="94"/>
      <c r="F36" s="94"/>
      <c r="G36" s="94" t="str">
        <f t="shared" si="0"/>
        <v>ThetfordB4</v>
      </c>
      <c r="H36" s="94" t="s">
        <v>377</v>
      </c>
      <c r="I36" s="94">
        <v>4</v>
      </c>
    </row>
    <row r="37" spans="1:9" x14ac:dyDescent="0.25">
      <c r="A37" s="94" t="s">
        <v>242</v>
      </c>
      <c r="B37" s="94" t="s">
        <v>127</v>
      </c>
      <c r="C37" s="94">
        <v>6075</v>
      </c>
      <c r="D37" s="94" t="s">
        <v>492</v>
      </c>
      <c r="E37" s="94"/>
      <c r="F37" s="94"/>
      <c r="G37" s="94" t="str">
        <f t="shared" si="0"/>
        <v>BrecilienB5</v>
      </c>
      <c r="H37" s="94" t="s">
        <v>377</v>
      </c>
      <c r="I37" s="94">
        <v>5</v>
      </c>
    </row>
    <row r="38" spans="1:9" x14ac:dyDescent="0.25">
      <c r="A38" s="94" t="s">
        <v>242</v>
      </c>
      <c r="B38" s="94" t="s">
        <v>128</v>
      </c>
      <c r="C38" s="94">
        <v>5880</v>
      </c>
      <c r="D38" s="94" t="s">
        <v>652</v>
      </c>
      <c r="E38" s="94">
        <v>5508</v>
      </c>
      <c r="F38" s="94" t="s">
        <v>652</v>
      </c>
      <c r="G38" s="94" t="str">
        <f t="shared" si="0"/>
        <v>BridgewatchB5</v>
      </c>
      <c r="H38" s="94" t="s">
        <v>377</v>
      </c>
      <c r="I38" s="94">
        <v>5</v>
      </c>
    </row>
    <row r="39" spans="1:9" x14ac:dyDescent="0.25">
      <c r="A39" s="94" t="s">
        <v>242</v>
      </c>
      <c r="B39" s="94" t="s">
        <v>129</v>
      </c>
      <c r="C39" s="94">
        <v>6223</v>
      </c>
      <c r="D39" s="94" t="s">
        <v>577</v>
      </c>
      <c r="E39" s="94"/>
      <c r="F39" s="94"/>
      <c r="G39" s="94" t="str">
        <f t="shared" si="0"/>
        <v>CaerleonB5</v>
      </c>
      <c r="H39" s="94" t="s">
        <v>377</v>
      </c>
      <c r="I39" s="94">
        <v>5</v>
      </c>
    </row>
    <row r="40" spans="1:9" x14ac:dyDescent="0.25">
      <c r="A40" s="94" t="s">
        <v>242</v>
      </c>
      <c r="B40" s="94" t="s">
        <v>130</v>
      </c>
      <c r="C40" s="94">
        <v>7498</v>
      </c>
      <c r="D40" s="94" t="s">
        <v>631</v>
      </c>
      <c r="E40" s="94">
        <v>7000</v>
      </c>
      <c r="F40" s="94" t="s">
        <v>644</v>
      </c>
      <c r="G40" s="94" t="str">
        <f t="shared" si="0"/>
        <v>Fort SterlingB5</v>
      </c>
      <c r="H40" s="94" t="s">
        <v>377</v>
      </c>
      <c r="I40" s="94">
        <v>5</v>
      </c>
    </row>
    <row r="41" spans="1:9" x14ac:dyDescent="0.25">
      <c r="A41" s="94" t="s">
        <v>242</v>
      </c>
      <c r="B41" s="94" t="s">
        <v>131</v>
      </c>
      <c r="C41" s="94">
        <v>5984</v>
      </c>
      <c r="D41" s="94" t="s">
        <v>660</v>
      </c>
      <c r="E41" s="94">
        <v>5409</v>
      </c>
      <c r="F41" s="94" t="s">
        <v>660</v>
      </c>
      <c r="G41" s="94" t="str">
        <f t="shared" si="0"/>
        <v>LymhurstB5</v>
      </c>
      <c r="H41" s="94" t="s">
        <v>377</v>
      </c>
      <c r="I41" s="94">
        <v>5</v>
      </c>
    </row>
    <row r="42" spans="1:9" x14ac:dyDescent="0.25">
      <c r="A42" s="94" t="s">
        <v>242</v>
      </c>
      <c r="B42" s="94" t="s">
        <v>132</v>
      </c>
      <c r="C42" s="94">
        <v>6075</v>
      </c>
      <c r="D42" s="94" t="s">
        <v>612</v>
      </c>
      <c r="E42" s="94">
        <v>5900</v>
      </c>
      <c r="F42" s="94" t="s">
        <v>612</v>
      </c>
      <c r="G42" s="94" t="str">
        <f t="shared" si="0"/>
        <v>MartlockB5</v>
      </c>
      <c r="H42" s="94" t="s">
        <v>377</v>
      </c>
      <c r="I42" s="94">
        <v>5</v>
      </c>
    </row>
    <row r="43" spans="1:9" x14ac:dyDescent="0.25">
      <c r="A43" s="94" t="s">
        <v>242</v>
      </c>
      <c r="B43" s="94" t="s">
        <v>133</v>
      </c>
      <c r="C43" s="94">
        <v>7093</v>
      </c>
      <c r="D43" s="94" t="s">
        <v>650</v>
      </c>
      <c r="E43" s="94">
        <v>6113</v>
      </c>
      <c r="F43" s="94" t="s">
        <v>612</v>
      </c>
      <c r="G43" s="94" t="str">
        <f t="shared" si="0"/>
        <v>ThetfordB5</v>
      </c>
      <c r="H43" s="94" t="s">
        <v>377</v>
      </c>
      <c r="I43" s="94">
        <v>5</v>
      </c>
    </row>
    <row r="44" spans="1:9" x14ac:dyDescent="0.25">
      <c r="A44" s="94" t="s">
        <v>243</v>
      </c>
      <c r="B44" s="94" t="s">
        <v>127</v>
      </c>
      <c r="C44" s="94"/>
      <c r="D44" s="94"/>
      <c r="E44" s="94"/>
      <c r="F44" s="94"/>
      <c r="G44" s="94" t="str">
        <f t="shared" si="0"/>
        <v>BrecilienB6</v>
      </c>
      <c r="H44" s="94" t="s">
        <v>377</v>
      </c>
      <c r="I44" s="94">
        <v>6</v>
      </c>
    </row>
    <row r="45" spans="1:9" x14ac:dyDescent="0.25">
      <c r="A45" s="94" t="s">
        <v>243</v>
      </c>
      <c r="B45" s="94" t="s">
        <v>128</v>
      </c>
      <c r="C45" s="94">
        <v>33396</v>
      </c>
      <c r="D45" s="94" t="s">
        <v>593</v>
      </c>
      <c r="E45" s="94"/>
      <c r="F45" s="94"/>
      <c r="G45" s="94" t="str">
        <f t="shared" si="0"/>
        <v>BridgewatchB6</v>
      </c>
      <c r="H45" s="94" t="s">
        <v>377</v>
      </c>
      <c r="I45" s="94">
        <v>6</v>
      </c>
    </row>
    <row r="46" spans="1:9" x14ac:dyDescent="0.25">
      <c r="A46" s="94" t="s">
        <v>243</v>
      </c>
      <c r="B46" s="94" t="s">
        <v>129</v>
      </c>
      <c r="C46" s="94">
        <v>37993</v>
      </c>
      <c r="D46" s="94" t="s">
        <v>636</v>
      </c>
      <c r="E46" s="94"/>
      <c r="F46" s="94"/>
      <c r="G46" s="94" t="str">
        <f t="shared" si="0"/>
        <v>CaerleonB6</v>
      </c>
      <c r="H46" s="94" t="s">
        <v>377</v>
      </c>
      <c r="I46" s="94">
        <v>6</v>
      </c>
    </row>
    <row r="47" spans="1:9" x14ac:dyDescent="0.25">
      <c r="A47" s="94" t="s">
        <v>243</v>
      </c>
      <c r="B47" s="94" t="s">
        <v>130</v>
      </c>
      <c r="C47" s="94">
        <v>35280</v>
      </c>
      <c r="D47" s="94" t="s">
        <v>637</v>
      </c>
      <c r="E47" s="94">
        <v>32109</v>
      </c>
      <c r="F47" s="94" t="s">
        <v>564</v>
      </c>
      <c r="G47" s="94" t="str">
        <f t="shared" si="0"/>
        <v>Fort SterlingB6</v>
      </c>
      <c r="H47" s="94" t="s">
        <v>377</v>
      </c>
      <c r="I47" s="94">
        <v>6</v>
      </c>
    </row>
    <row r="48" spans="1:9" x14ac:dyDescent="0.25">
      <c r="A48" s="94" t="s">
        <v>243</v>
      </c>
      <c r="B48" s="94" t="s">
        <v>131</v>
      </c>
      <c r="C48" s="94"/>
      <c r="D48" s="94"/>
      <c r="E48" s="94"/>
      <c r="F48" s="94"/>
      <c r="G48" s="94" t="str">
        <f t="shared" si="0"/>
        <v>LymhurstB6</v>
      </c>
      <c r="H48" s="94" t="s">
        <v>377</v>
      </c>
      <c r="I48" s="94">
        <v>6</v>
      </c>
    </row>
    <row r="49" spans="1:9" x14ac:dyDescent="0.25">
      <c r="A49" s="94" t="s">
        <v>243</v>
      </c>
      <c r="B49" s="94" t="s">
        <v>132</v>
      </c>
      <c r="C49" s="94"/>
      <c r="D49" s="94"/>
      <c r="E49" s="94"/>
      <c r="F49" s="94"/>
      <c r="G49" s="94" t="str">
        <f t="shared" si="0"/>
        <v>MartlockB6</v>
      </c>
      <c r="H49" s="94" t="s">
        <v>377</v>
      </c>
      <c r="I49" s="94">
        <v>6</v>
      </c>
    </row>
    <row r="50" spans="1:9" x14ac:dyDescent="0.25">
      <c r="A50" s="94" t="s">
        <v>243</v>
      </c>
      <c r="B50" s="94" t="s">
        <v>133</v>
      </c>
      <c r="C50" s="94">
        <v>48482</v>
      </c>
      <c r="D50" s="94" t="s">
        <v>650</v>
      </c>
      <c r="E50" s="94"/>
      <c r="F50" s="94"/>
      <c r="G50" s="94" t="str">
        <f t="shared" si="0"/>
        <v>ThetfordB6</v>
      </c>
      <c r="H50" s="94" t="s">
        <v>377</v>
      </c>
      <c r="I50" s="94">
        <v>6</v>
      </c>
    </row>
    <row r="51" spans="1:9" x14ac:dyDescent="0.25">
      <c r="A51" s="94" t="s">
        <v>244</v>
      </c>
      <c r="B51" s="94" t="s">
        <v>127</v>
      </c>
      <c r="C51" s="94">
        <v>201</v>
      </c>
      <c r="D51" s="94" t="s">
        <v>663</v>
      </c>
      <c r="E51" s="94">
        <v>196</v>
      </c>
      <c r="F51" s="94" t="s">
        <v>663</v>
      </c>
      <c r="G51" s="94" t="str">
        <f t="shared" si="0"/>
        <v>BrecilienB7</v>
      </c>
      <c r="H51" s="94" t="s">
        <v>377</v>
      </c>
      <c r="I51" s="94">
        <v>7</v>
      </c>
    </row>
    <row r="52" spans="1:9" x14ac:dyDescent="0.25">
      <c r="A52" s="94" t="s">
        <v>244</v>
      </c>
      <c r="B52" s="94" t="s">
        <v>128</v>
      </c>
      <c r="C52" s="94">
        <v>242</v>
      </c>
      <c r="D52" s="94" t="s">
        <v>556</v>
      </c>
      <c r="E52" s="94"/>
      <c r="F52" s="94"/>
      <c r="G52" s="94" t="str">
        <f t="shared" si="0"/>
        <v>BridgewatchB7</v>
      </c>
      <c r="H52" s="94" t="s">
        <v>377</v>
      </c>
      <c r="I52" s="94">
        <v>7</v>
      </c>
    </row>
    <row r="53" spans="1:9" x14ac:dyDescent="0.25">
      <c r="A53" s="94" t="s">
        <v>244</v>
      </c>
      <c r="B53" s="94" t="s">
        <v>129</v>
      </c>
      <c r="C53" s="94">
        <v>315</v>
      </c>
      <c r="D53" s="94" t="s">
        <v>587</v>
      </c>
      <c r="E53" s="94">
        <v>301</v>
      </c>
      <c r="F53" s="94" t="s">
        <v>619</v>
      </c>
      <c r="G53" s="94" t="str">
        <f t="shared" si="0"/>
        <v>CaerleonB7</v>
      </c>
      <c r="H53" s="94" t="s">
        <v>377</v>
      </c>
      <c r="I53" s="94">
        <v>7</v>
      </c>
    </row>
    <row r="54" spans="1:9" x14ac:dyDescent="0.25">
      <c r="A54" s="94" t="s">
        <v>244</v>
      </c>
      <c r="B54" s="94" t="s">
        <v>130</v>
      </c>
      <c r="C54" s="94">
        <v>295</v>
      </c>
      <c r="D54" s="94" t="s">
        <v>614</v>
      </c>
      <c r="E54" s="94">
        <v>1</v>
      </c>
      <c r="F54" s="94" t="s">
        <v>631</v>
      </c>
      <c r="G54" s="94" t="str">
        <f t="shared" si="0"/>
        <v>Fort SterlingB7</v>
      </c>
      <c r="H54" s="94" t="s">
        <v>377</v>
      </c>
      <c r="I54" s="94">
        <v>7</v>
      </c>
    </row>
    <row r="55" spans="1:9" x14ac:dyDescent="0.25">
      <c r="A55" s="94" t="s">
        <v>244</v>
      </c>
      <c r="B55" s="94" t="s">
        <v>131</v>
      </c>
      <c r="C55" s="94">
        <v>231</v>
      </c>
      <c r="D55" s="94" t="s">
        <v>660</v>
      </c>
      <c r="E55" s="94">
        <v>227</v>
      </c>
      <c r="F55" s="94" t="s">
        <v>589</v>
      </c>
      <c r="G55" s="94" t="str">
        <f t="shared" si="0"/>
        <v>LymhurstB7</v>
      </c>
      <c r="H55" s="94" t="s">
        <v>377</v>
      </c>
      <c r="I55" s="94">
        <v>7</v>
      </c>
    </row>
    <row r="56" spans="1:9" x14ac:dyDescent="0.25">
      <c r="A56" s="94" t="s">
        <v>244</v>
      </c>
      <c r="B56" s="94" t="s">
        <v>132</v>
      </c>
      <c r="C56" s="94">
        <v>258</v>
      </c>
      <c r="D56" s="94" t="s">
        <v>581</v>
      </c>
      <c r="E56" s="94">
        <v>255</v>
      </c>
      <c r="F56" s="94" t="s">
        <v>581</v>
      </c>
      <c r="G56" s="94" t="str">
        <f t="shared" si="0"/>
        <v>MartlockB7</v>
      </c>
      <c r="H56" s="94" t="s">
        <v>377</v>
      </c>
      <c r="I56" s="94">
        <v>7</v>
      </c>
    </row>
    <row r="57" spans="1:9" x14ac:dyDescent="0.25">
      <c r="A57" s="94" t="s">
        <v>244</v>
      </c>
      <c r="B57" s="94" t="s">
        <v>133</v>
      </c>
      <c r="C57" s="94">
        <v>280</v>
      </c>
      <c r="D57" s="94" t="s">
        <v>650</v>
      </c>
      <c r="E57" s="94">
        <v>276</v>
      </c>
      <c r="F57" s="94" t="s">
        <v>624</v>
      </c>
      <c r="G57" s="94" t="str">
        <f t="shared" si="0"/>
        <v>ThetfordB7</v>
      </c>
      <c r="H57" s="94" t="s">
        <v>377</v>
      </c>
      <c r="I57" s="94">
        <v>7</v>
      </c>
    </row>
    <row r="58" spans="1:9" x14ac:dyDescent="0.25">
      <c r="A58" s="94" t="s">
        <v>245</v>
      </c>
      <c r="B58" s="94" t="s">
        <v>127</v>
      </c>
      <c r="C58" s="94">
        <v>397</v>
      </c>
      <c r="D58" s="94" t="s">
        <v>605</v>
      </c>
      <c r="E58" s="94">
        <v>395</v>
      </c>
      <c r="F58" s="94" t="s">
        <v>605</v>
      </c>
      <c r="G58" s="94" t="str">
        <f t="shared" si="0"/>
        <v>BrecilienB8</v>
      </c>
      <c r="H58" s="94" t="s">
        <v>377</v>
      </c>
      <c r="I58" s="94">
        <v>8</v>
      </c>
    </row>
    <row r="59" spans="1:9" x14ac:dyDescent="0.25">
      <c r="A59" s="94" t="s">
        <v>245</v>
      </c>
      <c r="B59" s="94" t="s">
        <v>128</v>
      </c>
      <c r="C59" s="94">
        <v>444</v>
      </c>
      <c r="D59" s="94" t="s">
        <v>556</v>
      </c>
      <c r="E59" s="94"/>
      <c r="F59" s="94"/>
      <c r="G59" s="94" t="str">
        <f t="shared" si="0"/>
        <v>BridgewatchB8</v>
      </c>
      <c r="H59" s="94" t="s">
        <v>377</v>
      </c>
      <c r="I59" s="94">
        <v>8</v>
      </c>
    </row>
    <row r="60" spans="1:9" x14ac:dyDescent="0.25">
      <c r="A60" s="94" t="s">
        <v>245</v>
      </c>
      <c r="B60" s="94" t="s">
        <v>129</v>
      </c>
      <c r="C60" s="94">
        <v>345</v>
      </c>
      <c r="D60" s="94" t="s">
        <v>598</v>
      </c>
      <c r="E60" s="94">
        <v>337</v>
      </c>
      <c r="F60" s="94" t="s">
        <v>578</v>
      </c>
      <c r="G60" s="94" t="str">
        <f t="shared" si="0"/>
        <v>CaerleonB8</v>
      </c>
      <c r="H60" s="94" t="s">
        <v>377</v>
      </c>
      <c r="I60" s="94">
        <v>8</v>
      </c>
    </row>
    <row r="61" spans="1:9" x14ac:dyDescent="0.25">
      <c r="A61" s="94" t="s">
        <v>245</v>
      </c>
      <c r="B61" s="94" t="s">
        <v>130</v>
      </c>
      <c r="C61" s="94">
        <v>550</v>
      </c>
      <c r="D61" s="94" t="s">
        <v>614</v>
      </c>
      <c r="E61" s="94">
        <v>527</v>
      </c>
      <c r="F61" s="94" t="s">
        <v>614</v>
      </c>
      <c r="G61" s="94" t="str">
        <f t="shared" si="0"/>
        <v>Fort SterlingB8</v>
      </c>
      <c r="H61" s="94" t="s">
        <v>377</v>
      </c>
      <c r="I61" s="94">
        <v>8</v>
      </c>
    </row>
    <row r="62" spans="1:9" x14ac:dyDescent="0.25">
      <c r="A62" s="94" t="s">
        <v>245</v>
      </c>
      <c r="B62" s="94" t="s">
        <v>131</v>
      </c>
      <c r="C62" s="94">
        <v>466</v>
      </c>
      <c r="D62" s="94" t="s">
        <v>586</v>
      </c>
      <c r="E62" s="94">
        <v>465</v>
      </c>
      <c r="F62" s="94" t="s">
        <v>586</v>
      </c>
      <c r="G62" s="94" t="str">
        <f t="shared" si="0"/>
        <v>LymhurstB8</v>
      </c>
      <c r="H62" s="94" t="s">
        <v>377</v>
      </c>
      <c r="I62" s="94">
        <v>8</v>
      </c>
    </row>
    <row r="63" spans="1:9" x14ac:dyDescent="0.25">
      <c r="A63" s="94" t="s">
        <v>245</v>
      </c>
      <c r="B63" s="94" t="s">
        <v>132</v>
      </c>
      <c r="C63" s="94">
        <v>527</v>
      </c>
      <c r="D63" s="94" t="s">
        <v>603</v>
      </c>
      <c r="E63" s="94">
        <v>481</v>
      </c>
      <c r="F63" s="94" t="s">
        <v>626</v>
      </c>
      <c r="G63" s="94" t="str">
        <f t="shared" si="0"/>
        <v>MartlockB8</v>
      </c>
      <c r="H63" s="94" t="s">
        <v>377</v>
      </c>
      <c r="I63" s="94">
        <v>8</v>
      </c>
    </row>
    <row r="64" spans="1:9" x14ac:dyDescent="0.25">
      <c r="A64" s="94" t="s">
        <v>245</v>
      </c>
      <c r="B64" s="94" t="s">
        <v>133</v>
      </c>
      <c r="C64" s="94">
        <v>498</v>
      </c>
      <c r="D64" s="94" t="s">
        <v>650</v>
      </c>
      <c r="E64" s="94">
        <v>468</v>
      </c>
      <c r="F64" s="94" t="s">
        <v>575</v>
      </c>
      <c r="G64" s="94" t="str">
        <f t="shared" si="0"/>
        <v>ThetfordB8</v>
      </c>
      <c r="H64" s="94" t="s">
        <v>377</v>
      </c>
      <c r="I64" s="94">
        <v>8</v>
      </c>
    </row>
    <row r="65" spans="1:9" x14ac:dyDescent="0.25">
      <c r="A65" s="94" t="s">
        <v>246</v>
      </c>
      <c r="B65" s="94" t="s">
        <v>127</v>
      </c>
      <c r="C65" s="94">
        <v>1983</v>
      </c>
      <c r="D65" s="94" t="s">
        <v>661</v>
      </c>
      <c r="E65" s="94">
        <v>1982</v>
      </c>
      <c r="F65" s="94" t="s">
        <v>661</v>
      </c>
      <c r="G65" s="94" t="str">
        <f t="shared" si="0"/>
        <v>BrecilienB9</v>
      </c>
      <c r="H65" s="94" t="s">
        <v>377</v>
      </c>
      <c r="I65" s="94">
        <v>9</v>
      </c>
    </row>
    <row r="66" spans="1:9" x14ac:dyDescent="0.25">
      <c r="A66" s="94" t="s">
        <v>246</v>
      </c>
      <c r="B66" s="94" t="s">
        <v>128</v>
      </c>
      <c r="C66" s="94">
        <v>2067</v>
      </c>
      <c r="D66" s="94" t="s">
        <v>653</v>
      </c>
      <c r="E66" s="94">
        <v>2066</v>
      </c>
      <c r="F66" s="94" t="s">
        <v>653</v>
      </c>
      <c r="G66" s="94" t="str">
        <f t="shared" si="0"/>
        <v>BridgewatchB9</v>
      </c>
      <c r="H66" s="94" t="s">
        <v>377</v>
      </c>
      <c r="I66" s="94">
        <v>9</v>
      </c>
    </row>
    <row r="67" spans="1:9" x14ac:dyDescent="0.25">
      <c r="A67" s="94" t="s">
        <v>246</v>
      </c>
      <c r="B67" s="94" t="s">
        <v>129</v>
      </c>
      <c r="C67" s="94">
        <v>2033</v>
      </c>
      <c r="D67" s="94" t="s">
        <v>664</v>
      </c>
      <c r="E67" s="94"/>
      <c r="F67" s="94"/>
      <c r="G67" s="94" t="str">
        <f t="shared" ref="G67:G130" si="1">_xlfn.CONCAT(B67,H67,I67)</f>
        <v>CaerleonB9</v>
      </c>
      <c r="H67" s="94" t="s">
        <v>377</v>
      </c>
      <c r="I67" s="94">
        <v>9</v>
      </c>
    </row>
    <row r="68" spans="1:9" x14ac:dyDescent="0.25">
      <c r="A68" s="94" t="s">
        <v>246</v>
      </c>
      <c r="B68" s="94" t="s">
        <v>130</v>
      </c>
      <c r="C68" s="94">
        <v>2381</v>
      </c>
      <c r="D68" s="94" t="s">
        <v>639</v>
      </c>
      <c r="E68" s="94">
        <v>2384</v>
      </c>
      <c r="F68" s="94" t="s">
        <v>614</v>
      </c>
      <c r="G68" s="94" t="str">
        <f t="shared" si="1"/>
        <v>Fort SterlingB9</v>
      </c>
      <c r="H68" s="94" t="s">
        <v>377</v>
      </c>
      <c r="I68" s="94">
        <v>9</v>
      </c>
    </row>
    <row r="69" spans="1:9" x14ac:dyDescent="0.25">
      <c r="A69" s="94" t="s">
        <v>246</v>
      </c>
      <c r="B69" s="94" t="s">
        <v>131</v>
      </c>
      <c r="C69" s="94">
        <v>1998</v>
      </c>
      <c r="D69" s="94" t="s">
        <v>660</v>
      </c>
      <c r="E69" s="94">
        <v>1982</v>
      </c>
      <c r="F69" s="94" t="s">
        <v>660</v>
      </c>
      <c r="G69" s="94" t="str">
        <f t="shared" si="1"/>
        <v>LymhurstB9</v>
      </c>
      <c r="H69" s="94" t="s">
        <v>377</v>
      </c>
      <c r="I69" s="94">
        <v>9</v>
      </c>
    </row>
    <row r="70" spans="1:9" x14ac:dyDescent="0.25">
      <c r="A70" s="94" t="s">
        <v>246</v>
      </c>
      <c r="B70" s="94" t="s">
        <v>132</v>
      </c>
      <c r="C70" s="94">
        <v>2148</v>
      </c>
      <c r="D70" s="94" t="s">
        <v>603</v>
      </c>
      <c r="E70" s="94">
        <v>2146</v>
      </c>
      <c r="F70" s="94" t="s">
        <v>581</v>
      </c>
      <c r="G70" s="94" t="str">
        <f t="shared" si="1"/>
        <v>MartlockB9</v>
      </c>
      <c r="H70" s="94" t="s">
        <v>377</v>
      </c>
      <c r="I70" s="94">
        <v>9</v>
      </c>
    </row>
    <row r="71" spans="1:9" x14ac:dyDescent="0.25">
      <c r="A71" s="94" t="s">
        <v>246</v>
      </c>
      <c r="B71" s="94" t="s">
        <v>133</v>
      </c>
      <c r="C71" s="94">
        <v>3082</v>
      </c>
      <c r="D71" s="94" t="s">
        <v>650</v>
      </c>
      <c r="E71" s="94">
        <v>2287</v>
      </c>
      <c r="F71" s="94" t="s">
        <v>607</v>
      </c>
      <c r="G71" s="94" t="str">
        <f t="shared" si="1"/>
        <v>ThetfordB9</v>
      </c>
      <c r="H71" s="94" t="s">
        <v>377</v>
      </c>
      <c r="I71" s="94">
        <v>9</v>
      </c>
    </row>
    <row r="72" spans="1:9" x14ac:dyDescent="0.25">
      <c r="A72" s="94" t="s">
        <v>247</v>
      </c>
      <c r="B72" s="94" t="s">
        <v>127</v>
      </c>
      <c r="C72" s="94">
        <v>10374</v>
      </c>
      <c r="D72" s="94" t="s">
        <v>661</v>
      </c>
      <c r="E72" s="94">
        <v>9563</v>
      </c>
      <c r="F72" s="94" t="s">
        <v>661</v>
      </c>
      <c r="G72" s="94" t="str">
        <f t="shared" si="1"/>
        <v>BrecilienB10</v>
      </c>
      <c r="H72" s="94" t="s">
        <v>377</v>
      </c>
      <c r="I72" s="94">
        <v>10</v>
      </c>
    </row>
    <row r="73" spans="1:9" x14ac:dyDescent="0.25">
      <c r="A73" s="94" t="s">
        <v>247</v>
      </c>
      <c r="B73" s="94" t="s">
        <v>128</v>
      </c>
      <c r="C73" s="94"/>
      <c r="D73" s="94"/>
      <c r="E73" s="94"/>
      <c r="F73" s="94"/>
      <c r="G73" s="94" t="str">
        <f t="shared" si="1"/>
        <v>BridgewatchB10</v>
      </c>
      <c r="H73" s="94" t="s">
        <v>377</v>
      </c>
      <c r="I73" s="94">
        <v>10</v>
      </c>
    </row>
    <row r="74" spans="1:9" x14ac:dyDescent="0.25">
      <c r="A74" s="94" t="s">
        <v>247</v>
      </c>
      <c r="B74" s="94" t="s">
        <v>129</v>
      </c>
      <c r="C74" s="94">
        <v>8985</v>
      </c>
      <c r="D74" s="94" t="s">
        <v>664</v>
      </c>
      <c r="E74" s="94"/>
      <c r="F74" s="94"/>
      <c r="G74" s="94" t="str">
        <f t="shared" si="1"/>
        <v>CaerleonB10</v>
      </c>
      <c r="H74" s="94" t="s">
        <v>377</v>
      </c>
      <c r="I74" s="94">
        <v>10</v>
      </c>
    </row>
    <row r="75" spans="1:9" x14ac:dyDescent="0.25">
      <c r="A75" s="94" t="s">
        <v>247</v>
      </c>
      <c r="B75" s="94" t="s">
        <v>130</v>
      </c>
      <c r="C75" s="94">
        <v>10505</v>
      </c>
      <c r="D75" s="94" t="s">
        <v>626</v>
      </c>
      <c r="E75" s="94">
        <v>10407</v>
      </c>
      <c r="F75" s="94" t="s">
        <v>520</v>
      </c>
      <c r="G75" s="94" t="str">
        <f t="shared" si="1"/>
        <v>Fort SterlingB10</v>
      </c>
      <c r="H75" s="94" t="s">
        <v>377</v>
      </c>
      <c r="I75" s="94">
        <v>10</v>
      </c>
    </row>
    <row r="76" spans="1:9" x14ac:dyDescent="0.25">
      <c r="A76" s="94" t="s">
        <v>247</v>
      </c>
      <c r="B76" s="94" t="s">
        <v>131</v>
      </c>
      <c r="C76" s="94">
        <v>10405</v>
      </c>
      <c r="D76" s="94" t="s">
        <v>660</v>
      </c>
      <c r="E76" s="94">
        <v>8023</v>
      </c>
      <c r="F76" s="94" t="s">
        <v>660</v>
      </c>
      <c r="G76" s="94" t="str">
        <f t="shared" si="1"/>
        <v>LymhurstB10</v>
      </c>
      <c r="H76" s="94" t="s">
        <v>377</v>
      </c>
      <c r="I76" s="94">
        <v>10</v>
      </c>
    </row>
    <row r="77" spans="1:9" x14ac:dyDescent="0.25">
      <c r="A77" s="94" t="s">
        <v>247</v>
      </c>
      <c r="B77" s="94" t="s">
        <v>132</v>
      </c>
      <c r="C77" s="94">
        <v>9766</v>
      </c>
      <c r="D77" s="94" t="s">
        <v>602</v>
      </c>
      <c r="E77" s="94">
        <v>9153</v>
      </c>
      <c r="F77" s="94" t="s">
        <v>602</v>
      </c>
      <c r="G77" s="94" t="str">
        <f t="shared" si="1"/>
        <v>MartlockB10</v>
      </c>
      <c r="H77" s="94" t="s">
        <v>377</v>
      </c>
      <c r="I77" s="94">
        <v>10</v>
      </c>
    </row>
    <row r="78" spans="1:9" x14ac:dyDescent="0.25">
      <c r="A78" s="94" t="s">
        <v>247</v>
      </c>
      <c r="B78" s="94" t="s">
        <v>133</v>
      </c>
      <c r="C78" s="94">
        <v>12633</v>
      </c>
      <c r="D78" s="94" t="s">
        <v>650</v>
      </c>
      <c r="E78" s="94">
        <v>11000</v>
      </c>
      <c r="F78" s="94" t="s">
        <v>607</v>
      </c>
      <c r="G78" s="94" t="str">
        <f t="shared" si="1"/>
        <v>ThetfordB10</v>
      </c>
      <c r="H78" s="94" t="s">
        <v>377</v>
      </c>
      <c r="I78" s="94">
        <v>10</v>
      </c>
    </row>
    <row r="79" spans="1:9" x14ac:dyDescent="0.25">
      <c r="A79" s="94" t="s">
        <v>248</v>
      </c>
      <c r="B79" s="94" t="s">
        <v>127</v>
      </c>
      <c r="C79" s="94">
        <v>48981</v>
      </c>
      <c r="D79" s="94" t="s">
        <v>487</v>
      </c>
      <c r="E79" s="94"/>
      <c r="F79" s="94"/>
      <c r="G79" s="94" t="str">
        <f t="shared" si="1"/>
        <v>BrecilienB11</v>
      </c>
      <c r="H79" s="94" t="s">
        <v>377</v>
      </c>
      <c r="I79" s="94">
        <v>11</v>
      </c>
    </row>
    <row r="80" spans="1:9" x14ac:dyDescent="0.25">
      <c r="A80" s="94" t="s">
        <v>248</v>
      </c>
      <c r="B80" s="94" t="s">
        <v>128</v>
      </c>
      <c r="C80" s="94">
        <v>44636</v>
      </c>
      <c r="D80" s="94" t="s">
        <v>506</v>
      </c>
      <c r="E80" s="94"/>
      <c r="F80" s="94"/>
      <c r="G80" s="94" t="str">
        <f t="shared" si="1"/>
        <v>BridgewatchB11</v>
      </c>
      <c r="H80" s="94" t="s">
        <v>377</v>
      </c>
      <c r="I80" s="94">
        <v>11</v>
      </c>
    </row>
    <row r="81" spans="1:9" x14ac:dyDescent="0.25">
      <c r="A81" s="94" t="s">
        <v>248</v>
      </c>
      <c r="B81" s="94" t="s">
        <v>129</v>
      </c>
      <c r="C81" s="94">
        <v>62996</v>
      </c>
      <c r="D81" s="94" t="s">
        <v>637</v>
      </c>
      <c r="E81" s="94"/>
      <c r="F81" s="94"/>
      <c r="G81" s="94" t="str">
        <f t="shared" si="1"/>
        <v>CaerleonB11</v>
      </c>
      <c r="H81" s="94" t="s">
        <v>377</v>
      </c>
      <c r="I81" s="94">
        <v>11</v>
      </c>
    </row>
    <row r="82" spans="1:9" x14ac:dyDescent="0.25">
      <c r="A82" s="94" t="s">
        <v>248</v>
      </c>
      <c r="B82" s="94" t="s">
        <v>130</v>
      </c>
      <c r="C82" s="94">
        <v>43450</v>
      </c>
      <c r="D82" s="94" t="s">
        <v>559</v>
      </c>
      <c r="E82" s="94"/>
      <c r="F82" s="94"/>
      <c r="G82" s="94" t="str">
        <f t="shared" si="1"/>
        <v>Fort SterlingB11</v>
      </c>
      <c r="H82" s="94" t="s">
        <v>377</v>
      </c>
      <c r="I82" s="94">
        <v>11</v>
      </c>
    </row>
    <row r="83" spans="1:9" x14ac:dyDescent="0.25">
      <c r="A83" s="94" t="s">
        <v>248</v>
      </c>
      <c r="B83" s="94" t="s">
        <v>131</v>
      </c>
      <c r="C83" s="94"/>
      <c r="D83" s="94"/>
      <c r="E83" s="94"/>
      <c r="F83" s="94"/>
      <c r="G83" s="94" t="str">
        <f t="shared" si="1"/>
        <v>LymhurstB11</v>
      </c>
      <c r="H83" s="94" t="s">
        <v>377</v>
      </c>
      <c r="I83" s="94">
        <v>11</v>
      </c>
    </row>
    <row r="84" spans="1:9" x14ac:dyDescent="0.25">
      <c r="A84" s="94" t="s">
        <v>248</v>
      </c>
      <c r="B84" s="94" t="s">
        <v>132</v>
      </c>
      <c r="C84" s="94">
        <v>45447</v>
      </c>
      <c r="D84" s="94" t="s">
        <v>576</v>
      </c>
      <c r="E84" s="94">
        <v>34012</v>
      </c>
      <c r="F84" s="94" t="s">
        <v>602</v>
      </c>
      <c r="G84" s="94" t="str">
        <f t="shared" si="1"/>
        <v>MartlockB11</v>
      </c>
      <c r="H84" s="94" t="s">
        <v>377</v>
      </c>
      <c r="I84" s="94">
        <v>11</v>
      </c>
    </row>
    <row r="85" spans="1:9" x14ac:dyDescent="0.25">
      <c r="A85" s="94" t="s">
        <v>248</v>
      </c>
      <c r="B85" s="94" t="s">
        <v>133</v>
      </c>
      <c r="C85" s="94">
        <v>45000</v>
      </c>
      <c r="D85" s="94" t="s">
        <v>650</v>
      </c>
      <c r="E85" s="94"/>
      <c r="F85" s="94"/>
      <c r="G85" s="94" t="str">
        <f t="shared" si="1"/>
        <v>ThetfordB11</v>
      </c>
      <c r="H85" s="94" t="s">
        <v>377</v>
      </c>
      <c r="I85" s="94">
        <v>11</v>
      </c>
    </row>
    <row r="86" spans="1:9" x14ac:dyDescent="0.25">
      <c r="A86" s="94" t="s">
        <v>249</v>
      </c>
      <c r="B86" s="94" t="s">
        <v>127</v>
      </c>
      <c r="C86" s="94">
        <v>545</v>
      </c>
      <c r="D86" s="94" t="s">
        <v>605</v>
      </c>
      <c r="E86" s="94">
        <v>532</v>
      </c>
      <c r="F86" s="94" t="s">
        <v>605</v>
      </c>
      <c r="G86" s="94" t="str">
        <f t="shared" si="1"/>
        <v>BrecilienB12</v>
      </c>
      <c r="H86" s="94" t="s">
        <v>377</v>
      </c>
      <c r="I86" s="94">
        <v>12</v>
      </c>
    </row>
    <row r="87" spans="1:9" x14ac:dyDescent="0.25">
      <c r="A87" s="94" t="s">
        <v>249</v>
      </c>
      <c r="B87" s="94" t="s">
        <v>128</v>
      </c>
      <c r="C87" s="94">
        <v>591</v>
      </c>
      <c r="D87" s="94" t="s">
        <v>659</v>
      </c>
      <c r="E87" s="94"/>
      <c r="F87" s="94"/>
      <c r="G87" s="94" t="str">
        <f t="shared" si="1"/>
        <v>BridgewatchB12</v>
      </c>
      <c r="H87" s="94" t="s">
        <v>377</v>
      </c>
      <c r="I87" s="94">
        <v>12</v>
      </c>
    </row>
    <row r="88" spans="1:9" x14ac:dyDescent="0.25">
      <c r="A88" s="94" t="s">
        <v>249</v>
      </c>
      <c r="B88" s="94" t="s">
        <v>129</v>
      </c>
      <c r="C88" s="94">
        <v>584</v>
      </c>
      <c r="D88" s="94" t="s">
        <v>587</v>
      </c>
      <c r="E88" s="94">
        <v>584</v>
      </c>
      <c r="F88" s="94" t="s">
        <v>578</v>
      </c>
      <c r="G88" s="94" t="str">
        <f t="shared" si="1"/>
        <v>CaerleonB12</v>
      </c>
      <c r="H88" s="94" t="s">
        <v>377</v>
      </c>
      <c r="I88" s="94">
        <v>12</v>
      </c>
    </row>
    <row r="89" spans="1:9" x14ac:dyDescent="0.25">
      <c r="A89" s="94" t="s">
        <v>249</v>
      </c>
      <c r="B89" s="94" t="s">
        <v>130</v>
      </c>
      <c r="C89" s="94">
        <v>885</v>
      </c>
      <c r="D89" s="94" t="s">
        <v>665</v>
      </c>
      <c r="E89" s="94">
        <v>705</v>
      </c>
      <c r="F89" s="94" t="s">
        <v>665</v>
      </c>
      <c r="G89" s="94" t="str">
        <f t="shared" si="1"/>
        <v>Fort SterlingB12</v>
      </c>
      <c r="H89" s="94" t="s">
        <v>377</v>
      </c>
      <c r="I89" s="94">
        <v>12</v>
      </c>
    </row>
    <row r="90" spans="1:9" x14ac:dyDescent="0.25">
      <c r="A90" s="94" t="s">
        <v>249</v>
      </c>
      <c r="B90" s="94" t="s">
        <v>131</v>
      </c>
      <c r="C90" s="94">
        <v>613</v>
      </c>
      <c r="D90" s="94" t="s">
        <v>531</v>
      </c>
      <c r="E90" s="94"/>
      <c r="F90" s="94"/>
      <c r="G90" s="94" t="str">
        <f t="shared" si="1"/>
        <v>LymhurstB12</v>
      </c>
      <c r="H90" s="94" t="s">
        <v>377</v>
      </c>
      <c r="I90" s="94">
        <v>12</v>
      </c>
    </row>
    <row r="91" spans="1:9" x14ac:dyDescent="0.25">
      <c r="A91" s="94" t="s">
        <v>249</v>
      </c>
      <c r="B91" s="94" t="s">
        <v>132</v>
      </c>
      <c r="C91" s="94">
        <v>725</v>
      </c>
      <c r="D91" s="94" t="s">
        <v>666</v>
      </c>
      <c r="E91" s="94">
        <v>644</v>
      </c>
      <c r="F91" s="94" t="s">
        <v>667</v>
      </c>
      <c r="G91" s="94" t="str">
        <f t="shared" si="1"/>
        <v>MartlockB12</v>
      </c>
      <c r="H91" s="94" t="s">
        <v>377</v>
      </c>
      <c r="I91" s="94">
        <v>12</v>
      </c>
    </row>
    <row r="92" spans="1:9" x14ac:dyDescent="0.25">
      <c r="A92" s="94" t="s">
        <v>249</v>
      </c>
      <c r="B92" s="94" t="s">
        <v>133</v>
      </c>
      <c r="C92" s="94">
        <v>703</v>
      </c>
      <c r="D92" s="94" t="s">
        <v>650</v>
      </c>
      <c r="E92" s="94">
        <v>691</v>
      </c>
      <c r="F92" s="94" t="s">
        <v>575</v>
      </c>
      <c r="G92" s="94" t="str">
        <f t="shared" si="1"/>
        <v>ThetfordB12</v>
      </c>
      <c r="H92" s="94" t="s">
        <v>377</v>
      </c>
      <c r="I92" s="94">
        <v>12</v>
      </c>
    </row>
    <row r="93" spans="1:9" x14ac:dyDescent="0.25">
      <c r="A93" s="94" t="s">
        <v>250</v>
      </c>
      <c r="B93" s="94" t="s">
        <v>127</v>
      </c>
      <c r="C93" s="94">
        <v>1383</v>
      </c>
      <c r="D93" s="94" t="s">
        <v>661</v>
      </c>
      <c r="E93" s="94">
        <v>1306</v>
      </c>
      <c r="F93" s="94" t="s">
        <v>661</v>
      </c>
      <c r="G93" s="94" t="str">
        <f t="shared" si="1"/>
        <v>BrecilienB13</v>
      </c>
      <c r="H93" s="94" t="s">
        <v>377</v>
      </c>
      <c r="I93" s="94">
        <v>13</v>
      </c>
    </row>
    <row r="94" spans="1:9" x14ac:dyDescent="0.25">
      <c r="A94" s="94" t="s">
        <v>250</v>
      </c>
      <c r="B94" s="94" t="s">
        <v>128</v>
      </c>
      <c r="C94" s="94">
        <v>1481</v>
      </c>
      <c r="D94" s="94" t="s">
        <v>580</v>
      </c>
      <c r="E94" s="94">
        <v>1459</v>
      </c>
      <c r="F94" s="94" t="s">
        <v>580</v>
      </c>
      <c r="G94" s="94" t="str">
        <f t="shared" si="1"/>
        <v>BridgewatchB13</v>
      </c>
      <c r="H94" s="94" t="s">
        <v>377</v>
      </c>
      <c r="I94" s="94">
        <v>13</v>
      </c>
    </row>
    <row r="95" spans="1:9" x14ac:dyDescent="0.25">
      <c r="A95" s="94" t="s">
        <v>250</v>
      </c>
      <c r="B95" s="94" t="s">
        <v>129</v>
      </c>
      <c r="C95" s="94">
        <v>1544</v>
      </c>
      <c r="D95" s="94" t="s">
        <v>664</v>
      </c>
      <c r="E95" s="94">
        <v>1184</v>
      </c>
      <c r="F95" s="94" t="s">
        <v>590</v>
      </c>
      <c r="G95" s="94" t="str">
        <f t="shared" si="1"/>
        <v>CaerleonB13</v>
      </c>
      <c r="H95" s="94" t="s">
        <v>377</v>
      </c>
      <c r="I95" s="94">
        <v>13</v>
      </c>
    </row>
    <row r="96" spans="1:9" x14ac:dyDescent="0.25">
      <c r="A96" s="94" t="s">
        <v>250</v>
      </c>
      <c r="B96" s="94" t="s">
        <v>130</v>
      </c>
      <c r="C96" s="94">
        <v>1678</v>
      </c>
      <c r="D96" s="94" t="s">
        <v>585</v>
      </c>
      <c r="E96" s="94"/>
      <c r="F96" s="94"/>
      <c r="G96" s="94" t="str">
        <f t="shared" si="1"/>
        <v>Fort SterlingB13</v>
      </c>
      <c r="H96" s="94" t="s">
        <v>377</v>
      </c>
      <c r="I96" s="94">
        <v>13</v>
      </c>
    </row>
    <row r="97" spans="1:9" x14ac:dyDescent="0.25">
      <c r="A97" s="94" t="s">
        <v>250</v>
      </c>
      <c r="B97" s="94" t="s">
        <v>131</v>
      </c>
      <c r="C97" s="94">
        <v>1430</v>
      </c>
      <c r="D97" s="94" t="s">
        <v>585</v>
      </c>
      <c r="E97" s="94">
        <v>1429</v>
      </c>
      <c r="F97" s="94" t="s">
        <v>603</v>
      </c>
      <c r="G97" s="94" t="str">
        <f t="shared" si="1"/>
        <v>LymhurstB13</v>
      </c>
      <c r="H97" s="94" t="s">
        <v>377</v>
      </c>
      <c r="I97" s="94">
        <v>13</v>
      </c>
    </row>
    <row r="98" spans="1:9" x14ac:dyDescent="0.25">
      <c r="A98" s="94" t="s">
        <v>250</v>
      </c>
      <c r="B98" s="94" t="s">
        <v>132</v>
      </c>
      <c r="C98" s="94">
        <v>1538</v>
      </c>
      <c r="D98" s="94" t="s">
        <v>591</v>
      </c>
      <c r="E98" s="94">
        <v>1537</v>
      </c>
      <c r="F98" s="94" t="s">
        <v>626</v>
      </c>
      <c r="G98" s="94" t="str">
        <f t="shared" si="1"/>
        <v>MartlockB13</v>
      </c>
      <c r="H98" s="94" t="s">
        <v>377</v>
      </c>
      <c r="I98" s="94">
        <v>13</v>
      </c>
    </row>
    <row r="99" spans="1:9" x14ac:dyDescent="0.25">
      <c r="A99" s="94" t="s">
        <v>250</v>
      </c>
      <c r="B99" s="94" t="s">
        <v>133</v>
      </c>
      <c r="C99" s="94">
        <v>1628</v>
      </c>
      <c r="D99" s="94" t="s">
        <v>650</v>
      </c>
      <c r="E99" s="94">
        <v>1563</v>
      </c>
      <c r="F99" s="94" t="s">
        <v>607</v>
      </c>
      <c r="G99" s="94" t="str">
        <f t="shared" si="1"/>
        <v>ThetfordB13</v>
      </c>
      <c r="H99" s="94" t="s">
        <v>377</v>
      </c>
      <c r="I99" s="94">
        <v>13</v>
      </c>
    </row>
    <row r="100" spans="1:9" x14ac:dyDescent="0.25">
      <c r="A100" s="94" t="s">
        <v>251</v>
      </c>
      <c r="B100" s="94" t="s">
        <v>127</v>
      </c>
      <c r="C100" s="94">
        <v>6984</v>
      </c>
      <c r="D100" s="94" t="s">
        <v>661</v>
      </c>
      <c r="E100" s="94">
        <v>6650</v>
      </c>
      <c r="F100" s="94" t="s">
        <v>661</v>
      </c>
      <c r="G100" s="94" t="str">
        <f t="shared" si="1"/>
        <v>BrecilienB14</v>
      </c>
      <c r="H100" s="94" t="s">
        <v>377</v>
      </c>
      <c r="I100" s="94">
        <v>14</v>
      </c>
    </row>
    <row r="101" spans="1:9" x14ac:dyDescent="0.25">
      <c r="A101" s="94" t="s">
        <v>251</v>
      </c>
      <c r="B101" s="94" t="s">
        <v>128</v>
      </c>
      <c r="C101" s="94">
        <v>7299</v>
      </c>
      <c r="D101" s="94" t="s">
        <v>659</v>
      </c>
      <c r="E101" s="94">
        <v>7181</v>
      </c>
      <c r="F101" s="94" t="s">
        <v>659</v>
      </c>
      <c r="G101" s="94" t="str">
        <f t="shared" si="1"/>
        <v>BridgewatchB14</v>
      </c>
      <c r="H101" s="94" t="s">
        <v>377</v>
      </c>
      <c r="I101" s="94">
        <v>14</v>
      </c>
    </row>
    <row r="102" spans="1:9" x14ac:dyDescent="0.25">
      <c r="A102" s="94" t="s">
        <v>251</v>
      </c>
      <c r="B102" s="94" t="s">
        <v>129</v>
      </c>
      <c r="C102" s="94">
        <v>6793</v>
      </c>
      <c r="D102" s="94" t="s">
        <v>668</v>
      </c>
      <c r="E102" s="94"/>
      <c r="F102" s="94"/>
      <c r="G102" s="94" t="str">
        <f t="shared" si="1"/>
        <v>CaerleonB14</v>
      </c>
      <c r="H102" s="94" t="s">
        <v>377</v>
      </c>
      <c r="I102" s="94">
        <v>14</v>
      </c>
    </row>
    <row r="103" spans="1:9" x14ac:dyDescent="0.25">
      <c r="A103" s="94" t="s">
        <v>251</v>
      </c>
      <c r="B103" s="94" t="s">
        <v>130</v>
      </c>
      <c r="C103" s="94">
        <v>7854</v>
      </c>
      <c r="D103" s="94" t="s">
        <v>614</v>
      </c>
      <c r="E103" s="94">
        <v>7709</v>
      </c>
      <c r="F103" s="94" t="s">
        <v>614</v>
      </c>
      <c r="G103" s="94" t="str">
        <f t="shared" si="1"/>
        <v>Fort SterlingB14</v>
      </c>
      <c r="H103" s="94" t="s">
        <v>377</v>
      </c>
      <c r="I103" s="94">
        <v>14</v>
      </c>
    </row>
    <row r="104" spans="1:9" x14ac:dyDescent="0.25">
      <c r="A104" s="94" t="s">
        <v>251</v>
      </c>
      <c r="B104" s="94" t="s">
        <v>131</v>
      </c>
      <c r="C104" s="94">
        <v>7438</v>
      </c>
      <c r="D104" s="94" t="s">
        <v>653</v>
      </c>
      <c r="E104" s="94">
        <v>7062</v>
      </c>
      <c r="F104" s="94" t="s">
        <v>586</v>
      </c>
      <c r="G104" s="94" t="str">
        <f t="shared" si="1"/>
        <v>LymhurstB14</v>
      </c>
      <c r="H104" s="94" t="s">
        <v>377</v>
      </c>
      <c r="I104" s="94">
        <v>14</v>
      </c>
    </row>
    <row r="105" spans="1:9" x14ac:dyDescent="0.25">
      <c r="A105" s="94" t="s">
        <v>251</v>
      </c>
      <c r="B105" s="94" t="s">
        <v>132</v>
      </c>
      <c r="C105" s="94">
        <v>7986</v>
      </c>
      <c r="D105" s="94" t="s">
        <v>603</v>
      </c>
      <c r="E105" s="94">
        <v>7390</v>
      </c>
      <c r="F105" s="94" t="s">
        <v>603</v>
      </c>
      <c r="G105" s="94" t="str">
        <f t="shared" si="1"/>
        <v>MartlockB14</v>
      </c>
      <c r="H105" s="94" t="s">
        <v>377</v>
      </c>
      <c r="I105" s="94">
        <v>14</v>
      </c>
    </row>
    <row r="106" spans="1:9" x14ac:dyDescent="0.25">
      <c r="A106" s="94" t="s">
        <v>251</v>
      </c>
      <c r="B106" s="94" t="s">
        <v>133</v>
      </c>
      <c r="C106" s="94">
        <v>7190</v>
      </c>
      <c r="D106" s="94" t="s">
        <v>650</v>
      </c>
      <c r="E106" s="94">
        <v>7012</v>
      </c>
      <c r="F106" s="94" t="s">
        <v>607</v>
      </c>
      <c r="G106" s="94" t="str">
        <f t="shared" si="1"/>
        <v>ThetfordB14</v>
      </c>
      <c r="H106" s="94" t="s">
        <v>377</v>
      </c>
      <c r="I106" s="94">
        <v>14</v>
      </c>
    </row>
    <row r="107" spans="1:9" x14ac:dyDescent="0.25">
      <c r="A107" s="94" t="s">
        <v>252</v>
      </c>
      <c r="B107" s="94" t="s">
        <v>127</v>
      </c>
      <c r="C107" s="94">
        <v>24981</v>
      </c>
      <c r="D107" s="94" t="s">
        <v>487</v>
      </c>
      <c r="E107" s="94"/>
      <c r="F107" s="94"/>
      <c r="G107" s="94" t="str">
        <f t="shared" si="1"/>
        <v>BrecilienB15</v>
      </c>
      <c r="H107" s="94" t="s">
        <v>377</v>
      </c>
      <c r="I107" s="94">
        <v>15</v>
      </c>
    </row>
    <row r="108" spans="1:9" x14ac:dyDescent="0.25">
      <c r="A108" s="94" t="s">
        <v>252</v>
      </c>
      <c r="B108" s="94" t="s">
        <v>128</v>
      </c>
      <c r="C108" s="94"/>
      <c r="D108" s="94"/>
      <c r="E108" s="94"/>
      <c r="F108" s="94"/>
      <c r="G108" s="94" t="str">
        <f t="shared" si="1"/>
        <v>BridgewatchB15</v>
      </c>
      <c r="H108" s="94" t="s">
        <v>377</v>
      </c>
      <c r="I108" s="94">
        <v>15</v>
      </c>
    </row>
    <row r="109" spans="1:9" x14ac:dyDescent="0.25">
      <c r="A109" s="94" t="s">
        <v>252</v>
      </c>
      <c r="B109" s="94" t="s">
        <v>129</v>
      </c>
      <c r="C109" s="94">
        <v>26361</v>
      </c>
      <c r="D109" s="94" t="s">
        <v>598</v>
      </c>
      <c r="E109" s="94"/>
      <c r="F109" s="94"/>
      <c r="G109" s="94" t="str">
        <f t="shared" si="1"/>
        <v>CaerleonB15</v>
      </c>
      <c r="H109" s="94" t="s">
        <v>377</v>
      </c>
      <c r="I109" s="94">
        <v>15</v>
      </c>
    </row>
    <row r="110" spans="1:9" x14ac:dyDescent="0.25">
      <c r="A110" s="94" t="s">
        <v>252</v>
      </c>
      <c r="B110" s="94" t="s">
        <v>130</v>
      </c>
      <c r="C110" s="94">
        <v>28975</v>
      </c>
      <c r="D110" s="94" t="s">
        <v>559</v>
      </c>
      <c r="E110" s="94"/>
      <c r="F110" s="94"/>
      <c r="G110" s="94" t="str">
        <f t="shared" si="1"/>
        <v>Fort SterlingB15</v>
      </c>
      <c r="H110" s="94" t="s">
        <v>377</v>
      </c>
      <c r="I110" s="94">
        <v>15</v>
      </c>
    </row>
    <row r="111" spans="1:9" x14ac:dyDescent="0.25">
      <c r="A111" s="94" t="s">
        <v>252</v>
      </c>
      <c r="B111" s="94" t="s">
        <v>131</v>
      </c>
      <c r="C111" s="94">
        <v>27918</v>
      </c>
      <c r="D111" s="94" t="s">
        <v>487</v>
      </c>
      <c r="E111" s="94"/>
      <c r="F111" s="94"/>
      <c r="G111" s="94" t="str">
        <f t="shared" si="1"/>
        <v>LymhurstB15</v>
      </c>
      <c r="H111" s="94" t="s">
        <v>377</v>
      </c>
      <c r="I111" s="94">
        <v>15</v>
      </c>
    </row>
    <row r="112" spans="1:9" x14ac:dyDescent="0.25">
      <c r="A112" s="94" t="s">
        <v>252</v>
      </c>
      <c r="B112" s="94" t="s">
        <v>132</v>
      </c>
      <c r="C112" s="94"/>
      <c r="D112" s="94"/>
      <c r="E112" s="94"/>
      <c r="F112" s="94"/>
      <c r="G112" s="94" t="str">
        <f t="shared" si="1"/>
        <v>MartlockB15</v>
      </c>
      <c r="H112" s="94" t="s">
        <v>377</v>
      </c>
      <c r="I112" s="94">
        <v>15</v>
      </c>
    </row>
    <row r="113" spans="1:9" x14ac:dyDescent="0.25">
      <c r="A113" s="94" t="s">
        <v>252</v>
      </c>
      <c r="B113" s="94" t="s">
        <v>133</v>
      </c>
      <c r="C113" s="94">
        <v>30967</v>
      </c>
      <c r="D113" s="94" t="s">
        <v>650</v>
      </c>
      <c r="E113" s="94">
        <v>27000</v>
      </c>
      <c r="F113" s="94" t="s">
        <v>613</v>
      </c>
      <c r="G113" s="94" t="str">
        <f t="shared" si="1"/>
        <v>ThetfordB15</v>
      </c>
      <c r="H113" s="94" t="s">
        <v>377</v>
      </c>
      <c r="I113" s="94">
        <v>15</v>
      </c>
    </row>
    <row r="114" spans="1:9" x14ac:dyDescent="0.25">
      <c r="A114" s="94" t="s">
        <v>253</v>
      </c>
      <c r="B114" s="94" t="s">
        <v>127</v>
      </c>
      <c r="C114" s="94">
        <v>119998</v>
      </c>
      <c r="D114" s="94" t="s">
        <v>600</v>
      </c>
      <c r="E114" s="94">
        <v>78001</v>
      </c>
      <c r="F114" s="94" t="s">
        <v>582</v>
      </c>
      <c r="G114" s="94" t="str">
        <f t="shared" si="1"/>
        <v>BrecilienB16</v>
      </c>
      <c r="H114" s="94" t="s">
        <v>377</v>
      </c>
      <c r="I114" s="94">
        <v>16</v>
      </c>
    </row>
    <row r="115" spans="1:9" x14ac:dyDescent="0.25">
      <c r="A115" s="94" t="s">
        <v>253</v>
      </c>
      <c r="B115" s="94" t="s">
        <v>128</v>
      </c>
      <c r="C115" s="94"/>
      <c r="D115" s="94"/>
      <c r="E115" s="94"/>
      <c r="F115" s="94"/>
      <c r="G115" s="94" t="str">
        <f t="shared" si="1"/>
        <v>BridgewatchB16</v>
      </c>
      <c r="H115" s="94" t="s">
        <v>377</v>
      </c>
      <c r="I115" s="94">
        <v>16</v>
      </c>
    </row>
    <row r="116" spans="1:9" x14ac:dyDescent="0.25">
      <c r="A116" s="94" t="s">
        <v>253</v>
      </c>
      <c r="B116" s="94" t="s">
        <v>129</v>
      </c>
      <c r="C116" s="94">
        <v>200095</v>
      </c>
      <c r="D116" s="94" t="s">
        <v>601</v>
      </c>
      <c r="E116" s="94"/>
      <c r="F116" s="94"/>
      <c r="G116" s="94" t="str">
        <f t="shared" si="1"/>
        <v>CaerleonB16</v>
      </c>
      <c r="H116" s="94" t="s">
        <v>377</v>
      </c>
      <c r="I116" s="94">
        <v>16</v>
      </c>
    </row>
    <row r="117" spans="1:9" x14ac:dyDescent="0.25">
      <c r="A117" s="94" t="s">
        <v>253</v>
      </c>
      <c r="B117" s="94" t="s">
        <v>130</v>
      </c>
      <c r="C117" s="94">
        <v>93994</v>
      </c>
      <c r="D117" s="94" t="s">
        <v>559</v>
      </c>
      <c r="E117" s="94"/>
      <c r="F117" s="94"/>
      <c r="G117" s="94" t="str">
        <f t="shared" si="1"/>
        <v>Fort SterlingB16</v>
      </c>
      <c r="H117" s="94" t="s">
        <v>377</v>
      </c>
      <c r="I117" s="94">
        <v>16</v>
      </c>
    </row>
    <row r="118" spans="1:9" x14ac:dyDescent="0.25">
      <c r="A118" s="94" t="s">
        <v>253</v>
      </c>
      <c r="B118" s="94" t="s">
        <v>131</v>
      </c>
      <c r="C118" s="94">
        <v>99495</v>
      </c>
      <c r="D118" s="94" t="s">
        <v>638</v>
      </c>
      <c r="E118" s="94"/>
      <c r="F118" s="94"/>
      <c r="G118" s="94" t="str">
        <f t="shared" si="1"/>
        <v>LymhurstB16</v>
      </c>
      <c r="H118" s="94" t="s">
        <v>377</v>
      </c>
      <c r="I118" s="94">
        <v>16</v>
      </c>
    </row>
    <row r="119" spans="1:9" x14ac:dyDescent="0.25">
      <c r="A119" s="94" t="s">
        <v>253</v>
      </c>
      <c r="B119" s="94" t="s">
        <v>132</v>
      </c>
      <c r="C119" s="94"/>
      <c r="D119" s="94"/>
      <c r="E119" s="94"/>
      <c r="F119" s="94"/>
      <c r="G119" s="94" t="str">
        <f t="shared" si="1"/>
        <v>MartlockB16</v>
      </c>
      <c r="H119" s="94" t="s">
        <v>377</v>
      </c>
      <c r="I119" s="94">
        <v>16</v>
      </c>
    </row>
    <row r="120" spans="1:9" x14ac:dyDescent="0.25">
      <c r="A120" s="94" t="s">
        <v>253</v>
      </c>
      <c r="B120" s="94" t="s">
        <v>133</v>
      </c>
      <c r="C120" s="94">
        <v>100000</v>
      </c>
      <c r="D120" s="94" t="s">
        <v>650</v>
      </c>
      <c r="E120" s="94"/>
      <c r="F120" s="94"/>
      <c r="G120" s="94" t="str">
        <f t="shared" si="1"/>
        <v>ThetfordB16</v>
      </c>
      <c r="H120" s="94" t="s">
        <v>377</v>
      </c>
      <c r="I120" s="94">
        <v>16</v>
      </c>
    </row>
    <row r="121" spans="1:9" x14ac:dyDescent="0.25">
      <c r="A121" s="94" t="s">
        <v>254</v>
      </c>
      <c r="B121" s="94" t="s">
        <v>127</v>
      </c>
      <c r="C121" s="94">
        <v>1001</v>
      </c>
      <c r="D121" s="94" t="s">
        <v>594</v>
      </c>
      <c r="E121" s="94">
        <v>1000</v>
      </c>
      <c r="F121" s="94" t="s">
        <v>594</v>
      </c>
      <c r="G121" s="94" t="str">
        <f t="shared" si="1"/>
        <v>BrecilienB17</v>
      </c>
      <c r="H121" s="94" t="s">
        <v>377</v>
      </c>
      <c r="I121" s="94">
        <v>17</v>
      </c>
    </row>
    <row r="122" spans="1:9" x14ac:dyDescent="0.25">
      <c r="A122" s="94" t="s">
        <v>254</v>
      </c>
      <c r="B122" s="94" t="s">
        <v>128</v>
      </c>
      <c r="C122" s="94">
        <v>1146</v>
      </c>
      <c r="D122" s="94" t="s">
        <v>652</v>
      </c>
      <c r="E122" s="94">
        <v>1085</v>
      </c>
      <c r="F122" s="94" t="s">
        <v>652</v>
      </c>
      <c r="G122" s="94" t="str">
        <f t="shared" si="1"/>
        <v>BridgewatchB17</v>
      </c>
      <c r="H122" s="94" t="s">
        <v>377</v>
      </c>
      <c r="I122" s="94">
        <v>17</v>
      </c>
    </row>
    <row r="123" spans="1:9" x14ac:dyDescent="0.25">
      <c r="A123" s="94" t="s">
        <v>254</v>
      </c>
      <c r="B123" s="94" t="s">
        <v>129</v>
      </c>
      <c r="C123" s="94">
        <v>1258</v>
      </c>
      <c r="D123" s="94" t="s">
        <v>664</v>
      </c>
      <c r="E123" s="94"/>
      <c r="F123" s="94"/>
      <c r="G123" s="94" t="str">
        <f t="shared" si="1"/>
        <v>CaerleonB17</v>
      </c>
      <c r="H123" s="94" t="s">
        <v>377</v>
      </c>
      <c r="I123" s="94">
        <v>17</v>
      </c>
    </row>
    <row r="124" spans="1:9" x14ac:dyDescent="0.25">
      <c r="A124" s="94" t="s">
        <v>254</v>
      </c>
      <c r="B124" s="94" t="s">
        <v>130</v>
      </c>
      <c r="C124" s="94">
        <v>1572</v>
      </c>
      <c r="D124" s="94" t="s">
        <v>665</v>
      </c>
      <c r="E124" s="94">
        <v>1257</v>
      </c>
      <c r="F124" s="94" t="s">
        <v>665</v>
      </c>
      <c r="G124" s="94" t="str">
        <f t="shared" si="1"/>
        <v>Fort SterlingB17</v>
      </c>
      <c r="H124" s="94" t="s">
        <v>377</v>
      </c>
      <c r="I124" s="94">
        <v>17</v>
      </c>
    </row>
    <row r="125" spans="1:9" x14ac:dyDescent="0.25">
      <c r="A125" s="94" t="s">
        <v>254</v>
      </c>
      <c r="B125" s="94" t="s">
        <v>131</v>
      </c>
      <c r="C125" s="94">
        <v>1238</v>
      </c>
      <c r="D125" s="94" t="s">
        <v>660</v>
      </c>
      <c r="E125" s="94">
        <v>1202</v>
      </c>
      <c r="F125" s="94" t="s">
        <v>660</v>
      </c>
      <c r="G125" s="94" t="str">
        <f t="shared" si="1"/>
        <v>LymhurstB17</v>
      </c>
      <c r="H125" s="94" t="s">
        <v>377</v>
      </c>
      <c r="I125" s="94">
        <v>17</v>
      </c>
    </row>
    <row r="126" spans="1:9" x14ac:dyDescent="0.25">
      <c r="A126" s="94" t="s">
        <v>254</v>
      </c>
      <c r="B126" s="94" t="s">
        <v>132</v>
      </c>
      <c r="C126" s="94">
        <v>1150</v>
      </c>
      <c r="D126" s="94" t="s">
        <v>633</v>
      </c>
      <c r="E126" s="94">
        <v>1027</v>
      </c>
      <c r="F126" s="94" t="s">
        <v>603</v>
      </c>
      <c r="G126" s="94" t="str">
        <f t="shared" si="1"/>
        <v>MartlockB17</v>
      </c>
      <c r="H126" s="94" t="s">
        <v>377</v>
      </c>
      <c r="I126" s="94">
        <v>17</v>
      </c>
    </row>
    <row r="127" spans="1:9" x14ac:dyDescent="0.25">
      <c r="A127" s="94" t="s">
        <v>254</v>
      </c>
      <c r="B127" s="94" t="s">
        <v>133</v>
      </c>
      <c r="C127" s="94">
        <v>1469</v>
      </c>
      <c r="D127" s="94" t="s">
        <v>653</v>
      </c>
      <c r="E127" s="94"/>
      <c r="F127" s="94"/>
      <c r="G127" s="94" t="str">
        <f t="shared" si="1"/>
        <v>ThetfordB17</v>
      </c>
      <c r="H127" s="94" t="s">
        <v>377</v>
      </c>
      <c r="I127" s="94">
        <v>17</v>
      </c>
    </row>
    <row r="128" spans="1:9" x14ac:dyDescent="0.25">
      <c r="A128" s="94" t="s">
        <v>255</v>
      </c>
      <c r="B128" s="94" t="s">
        <v>127</v>
      </c>
      <c r="C128" s="94">
        <v>4163</v>
      </c>
      <c r="D128" s="94" t="s">
        <v>484</v>
      </c>
      <c r="E128" s="94"/>
      <c r="F128" s="94"/>
      <c r="G128" s="94" t="str">
        <f t="shared" si="1"/>
        <v>BrecilienB18</v>
      </c>
      <c r="H128" s="94" t="s">
        <v>377</v>
      </c>
      <c r="I128" s="94">
        <v>18</v>
      </c>
    </row>
    <row r="129" spans="1:9" x14ac:dyDescent="0.25">
      <c r="A129" s="94" t="s">
        <v>255</v>
      </c>
      <c r="B129" s="94" t="s">
        <v>128</v>
      </c>
      <c r="C129" s="94">
        <v>4900</v>
      </c>
      <c r="D129" s="94" t="s">
        <v>653</v>
      </c>
      <c r="E129" s="94">
        <v>4823</v>
      </c>
      <c r="F129" s="94" t="s">
        <v>653</v>
      </c>
      <c r="G129" s="94" t="str">
        <f t="shared" si="1"/>
        <v>BridgewatchB18</v>
      </c>
      <c r="H129" s="94" t="s">
        <v>377</v>
      </c>
      <c r="I129" s="94">
        <v>18</v>
      </c>
    </row>
    <row r="130" spans="1:9" x14ac:dyDescent="0.25">
      <c r="A130" s="94" t="s">
        <v>255</v>
      </c>
      <c r="B130" s="94" t="s">
        <v>129</v>
      </c>
      <c r="C130" s="94">
        <v>4815</v>
      </c>
      <c r="D130" s="94" t="s">
        <v>664</v>
      </c>
      <c r="E130" s="94"/>
      <c r="F130" s="94"/>
      <c r="G130" s="94" t="str">
        <f t="shared" si="1"/>
        <v>CaerleonB18</v>
      </c>
      <c r="H130" s="94" t="s">
        <v>377</v>
      </c>
      <c r="I130" s="94">
        <v>18</v>
      </c>
    </row>
    <row r="131" spans="1:9" x14ac:dyDescent="0.25">
      <c r="A131" s="94" t="s">
        <v>255</v>
      </c>
      <c r="B131" s="94" t="s">
        <v>130</v>
      </c>
      <c r="C131" s="94">
        <v>5617</v>
      </c>
      <c r="D131" s="94" t="s">
        <v>614</v>
      </c>
      <c r="E131" s="94">
        <v>4800</v>
      </c>
      <c r="F131" s="94" t="s">
        <v>614</v>
      </c>
      <c r="G131" s="94" t="str">
        <f t="shared" ref="G131:G190" si="2">_xlfn.CONCAT(B131,H131,I131)</f>
        <v>Fort SterlingB18</v>
      </c>
      <c r="H131" s="94" t="s">
        <v>377</v>
      </c>
      <c r="I131" s="94">
        <v>18</v>
      </c>
    </row>
    <row r="132" spans="1:9" x14ac:dyDescent="0.25">
      <c r="A132" s="94" t="s">
        <v>255</v>
      </c>
      <c r="B132" s="94" t="s">
        <v>131</v>
      </c>
      <c r="C132" s="94">
        <v>587992</v>
      </c>
      <c r="D132" s="94" t="s">
        <v>623</v>
      </c>
      <c r="E132" s="94"/>
      <c r="F132" s="94"/>
      <c r="G132" s="94" t="str">
        <f t="shared" si="2"/>
        <v>LymhurstB18</v>
      </c>
      <c r="H132" s="94" t="s">
        <v>377</v>
      </c>
      <c r="I132" s="94">
        <v>18</v>
      </c>
    </row>
    <row r="133" spans="1:9" x14ac:dyDescent="0.25">
      <c r="A133" s="94" t="s">
        <v>255</v>
      </c>
      <c r="B133" s="94" t="s">
        <v>132</v>
      </c>
      <c r="C133" s="94">
        <v>4747</v>
      </c>
      <c r="D133" s="94" t="s">
        <v>603</v>
      </c>
      <c r="E133" s="94">
        <v>4644</v>
      </c>
      <c r="F133" s="94" t="s">
        <v>591</v>
      </c>
      <c r="G133" s="94" t="str">
        <f t="shared" si="2"/>
        <v>MartlockB18</v>
      </c>
      <c r="H133" s="94" t="s">
        <v>377</v>
      </c>
      <c r="I133" s="94">
        <v>18</v>
      </c>
    </row>
    <row r="134" spans="1:9" x14ac:dyDescent="0.25">
      <c r="A134" s="94" t="s">
        <v>255</v>
      </c>
      <c r="B134" s="94" t="s">
        <v>133</v>
      </c>
      <c r="C134" s="94">
        <v>9270</v>
      </c>
      <c r="D134" s="94" t="s">
        <v>650</v>
      </c>
      <c r="E134" s="94"/>
      <c r="F134" s="94"/>
      <c r="G134" s="94" t="str">
        <f t="shared" si="2"/>
        <v>ThetfordB18</v>
      </c>
      <c r="H134" s="94" t="s">
        <v>377</v>
      </c>
      <c r="I134" s="94">
        <v>18</v>
      </c>
    </row>
    <row r="135" spans="1:9" x14ac:dyDescent="0.25">
      <c r="A135" s="94" t="s">
        <v>256</v>
      </c>
      <c r="B135" s="94" t="s">
        <v>127</v>
      </c>
      <c r="C135" s="94">
        <v>13638</v>
      </c>
      <c r="D135" s="94" t="s">
        <v>484</v>
      </c>
      <c r="E135" s="94"/>
      <c r="F135" s="94"/>
      <c r="G135" s="94" t="str">
        <f t="shared" si="2"/>
        <v>BrecilienB19</v>
      </c>
      <c r="H135" s="94" t="s">
        <v>377</v>
      </c>
      <c r="I135" s="94">
        <v>19</v>
      </c>
    </row>
    <row r="136" spans="1:9" x14ac:dyDescent="0.25">
      <c r="A136" s="94" t="s">
        <v>256</v>
      </c>
      <c r="B136" s="94" t="s">
        <v>128</v>
      </c>
      <c r="C136" s="94"/>
      <c r="D136" s="94"/>
      <c r="E136" s="94"/>
      <c r="F136" s="94"/>
      <c r="G136" s="94" t="str">
        <f t="shared" si="2"/>
        <v>BridgewatchB19</v>
      </c>
      <c r="H136" s="94" t="s">
        <v>377</v>
      </c>
      <c r="I136" s="94">
        <v>19</v>
      </c>
    </row>
    <row r="137" spans="1:9" x14ac:dyDescent="0.25">
      <c r="A137" s="94" t="s">
        <v>256</v>
      </c>
      <c r="B137" s="94" t="s">
        <v>129</v>
      </c>
      <c r="C137" s="94">
        <v>14492</v>
      </c>
      <c r="D137" s="94" t="s">
        <v>601</v>
      </c>
      <c r="E137" s="94"/>
      <c r="F137" s="94"/>
      <c r="G137" s="94" t="str">
        <f t="shared" si="2"/>
        <v>CaerleonB19</v>
      </c>
      <c r="H137" s="94" t="s">
        <v>377</v>
      </c>
      <c r="I137" s="94">
        <v>19</v>
      </c>
    </row>
    <row r="138" spans="1:9" x14ac:dyDescent="0.25">
      <c r="A138" s="94" t="s">
        <v>256</v>
      </c>
      <c r="B138" s="94" t="s">
        <v>130</v>
      </c>
      <c r="C138" s="94">
        <v>17070</v>
      </c>
      <c r="D138" s="94" t="s">
        <v>614</v>
      </c>
      <c r="E138" s="94">
        <v>13650</v>
      </c>
      <c r="F138" s="94" t="s">
        <v>614</v>
      </c>
      <c r="G138" s="94" t="str">
        <f t="shared" si="2"/>
        <v>Fort SterlingB19</v>
      </c>
      <c r="H138" s="94" t="s">
        <v>377</v>
      </c>
      <c r="I138" s="94">
        <v>19</v>
      </c>
    </row>
    <row r="139" spans="1:9" x14ac:dyDescent="0.25">
      <c r="A139" s="94" t="s">
        <v>256</v>
      </c>
      <c r="B139" s="94" t="s">
        <v>131</v>
      </c>
      <c r="C139" s="94">
        <v>19969</v>
      </c>
      <c r="D139" s="94" t="s">
        <v>487</v>
      </c>
      <c r="E139" s="94"/>
      <c r="F139" s="94"/>
      <c r="G139" s="94" t="str">
        <f t="shared" si="2"/>
        <v>LymhurstB19</v>
      </c>
      <c r="H139" s="94" t="s">
        <v>377</v>
      </c>
      <c r="I139" s="94">
        <v>19</v>
      </c>
    </row>
    <row r="140" spans="1:9" x14ac:dyDescent="0.25">
      <c r="A140" s="94" t="s">
        <v>256</v>
      </c>
      <c r="B140" s="94" t="s">
        <v>132</v>
      </c>
      <c r="C140" s="94">
        <v>15099</v>
      </c>
      <c r="D140" s="94" t="s">
        <v>611</v>
      </c>
      <c r="E140" s="94"/>
      <c r="F140" s="94"/>
      <c r="G140" s="94" t="str">
        <f t="shared" si="2"/>
        <v>MartlockB19</v>
      </c>
      <c r="H140" s="94" t="s">
        <v>377</v>
      </c>
      <c r="I140" s="94">
        <v>19</v>
      </c>
    </row>
    <row r="141" spans="1:9" x14ac:dyDescent="0.25">
      <c r="A141" s="94" t="s">
        <v>256</v>
      </c>
      <c r="B141" s="94" t="s">
        <v>133</v>
      </c>
      <c r="C141" s="94">
        <v>18983</v>
      </c>
      <c r="D141" s="94" t="s">
        <v>651</v>
      </c>
      <c r="E141" s="94">
        <v>13504</v>
      </c>
      <c r="F141" s="94" t="s">
        <v>669</v>
      </c>
      <c r="G141" s="94" t="str">
        <f t="shared" si="2"/>
        <v>ThetfordB19</v>
      </c>
      <c r="H141" s="94" t="s">
        <v>377</v>
      </c>
      <c r="I141" s="94">
        <v>19</v>
      </c>
    </row>
    <row r="142" spans="1:9" x14ac:dyDescent="0.25">
      <c r="A142" s="94" t="s">
        <v>257</v>
      </c>
      <c r="B142" s="94" t="s">
        <v>127</v>
      </c>
      <c r="C142" s="94">
        <v>63673</v>
      </c>
      <c r="D142" s="94" t="s">
        <v>487</v>
      </c>
      <c r="E142" s="94"/>
      <c r="F142" s="94"/>
      <c r="G142" s="94" t="str">
        <f t="shared" si="2"/>
        <v>BrecilienB20</v>
      </c>
      <c r="H142" s="94" t="s">
        <v>377</v>
      </c>
      <c r="I142" s="94">
        <v>20</v>
      </c>
    </row>
    <row r="143" spans="1:9" x14ac:dyDescent="0.25">
      <c r="A143" s="94" t="s">
        <v>257</v>
      </c>
      <c r="B143" s="94" t="s">
        <v>128</v>
      </c>
      <c r="C143" s="94"/>
      <c r="D143" s="94"/>
      <c r="E143" s="94"/>
      <c r="F143" s="94"/>
      <c r="G143" s="94" t="str">
        <f t="shared" si="2"/>
        <v>BridgewatchB20</v>
      </c>
      <c r="H143" s="94" t="s">
        <v>377</v>
      </c>
      <c r="I143" s="94">
        <v>20</v>
      </c>
    </row>
    <row r="144" spans="1:9" x14ac:dyDescent="0.25">
      <c r="A144" s="94" t="s">
        <v>257</v>
      </c>
      <c r="B144" s="94" t="s">
        <v>129</v>
      </c>
      <c r="C144" s="94">
        <v>62971</v>
      </c>
      <c r="D144" s="94" t="s">
        <v>590</v>
      </c>
      <c r="E144" s="94"/>
      <c r="F144" s="94"/>
      <c r="G144" s="94" t="str">
        <f t="shared" si="2"/>
        <v>CaerleonB20</v>
      </c>
      <c r="H144" s="94" t="s">
        <v>377</v>
      </c>
      <c r="I144" s="94">
        <v>20</v>
      </c>
    </row>
    <row r="145" spans="1:9" x14ac:dyDescent="0.25">
      <c r="A145" s="94" t="s">
        <v>257</v>
      </c>
      <c r="B145" s="94" t="s">
        <v>130</v>
      </c>
      <c r="C145" s="94">
        <v>61987</v>
      </c>
      <c r="D145" s="94" t="s">
        <v>559</v>
      </c>
      <c r="E145" s="94"/>
      <c r="F145" s="94"/>
      <c r="G145" s="94" t="str">
        <f t="shared" si="2"/>
        <v>Fort SterlingB20</v>
      </c>
      <c r="H145" s="94" t="s">
        <v>377</v>
      </c>
      <c r="I145" s="94">
        <v>20</v>
      </c>
    </row>
    <row r="146" spans="1:9" x14ac:dyDescent="0.25">
      <c r="A146" s="94" t="s">
        <v>257</v>
      </c>
      <c r="B146" s="94" t="s">
        <v>131</v>
      </c>
      <c r="C146" s="94">
        <v>63000</v>
      </c>
      <c r="D146" s="94" t="s">
        <v>660</v>
      </c>
      <c r="E146" s="94"/>
      <c r="F146" s="94"/>
      <c r="G146" s="94" t="str">
        <f t="shared" si="2"/>
        <v>LymhurstB20</v>
      </c>
      <c r="H146" s="94" t="s">
        <v>377</v>
      </c>
      <c r="I146" s="94">
        <v>20</v>
      </c>
    </row>
    <row r="147" spans="1:9" x14ac:dyDescent="0.25">
      <c r="A147" s="94" t="s">
        <v>257</v>
      </c>
      <c r="B147" s="94" t="s">
        <v>132</v>
      </c>
      <c r="C147" s="94">
        <v>60500</v>
      </c>
      <c r="D147" s="94" t="s">
        <v>611</v>
      </c>
      <c r="E147" s="94">
        <v>57108</v>
      </c>
      <c r="F147" s="94" t="s">
        <v>639</v>
      </c>
      <c r="G147" s="94" t="str">
        <f t="shared" si="2"/>
        <v>MartlockB20</v>
      </c>
      <c r="H147" s="94" t="s">
        <v>377</v>
      </c>
      <c r="I147" s="94">
        <v>20</v>
      </c>
    </row>
    <row r="148" spans="1:9" x14ac:dyDescent="0.25">
      <c r="A148" s="94" t="s">
        <v>257</v>
      </c>
      <c r="B148" s="94" t="s">
        <v>133</v>
      </c>
      <c r="C148" s="94">
        <v>74997</v>
      </c>
      <c r="D148" s="94" t="s">
        <v>650</v>
      </c>
      <c r="E148" s="94"/>
      <c r="F148" s="94"/>
      <c r="G148" s="94" t="str">
        <f t="shared" si="2"/>
        <v>ThetfordB20</v>
      </c>
      <c r="H148" s="94" t="s">
        <v>377</v>
      </c>
      <c r="I148" s="94">
        <v>20</v>
      </c>
    </row>
    <row r="149" spans="1:9" x14ac:dyDescent="0.25">
      <c r="A149" s="94" t="s">
        <v>258</v>
      </c>
      <c r="B149" s="94" t="s">
        <v>127</v>
      </c>
      <c r="C149" s="94"/>
      <c r="D149" s="94"/>
      <c r="E149" s="94"/>
      <c r="F149" s="94"/>
      <c r="G149" s="94" t="str">
        <f t="shared" si="2"/>
        <v>BrecilienB21</v>
      </c>
      <c r="H149" s="94" t="s">
        <v>377</v>
      </c>
      <c r="I149" s="94">
        <v>21</v>
      </c>
    </row>
    <row r="150" spans="1:9" x14ac:dyDescent="0.25">
      <c r="A150" s="94" t="s">
        <v>258</v>
      </c>
      <c r="B150" s="94" t="s">
        <v>128</v>
      </c>
      <c r="C150" s="94"/>
      <c r="D150" s="94"/>
      <c r="E150" s="94"/>
      <c r="F150" s="94"/>
      <c r="G150" s="94" t="str">
        <f t="shared" si="2"/>
        <v>BridgewatchB21</v>
      </c>
      <c r="H150" s="94" t="s">
        <v>377</v>
      </c>
      <c r="I150" s="94">
        <v>21</v>
      </c>
    </row>
    <row r="151" spans="1:9" x14ac:dyDescent="0.25">
      <c r="A151" s="94" t="s">
        <v>258</v>
      </c>
      <c r="B151" s="94" t="s">
        <v>129</v>
      </c>
      <c r="C151" s="94"/>
      <c r="D151" s="94"/>
      <c r="E151" s="94"/>
      <c r="F151" s="94"/>
      <c r="G151" s="94" t="str">
        <f t="shared" si="2"/>
        <v>CaerleonB21</v>
      </c>
      <c r="H151" s="94" t="s">
        <v>377</v>
      </c>
      <c r="I151" s="94">
        <v>21</v>
      </c>
    </row>
    <row r="152" spans="1:9" x14ac:dyDescent="0.25">
      <c r="A152" s="94" t="s">
        <v>258</v>
      </c>
      <c r="B152" s="94" t="s">
        <v>130</v>
      </c>
      <c r="C152" s="94">
        <v>189978</v>
      </c>
      <c r="D152" s="94" t="s">
        <v>559</v>
      </c>
      <c r="E152" s="94"/>
      <c r="F152" s="94"/>
      <c r="G152" s="94" t="str">
        <f t="shared" si="2"/>
        <v>Fort SterlingB21</v>
      </c>
      <c r="H152" s="94" t="s">
        <v>377</v>
      </c>
      <c r="I152" s="94">
        <v>21</v>
      </c>
    </row>
    <row r="153" spans="1:9" x14ac:dyDescent="0.25">
      <c r="A153" s="94" t="s">
        <v>258</v>
      </c>
      <c r="B153" s="94" t="s">
        <v>131</v>
      </c>
      <c r="C153" s="94">
        <v>499997</v>
      </c>
      <c r="D153" s="94" t="s">
        <v>638</v>
      </c>
      <c r="E153" s="94"/>
      <c r="F153" s="94"/>
      <c r="G153" s="94" t="str">
        <f t="shared" si="2"/>
        <v>LymhurstB21</v>
      </c>
      <c r="H153" s="94" t="s">
        <v>377</v>
      </c>
      <c r="I153" s="94">
        <v>21</v>
      </c>
    </row>
    <row r="154" spans="1:9" x14ac:dyDescent="0.25">
      <c r="A154" s="94" t="s">
        <v>258</v>
      </c>
      <c r="B154" s="94" t="s">
        <v>132</v>
      </c>
      <c r="C154" s="94">
        <v>178985</v>
      </c>
      <c r="D154" s="94" t="s">
        <v>633</v>
      </c>
      <c r="E154" s="94"/>
      <c r="F154" s="94"/>
      <c r="G154" s="94" t="str">
        <f t="shared" si="2"/>
        <v>MartlockB21</v>
      </c>
      <c r="H154" s="94" t="s">
        <v>377</v>
      </c>
      <c r="I154" s="94">
        <v>21</v>
      </c>
    </row>
    <row r="155" spans="1:9" x14ac:dyDescent="0.25">
      <c r="A155" s="94" t="s">
        <v>258</v>
      </c>
      <c r="B155" s="94" t="s">
        <v>133</v>
      </c>
      <c r="C155" s="94">
        <v>184870</v>
      </c>
      <c r="D155" s="94" t="s">
        <v>670</v>
      </c>
      <c r="E155" s="94">
        <v>151133</v>
      </c>
      <c r="F155" s="94" t="s">
        <v>670</v>
      </c>
      <c r="G155" s="94" t="str">
        <f t="shared" si="2"/>
        <v>ThetfordB21</v>
      </c>
      <c r="H155" s="94" t="s">
        <v>377</v>
      </c>
      <c r="I155" s="94">
        <v>21</v>
      </c>
    </row>
    <row r="156" spans="1:9" x14ac:dyDescent="0.25">
      <c r="A156" s="94" t="s">
        <v>259</v>
      </c>
      <c r="B156" s="94" t="s">
        <v>127</v>
      </c>
      <c r="C156" s="94">
        <v>6156</v>
      </c>
      <c r="D156" s="94" t="s">
        <v>499</v>
      </c>
      <c r="E156" s="94"/>
      <c r="F156" s="94"/>
      <c r="G156" s="94" t="str">
        <f t="shared" si="2"/>
        <v>BrecilienB22</v>
      </c>
      <c r="H156" s="94" t="s">
        <v>377</v>
      </c>
      <c r="I156" s="94">
        <v>22</v>
      </c>
    </row>
    <row r="157" spans="1:9" x14ac:dyDescent="0.25">
      <c r="A157" s="94" t="s">
        <v>259</v>
      </c>
      <c r="B157" s="94" t="s">
        <v>128</v>
      </c>
      <c r="C157" s="94">
        <v>7038</v>
      </c>
      <c r="D157" s="94" t="s">
        <v>584</v>
      </c>
      <c r="E157" s="94">
        <v>6423</v>
      </c>
      <c r="F157" s="94" t="s">
        <v>584</v>
      </c>
      <c r="G157" s="94" t="str">
        <f t="shared" si="2"/>
        <v>BridgewatchB22</v>
      </c>
      <c r="H157" s="94" t="s">
        <v>377</v>
      </c>
      <c r="I157" s="94">
        <v>22</v>
      </c>
    </row>
    <row r="158" spans="1:9" x14ac:dyDescent="0.25">
      <c r="A158" s="94" t="s">
        <v>259</v>
      </c>
      <c r="B158" s="94" t="s">
        <v>129</v>
      </c>
      <c r="C158" s="94">
        <v>6870</v>
      </c>
      <c r="D158" s="94" t="s">
        <v>671</v>
      </c>
      <c r="E158" s="94">
        <v>5804</v>
      </c>
      <c r="F158" s="94" t="s">
        <v>590</v>
      </c>
      <c r="G158" s="94" t="str">
        <f t="shared" si="2"/>
        <v>CaerleonB22</v>
      </c>
      <c r="H158" s="94" t="s">
        <v>377</v>
      </c>
      <c r="I158" s="94">
        <v>22</v>
      </c>
    </row>
    <row r="159" spans="1:9" x14ac:dyDescent="0.25">
      <c r="A159" s="94" t="s">
        <v>259</v>
      </c>
      <c r="B159" s="94" t="s">
        <v>130</v>
      </c>
      <c r="C159" s="94">
        <v>7112</v>
      </c>
      <c r="D159" s="94" t="s">
        <v>614</v>
      </c>
      <c r="E159" s="94">
        <v>6901</v>
      </c>
      <c r="F159" s="94" t="s">
        <v>614</v>
      </c>
      <c r="G159" s="94" t="str">
        <f t="shared" si="2"/>
        <v>Fort SterlingB22</v>
      </c>
      <c r="H159" s="94" t="s">
        <v>377</v>
      </c>
      <c r="I159" s="94">
        <v>22</v>
      </c>
    </row>
    <row r="160" spans="1:9" x14ac:dyDescent="0.25">
      <c r="A160" s="94" t="s">
        <v>259</v>
      </c>
      <c r="B160" s="94" t="s">
        <v>131</v>
      </c>
      <c r="C160" s="94">
        <v>7840</v>
      </c>
      <c r="D160" s="94" t="s">
        <v>660</v>
      </c>
      <c r="E160" s="94">
        <v>7200</v>
      </c>
      <c r="F160" s="94" t="s">
        <v>660</v>
      </c>
      <c r="G160" s="94" t="str">
        <f t="shared" si="2"/>
        <v>LymhurstB22</v>
      </c>
      <c r="H160" s="94" t="s">
        <v>377</v>
      </c>
      <c r="I160" s="94">
        <v>22</v>
      </c>
    </row>
    <row r="161" spans="1:9" x14ac:dyDescent="0.25">
      <c r="A161" s="94" t="s">
        <v>259</v>
      </c>
      <c r="B161" s="94" t="s">
        <v>132</v>
      </c>
      <c r="C161" s="94">
        <v>7166</v>
      </c>
      <c r="D161" s="94" t="s">
        <v>581</v>
      </c>
      <c r="E161" s="94">
        <v>6517</v>
      </c>
      <c r="F161" s="94" t="s">
        <v>581</v>
      </c>
      <c r="G161" s="94" t="str">
        <f t="shared" si="2"/>
        <v>MartlockB22</v>
      </c>
      <c r="H161" s="94" t="s">
        <v>377</v>
      </c>
      <c r="I161" s="94">
        <v>22</v>
      </c>
    </row>
    <row r="162" spans="1:9" x14ac:dyDescent="0.25">
      <c r="A162" s="94" t="s">
        <v>259</v>
      </c>
      <c r="B162" s="94" t="s">
        <v>133</v>
      </c>
      <c r="C162" s="94">
        <v>7580</v>
      </c>
      <c r="D162" s="94" t="s">
        <v>650</v>
      </c>
      <c r="E162" s="94">
        <v>6707</v>
      </c>
      <c r="F162" s="94" t="s">
        <v>672</v>
      </c>
      <c r="G162" s="94" t="str">
        <f t="shared" si="2"/>
        <v>ThetfordB22</v>
      </c>
      <c r="H162" s="94" t="s">
        <v>377</v>
      </c>
      <c r="I162" s="94">
        <v>22</v>
      </c>
    </row>
    <row r="163" spans="1:9" x14ac:dyDescent="0.25">
      <c r="A163" s="94" t="s">
        <v>260</v>
      </c>
      <c r="B163" s="94" t="s">
        <v>127</v>
      </c>
      <c r="C163" s="94">
        <v>13797</v>
      </c>
      <c r="D163" s="94" t="s">
        <v>484</v>
      </c>
      <c r="E163" s="94"/>
      <c r="F163" s="94"/>
      <c r="G163" s="94" t="str">
        <f t="shared" si="2"/>
        <v>BrecilienB23</v>
      </c>
      <c r="H163" s="94" t="s">
        <v>377</v>
      </c>
      <c r="I163" s="94">
        <v>23</v>
      </c>
    </row>
    <row r="164" spans="1:9" x14ac:dyDescent="0.25">
      <c r="A164" s="94" t="s">
        <v>260</v>
      </c>
      <c r="B164" s="94" t="s">
        <v>128</v>
      </c>
      <c r="C164" s="94">
        <v>15955</v>
      </c>
      <c r="D164" s="94" t="s">
        <v>654</v>
      </c>
      <c r="E164" s="94"/>
      <c r="F164" s="94"/>
      <c r="G164" s="94" t="str">
        <f t="shared" si="2"/>
        <v>BridgewatchB23</v>
      </c>
      <c r="H164" s="94" t="s">
        <v>377</v>
      </c>
      <c r="I164" s="94">
        <v>23</v>
      </c>
    </row>
    <row r="165" spans="1:9" x14ac:dyDescent="0.25">
      <c r="A165" s="94" t="s">
        <v>260</v>
      </c>
      <c r="B165" s="94" t="s">
        <v>129</v>
      </c>
      <c r="C165" s="94">
        <v>19781</v>
      </c>
      <c r="D165" s="94" t="s">
        <v>668</v>
      </c>
      <c r="E165" s="94"/>
      <c r="F165" s="94"/>
      <c r="G165" s="94" t="str">
        <f t="shared" si="2"/>
        <v>CaerleonB23</v>
      </c>
      <c r="H165" s="94" t="s">
        <v>377</v>
      </c>
      <c r="I165" s="94">
        <v>23</v>
      </c>
    </row>
    <row r="166" spans="1:9" x14ac:dyDescent="0.25">
      <c r="A166" s="94" t="s">
        <v>260</v>
      </c>
      <c r="B166" s="94" t="s">
        <v>130</v>
      </c>
      <c r="C166" s="94">
        <v>16475</v>
      </c>
      <c r="D166" s="94" t="s">
        <v>588</v>
      </c>
      <c r="E166" s="94">
        <v>15800</v>
      </c>
      <c r="F166" s="94" t="s">
        <v>614</v>
      </c>
      <c r="G166" s="94" t="str">
        <f t="shared" si="2"/>
        <v>Fort SterlingB23</v>
      </c>
      <c r="H166" s="94" t="s">
        <v>377</v>
      </c>
      <c r="I166" s="94">
        <v>23</v>
      </c>
    </row>
    <row r="167" spans="1:9" x14ac:dyDescent="0.25">
      <c r="A167" s="94" t="s">
        <v>260</v>
      </c>
      <c r="B167" s="94" t="s">
        <v>131</v>
      </c>
      <c r="C167" s="94">
        <v>15273</v>
      </c>
      <c r="D167" s="94" t="s">
        <v>487</v>
      </c>
      <c r="E167" s="94"/>
      <c r="F167" s="94"/>
      <c r="G167" s="94" t="str">
        <f t="shared" si="2"/>
        <v>LymhurstB23</v>
      </c>
      <c r="H167" s="94" t="s">
        <v>377</v>
      </c>
      <c r="I167" s="94">
        <v>23</v>
      </c>
    </row>
    <row r="168" spans="1:9" x14ac:dyDescent="0.25">
      <c r="A168" s="94" t="s">
        <v>260</v>
      </c>
      <c r="B168" s="94" t="s">
        <v>132</v>
      </c>
      <c r="C168" s="94">
        <v>15986</v>
      </c>
      <c r="D168" s="94" t="s">
        <v>658</v>
      </c>
      <c r="E168" s="94">
        <v>14370</v>
      </c>
      <c r="F168" s="94" t="s">
        <v>658</v>
      </c>
      <c r="G168" s="94" t="str">
        <f t="shared" si="2"/>
        <v>MartlockB23</v>
      </c>
      <c r="H168" s="94" t="s">
        <v>377</v>
      </c>
      <c r="I168" s="94">
        <v>23</v>
      </c>
    </row>
    <row r="169" spans="1:9" x14ac:dyDescent="0.25">
      <c r="A169" s="94" t="s">
        <v>260</v>
      </c>
      <c r="B169" s="94" t="s">
        <v>133</v>
      </c>
      <c r="C169" s="94">
        <v>18840</v>
      </c>
      <c r="D169" s="94" t="s">
        <v>650</v>
      </c>
      <c r="E169" s="94"/>
      <c r="F169" s="94"/>
      <c r="G169" s="94" t="str">
        <f t="shared" si="2"/>
        <v>ThetfordB23</v>
      </c>
      <c r="H169" s="94" t="s">
        <v>377</v>
      </c>
      <c r="I169" s="94">
        <v>23</v>
      </c>
    </row>
    <row r="170" spans="1:9" x14ac:dyDescent="0.25">
      <c r="A170" s="94" t="s">
        <v>261</v>
      </c>
      <c r="B170" s="94" t="s">
        <v>127</v>
      </c>
      <c r="C170" s="94">
        <v>41096</v>
      </c>
      <c r="D170" s="94" t="s">
        <v>617</v>
      </c>
      <c r="E170" s="94"/>
      <c r="F170" s="94"/>
      <c r="G170" s="94" t="str">
        <f t="shared" si="2"/>
        <v>BrecilienB24</v>
      </c>
      <c r="H170" s="94" t="s">
        <v>377</v>
      </c>
      <c r="I170" s="94">
        <v>24</v>
      </c>
    </row>
    <row r="171" spans="1:9" x14ac:dyDescent="0.25">
      <c r="A171" s="94" t="s">
        <v>261</v>
      </c>
      <c r="B171" s="94" t="s">
        <v>128</v>
      </c>
      <c r="C171" s="94"/>
      <c r="D171" s="94"/>
      <c r="E171" s="94"/>
      <c r="F171" s="94"/>
      <c r="G171" s="94" t="str">
        <f t="shared" si="2"/>
        <v>BridgewatchB24</v>
      </c>
      <c r="H171" s="94" t="s">
        <v>377</v>
      </c>
      <c r="I171" s="94">
        <v>24</v>
      </c>
    </row>
    <row r="172" spans="1:9" x14ac:dyDescent="0.25">
      <c r="A172" s="94" t="s">
        <v>261</v>
      </c>
      <c r="B172" s="94" t="s">
        <v>129</v>
      </c>
      <c r="C172" s="94">
        <v>40996</v>
      </c>
      <c r="D172" s="94" t="s">
        <v>601</v>
      </c>
      <c r="E172" s="94"/>
      <c r="F172" s="94"/>
      <c r="G172" s="94" t="str">
        <f t="shared" si="2"/>
        <v>CaerleonB24</v>
      </c>
      <c r="H172" s="94" t="s">
        <v>377</v>
      </c>
      <c r="I172" s="94">
        <v>24</v>
      </c>
    </row>
    <row r="173" spans="1:9" x14ac:dyDescent="0.25">
      <c r="A173" s="94" t="s">
        <v>261</v>
      </c>
      <c r="B173" s="94" t="s">
        <v>130</v>
      </c>
      <c r="C173" s="94">
        <v>44998</v>
      </c>
      <c r="D173" s="94" t="s">
        <v>588</v>
      </c>
      <c r="E173" s="94">
        <v>38000</v>
      </c>
      <c r="F173" s="94" t="s">
        <v>614</v>
      </c>
      <c r="G173" s="94" t="str">
        <f t="shared" si="2"/>
        <v>Fort SterlingB24</v>
      </c>
      <c r="H173" s="94" t="s">
        <v>377</v>
      </c>
      <c r="I173" s="94">
        <v>24</v>
      </c>
    </row>
    <row r="174" spans="1:9" x14ac:dyDescent="0.25">
      <c r="A174" s="94" t="s">
        <v>261</v>
      </c>
      <c r="B174" s="94" t="s">
        <v>131</v>
      </c>
      <c r="C174" s="94">
        <v>141954</v>
      </c>
      <c r="D174" s="94" t="s">
        <v>645</v>
      </c>
      <c r="E174" s="94"/>
      <c r="F174" s="94"/>
      <c r="G174" s="94" t="str">
        <f t="shared" si="2"/>
        <v>LymhurstB24</v>
      </c>
      <c r="H174" s="94" t="s">
        <v>377</v>
      </c>
      <c r="I174" s="94">
        <v>24</v>
      </c>
    </row>
    <row r="175" spans="1:9" x14ac:dyDescent="0.25">
      <c r="A175" s="94" t="s">
        <v>261</v>
      </c>
      <c r="B175" s="94" t="s">
        <v>132</v>
      </c>
      <c r="C175" s="94">
        <v>44945</v>
      </c>
      <c r="D175" s="94" t="s">
        <v>610</v>
      </c>
      <c r="E175" s="94">
        <v>37135</v>
      </c>
      <c r="F175" s="94" t="s">
        <v>599</v>
      </c>
      <c r="G175" s="94" t="str">
        <f t="shared" si="2"/>
        <v>MartlockB24</v>
      </c>
      <c r="H175" s="94" t="s">
        <v>377</v>
      </c>
      <c r="I175" s="94">
        <v>24</v>
      </c>
    </row>
    <row r="176" spans="1:9" x14ac:dyDescent="0.25">
      <c r="A176" s="94" t="s">
        <v>261</v>
      </c>
      <c r="B176" s="94" t="s">
        <v>133</v>
      </c>
      <c r="C176" s="94">
        <v>48766</v>
      </c>
      <c r="D176" s="94" t="s">
        <v>669</v>
      </c>
      <c r="E176" s="94">
        <v>38008</v>
      </c>
      <c r="F176" s="94" t="s">
        <v>658</v>
      </c>
      <c r="G176" s="94" t="str">
        <f t="shared" si="2"/>
        <v>ThetfordB24</v>
      </c>
      <c r="H176" s="94" t="s">
        <v>377</v>
      </c>
      <c r="I176" s="94">
        <v>24</v>
      </c>
    </row>
    <row r="177" spans="1:9" x14ac:dyDescent="0.25">
      <c r="A177" s="94" t="s">
        <v>262</v>
      </c>
      <c r="B177" s="94" t="s">
        <v>127</v>
      </c>
      <c r="C177" s="94">
        <v>271106</v>
      </c>
      <c r="D177" s="94" t="s">
        <v>500</v>
      </c>
      <c r="E177" s="94"/>
      <c r="F177" s="94"/>
      <c r="G177" s="94" t="str">
        <f t="shared" si="2"/>
        <v>BrecilienB25</v>
      </c>
      <c r="H177" s="94" t="s">
        <v>377</v>
      </c>
      <c r="I177" s="94">
        <v>25</v>
      </c>
    </row>
    <row r="178" spans="1:9" x14ac:dyDescent="0.25">
      <c r="A178" s="94" t="s">
        <v>262</v>
      </c>
      <c r="B178" s="94" t="s">
        <v>128</v>
      </c>
      <c r="C178" s="94"/>
      <c r="D178" s="94"/>
      <c r="E178" s="94"/>
      <c r="F178" s="94"/>
      <c r="G178" s="94" t="str">
        <f t="shared" si="2"/>
        <v>BridgewatchB25</v>
      </c>
      <c r="H178" s="94" t="s">
        <v>377</v>
      </c>
      <c r="I178" s="94">
        <v>25</v>
      </c>
    </row>
    <row r="179" spans="1:9" x14ac:dyDescent="0.25">
      <c r="A179" s="94" t="s">
        <v>262</v>
      </c>
      <c r="B179" s="94" t="s">
        <v>129</v>
      </c>
      <c r="C179" s="94">
        <v>219994</v>
      </c>
      <c r="D179" s="94" t="s">
        <v>592</v>
      </c>
      <c r="E179" s="94"/>
      <c r="F179" s="94"/>
      <c r="G179" s="94" t="str">
        <f t="shared" si="2"/>
        <v>CaerleonB25</v>
      </c>
      <c r="H179" s="94" t="s">
        <v>377</v>
      </c>
      <c r="I179" s="94">
        <v>25</v>
      </c>
    </row>
    <row r="180" spans="1:9" x14ac:dyDescent="0.25">
      <c r="A180" s="94" t="s">
        <v>262</v>
      </c>
      <c r="B180" s="94" t="s">
        <v>130</v>
      </c>
      <c r="C180" s="94">
        <v>209999</v>
      </c>
      <c r="D180" s="94" t="s">
        <v>559</v>
      </c>
      <c r="E180" s="94"/>
      <c r="F180" s="94"/>
      <c r="G180" s="94" t="str">
        <f t="shared" si="2"/>
        <v>Fort SterlingB25</v>
      </c>
      <c r="H180" s="94" t="s">
        <v>377</v>
      </c>
      <c r="I180" s="94">
        <v>25</v>
      </c>
    </row>
    <row r="181" spans="1:9" x14ac:dyDescent="0.25">
      <c r="A181" s="94" t="s">
        <v>262</v>
      </c>
      <c r="B181" s="94" t="s">
        <v>131</v>
      </c>
      <c r="C181" s="94">
        <v>214968</v>
      </c>
      <c r="D181" s="94" t="s">
        <v>557</v>
      </c>
      <c r="E181" s="94"/>
      <c r="F181" s="94"/>
      <c r="G181" s="94" t="str">
        <f t="shared" si="2"/>
        <v>LymhurstB25</v>
      </c>
      <c r="H181" s="94" t="s">
        <v>377</v>
      </c>
      <c r="I181" s="94">
        <v>25</v>
      </c>
    </row>
    <row r="182" spans="1:9" x14ac:dyDescent="0.25">
      <c r="A182" s="94" t="s">
        <v>262</v>
      </c>
      <c r="B182" s="94" t="s">
        <v>132</v>
      </c>
      <c r="C182" s="94"/>
      <c r="D182" s="94"/>
      <c r="E182" s="94"/>
      <c r="F182" s="94"/>
      <c r="G182" s="94" t="str">
        <f t="shared" si="2"/>
        <v>MartlockB25</v>
      </c>
      <c r="H182" s="94" t="s">
        <v>377</v>
      </c>
      <c r="I182" s="94">
        <v>25</v>
      </c>
    </row>
    <row r="183" spans="1:9" x14ac:dyDescent="0.25">
      <c r="A183" s="94" t="s">
        <v>262</v>
      </c>
      <c r="B183" s="94" t="s">
        <v>133</v>
      </c>
      <c r="C183" s="94">
        <v>209996</v>
      </c>
      <c r="D183" s="94" t="s">
        <v>650</v>
      </c>
      <c r="E183" s="94"/>
      <c r="F183" s="94"/>
      <c r="G183" s="94" t="str">
        <f t="shared" si="2"/>
        <v>ThetfordB25</v>
      </c>
      <c r="H183" s="94" t="s">
        <v>377</v>
      </c>
      <c r="I183" s="94">
        <v>25</v>
      </c>
    </row>
    <row r="184" spans="1:9" x14ac:dyDescent="0.25">
      <c r="A184" s="94" t="s">
        <v>263</v>
      </c>
      <c r="B184" s="94" t="s">
        <v>127</v>
      </c>
      <c r="C184" s="94"/>
      <c r="D184" s="94"/>
      <c r="E184" s="94"/>
      <c r="F184" s="94"/>
      <c r="G184" s="94" t="str">
        <f t="shared" si="2"/>
        <v>BrecilienB26</v>
      </c>
      <c r="H184" s="94" t="s">
        <v>377</v>
      </c>
      <c r="I184" s="94">
        <v>26</v>
      </c>
    </row>
    <row r="185" spans="1:9" x14ac:dyDescent="0.25">
      <c r="A185" s="94" t="s">
        <v>263</v>
      </c>
      <c r="B185" s="94" t="s">
        <v>128</v>
      </c>
      <c r="C185" s="94"/>
      <c r="D185" s="94"/>
      <c r="E185" s="94"/>
      <c r="F185" s="94"/>
      <c r="G185" s="94" t="str">
        <f t="shared" si="2"/>
        <v>BridgewatchB26</v>
      </c>
      <c r="H185" s="94" t="s">
        <v>377</v>
      </c>
      <c r="I185" s="94">
        <v>26</v>
      </c>
    </row>
    <row r="186" spans="1:9" x14ac:dyDescent="0.25">
      <c r="A186" s="94" t="s">
        <v>263</v>
      </c>
      <c r="B186" s="94" t="s">
        <v>129</v>
      </c>
      <c r="C186" s="94"/>
      <c r="D186" s="94"/>
      <c r="E186" s="94"/>
      <c r="F186" s="94"/>
      <c r="G186" s="94" t="str">
        <f t="shared" si="2"/>
        <v>CaerleonB26</v>
      </c>
      <c r="H186" s="94" t="s">
        <v>377</v>
      </c>
      <c r="I186" s="94">
        <v>26</v>
      </c>
    </row>
    <row r="187" spans="1:9" x14ac:dyDescent="0.25">
      <c r="A187" s="94" t="s">
        <v>263</v>
      </c>
      <c r="B187" s="94" t="s">
        <v>130</v>
      </c>
      <c r="C187" s="94">
        <v>979791</v>
      </c>
      <c r="D187" s="94" t="s">
        <v>559</v>
      </c>
      <c r="E187" s="94"/>
      <c r="F187" s="94"/>
      <c r="G187" s="94" t="str">
        <f t="shared" si="2"/>
        <v>Fort SterlingB26</v>
      </c>
      <c r="H187" s="94" t="s">
        <v>377</v>
      </c>
      <c r="I187" s="94">
        <v>26</v>
      </c>
    </row>
    <row r="188" spans="1:9" x14ac:dyDescent="0.25">
      <c r="A188" s="94" t="s">
        <v>263</v>
      </c>
      <c r="B188" s="94" t="s">
        <v>131</v>
      </c>
      <c r="C188" s="94">
        <v>989995</v>
      </c>
      <c r="D188" s="94" t="s">
        <v>645</v>
      </c>
      <c r="E188" s="94"/>
      <c r="F188" s="94"/>
      <c r="G188" s="94" t="str">
        <f t="shared" si="2"/>
        <v>LymhurstB26</v>
      </c>
      <c r="H188" s="94" t="s">
        <v>377</v>
      </c>
      <c r="I188" s="94">
        <v>26</v>
      </c>
    </row>
    <row r="189" spans="1:9" x14ac:dyDescent="0.25">
      <c r="A189" s="94" t="s">
        <v>263</v>
      </c>
      <c r="B189" s="94" t="s">
        <v>132</v>
      </c>
      <c r="C189" s="94"/>
      <c r="D189" s="94"/>
      <c r="E189" s="94"/>
      <c r="F189" s="94"/>
      <c r="G189" s="94" t="str">
        <f t="shared" si="2"/>
        <v>MartlockB26</v>
      </c>
      <c r="H189" s="94" t="s">
        <v>377</v>
      </c>
      <c r="I189" s="94">
        <v>26</v>
      </c>
    </row>
    <row r="190" spans="1:9" x14ac:dyDescent="0.25">
      <c r="A190" s="94" t="s">
        <v>263</v>
      </c>
      <c r="B190" s="94" t="s">
        <v>133</v>
      </c>
      <c r="C190" s="94">
        <v>989956</v>
      </c>
      <c r="D190" s="94" t="s">
        <v>650</v>
      </c>
      <c r="E190" s="94"/>
      <c r="F190" s="94"/>
      <c r="G190" s="94" t="str">
        <f t="shared" si="2"/>
        <v>ThetfordB26</v>
      </c>
      <c r="H190" s="94" t="s">
        <v>377</v>
      </c>
      <c r="I190" s="94">
        <v>26</v>
      </c>
    </row>
    <row r="191" spans="1:9" x14ac:dyDescent="0.25">
      <c r="A191" s="103"/>
      <c r="B191" s="103"/>
      <c r="C191" s="103"/>
      <c r="D191" s="103"/>
      <c r="E191" s="103"/>
      <c r="F191" s="103"/>
      <c r="G191" s="103"/>
      <c r="H191" s="44"/>
      <c r="I191" s="44"/>
    </row>
    <row r="192" spans="1:9" x14ac:dyDescent="0.25">
      <c r="A192" s="94" t="s">
        <v>565</v>
      </c>
      <c r="B192" s="94" t="s">
        <v>127</v>
      </c>
      <c r="C192" s="94">
        <v>13</v>
      </c>
      <c r="D192" s="94" t="s">
        <v>597</v>
      </c>
      <c r="E192" s="94"/>
      <c r="F192" s="94"/>
      <c r="G192" s="94" t="str">
        <f>_xlfn.CONCAT(B192,H192,I192)</f>
        <v>BrecilienR0</v>
      </c>
      <c r="H192" s="94" t="s">
        <v>380</v>
      </c>
      <c r="I192" s="94">
        <v>0</v>
      </c>
    </row>
    <row r="193" spans="1:9" x14ac:dyDescent="0.25">
      <c r="A193" s="94" t="s">
        <v>565</v>
      </c>
      <c r="B193" s="94" t="s">
        <v>128</v>
      </c>
      <c r="C193" s="94">
        <v>15</v>
      </c>
      <c r="D193" s="94" t="s">
        <v>655</v>
      </c>
      <c r="E193" s="94">
        <v>11</v>
      </c>
      <c r="F193" s="94" t="s">
        <v>575</v>
      </c>
      <c r="G193" s="94" t="str">
        <f t="shared" ref="G193:G256" si="3">_xlfn.CONCAT(B193,H193,I193)</f>
        <v>BridgewatchR0</v>
      </c>
      <c r="H193" s="94" t="s">
        <v>380</v>
      </c>
      <c r="I193" s="94">
        <v>0</v>
      </c>
    </row>
    <row r="194" spans="1:9" x14ac:dyDescent="0.25">
      <c r="A194" s="94" t="s">
        <v>565</v>
      </c>
      <c r="B194" s="94" t="s">
        <v>129</v>
      </c>
      <c r="C194" s="94">
        <v>38</v>
      </c>
      <c r="D194" s="94" t="s">
        <v>670</v>
      </c>
      <c r="E194" s="94"/>
      <c r="F194" s="94"/>
      <c r="G194" s="94" t="str">
        <f t="shared" si="3"/>
        <v>CaerleonR0</v>
      </c>
      <c r="H194" s="94" t="s">
        <v>380</v>
      </c>
      <c r="I194" s="94">
        <v>0</v>
      </c>
    </row>
    <row r="195" spans="1:9" x14ac:dyDescent="0.25">
      <c r="A195" s="94" t="s">
        <v>565</v>
      </c>
      <c r="B195" s="94" t="s">
        <v>130</v>
      </c>
      <c r="C195" s="94">
        <v>29</v>
      </c>
      <c r="D195" s="94" t="s">
        <v>666</v>
      </c>
      <c r="E195" s="94">
        <v>11</v>
      </c>
      <c r="F195" s="94" t="s">
        <v>608</v>
      </c>
      <c r="G195" s="94" t="str">
        <f t="shared" si="3"/>
        <v>Fort SterlingR0</v>
      </c>
      <c r="H195" s="94" t="s">
        <v>380</v>
      </c>
      <c r="I195" s="94">
        <v>0</v>
      </c>
    </row>
    <row r="196" spans="1:9" x14ac:dyDescent="0.25">
      <c r="A196" s="94" t="s">
        <v>565</v>
      </c>
      <c r="B196" s="94" t="s">
        <v>131</v>
      </c>
      <c r="C196" s="94">
        <v>15</v>
      </c>
      <c r="D196" s="94" t="s">
        <v>667</v>
      </c>
      <c r="E196" s="94">
        <v>3</v>
      </c>
      <c r="F196" s="94" t="s">
        <v>576</v>
      </c>
      <c r="G196" s="94" t="str">
        <f t="shared" si="3"/>
        <v>LymhurstR0</v>
      </c>
      <c r="H196" s="94" t="s">
        <v>380</v>
      </c>
      <c r="I196" s="94">
        <v>0</v>
      </c>
    </row>
    <row r="197" spans="1:9" x14ac:dyDescent="0.25">
      <c r="A197" s="94" t="s">
        <v>565</v>
      </c>
      <c r="B197" s="94" t="s">
        <v>132</v>
      </c>
      <c r="C197" s="94">
        <v>14</v>
      </c>
      <c r="D197" s="94" t="s">
        <v>657</v>
      </c>
      <c r="E197" s="94"/>
      <c r="F197" s="94"/>
      <c r="G197" s="94" t="str">
        <f t="shared" si="3"/>
        <v>MartlockR0</v>
      </c>
      <c r="H197" s="94" t="s">
        <v>380</v>
      </c>
      <c r="I197" s="94">
        <v>0</v>
      </c>
    </row>
    <row r="198" spans="1:9" x14ac:dyDescent="0.25">
      <c r="A198" s="94" t="s">
        <v>565</v>
      </c>
      <c r="B198" s="94" t="s">
        <v>133</v>
      </c>
      <c r="C198" s="94">
        <v>20</v>
      </c>
      <c r="D198" s="94" t="s">
        <v>673</v>
      </c>
      <c r="E198" s="94">
        <v>6</v>
      </c>
      <c r="F198" s="94" t="s">
        <v>611</v>
      </c>
      <c r="G198" s="94" t="str">
        <f t="shared" si="3"/>
        <v>ThetfordR0</v>
      </c>
      <c r="H198" s="94" t="s">
        <v>380</v>
      </c>
      <c r="I198" s="94">
        <v>0</v>
      </c>
    </row>
    <row r="199" spans="1:9" x14ac:dyDescent="0.25">
      <c r="A199" s="94" t="s">
        <v>264</v>
      </c>
      <c r="B199" s="94" t="s">
        <v>127</v>
      </c>
      <c r="C199" s="94">
        <v>150</v>
      </c>
      <c r="D199" s="94" t="s">
        <v>597</v>
      </c>
      <c r="E199" s="94"/>
      <c r="F199" s="94"/>
      <c r="G199" s="94" t="str">
        <f t="shared" si="3"/>
        <v>BrecilienR1</v>
      </c>
      <c r="H199" s="94" t="s">
        <v>380</v>
      </c>
      <c r="I199" s="94">
        <v>1</v>
      </c>
    </row>
    <row r="200" spans="1:9" x14ac:dyDescent="0.25">
      <c r="A200" s="94" t="s">
        <v>264</v>
      </c>
      <c r="B200" s="94" t="s">
        <v>128</v>
      </c>
      <c r="C200" s="94">
        <v>144</v>
      </c>
      <c r="D200" s="94" t="s">
        <v>627</v>
      </c>
      <c r="E200" s="94">
        <v>86</v>
      </c>
      <c r="F200" s="94" t="s">
        <v>627</v>
      </c>
      <c r="G200" s="94" t="str">
        <f t="shared" si="3"/>
        <v>BridgewatchR1</v>
      </c>
      <c r="H200" s="94" t="s">
        <v>380</v>
      </c>
      <c r="I200" s="94">
        <v>1</v>
      </c>
    </row>
    <row r="201" spans="1:9" x14ac:dyDescent="0.25">
      <c r="A201" s="94" t="s">
        <v>264</v>
      </c>
      <c r="B201" s="94" t="s">
        <v>129</v>
      </c>
      <c r="C201" s="94">
        <v>183</v>
      </c>
      <c r="D201" s="94" t="s">
        <v>577</v>
      </c>
      <c r="E201" s="94"/>
      <c r="F201" s="94"/>
      <c r="G201" s="94" t="str">
        <f t="shared" si="3"/>
        <v>CaerleonR1</v>
      </c>
      <c r="H201" s="94" t="s">
        <v>380</v>
      </c>
      <c r="I201" s="94">
        <v>1</v>
      </c>
    </row>
    <row r="202" spans="1:9" x14ac:dyDescent="0.25">
      <c r="A202" s="94" t="s">
        <v>264</v>
      </c>
      <c r="B202" s="94" t="s">
        <v>130</v>
      </c>
      <c r="C202" s="94">
        <v>114</v>
      </c>
      <c r="D202" s="94" t="s">
        <v>674</v>
      </c>
      <c r="E202" s="94">
        <v>81</v>
      </c>
      <c r="F202" s="94" t="s">
        <v>647</v>
      </c>
      <c r="G202" s="94" t="str">
        <f t="shared" si="3"/>
        <v>Fort SterlingR1</v>
      </c>
      <c r="H202" s="94" t="s">
        <v>380</v>
      </c>
      <c r="I202" s="94">
        <v>1</v>
      </c>
    </row>
    <row r="203" spans="1:9" x14ac:dyDescent="0.25">
      <c r="A203" s="94" t="s">
        <v>264</v>
      </c>
      <c r="B203" s="94" t="s">
        <v>131</v>
      </c>
      <c r="C203" s="94">
        <v>121</v>
      </c>
      <c r="D203" s="94" t="s">
        <v>585</v>
      </c>
      <c r="E203" s="94">
        <v>106</v>
      </c>
      <c r="F203" s="94" t="s">
        <v>585</v>
      </c>
      <c r="G203" s="94" t="str">
        <f t="shared" si="3"/>
        <v>LymhurstR1</v>
      </c>
      <c r="H203" s="94" t="s">
        <v>380</v>
      </c>
      <c r="I203" s="94">
        <v>1</v>
      </c>
    </row>
    <row r="204" spans="1:9" x14ac:dyDescent="0.25">
      <c r="A204" s="94" t="s">
        <v>264</v>
      </c>
      <c r="B204" s="94" t="s">
        <v>132</v>
      </c>
      <c r="C204" s="94">
        <v>100</v>
      </c>
      <c r="D204" s="94" t="s">
        <v>675</v>
      </c>
      <c r="E204" s="94">
        <v>91</v>
      </c>
      <c r="F204" s="94" t="s">
        <v>611</v>
      </c>
      <c r="G204" s="94" t="str">
        <f t="shared" si="3"/>
        <v>MartlockR1</v>
      </c>
      <c r="H204" s="94" t="s">
        <v>380</v>
      </c>
      <c r="I204" s="94">
        <v>1</v>
      </c>
    </row>
    <row r="205" spans="1:9" x14ac:dyDescent="0.25">
      <c r="A205" s="94" t="s">
        <v>264</v>
      </c>
      <c r="B205" s="94" t="s">
        <v>133</v>
      </c>
      <c r="C205" s="94">
        <v>164</v>
      </c>
      <c r="D205" s="94" t="s">
        <v>650</v>
      </c>
      <c r="E205" s="94">
        <v>89</v>
      </c>
      <c r="F205" s="94" t="s">
        <v>676</v>
      </c>
      <c r="G205" s="94" t="str">
        <f t="shared" si="3"/>
        <v>ThetfordR1</v>
      </c>
      <c r="H205" s="94" t="s">
        <v>380</v>
      </c>
      <c r="I205" s="94">
        <v>1</v>
      </c>
    </row>
    <row r="206" spans="1:9" x14ac:dyDescent="0.25">
      <c r="A206" s="94" t="s">
        <v>265</v>
      </c>
      <c r="B206" s="94" t="s">
        <v>127</v>
      </c>
      <c r="C206" s="94">
        <v>227</v>
      </c>
      <c r="D206" s="94" t="s">
        <v>600</v>
      </c>
      <c r="E206" s="94">
        <v>149</v>
      </c>
      <c r="F206" s="94" t="s">
        <v>600</v>
      </c>
      <c r="G206" s="94" t="str">
        <f t="shared" si="3"/>
        <v>BrecilienR2</v>
      </c>
      <c r="H206" s="94" t="s">
        <v>380</v>
      </c>
      <c r="I206" s="94">
        <v>2</v>
      </c>
    </row>
    <row r="207" spans="1:9" x14ac:dyDescent="0.25">
      <c r="A207" s="94" t="s">
        <v>265</v>
      </c>
      <c r="B207" s="94" t="s">
        <v>128</v>
      </c>
      <c r="C207" s="94">
        <v>193</v>
      </c>
      <c r="D207" s="94" t="s">
        <v>605</v>
      </c>
      <c r="E207" s="94">
        <v>179</v>
      </c>
      <c r="F207" s="94" t="s">
        <v>647</v>
      </c>
      <c r="G207" s="94" t="str">
        <f t="shared" si="3"/>
        <v>BridgewatchR2</v>
      </c>
      <c r="H207" s="94" t="s">
        <v>380</v>
      </c>
      <c r="I207" s="94">
        <v>2</v>
      </c>
    </row>
    <row r="208" spans="1:9" x14ac:dyDescent="0.25">
      <c r="A208" s="94" t="s">
        <v>265</v>
      </c>
      <c r="B208" s="94" t="s">
        <v>129</v>
      </c>
      <c r="C208" s="94">
        <v>286</v>
      </c>
      <c r="D208" s="94" t="s">
        <v>673</v>
      </c>
      <c r="E208" s="94">
        <v>272</v>
      </c>
      <c r="F208" s="94" t="s">
        <v>644</v>
      </c>
      <c r="G208" s="94" t="str">
        <f t="shared" si="3"/>
        <v>CaerleonR2</v>
      </c>
      <c r="H208" s="94" t="s">
        <v>380</v>
      </c>
      <c r="I208" s="94">
        <v>2</v>
      </c>
    </row>
    <row r="209" spans="1:9" x14ac:dyDescent="0.25">
      <c r="A209" s="94" t="s">
        <v>265</v>
      </c>
      <c r="B209" s="94" t="s">
        <v>130</v>
      </c>
      <c r="C209" s="94">
        <v>196</v>
      </c>
      <c r="D209" s="94" t="s">
        <v>603</v>
      </c>
      <c r="E209" s="94">
        <v>151</v>
      </c>
      <c r="F209" s="94" t="s">
        <v>626</v>
      </c>
      <c r="G209" s="94" t="str">
        <f t="shared" si="3"/>
        <v>Fort SterlingR2</v>
      </c>
      <c r="H209" s="94" t="s">
        <v>380</v>
      </c>
      <c r="I209" s="94">
        <v>2</v>
      </c>
    </row>
    <row r="210" spans="1:9" x14ac:dyDescent="0.25">
      <c r="A210" s="94" t="s">
        <v>265</v>
      </c>
      <c r="B210" s="94" t="s">
        <v>131</v>
      </c>
      <c r="C210" s="94">
        <v>179</v>
      </c>
      <c r="D210" s="94" t="s">
        <v>630</v>
      </c>
      <c r="E210" s="94">
        <v>149</v>
      </c>
      <c r="F210" s="94" t="s">
        <v>626</v>
      </c>
      <c r="G210" s="94" t="str">
        <f t="shared" si="3"/>
        <v>LymhurstR2</v>
      </c>
      <c r="H210" s="94" t="s">
        <v>380</v>
      </c>
      <c r="I210" s="94">
        <v>2</v>
      </c>
    </row>
    <row r="211" spans="1:9" x14ac:dyDescent="0.25">
      <c r="A211" s="94" t="s">
        <v>265</v>
      </c>
      <c r="B211" s="94" t="s">
        <v>132</v>
      </c>
      <c r="C211" s="94">
        <v>190</v>
      </c>
      <c r="D211" s="94" t="s">
        <v>657</v>
      </c>
      <c r="E211" s="94">
        <v>171</v>
      </c>
      <c r="F211" s="94" t="s">
        <v>657</v>
      </c>
      <c r="G211" s="94" t="str">
        <f t="shared" si="3"/>
        <v>MartlockR2</v>
      </c>
      <c r="H211" s="94" t="s">
        <v>380</v>
      </c>
      <c r="I211" s="94">
        <v>2</v>
      </c>
    </row>
    <row r="212" spans="1:9" x14ac:dyDescent="0.25">
      <c r="A212" s="94" t="s">
        <v>265</v>
      </c>
      <c r="B212" s="94" t="s">
        <v>133</v>
      </c>
      <c r="C212" s="94">
        <v>168</v>
      </c>
      <c r="D212" s="94" t="s">
        <v>661</v>
      </c>
      <c r="E212" s="94">
        <v>160</v>
      </c>
      <c r="F212" s="94" t="s">
        <v>673</v>
      </c>
      <c r="G212" s="94" t="str">
        <f t="shared" si="3"/>
        <v>ThetfordR2</v>
      </c>
      <c r="H212" s="94" t="s">
        <v>380</v>
      </c>
      <c r="I212" s="94">
        <v>2</v>
      </c>
    </row>
    <row r="213" spans="1:9" x14ac:dyDescent="0.25">
      <c r="A213" s="94" t="s">
        <v>266</v>
      </c>
      <c r="B213" s="94" t="s">
        <v>127</v>
      </c>
      <c r="C213" s="94">
        <v>511</v>
      </c>
      <c r="D213" s="94" t="s">
        <v>597</v>
      </c>
      <c r="E213" s="94"/>
      <c r="F213" s="94"/>
      <c r="G213" s="94" t="str">
        <f t="shared" si="3"/>
        <v>BrecilienR3</v>
      </c>
      <c r="H213" s="94" t="s">
        <v>380</v>
      </c>
      <c r="I213" s="94">
        <v>3</v>
      </c>
    </row>
    <row r="214" spans="1:9" x14ac:dyDescent="0.25">
      <c r="A214" s="94" t="s">
        <v>266</v>
      </c>
      <c r="B214" s="94" t="s">
        <v>128</v>
      </c>
      <c r="C214" s="94"/>
      <c r="D214" s="94"/>
      <c r="E214" s="94"/>
      <c r="F214" s="94"/>
      <c r="G214" s="94" t="str">
        <f t="shared" si="3"/>
        <v>BridgewatchR3</v>
      </c>
      <c r="H214" s="94" t="s">
        <v>380</v>
      </c>
      <c r="I214" s="94">
        <v>3</v>
      </c>
    </row>
    <row r="215" spans="1:9" x14ac:dyDescent="0.25">
      <c r="A215" s="94" t="s">
        <v>266</v>
      </c>
      <c r="B215" s="94" t="s">
        <v>129</v>
      </c>
      <c r="C215" s="94">
        <v>722</v>
      </c>
      <c r="D215" s="94" t="s">
        <v>677</v>
      </c>
      <c r="E215" s="94">
        <v>571</v>
      </c>
      <c r="F215" s="94" t="s">
        <v>678</v>
      </c>
      <c r="G215" s="94" t="str">
        <f t="shared" si="3"/>
        <v>CaerleonR3</v>
      </c>
      <c r="H215" s="94" t="s">
        <v>380</v>
      </c>
      <c r="I215" s="94">
        <v>3</v>
      </c>
    </row>
    <row r="216" spans="1:9" x14ac:dyDescent="0.25">
      <c r="A216" s="94" t="s">
        <v>266</v>
      </c>
      <c r="B216" s="94" t="s">
        <v>130</v>
      </c>
      <c r="C216" s="94">
        <v>429</v>
      </c>
      <c r="D216" s="94" t="s">
        <v>646</v>
      </c>
      <c r="E216" s="94">
        <v>380</v>
      </c>
      <c r="F216" s="94" t="s">
        <v>647</v>
      </c>
      <c r="G216" s="94" t="str">
        <f t="shared" si="3"/>
        <v>Fort SterlingR3</v>
      </c>
      <c r="H216" s="94" t="s">
        <v>380</v>
      </c>
      <c r="I216" s="94">
        <v>3</v>
      </c>
    </row>
    <row r="217" spans="1:9" x14ac:dyDescent="0.25">
      <c r="A217" s="94" t="s">
        <v>266</v>
      </c>
      <c r="B217" s="94" t="s">
        <v>131</v>
      </c>
      <c r="C217" s="94">
        <v>523</v>
      </c>
      <c r="D217" s="94" t="s">
        <v>628</v>
      </c>
      <c r="E217" s="94"/>
      <c r="F217" s="94"/>
      <c r="G217" s="94" t="str">
        <f t="shared" si="3"/>
        <v>LymhurstR3</v>
      </c>
      <c r="H217" s="94" t="s">
        <v>380</v>
      </c>
      <c r="I217" s="94">
        <v>3</v>
      </c>
    </row>
    <row r="218" spans="1:9" x14ac:dyDescent="0.25">
      <c r="A218" s="94" t="s">
        <v>266</v>
      </c>
      <c r="B218" s="94" t="s">
        <v>132</v>
      </c>
      <c r="C218" s="94">
        <v>543</v>
      </c>
      <c r="D218" s="94" t="s">
        <v>502</v>
      </c>
      <c r="E218" s="94">
        <v>359</v>
      </c>
      <c r="F218" s="94" t="s">
        <v>502</v>
      </c>
      <c r="G218" s="94" t="str">
        <f t="shared" si="3"/>
        <v>MartlockR3</v>
      </c>
      <c r="H218" s="94" t="s">
        <v>380</v>
      </c>
      <c r="I218" s="94">
        <v>3</v>
      </c>
    </row>
    <row r="219" spans="1:9" x14ac:dyDescent="0.25">
      <c r="A219" s="94" t="s">
        <v>266</v>
      </c>
      <c r="B219" s="94" t="s">
        <v>133</v>
      </c>
      <c r="C219" s="94">
        <v>499</v>
      </c>
      <c r="D219" s="94" t="s">
        <v>661</v>
      </c>
      <c r="E219" s="94">
        <v>395</v>
      </c>
      <c r="F219" s="94" t="s">
        <v>661</v>
      </c>
      <c r="G219" s="94" t="str">
        <f t="shared" si="3"/>
        <v>ThetfordR3</v>
      </c>
      <c r="H219" s="94" t="s">
        <v>380</v>
      </c>
      <c r="I219" s="94">
        <v>3</v>
      </c>
    </row>
    <row r="220" spans="1:9" x14ac:dyDescent="0.25">
      <c r="A220" s="94" t="s">
        <v>267</v>
      </c>
      <c r="B220" s="94" t="s">
        <v>127</v>
      </c>
      <c r="C220" s="94"/>
      <c r="D220" s="94"/>
      <c r="E220" s="94"/>
      <c r="F220" s="94"/>
      <c r="G220" s="94" t="str">
        <f t="shared" si="3"/>
        <v>BrecilienR4</v>
      </c>
      <c r="H220" s="94" t="s">
        <v>380</v>
      </c>
      <c r="I220" s="94">
        <v>4</v>
      </c>
    </row>
    <row r="221" spans="1:9" x14ac:dyDescent="0.25">
      <c r="A221" s="94" t="s">
        <v>267</v>
      </c>
      <c r="B221" s="94" t="s">
        <v>128</v>
      </c>
      <c r="C221" s="94">
        <v>1506</v>
      </c>
      <c r="D221" s="94" t="s">
        <v>493</v>
      </c>
      <c r="E221" s="94">
        <v>1354</v>
      </c>
      <c r="F221" s="94" t="s">
        <v>493</v>
      </c>
      <c r="G221" s="94" t="str">
        <f t="shared" si="3"/>
        <v>BridgewatchR4</v>
      </c>
      <c r="H221" s="94" t="s">
        <v>380</v>
      </c>
      <c r="I221" s="94">
        <v>4</v>
      </c>
    </row>
    <row r="222" spans="1:9" x14ac:dyDescent="0.25">
      <c r="A222" s="94" t="s">
        <v>267</v>
      </c>
      <c r="B222" s="94" t="s">
        <v>129</v>
      </c>
      <c r="C222" s="94">
        <v>2488</v>
      </c>
      <c r="D222" s="94" t="s">
        <v>577</v>
      </c>
      <c r="E222" s="94"/>
      <c r="F222" s="94"/>
      <c r="G222" s="94" t="str">
        <f t="shared" si="3"/>
        <v>CaerleonR4</v>
      </c>
      <c r="H222" s="94" t="s">
        <v>380</v>
      </c>
      <c r="I222" s="94">
        <v>4</v>
      </c>
    </row>
    <row r="223" spans="1:9" x14ac:dyDescent="0.25">
      <c r="A223" s="94" t="s">
        <v>267</v>
      </c>
      <c r="B223" s="94" t="s">
        <v>130</v>
      </c>
      <c r="C223" s="94">
        <v>1551</v>
      </c>
      <c r="D223" s="94" t="s">
        <v>560</v>
      </c>
      <c r="E223" s="94">
        <v>1159</v>
      </c>
      <c r="F223" s="94" t="s">
        <v>560</v>
      </c>
      <c r="G223" s="94" t="str">
        <f t="shared" si="3"/>
        <v>Fort SterlingR4</v>
      </c>
      <c r="H223" s="94" t="s">
        <v>380</v>
      </c>
      <c r="I223" s="94">
        <v>4</v>
      </c>
    </row>
    <row r="224" spans="1:9" x14ac:dyDescent="0.25">
      <c r="A224" s="94" t="s">
        <v>267</v>
      </c>
      <c r="B224" s="94" t="s">
        <v>131</v>
      </c>
      <c r="C224" s="94"/>
      <c r="D224" s="94"/>
      <c r="E224" s="94"/>
      <c r="F224" s="94"/>
      <c r="G224" s="94" t="str">
        <f t="shared" si="3"/>
        <v>LymhurstR4</v>
      </c>
      <c r="H224" s="94" t="s">
        <v>380</v>
      </c>
      <c r="I224" s="94">
        <v>4</v>
      </c>
    </row>
    <row r="225" spans="1:9" x14ac:dyDescent="0.25">
      <c r="A225" s="94" t="s">
        <v>267</v>
      </c>
      <c r="B225" s="94" t="s">
        <v>132</v>
      </c>
      <c r="C225" s="94">
        <v>1333</v>
      </c>
      <c r="D225" s="94" t="s">
        <v>531</v>
      </c>
      <c r="E225" s="94">
        <v>1187</v>
      </c>
      <c r="F225" s="94" t="s">
        <v>524</v>
      </c>
      <c r="G225" s="94" t="str">
        <f t="shared" si="3"/>
        <v>MartlockR4</v>
      </c>
      <c r="H225" s="94" t="s">
        <v>380</v>
      </c>
      <c r="I225" s="94">
        <v>4</v>
      </c>
    </row>
    <row r="226" spans="1:9" x14ac:dyDescent="0.25">
      <c r="A226" s="94" t="s">
        <v>267</v>
      </c>
      <c r="B226" s="94" t="s">
        <v>133</v>
      </c>
      <c r="C226" s="94">
        <v>1188</v>
      </c>
      <c r="D226" s="94" t="s">
        <v>650</v>
      </c>
      <c r="E226" s="94">
        <v>1013</v>
      </c>
      <c r="F226" s="94" t="s">
        <v>634</v>
      </c>
      <c r="G226" s="94" t="str">
        <f t="shared" si="3"/>
        <v>ThetfordR4</v>
      </c>
      <c r="H226" s="94" t="s">
        <v>380</v>
      </c>
      <c r="I226" s="94">
        <v>4</v>
      </c>
    </row>
    <row r="227" spans="1:9" x14ac:dyDescent="0.25">
      <c r="A227" s="94" t="s">
        <v>268</v>
      </c>
      <c r="B227" s="94" t="s">
        <v>127</v>
      </c>
      <c r="C227" s="94"/>
      <c r="D227" s="94"/>
      <c r="E227" s="94"/>
      <c r="F227" s="94"/>
      <c r="G227" s="94" t="str">
        <f t="shared" si="3"/>
        <v>BrecilienR5</v>
      </c>
      <c r="H227" s="94" t="s">
        <v>380</v>
      </c>
      <c r="I227" s="94">
        <v>5</v>
      </c>
    </row>
    <row r="228" spans="1:9" x14ac:dyDescent="0.25">
      <c r="A228" s="94" t="s">
        <v>268</v>
      </c>
      <c r="B228" s="94" t="s">
        <v>128</v>
      </c>
      <c r="C228" s="94"/>
      <c r="D228" s="94"/>
      <c r="E228" s="94"/>
      <c r="F228" s="94"/>
      <c r="G228" s="94" t="str">
        <f t="shared" si="3"/>
        <v>BridgewatchR5</v>
      </c>
      <c r="H228" s="94" t="s">
        <v>380</v>
      </c>
      <c r="I228" s="94">
        <v>5</v>
      </c>
    </row>
    <row r="229" spans="1:9" x14ac:dyDescent="0.25">
      <c r="A229" s="94" t="s">
        <v>268</v>
      </c>
      <c r="B229" s="94" t="s">
        <v>129</v>
      </c>
      <c r="C229" s="94"/>
      <c r="D229" s="94"/>
      <c r="E229" s="94"/>
      <c r="F229" s="94"/>
      <c r="G229" s="94" t="str">
        <f t="shared" si="3"/>
        <v>CaerleonR5</v>
      </c>
      <c r="H229" s="94" t="s">
        <v>380</v>
      </c>
      <c r="I229" s="94">
        <v>5</v>
      </c>
    </row>
    <row r="230" spans="1:9" x14ac:dyDescent="0.25">
      <c r="A230" s="94" t="s">
        <v>268</v>
      </c>
      <c r="B230" s="94" t="s">
        <v>130</v>
      </c>
      <c r="C230" s="94">
        <v>7884</v>
      </c>
      <c r="D230" s="94" t="s">
        <v>564</v>
      </c>
      <c r="E230" s="94">
        <v>6523</v>
      </c>
      <c r="F230" s="94" t="s">
        <v>564</v>
      </c>
      <c r="G230" s="94" t="str">
        <f t="shared" si="3"/>
        <v>Fort SterlingR5</v>
      </c>
      <c r="H230" s="94" t="s">
        <v>380</v>
      </c>
      <c r="I230" s="94">
        <v>5</v>
      </c>
    </row>
    <row r="231" spans="1:9" x14ac:dyDescent="0.25">
      <c r="A231" s="94" t="s">
        <v>268</v>
      </c>
      <c r="B231" s="94" t="s">
        <v>131</v>
      </c>
      <c r="C231" s="94">
        <v>7493</v>
      </c>
      <c r="D231" s="94" t="s">
        <v>649</v>
      </c>
      <c r="E231" s="94">
        <v>7048</v>
      </c>
      <c r="F231" s="94" t="s">
        <v>448</v>
      </c>
      <c r="G231" s="94" t="str">
        <f t="shared" si="3"/>
        <v>LymhurstR5</v>
      </c>
      <c r="H231" s="94" t="s">
        <v>380</v>
      </c>
      <c r="I231" s="94">
        <v>5</v>
      </c>
    </row>
    <row r="232" spans="1:9" x14ac:dyDescent="0.25">
      <c r="A232" s="94" t="s">
        <v>268</v>
      </c>
      <c r="B232" s="94" t="s">
        <v>132</v>
      </c>
      <c r="C232" s="94"/>
      <c r="D232" s="94"/>
      <c r="E232" s="94"/>
      <c r="F232" s="94"/>
      <c r="G232" s="94" t="str">
        <f t="shared" si="3"/>
        <v>MartlockR5</v>
      </c>
      <c r="H232" s="94" t="s">
        <v>380</v>
      </c>
      <c r="I232" s="94">
        <v>5</v>
      </c>
    </row>
    <row r="233" spans="1:9" x14ac:dyDescent="0.25">
      <c r="A233" s="94" t="s">
        <v>268</v>
      </c>
      <c r="B233" s="94" t="s">
        <v>133</v>
      </c>
      <c r="C233" s="94">
        <v>7572</v>
      </c>
      <c r="D233" s="94" t="s">
        <v>650</v>
      </c>
      <c r="E233" s="94"/>
      <c r="F233" s="94"/>
      <c r="G233" s="94" t="str">
        <f t="shared" si="3"/>
        <v>ThetfordR5</v>
      </c>
      <c r="H233" s="94" t="s">
        <v>380</v>
      </c>
      <c r="I233" s="94">
        <v>5</v>
      </c>
    </row>
    <row r="234" spans="1:9" x14ac:dyDescent="0.25">
      <c r="A234" s="94" t="s">
        <v>269</v>
      </c>
      <c r="B234" s="94" t="s">
        <v>127</v>
      </c>
      <c r="C234" s="94"/>
      <c r="D234" s="94"/>
      <c r="E234" s="94"/>
      <c r="F234" s="94"/>
      <c r="G234" s="94" t="str">
        <f t="shared" si="3"/>
        <v>BrecilienR6</v>
      </c>
      <c r="H234" s="94" t="s">
        <v>380</v>
      </c>
      <c r="I234" s="94">
        <v>6</v>
      </c>
    </row>
    <row r="235" spans="1:9" x14ac:dyDescent="0.25">
      <c r="A235" s="94" t="s">
        <v>269</v>
      </c>
      <c r="B235" s="94" t="s">
        <v>128</v>
      </c>
      <c r="C235" s="94">
        <v>39500</v>
      </c>
      <c r="D235" s="94" t="s">
        <v>593</v>
      </c>
      <c r="E235" s="94">
        <v>35005</v>
      </c>
      <c r="F235" s="94" t="s">
        <v>593</v>
      </c>
      <c r="G235" s="94" t="str">
        <f t="shared" si="3"/>
        <v>BridgewatchR6</v>
      </c>
      <c r="H235" s="94" t="s">
        <v>380</v>
      </c>
      <c r="I235" s="94">
        <v>6</v>
      </c>
    </row>
    <row r="236" spans="1:9" x14ac:dyDescent="0.25">
      <c r="A236" s="94" t="s">
        <v>269</v>
      </c>
      <c r="B236" s="94" t="s">
        <v>129</v>
      </c>
      <c r="C236" s="94">
        <v>44996</v>
      </c>
      <c r="D236" s="94" t="s">
        <v>636</v>
      </c>
      <c r="E236" s="94"/>
      <c r="F236" s="94"/>
      <c r="G236" s="94" t="str">
        <f t="shared" si="3"/>
        <v>CaerleonR6</v>
      </c>
      <c r="H236" s="94" t="s">
        <v>380</v>
      </c>
      <c r="I236" s="94">
        <v>6</v>
      </c>
    </row>
    <row r="237" spans="1:9" x14ac:dyDescent="0.25">
      <c r="A237" s="94" t="s">
        <v>269</v>
      </c>
      <c r="B237" s="94" t="s">
        <v>130</v>
      </c>
      <c r="C237" s="94">
        <v>37270</v>
      </c>
      <c r="D237" s="94" t="s">
        <v>647</v>
      </c>
      <c r="E237" s="94">
        <v>32003</v>
      </c>
      <c r="F237" s="94" t="s">
        <v>647</v>
      </c>
      <c r="G237" s="94" t="str">
        <f t="shared" si="3"/>
        <v>Fort SterlingR6</v>
      </c>
      <c r="H237" s="94" t="s">
        <v>380</v>
      </c>
      <c r="I237" s="94">
        <v>6</v>
      </c>
    </row>
    <row r="238" spans="1:9" x14ac:dyDescent="0.25">
      <c r="A238" s="94" t="s">
        <v>269</v>
      </c>
      <c r="B238" s="94" t="s">
        <v>131</v>
      </c>
      <c r="C238" s="94"/>
      <c r="D238" s="94"/>
      <c r="E238" s="94"/>
      <c r="F238" s="94"/>
      <c r="G238" s="94" t="str">
        <f t="shared" si="3"/>
        <v>LymhurstR6</v>
      </c>
      <c r="H238" s="94" t="s">
        <v>380</v>
      </c>
      <c r="I238" s="94">
        <v>6</v>
      </c>
    </row>
    <row r="239" spans="1:9" x14ac:dyDescent="0.25">
      <c r="A239" s="94" t="s">
        <v>269</v>
      </c>
      <c r="B239" s="94" t="s">
        <v>132</v>
      </c>
      <c r="C239" s="94">
        <v>37022</v>
      </c>
      <c r="D239" s="94" t="s">
        <v>618</v>
      </c>
      <c r="E239" s="94">
        <v>33954</v>
      </c>
      <c r="F239" s="94" t="s">
        <v>618</v>
      </c>
      <c r="G239" s="94" t="str">
        <f t="shared" si="3"/>
        <v>MartlockR6</v>
      </c>
      <c r="H239" s="94" t="s">
        <v>380</v>
      </c>
      <c r="I239" s="94">
        <v>6</v>
      </c>
    </row>
    <row r="240" spans="1:9" x14ac:dyDescent="0.25">
      <c r="A240" s="94" t="s">
        <v>269</v>
      </c>
      <c r="B240" s="94" t="s">
        <v>133</v>
      </c>
      <c r="C240" s="94">
        <v>34979</v>
      </c>
      <c r="D240" s="94" t="s">
        <v>650</v>
      </c>
      <c r="E240" s="94">
        <v>32032</v>
      </c>
      <c r="F240" s="94" t="s">
        <v>487</v>
      </c>
      <c r="G240" s="94" t="str">
        <f t="shared" si="3"/>
        <v>ThetfordR6</v>
      </c>
      <c r="H240" s="94" t="s">
        <v>380</v>
      </c>
      <c r="I240" s="94">
        <v>6</v>
      </c>
    </row>
    <row r="241" spans="1:9" x14ac:dyDescent="0.25">
      <c r="A241" s="94" t="s">
        <v>270</v>
      </c>
      <c r="B241" s="94" t="s">
        <v>127</v>
      </c>
      <c r="C241" s="94">
        <v>1047</v>
      </c>
      <c r="D241" s="94" t="s">
        <v>597</v>
      </c>
      <c r="E241" s="94">
        <v>604</v>
      </c>
      <c r="F241" s="94" t="s">
        <v>579</v>
      </c>
      <c r="G241" s="94" t="str">
        <f t="shared" si="3"/>
        <v>BrecilienR7</v>
      </c>
      <c r="H241" s="94" t="s">
        <v>380</v>
      </c>
      <c r="I241" s="94">
        <v>7</v>
      </c>
    </row>
    <row r="242" spans="1:9" x14ac:dyDescent="0.25">
      <c r="A242" s="94" t="s">
        <v>270</v>
      </c>
      <c r="B242" s="94" t="s">
        <v>128</v>
      </c>
      <c r="C242" s="94"/>
      <c r="D242" s="94"/>
      <c r="E242" s="94"/>
      <c r="F242" s="94"/>
      <c r="G242" s="94" t="str">
        <f t="shared" si="3"/>
        <v>BridgewatchR7</v>
      </c>
      <c r="H242" s="94" t="s">
        <v>380</v>
      </c>
      <c r="I242" s="94">
        <v>7</v>
      </c>
    </row>
    <row r="243" spans="1:9" x14ac:dyDescent="0.25">
      <c r="A243" s="94" t="s">
        <v>270</v>
      </c>
      <c r="B243" s="94" t="s">
        <v>129</v>
      </c>
      <c r="C243" s="94">
        <v>914</v>
      </c>
      <c r="D243" s="94" t="s">
        <v>678</v>
      </c>
      <c r="E243" s="94"/>
      <c r="F243" s="94"/>
      <c r="G243" s="94" t="str">
        <f t="shared" si="3"/>
        <v>CaerleonR7</v>
      </c>
      <c r="H243" s="94" t="s">
        <v>380</v>
      </c>
      <c r="I243" s="94">
        <v>7</v>
      </c>
    </row>
    <row r="244" spans="1:9" x14ac:dyDescent="0.25">
      <c r="A244" s="94" t="s">
        <v>270</v>
      </c>
      <c r="B244" s="94" t="s">
        <v>130</v>
      </c>
      <c r="C244" s="94">
        <v>735</v>
      </c>
      <c r="D244" s="94" t="s">
        <v>608</v>
      </c>
      <c r="E244" s="94"/>
      <c r="F244" s="94"/>
      <c r="G244" s="94" t="str">
        <f t="shared" si="3"/>
        <v>Fort SterlingR7</v>
      </c>
      <c r="H244" s="94" t="s">
        <v>380</v>
      </c>
      <c r="I244" s="94">
        <v>7</v>
      </c>
    </row>
    <row r="245" spans="1:9" x14ac:dyDescent="0.25">
      <c r="A245" s="94" t="s">
        <v>270</v>
      </c>
      <c r="B245" s="94" t="s">
        <v>131</v>
      </c>
      <c r="C245" s="94">
        <v>730</v>
      </c>
      <c r="D245" s="94" t="s">
        <v>604</v>
      </c>
      <c r="E245" s="94">
        <v>700</v>
      </c>
      <c r="F245" s="94" t="s">
        <v>604</v>
      </c>
      <c r="G245" s="94" t="str">
        <f t="shared" si="3"/>
        <v>LymhurstR7</v>
      </c>
      <c r="H245" s="94" t="s">
        <v>380</v>
      </c>
      <c r="I245" s="94">
        <v>7</v>
      </c>
    </row>
    <row r="246" spans="1:9" x14ac:dyDescent="0.25">
      <c r="A246" s="94" t="s">
        <v>270</v>
      </c>
      <c r="B246" s="94" t="s">
        <v>132</v>
      </c>
      <c r="C246" s="94">
        <v>711</v>
      </c>
      <c r="D246" s="94" t="s">
        <v>637</v>
      </c>
      <c r="E246" s="94">
        <v>687</v>
      </c>
      <c r="F246" s="94" t="s">
        <v>636</v>
      </c>
      <c r="G246" s="94" t="str">
        <f t="shared" si="3"/>
        <v>MartlockR7</v>
      </c>
      <c r="H246" s="94" t="s">
        <v>380</v>
      </c>
      <c r="I246" s="94">
        <v>7</v>
      </c>
    </row>
    <row r="247" spans="1:9" x14ac:dyDescent="0.25">
      <c r="A247" s="94" t="s">
        <v>270</v>
      </c>
      <c r="B247" s="94" t="s">
        <v>133</v>
      </c>
      <c r="C247" s="94">
        <v>712</v>
      </c>
      <c r="D247" s="94" t="s">
        <v>673</v>
      </c>
      <c r="E247" s="94">
        <v>651</v>
      </c>
      <c r="F247" s="94" t="s">
        <v>672</v>
      </c>
      <c r="G247" s="94" t="str">
        <f t="shared" si="3"/>
        <v>ThetfordR7</v>
      </c>
      <c r="H247" s="94" t="s">
        <v>380</v>
      </c>
      <c r="I247" s="94">
        <v>7</v>
      </c>
    </row>
    <row r="248" spans="1:9" x14ac:dyDescent="0.25">
      <c r="A248" s="94" t="s">
        <v>271</v>
      </c>
      <c r="B248" s="94" t="s">
        <v>127</v>
      </c>
      <c r="C248" s="94">
        <v>2192</v>
      </c>
      <c r="D248" s="94" t="s">
        <v>579</v>
      </c>
      <c r="E248" s="94"/>
      <c r="F248" s="94"/>
      <c r="G248" s="94" t="str">
        <f t="shared" si="3"/>
        <v>BrecilienR8</v>
      </c>
      <c r="H248" s="94" t="s">
        <v>380</v>
      </c>
      <c r="I248" s="94">
        <v>8</v>
      </c>
    </row>
    <row r="249" spans="1:9" x14ac:dyDescent="0.25">
      <c r="A249" s="94" t="s">
        <v>271</v>
      </c>
      <c r="B249" s="94" t="s">
        <v>128</v>
      </c>
      <c r="C249" s="94"/>
      <c r="D249" s="94"/>
      <c r="E249" s="94"/>
      <c r="F249" s="94"/>
      <c r="G249" s="94" t="str">
        <f t="shared" si="3"/>
        <v>BridgewatchR8</v>
      </c>
      <c r="H249" s="94" t="s">
        <v>380</v>
      </c>
      <c r="I249" s="94">
        <v>8</v>
      </c>
    </row>
    <row r="250" spans="1:9" x14ac:dyDescent="0.25">
      <c r="A250" s="94" t="s">
        <v>271</v>
      </c>
      <c r="B250" s="94" t="s">
        <v>129</v>
      </c>
      <c r="C250" s="94">
        <v>1651</v>
      </c>
      <c r="D250" s="94" t="s">
        <v>640</v>
      </c>
      <c r="E250" s="94">
        <v>1501</v>
      </c>
      <c r="F250" s="94" t="s">
        <v>678</v>
      </c>
      <c r="G250" s="94" t="str">
        <f t="shared" si="3"/>
        <v>CaerleonR8</v>
      </c>
      <c r="H250" s="94" t="s">
        <v>380</v>
      </c>
      <c r="I250" s="94">
        <v>8</v>
      </c>
    </row>
    <row r="251" spans="1:9" x14ac:dyDescent="0.25">
      <c r="A251" s="94" t="s">
        <v>271</v>
      </c>
      <c r="B251" s="94" t="s">
        <v>130</v>
      </c>
      <c r="C251" s="94">
        <v>1530</v>
      </c>
      <c r="D251" s="94" t="s">
        <v>559</v>
      </c>
      <c r="E251" s="94"/>
      <c r="F251" s="94"/>
      <c r="G251" s="94" t="str">
        <f t="shared" si="3"/>
        <v>Fort SterlingR8</v>
      </c>
      <c r="H251" s="94" t="s">
        <v>380</v>
      </c>
      <c r="I251" s="94">
        <v>8</v>
      </c>
    </row>
    <row r="252" spans="1:9" x14ac:dyDescent="0.25">
      <c r="A252" s="94" t="s">
        <v>271</v>
      </c>
      <c r="B252" s="94" t="s">
        <v>131</v>
      </c>
      <c r="C252" s="94">
        <v>1799</v>
      </c>
      <c r="D252" s="94" t="s">
        <v>480</v>
      </c>
      <c r="E252" s="94">
        <v>1440</v>
      </c>
      <c r="F252" s="94" t="s">
        <v>480</v>
      </c>
      <c r="G252" s="94" t="str">
        <f t="shared" si="3"/>
        <v>LymhurstR8</v>
      </c>
      <c r="H252" s="94" t="s">
        <v>380</v>
      </c>
      <c r="I252" s="94">
        <v>8</v>
      </c>
    </row>
    <row r="253" spans="1:9" x14ac:dyDescent="0.25">
      <c r="A253" s="94" t="s">
        <v>271</v>
      </c>
      <c r="B253" s="94" t="s">
        <v>132</v>
      </c>
      <c r="C253" s="94">
        <v>1638</v>
      </c>
      <c r="D253" s="94" t="s">
        <v>467</v>
      </c>
      <c r="E253" s="94"/>
      <c r="F253" s="94"/>
      <c r="G253" s="94" t="str">
        <f t="shared" si="3"/>
        <v>MartlockR8</v>
      </c>
      <c r="H253" s="94" t="s">
        <v>380</v>
      </c>
      <c r="I253" s="94">
        <v>8</v>
      </c>
    </row>
    <row r="254" spans="1:9" x14ac:dyDescent="0.25">
      <c r="A254" s="94" t="s">
        <v>271</v>
      </c>
      <c r="B254" s="94" t="s">
        <v>133</v>
      </c>
      <c r="C254" s="94">
        <v>1566</v>
      </c>
      <c r="D254" s="94" t="s">
        <v>673</v>
      </c>
      <c r="E254" s="94">
        <v>1460</v>
      </c>
      <c r="F254" s="94" t="s">
        <v>634</v>
      </c>
      <c r="G254" s="94" t="str">
        <f t="shared" si="3"/>
        <v>ThetfordR8</v>
      </c>
      <c r="H254" s="94" t="s">
        <v>380</v>
      </c>
      <c r="I254" s="94">
        <v>8</v>
      </c>
    </row>
    <row r="255" spans="1:9" x14ac:dyDescent="0.25">
      <c r="A255" s="94" t="s">
        <v>272</v>
      </c>
      <c r="B255" s="94" t="s">
        <v>127</v>
      </c>
      <c r="C255" s="94">
        <v>6887</v>
      </c>
      <c r="D255" s="94" t="s">
        <v>499</v>
      </c>
      <c r="E255" s="94"/>
      <c r="F255" s="94"/>
      <c r="G255" s="94" t="str">
        <f t="shared" si="3"/>
        <v>BrecilienR9</v>
      </c>
      <c r="H255" s="94" t="s">
        <v>380</v>
      </c>
      <c r="I255" s="94">
        <v>9</v>
      </c>
    </row>
    <row r="256" spans="1:9" x14ac:dyDescent="0.25">
      <c r="A256" s="94" t="s">
        <v>272</v>
      </c>
      <c r="B256" s="94" t="s">
        <v>128</v>
      </c>
      <c r="C256" s="94"/>
      <c r="D256" s="94"/>
      <c r="E256" s="94"/>
      <c r="F256" s="94"/>
      <c r="G256" s="94" t="str">
        <f t="shared" si="3"/>
        <v>BridgewatchR9</v>
      </c>
      <c r="H256" s="94" t="s">
        <v>380</v>
      </c>
      <c r="I256" s="94">
        <v>9</v>
      </c>
    </row>
    <row r="257" spans="1:9" x14ac:dyDescent="0.25">
      <c r="A257" s="94" t="s">
        <v>272</v>
      </c>
      <c r="B257" s="94" t="s">
        <v>129</v>
      </c>
      <c r="C257" s="94">
        <v>7072</v>
      </c>
      <c r="D257" s="94" t="s">
        <v>664</v>
      </c>
      <c r="E257" s="94">
        <v>5574</v>
      </c>
      <c r="F257" s="94" t="s">
        <v>598</v>
      </c>
      <c r="G257" s="94" t="str">
        <f t="shared" ref="G257:G320" si="4">_xlfn.CONCAT(B257,H257,I257)</f>
        <v>CaerleonR9</v>
      </c>
      <c r="H257" s="94" t="s">
        <v>380</v>
      </c>
      <c r="I257" s="94">
        <v>9</v>
      </c>
    </row>
    <row r="258" spans="1:9" x14ac:dyDescent="0.25">
      <c r="A258" s="94" t="s">
        <v>272</v>
      </c>
      <c r="B258" s="94" t="s">
        <v>130</v>
      </c>
      <c r="C258" s="94">
        <v>5736</v>
      </c>
      <c r="D258" s="94" t="s">
        <v>560</v>
      </c>
      <c r="E258" s="94">
        <v>5400</v>
      </c>
      <c r="F258" s="94" t="s">
        <v>558</v>
      </c>
      <c r="G258" s="94" t="str">
        <f t="shared" si="4"/>
        <v>Fort SterlingR9</v>
      </c>
      <c r="H258" s="94" t="s">
        <v>380</v>
      </c>
      <c r="I258" s="94">
        <v>9</v>
      </c>
    </row>
    <row r="259" spans="1:9" x14ac:dyDescent="0.25">
      <c r="A259" s="94" t="s">
        <v>272</v>
      </c>
      <c r="B259" s="94" t="s">
        <v>131</v>
      </c>
      <c r="C259" s="94"/>
      <c r="D259" s="94"/>
      <c r="E259" s="94"/>
      <c r="F259" s="94"/>
      <c r="G259" s="94" t="str">
        <f t="shared" si="4"/>
        <v>LymhurstR9</v>
      </c>
      <c r="H259" s="94" t="s">
        <v>380</v>
      </c>
      <c r="I259" s="94">
        <v>9</v>
      </c>
    </row>
    <row r="260" spans="1:9" x14ac:dyDescent="0.25">
      <c r="A260" s="94" t="s">
        <v>272</v>
      </c>
      <c r="B260" s="94" t="s">
        <v>132</v>
      </c>
      <c r="C260" s="94"/>
      <c r="D260" s="94"/>
      <c r="E260" s="94"/>
      <c r="F260" s="94"/>
      <c r="G260" s="94" t="str">
        <f t="shared" si="4"/>
        <v>MartlockR9</v>
      </c>
      <c r="H260" s="94" t="s">
        <v>380</v>
      </c>
      <c r="I260" s="94">
        <v>9</v>
      </c>
    </row>
    <row r="261" spans="1:9" x14ac:dyDescent="0.25">
      <c r="A261" s="94" t="s">
        <v>272</v>
      </c>
      <c r="B261" s="94" t="s">
        <v>133</v>
      </c>
      <c r="C261" s="94">
        <v>6417</v>
      </c>
      <c r="D261" s="94" t="s">
        <v>650</v>
      </c>
      <c r="E261" s="94">
        <v>6077</v>
      </c>
      <c r="F261" s="94" t="s">
        <v>634</v>
      </c>
      <c r="G261" s="94" t="str">
        <f t="shared" si="4"/>
        <v>ThetfordR9</v>
      </c>
      <c r="H261" s="94" t="s">
        <v>380</v>
      </c>
      <c r="I261" s="94">
        <v>9</v>
      </c>
    </row>
    <row r="262" spans="1:9" x14ac:dyDescent="0.25">
      <c r="A262" s="94" t="s">
        <v>273</v>
      </c>
      <c r="B262" s="94" t="s">
        <v>127</v>
      </c>
      <c r="C262" s="94"/>
      <c r="D262" s="94"/>
      <c r="E262" s="94"/>
      <c r="F262" s="94"/>
      <c r="G262" s="94" t="str">
        <f t="shared" si="4"/>
        <v>BrecilienR10</v>
      </c>
      <c r="H262" s="94" t="s">
        <v>380</v>
      </c>
      <c r="I262" s="94">
        <v>10</v>
      </c>
    </row>
    <row r="263" spans="1:9" x14ac:dyDescent="0.25">
      <c r="A263" s="94" t="s">
        <v>273</v>
      </c>
      <c r="B263" s="94" t="s">
        <v>128</v>
      </c>
      <c r="C263" s="94"/>
      <c r="D263" s="94"/>
      <c r="E263" s="94"/>
      <c r="F263" s="94"/>
      <c r="G263" s="94" t="str">
        <f t="shared" si="4"/>
        <v>BridgewatchR10</v>
      </c>
      <c r="H263" s="94" t="s">
        <v>380</v>
      </c>
      <c r="I263" s="94">
        <v>10</v>
      </c>
    </row>
    <row r="264" spans="1:9" x14ac:dyDescent="0.25">
      <c r="A264" s="94" t="s">
        <v>273</v>
      </c>
      <c r="B264" s="94" t="s">
        <v>129</v>
      </c>
      <c r="C264" s="94">
        <v>35196</v>
      </c>
      <c r="D264" s="94" t="s">
        <v>671</v>
      </c>
      <c r="E264" s="94">
        <v>20000</v>
      </c>
      <c r="F264" s="94" t="s">
        <v>598</v>
      </c>
      <c r="G264" s="94" t="str">
        <f t="shared" si="4"/>
        <v>CaerleonR10</v>
      </c>
      <c r="H264" s="94" t="s">
        <v>380</v>
      </c>
      <c r="I264" s="94">
        <v>10</v>
      </c>
    </row>
    <row r="265" spans="1:9" x14ac:dyDescent="0.25">
      <c r="A265" s="94" t="s">
        <v>273</v>
      </c>
      <c r="B265" s="94" t="s">
        <v>130</v>
      </c>
      <c r="C265" s="94">
        <v>24200</v>
      </c>
      <c r="D265" s="94" t="s">
        <v>559</v>
      </c>
      <c r="E265" s="94"/>
      <c r="F265" s="94"/>
      <c r="G265" s="94" t="str">
        <f t="shared" si="4"/>
        <v>Fort SterlingR10</v>
      </c>
      <c r="H265" s="94" t="s">
        <v>380</v>
      </c>
      <c r="I265" s="94">
        <v>10</v>
      </c>
    </row>
    <row r="266" spans="1:9" x14ac:dyDescent="0.25">
      <c r="A266" s="94" t="s">
        <v>273</v>
      </c>
      <c r="B266" s="94" t="s">
        <v>131</v>
      </c>
      <c r="C266" s="94">
        <v>25975</v>
      </c>
      <c r="D266" s="94" t="s">
        <v>615</v>
      </c>
      <c r="E266" s="94"/>
      <c r="F266" s="94"/>
      <c r="G266" s="94" t="str">
        <f t="shared" si="4"/>
        <v>LymhurstR10</v>
      </c>
      <c r="H266" s="94" t="s">
        <v>380</v>
      </c>
      <c r="I266" s="94">
        <v>10</v>
      </c>
    </row>
    <row r="267" spans="1:9" x14ac:dyDescent="0.25">
      <c r="A267" s="94" t="s">
        <v>273</v>
      </c>
      <c r="B267" s="94" t="s">
        <v>132</v>
      </c>
      <c r="C267" s="94"/>
      <c r="D267" s="94"/>
      <c r="E267" s="94"/>
      <c r="F267" s="94"/>
      <c r="G267" s="94" t="str">
        <f t="shared" si="4"/>
        <v>MartlockR10</v>
      </c>
      <c r="H267" s="94" t="s">
        <v>380</v>
      </c>
      <c r="I267" s="94">
        <v>10</v>
      </c>
    </row>
    <row r="268" spans="1:9" x14ac:dyDescent="0.25">
      <c r="A268" s="94" t="s">
        <v>273</v>
      </c>
      <c r="B268" s="94" t="s">
        <v>133</v>
      </c>
      <c r="C268" s="94">
        <v>25364</v>
      </c>
      <c r="D268" s="94" t="s">
        <v>650</v>
      </c>
      <c r="E268" s="94">
        <v>22006</v>
      </c>
      <c r="F268" s="94" t="s">
        <v>619</v>
      </c>
      <c r="G268" s="94" t="str">
        <f t="shared" si="4"/>
        <v>ThetfordR10</v>
      </c>
      <c r="H268" s="94" t="s">
        <v>380</v>
      </c>
      <c r="I268" s="94">
        <v>10</v>
      </c>
    </row>
    <row r="269" spans="1:9" x14ac:dyDescent="0.25">
      <c r="A269" s="94" t="s">
        <v>274</v>
      </c>
      <c r="B269" s="94" t="s">
        <v>127</v>
      </c>
      <c r="C269" s="94">
        <v>140000</v>
      </c>
      <c r="D269" s="94" t="s">
        <v>484</v>
      </c>
      <c r="E269" s="94"/>
      <c r="F269" s="94"/>
      <c r="G269" s="94" t="str">
        <f t="shared" si="4"/>
        <v>BrecilienR11</v>
      </c>
      <c r="H269" s="94" t="s">
        <v>380</v>
      </c>
      <c r="I269" s="94">
        <v>11</v>
      </c>
    </row>
    <row r="270" spans="1:9" x14ac:dyDescent="0.25">
      <c r="A270" s="94" t="s">
        <v>274</v>
      </c>
      <c r="B270" s="94" t="s">
        <v>128</v>
      </c>
      <c r="C270" s="94"/>
      <c r="D270" s="94"/>
      <c r="E270" s="94"/>
      <c r="F270" s="94"/>
      <c r="G270" s="94" t="str">
        <f t="shared" si="4"/>
        <v>BridgewatchR11</v>
      </c>
      <c r="H270" s="94" t="s">
        <v>380</v>
      </c>
      <c r="I270" s="94">
        <v>11</v>
      </c>
    </row>
    <row r="271" spans="1:9" x14ac:dyDescent="0.25">
      <c r="A271" s="94" t="s">
        <v>274</v>
      </c>
      <c r="B271" s="94" t="s">
        <v>129</v>
      </c>
      <c r="C271" s="94">
        <v>149999</v>
      </c>
      <c r="D271" s="94" t="s">
        <v>637</v>
      </c>
      <c r="E271" s="94"/>
      <c r="F271" s="94"/>
      <c r="G271" s="94" t="str">
        <f t="shared" si="4"/>
        <v>CaerleonR11</v>
      </c>
      <c r="H271" s="94" t="s">
        <v>380</v>
      </c>
      <c r="I271" s="94">
        <v>11</v>
      </c>
    </row>
    <row r="272" spans="1:9" x14ac:dyDescent="0.25">
      <c r="A272" s="94" t="s">
        <v>274</v>
      </c>
      <c r="B272" s="94" t="s">
        <v>130</v>
      </c>
      <c r="C272" s="94">
        <v>93300</v>
      </c>
      <c r="D272" s="94" t="s">
        <v>646</v>
      </c>
      <c r="E272" s="94"/>
      <c r="F272" s="94"/>
      <c r="G272" s="94" t="str">
        <f t="shared" si="4"/>
        <v>Fort SterlingR11</v>
      </c>
      <c r="H272" s="94" t="s">
        <v>380</v>
      </c>
      <c r="I272" s="94">
        <v>11</v>
      </c>
    </row>
    <row r="273" spans="1:9" x14ac:dyDescent="0.25">
      <c r="A273" s="94" t="s">
        <v>274</v>
      </c>
      <c r="B273" s="94" t="s">
        <v>131</v>
      </c>
      <c r="C273" s="94">
        <v>111111</v>
      </c>
      <c r="D273" s="94" t="s">
        <v>641</v>
      </c>
      <c r="E273" s="94"/>
      <c r="F273" s="94"/>
      <c r="G273" s="94" t="str">
        <f t="shared" si="4"/>
        <v>LymhurstR11</v>
      </c>
      <c r="H273" s="94" t="s">
        <v>380</v>
      </c>
      <c r="I273" s="94">
        <v>11</v>
      </c>
    </row>
    <row r="274" spans="1:9" x14ac:dyDescent="0.25">
      <c r="A274" s="94" t="s">
        <v>274</v>
      </c>
      <c r="B274" s="94" t="s">
        <v>132</v>
      </c>
      <c r="C274" s="94"/>
      <c r="D274" s="94"/>
      <c r="E274" s="94"/>
      <c r="F274" s="94"/>
      <c r="G274" s="94" t="str">
        <f t="shared" si="4"/>
        <v>MartlockR11</v>
      </c>
      <c r="H274" s="94" t="s">
        <v>380</v>
      </c>
      <c r="I274" s="94">
        <v>11</v>
      </c>
    </row>
    <row r="275" spans="1:9" x14ac:dyDescent="0.25">
      <c r="A275" s="94" t="s">
        <v>274</v>
      </c>
      <c r="B275" s="94" t="s">
        <v>133</v>
      </c>
      <c r="C275" s="94">
        <v>93888</v>
      </c>
      <c r="D275" s="94" t="s">
        <v>650</v>
      </c>
      <c r="E275" s="94"/>
      <c r="F275" s="94"/>
      <c r="G275" s="94" t="str">
        <f t="shared" si="4"/>
        <v>ThetfordR11</v>
      </c>
      <c r="H275" s="94" t="s">
        <v>380</v>
      </c>
      <c r="I275" s="94">
        <v>11</v>
      </c>
    </row>
    <row r="276" spans="1:9" x14ac:dyDescent="0.25">
      <c r="A276" s="94" t="s">
        <v>275</v>
      </c>
      <c r="B276" s="94" t="s">
        <v>127</v>
      </c>
      <c r="C276" s="94"/>
      <c r="D276" s="94"/>
      <c r="E276" s="94"/>
      <c r="F276" s="94"/>
      <c r="G276" s="94" t="str">
        <f t="shared" si="4"/>
        <v>BrecilienR12</v>
      </c>
      <c r="H276" s="94" t="s">
        <v>380</v>
      </c>
      <c r="I276" s="94">
        <v>12</v>
      </c>
    </row>
    <row r="277" spans="1:9" x14ac:dyDescent="0.25">
      <c r="A277" s="94" t="s">
        <v>275</v>
      </c>
      <c r="B277" s="94" t="s">
        <v>128</v>
      </c>
      <c r="C277" s="94">
        <v>2377</v>
      </c>
      <c r="D277" s="94" t="s">
        <v>583</v>
      </c>
      <c r="E277" s="94">
        <v>2001</v>
      </c>
      <c r="F277" s="94" t="s">
        <v>583</v>
      </c>
      <c r="G277" s="94" t="str">
        <f t="shared" si="4"/>
        <v>BridgewatchR12</v>
      </c>
      <c r="H277" s="94" t="s">
        <v>380</v>
      </c>
      <c r="I277" s="94">
        <v>12</v>
      </c>
    </row>
    <row r="278" spans="1:9" x14ac:dyDescent="0.25">
      <c r="A278" s="94" t="s">
        <v>275</v>
      </c>
      <c r="B278" s="94" t="s">
        <v>129</v>
      </c>
      <c r="C278" s="94">
        <v>2516</v>
      </c>
      <c r="D278" s="94" t="s">
        <v>587</v>
      </c>
      <c r="E278" s="94">
        <v>2210</v>
      </c>
      <c r="F278" s="94" t="s">
        <v>575</v>
      </c>
      <c r="G278" s="94" t="str">
        <f t="shared" si="4"/>
        <v>CaerleonR12</v>
      </c>
      <c r="H278" s="94" t="s">
        <v>380</v>
      </c>
      <c r="I278" s="94">
        <v>12</v>
      </c>
    </row>
    <row r="279" spans="1:9" x14ac:dyDescent="0.25">
      <c r="A279" s="94" t="s">
        <v>275</v>
      </c>
      <c r="B279" s="94" t="s">
        <v>130</v>
      </c>
      <c r="C279" s="94">
        <v>2488</v>
      </c>
      <c r="D279" s="94" t="s">
        <v>559</v>
      </c>
      <c r="E279" s="94"/>
      <c r="F279" s="94"/>
      <c r="G279" s="94" t="str">
        <f t="shared" si="4"/>
        <v>Fort SterlingR12</v>
      </c>
      <c r="H279" s="94" t="s">
        <v>380</v>
      </c>
      <c r="I279" s="94">
        <v>12</v>
      </c>
    </row>
    <row r="280" spans="1:9" x14ac:dyDescent="0.25">
      <c r="A280" s="94" t="s">
        <v>275</v>
      </c>
      <c r="B280" s="94" t="s">
        <v>131</v>
      </c>
      <c r="C280" s="94">
        <v>2114</v>
      </c>
      <c r="D280" s="94" t="s">
        <v>603</v>
      </c>
      <c r="E280" s="94">
        <v>1815</v>
      </c>
      <c r="F280" s="94" t="s">
        <v>585</v>
      </c>
      <c r="G280" s="94" t="str">
        <f t="shared" si="4"/>
        <v>LymhurstR12</v>
      </c>
      <c r="H280" s="94" t="s">
        <v>380</v>
      </c>
      <c r="I280" s="94">
        <v>12</v>
      </c>
    </row>
    <row r="281" spans="1:9" x14ac:dyDescent="0.25">
      <c r="A281" s="94" t="s">
        <v>275</v>
      </c>
      <c r="B281" s="94" t="s">
        <v>132</v>
      </c>
      <c r="C281" s="94">
        <v>2349</v>
      </c>
      <c r="D281" s="94" t="s">
        <v>657</v>
      </c>
      <c r="E281" s="94">
        <v>1876</v>
      </c>
      <c r="F281" s="94" t="s">
        <v>637</v>
      </c>
      <c r="G281" s="94" t="str">
        <f t="shared" si="4"/>
        <v>MartlockR12</v>
      </c>
      <c r="H281" s="94" t="s">
        <v>380</v>
      </c>
      <c r="I281" s="94">
        <v>12</v>
      </c>
    </row>
    <row r="282" spans="1:9" x14ac:dyDescent="0.25">
      <c r="A282" s="94" t="s">
        <v>275</v>
      </c>
      <c r="B282" s="94" t="s">
        <v>133</v>
      </c>
      <c r="C282" s="94">
        <v>2345</v>
      </c>
      <c r="D282" s="94" t="s">
        <v>673</v>
      </c>
      <c r="E282" s="94">
        <v>1981</v>
      </c>
      <c r="F282" s="94" t="s">
        <v>634</v>
      </c>
      <c r="G282" s="94" t="str">
        <f t="shared" si="4"/>
        <v>ThetfordR12</v>
      </c>
      <c r="H282" s="94" t="s">
        <v>380</v>
      </c>
      <c r="I282" s="94">
        <v>12</v>
      </c>
    </row>
    <row r="283" spans="1:9" x14ac:dyDescent="0.25">
      <c r="A283" s="94" t="s">
        <v>276</v>
      </c>
      <c r="B283" s="94" t="s">
        <v>127</v>
      </c>
      <c r="C283" s="94"/>
      <c r="D283" s="94"/>
      <c r="E283" s="94"/>
      <c r="F283" s="94"/>
      <c r="G283" s="94" t="str">
        <f t="shared" si="4"/>
        <v>BrecilienR13</v>
      </c>
      <c r="H283" s="94" t="s">
        <v>380</v>
      </c>
      <c r="I283" s="94">
        <v>13</v>
      </c>
    </row>
    <row r="284" spans="1:9" x14ac:dyDescent="0.25">
      <c r="A284" s="94" t="s">
        <v>276</v>
      </c>
      <c r="B284" s="94" t="s">
        <v>128</v>
      </c>
      <c r="C284" s="94">
        <v>5494</v>
      </c>
      <c r="D284" s="94" t="s">
        <v>620</v>
      </c>
      <c r="E284" s="94">
        <v>5035</v>
      </c>
      <c r="F284" s="94" t="s">
        <v>616</v>
      </c>
      <c r="G284" s="94" t="str">
        <f t="shared" si="4"/>
        <v>BridgewatchR13</v>
      </c>
      <c r="H284" s="94" t="s">
        <v>380</v>
      </c>
      <c r="I284" s="94">
        <v>13</v>
      </c>
    </row>
    <row r="285" spans="1:9" x14ac:dyDescent="0.25">
      <c r="A285" s="94" t="s">
        <v>276</v>
      </c>
      <c r="B285" s="94" t="s">
        <v>129</v>
      </c>
      <c r="C285" s="94">
        <v>6272</v>
      </c>
      <c r="D285" s="94" t="s">
        <v>670</v>
      </c>
      <c r="E285" s="94">
        <v>5000</v>
      </c>
      <c r="F285" s="94" t="s">
        <v>670</v>
      </c>
      <c r="G285" s="94" t="str">
        <f t="shared" si="4"/>
        <v>CaerleonR13</v>
      </c>
      <c r="H285" s="94" t="s">
        <v>380</v>
      </c>
      <c r="I285" s="94">
        <v>13</v>
      </c>
    </row>
    <row r="286" spans="1:9" x14ac:dyDescent="0.25">
      <c r="A286" s="94" t="s">
        <v>276</v>
      </c>
      <c r="B286" s="94" t="s">
        <v>130</v>
      </c>
      <c r="C286" s="94">
        <v>5433</v>
      </c>
      <c r="D286" s="94" t="s">
        <v>671</v>
      </c>
      <c r="E286" s="94"/>
      <c r="F286" s="94"/>
      <c r="G286" s="94" t="str">
        <f t="shared" si="4"/>
        <v>Fort SterlingR13</v>
      </c>
      <c r="H286" s="94" t="s">
        <v>380</v>
      </c>
      <c r="I286" s="94">
        <v>13</v>
      </c>
    </row>
    <row r="287" spans="1:9" x14ac:dyDescent="0.25">
      <c r="A287" s="94" t="s">
        <v>276</v>
      </c>
      <c r="B287" s="94" t="s">
        <v>131</v>
      </c>
      <c r="C287" s="94">
        <v>5499</v>
      </c>
      <c r="D287" s="94" t="s">
        <v>487</v>
      </c>
      <c r="E287" s="94">
        <v>5158</v>
      </c>
      <c r="F287" s="94" t="s">
        <v>482</v>
      </c>
      <c r="G287" s="94" t="str">
        <f t="shared" si="4"/>
        <v>LymhurstR13</v>
      </c>
      <c r="H287" s="94" t="s">
        <v>380</v>
      </c>
      <c r="I287" s="94">
        <v>13</v>
      </c>
    </row>
    <row r="288" spans="1:9" x14ac:dyDescent="0.25">
      <c r="A288" s="94" t="s">
        <v>276</v>
      </c>
      <c r="B288" s="94" t="s">
        <v>132</v>
      </c>
      <c r="C288" s="94"/>
      <c r="D288" s="94"/>
      <c r="E288" s="94"/>
      <c r="F288" s="94"/>
      <c r="G288" s="94" t="str">
        <f t="shared" si="4"/>
        <v>MartlockR13</v>
      </c>
      <c r="H288" s="94" t="s">
        <v>380</v>
      </c>
      <c r="I288" s="94">
        <v>13</v>
      </c>
    </row>
    <row r="289" spans="1:9" x14ac:dyDescent="0.25">
      <c r="A289" s="94" t="s">
        <v>276</v>
      </c>
      <c r="B289" s="94" t="s">
        <v>133</v>
      </c>
      <c r="C289" s="94">
        <v>5382</v>
      </c>
      <c r="D289" s="94" t="s">
        <v>673</v>
      </c>
      <c r="E289" s="94">
        <v>4602</v>
      </c>
      <c r="F289" s="94" t="s">
        <v>634</v>
      </c>
      <c r="G289" s="94" t="str">
        <f t="shared" si="4"/>
        <v>ThetfordR13</v>
      </c>
      <c r="H289" s="94" t="s">
        <v>380</v>
      </c>
      <c r="I289" s="94">
        <v>13</v>
      </c>
    </row>
    <row r="290" spans="1:9" x14ac:dyDescent="0.25">
      <c r="A290" s="94" t="s">
        <v>277</v>
      </c>
      <c r="B290" s="94" t="s">
        <v>127</v>
      </c>
      <c r="C290" s="94"/>
      <c r="D290" s="94"/>
      <c r="E290" s="94"/>
      <c r="F290" s="94"/>
      <c r="G290" s="94" t="str">
        <f t="shared" si="4"/>
        <v>BrecilienR14</v>
      </c>
      <c r="H290" s="94" t="s">
        <v>380</v>
      </c>
      <c r="I290" s="94">
        <v>14</v>
      </c>
    </row>
    <row r="291" spans="1:9" x14ac:dyDescent="0.25">
      <c r="A291" s="94" t="s">
        <v>277</v>
      </c>
      <c r="B291" s="94" t="s">
        <v>128</v>
      </c>
      <c r="C291" s="94"/>
      <c r="D291" s="94"/>
      <c r="E291" s="94"/>
      <c r="F291" s="94"/>
      <c r="G291" s="94" t="str">
        <f t="shared" si="4"/>
        <v>BridgewatchR14</v>
      </c>
      <c r="H291" s="94" t="s">
        <v>380</v>
      </c>
      <c r="I291" s="94">
        <v>14</v>
      </c>
    </row>
    <row r="292" spans="1:9" x14ac:dyDescent="0.25">
      <c r="A292" s="94" t="s">
        <v>277</v>
      </c>
      <c r="B292" s="94" t="s">
        <v>129</v>
      </c>
      <c r="C292" s="94">
        <v>24908</v>
      </c>
      <c r="D292" s="94" t="s">
        <v>661</v>
      </c>
      <c r="E292" s="94"/>
      <c r="F292" s="94"/>
      <c r="G292" s="94" t="str">
        <f t="shared" si="4"/>
        <v>CaerleonR14</v>
      </c>
      <c r="H292" s="94" t="s">
        <v>380</v>
      </c>
      <c r="I292" s="94">
        <v>14</v>
      </c>
    </row>
    <row r="293" spans="1:9" x14ac:dyDescent="0.25">
      <c r="A293" s="94" t="s">
        <v>277</v>
      </c>
      <c r="B293" s="94" t="s">
        <v>130</v>
      </c>
      <c r="C293" s="94">
        <v>23142</v>
      </c>
      <c r="D293" s="94" t="s">
        <v>661</v>
      </c>
      <c r="E293" s="94">
        <v>19013</v>
      </c>
      <c r="F293" s="94" t="s">
        <v>661</v>
      </c>
      <c r="G293" s="94" t="str">
        <f t="shared" si="4"/>
        <v>Fort SterlingR14</v>
      </c>
      <c r="H293" s="94" t="s">
        <v>380</v>
      </c>
      <c r="I293" s="94">
        <v>14</v>
      </c>
    </row>
    <row r="294" spans="1:9" x14ac:dyDescent="0.25">
      <c r="A294" s="94" t="s">
        <v>277</v>
      </c>
      <c r="B294" s="94" t="s">
        <v>131</v>
      </c>
      <c r="C294" s="94">
        <v>23776</v>
      </c>
      <c r="D294" s="94" t="s">
        <v>487</v>
      </c>
      <c r="E294" s="94">
        <v>20031</v>
      </c>
      <c r="F294" s="94" t="s">
        <v>482</v>
      </c>
      <c r="G294" s="94" t="str">
        <f t="shared" si="4"/>
        <v>LymhurstR14</v>
      </c>
      <c r="H294" s="94" t="s">
        <v>380</v>
      </c>
      <c r="I294" s="94">
        <v>14</v>
      </c>
    </row>
    <row r="295" spans="1:9" x14ac:dyDescent="0.25">
      <c r="A295" s="94" t="s">
        <v>277</v>
      </c>
      <c r="B295" s="94" t="s">
        <v>132</v>
      </c>
      <c r="C295" s="94"/>
      <c r="D295" s="94"/>
      <c r="E295" s="94"/>
      <c r="F295" s="94"/>
      <c r="G295" s="94" t="str">
        <f t="shared" si="4"/>
        <v>MartlockR14</v>
      </c>
      <c r="H295" s="94" t="s">
        <v>380</v>
      </c>
      <c r="I295" s="94">
        <v>14</v>
      </c>
    </row>
    <row r="296" spans="1:9" x14ac:dyDescent="0.25">
      <c r="A296" s="94" t="s">
        <v>277</v>
      </c>
      <c r="B296" s="94" t="s">
        <v>133</v>
      </c>
      <c r="C296" s="94">
        <v>21042</v>
      </c>
      <c r="D296" s="94" t="s">
        <v>670</v>
      </c>
      <c r="E296" s="94">
        <v>20003</v>
      </c>
      <c r="F296" s="94" t="s">
        <v>670</v>
      </c>
      <c r="G296" s="94" t="str">
        <f t="shared" si="4"/>
        <v>ThetfordR14</v>
      </c>
      <c r="H296" s="94" t="s">
        <v>380</v>
      </c>
      <c r="I296" s="94">
        <v>14</v>
      </c>
    </row>
    <row r="297" spans="1:9" x14ac:dyDescent="0.25">
      <c r="A297" s="94" t="s">
        <v>278</v>
      </c>
      <c r="B297" s="94" t="s">
        <v>127</v>
      </c>
      <c r="C297" s="94"/>
      <c r="D297" s="94"/>
      <c r="E297" s="94"/>
      <c r="F297" s="94"/>
      <c r="G297" s="94" t="str">
        <f t="shared" si="4"/>
        <v>BrecilienR15</v>
      </c>
      <c r="H297" s="94" t="s">
        <v>380</v>
      </c>
      <c r="I297" s="94">
        <v>15</v>
      </c>
    </row>
    <row r="298" spans="1:9" x14ac:dyDescent="0.25">
      <c r="A298" s="94" t="s">
        <v>278</v>
      </c>
      <c r="B298" s="94" t="s">
        <v>128</v>
      </c>
      <c r="C298" s="94"/>
      <c r="D298" s="94"/>
      <c r="E298" s="94"/>
      <c r="F298" s="94"/>
      <c r="G298" s="94" t="str">
        <f t="shared" si="4"/>
        <v>BridgewatchR15</v>
      </c>
      <c r="H298" s="94" t="s">
        <v>380</v>
      </c>
      <c r="I298" s="94">
        <v>15</v>
      </c>
    </row>
    <row r="299" spans="1:9" x14ac:dyDescent="0.25">
      <c r="A299" s="94" t="s">
        <v>278</v>
      </c>
      <c r="B299" s="94" t="s">
        <v>129</v>
      </c>
      <c r="C299" s="94">
        <v>85979</v>
      </c>
      <c r="D299" s="94" t="s">
        <v>598</v>
      </c>
      <c r="E299" s="94"/>
      <c r="F299" s="94"/>
      <c r="G299" s="94" t="str">
        <f t="shared" si="4"/>
        <v>CaerleonR15</v>
      </c>
      <c r="H299" s="94" t="s">
        <v>380</v>
      </c>
      <c r="I299" s="94">
        <v>15</v>
      </c>
    </row>
    <row r="300" spans="1:9" x14ac:dyDescent="0.25">
      <c r="A300" s="94" t="s">
        <v>278</v>
      </c>
      <c r="B300" s="94" t="s">
        <v>130</v>
      </c>
      <c r="C300" s="94">
        <v>79984</v>
      </c>
      <c r="D300" s="94" t="s">
        <v>643</v>
      </c>
      <c r="E300" s="94">
        <v>63143</v>
      </c>
      <c r="F300" s="94" t="s">
        <v>560</v>
      </c>
      <c r="G300" s="94" t="str">
        <f t="shared" si="4"/>
        <v>Fort SterlingR15</v>
      </c>
      <c r="H300" s="94" t="s">
        <v>380</v>
      </c>
      <c r="I300" s="94">
        <v>15</v>
      </c>
    </row>
    <row r="301" spans="1:9" x14ac:dyDescent="0.25">
      <c r="A301" s="94" t="s">
        <v>278</v>
      </c>
      <c r="B301" s="94" t="s">
        <v>131</v>
      </c>
      <c r="C301" s="94">
        <v>78954</v>
      </c>
      <c r="D301" s="94" t="s">
        <v>487</v>
      </c>
      <c r="E301" s="94"/>
      <c r="F301" s="94"/>
      <c r="G301" s="94" t="str">
        <f t="shared" si="4"/>
        <v>LymhurstR15</v>
      </c>
      <c r="H301" s="94" t="s">
        <v>380</v>
      </c>
      <c r="I301" s="94">
        <v>15</v>
      </c>
    </row>
    <row r="302" spans="1:9" x14ac:dyDescent="0.25">
      <c r="A302" s="94" t="s">
        <v>278</v>
      </c>
      <c r="B302" s="94" t="s">
        <v>132</v>
      </c>
      <c r="C302" s="94">
        <v>75000</v>
      </c>
      <c r="D302" s="94" t="s">
        <v>606</v>
      </c>
      <c r="E302" s="94"/>
      <c r="F302" s="94"/>
      <c r="G302" s="94" t="str">
        <f t="shared" si="4"/>
        <v>MartlockR15</v>
      </c>
      <c r="H302" s="94" t="s">
        <v>380</v>
      </c>
      <c r="I302" s="94">
        <v>15</v>
      </c>
    </row>
    <row r="303" spans="1:9" x14ac:dyDescent="0.25">
      <c r="A303" s="94" t="s">
        <v>278</v>
      </c>
      <c r="B303" s="94" t="s">
        <v>133</v>
      </c>
      <c r="C303" s="94">
        <v>78988</v>
      </c>
      <c r="D303" s="94" t="s">
        <v>650</v>
      </c>
      <c r="E303" s="94">
        <v>62100</v>
      </c>
      <c r="F303" s="94" t="s">
        <v>613</v>
      </c>
      <c r="G303" s="94" t="str">
        <f t="shared" si="4"/>
        <v>ThetfordR15</v>
      </c>
      <c r="H303" s="94" t="s">
        <v>380</v>
      </c>
      <c r="I303" s="94">
        <v>15</v>
      </c>
    </row>
    <row r="304" spans="1:9" x14ac:dyDescent="0.25">
      <c r="A304" s="94" t="s">
        <v>279</v>
      </c>
      <c r="B304" s="94" t="s">
        <v>127</v>
      </c>
      <c r="C304" s="94">
        <v>270000</v>
      </c>
      <c r="D304" s="94" t="s">
        <v>600</v>
      </c>
      <c r="E304" s="94"/>
      <c r="F304" s="94"/>
      <c r="G304" s="94" t="str">
        <f t="shared" si="4"/>
        <v>BrecilienR16</v>
      </c>
      <c r="H304" s="94" t="s">
        <v>380</v>
      </c>
      <c r="I304" s="94">
        <v>16</v>
      </c>
    </row>
    <row r="305" spans="1:9" x14ac:dyDescent="0.25">
      <c r="A305" s="94" t="s">
        <v>279</v>
      </c>
      <c r="B305" s="94" t="s">
        <v>128</v>
      </c>
      <c r="C305" s="94"/>
      <c r="D305" s="94"/>
      <c r="E305" s="94"/>
      <c r="F305" s="94"/>
      <c r="G305" s="94" t="str">
        <f t="shared" si="4"/>
        <v>BridgewatchR16</v>
      </c>
      <c r="H305" s="94" t="s">
        <v>380</v>
      </c>
      <c r="I305" s="94">
        <v>16</v>
      </c>
    </row>
    <row r="306" spans="1:9" x14ac:dyDescent="0.25">
      <c r="A306" s="94" t="s">
        <v>279</v>
      </c>
      <c r="B306" s="94" t="s">
        <v>129</v>
      </c>
      <c r="C306" s="94">
        <v>329982</v>
      </c>
      <c r="D306" s="94" t="s">
        <v>601</v>
      </c>
      <c r="E306" s="94"/>
      <c r="F306" s="94"/>
      <c r="G306" s="94" t="str">
        <f t="shared" si="4"/>
        <v>CaerleonR16</v>
      </c>
      <c r="H306" s="94" t="s">
        <v>380</v>
      </c>
      <c r="I306" s="94">
        <v>16</v>
      </c>
    </row>
    <row r="307" spans="1:9" x14ac:dyDescent="0.25">
      <c r="A307" s="94" t="s">
        <v>279</v>
      </c>
      <c r="B307" s="94" t="s">
        <v>130</v>
      </c>
      <c r="C307" s="94">
        <v>261992</v>
      </c>
      <c r="D307" s="94" t="s">
        <v>625</v>
      </c>
      <c r="E307" s="94">
        <v>200007</v>
      </c>
      <c r="F307" s="94" t="s">
        <v>586</v>
      </c>
      <c r="G307" s="94" t="str">
        <f t="shared" si="4"/>
        <v>Fort SterlingR16</v>
      </c>
      <c r="H307" s="94" t="s">
        <v>380</v>
      </c>
      <c r="I307" s="94">
        <v>16</v>
      </c>
    </row>
    <row r="308" spans="1:9" x14ac:dyDescent="0.25">
      <c r="A308" s="94" t="s">
        <v>279</v>
      </c>
      <c r="B308" s="94" t="s">
        <v>131</v>
      </c>
      <c r="C308" s="94">
        <v>295998</v>
      </c>
      <c r="D308" s="94" t="s">
        <v>638</v>
      </c>
      <c r="E308" s="94"/>
      <c r="F308" s="94"/>
      <c r="G308" s="94" t="str">
        <f t="shared" si="4"/>
        <v>LymhurstR16</v>
      </c>
      <c r="H308" s="94" t="s">
        <v>380</v>
      </c>
      <c r="I308" s="94">
        <v>16</v>
      </c>
    </row>
    <row r="309" spans="1:9" x14ac:dyDescent="0.25">
      <c r="A309" s="94" t="s">
        <v>279</v>
      </c>
      <c r="B309" s="94" t="s">
        <v>132</v>
      </c>
      <c r="C309" s="94"/>
      <c r="D309" s="94"/>
      <c r="E309" s="94"/>
      <c r="F309" s="94"/>
      <c r="G309" s="94" t="str">
        <f t="shared" si="4"/>
        <v>MartlockR16</v>
      </c>
      <c r="H309" s="94" t="s">
        <v>380</v>
      </c>
      <c r="I309" s="94">
        <v>16</v>
      </c>
    </row>
    <row r="310" spans="1:9" x14ac:dyDescent="0.25">
      <c r="A310" s="94" t="s">
        <v>279</v>
      </c>
      <c r="B310" s="94" t="s">
        <v>133</v>
      </c>
      <c r="C310" s="94">
        <v>249977</v>
      </c>
      <c r="D310" s="94" t="s">
        <v>650</v>
      </c>
      <c r="E310" s="94"/>
      <c r="F310" s="94"/>
      <c r="G310" s="94" t="str">
        <f t="shared" si="4"/>
        <v>ThetfordR16</v>
      </c>
      <c r="H310" s="94" t="s">
        <v>380</v>
      </c>
      <c r="I310" s="94">
        <v>16</v>
      </c>
    </row>
    <row r="311" spans="1:9" x14ac:dyDescent="0.25">
      <c r="A311" s="94" t="s">
        <v>280</v>
      </c>
      <c r="B311" s="94" t="s">
        <v>127</v>
      </c>
      <c r="C311" s="94"/>
      <c r="D311" s="94"/>
      <c r="E311" s="94"/>
      <c r="F311" s="94"/>
      <c r="G311" s="94" t="str">
        <f t="shared" si="4"/>
        <v>BrecilienR17</v>
      </c>
      <c r="H311" s="94" t="s">
        <v>380</v>
      </c>
      <c r="I311" s="94">
        <v>17</v>
      </c>
    </row>
    <row r="312" spans="1:9" x14ac:dyDescent="0.25">
      <c r="A312" s="94" t="s">
        <v>280</v>
      </c>
      <c r="B312" s="94" t="s">
        <v>128</v>
      </c>
      <c r="C312" s="94">
        <v>5600</v>
      </c>
      <c r="D312" s="94" t="s">
        <v>622</v>
      </c>
      <c r="E312" s="94"/>
      <c r="F312" s="94"/>
      <c r="G312" s="94" t="str">
        <f t="shared" si="4"/>
        <v>BridgewatchR17</v>
      </c>
      <c r="H312" s="94" t="s">
        <v>380</v>
      </c>
      <c r="I312" s="94">
        <v>17</v>
      </c>
    </row>
    <row r="313" spans="1:9" x14ac:dyDescent="0.25">
      <c r="A313" s="94" t="s">
        <v>280</v>
      </c>
      <c r="B313" s="94" t="s">
        <v>129</v>
      </c>
      <c r="C313" s="94">
        <v>7994</v>
      </c>
      <c r="D313" s="94" t="s">
        <v>668</v>
      </c>
      <c r="E313" s="94"/>
      <c r="F313" s="94"/>
      <c r="G313" s="94" t="str">
        <f t="shared" si="4"/>
        <v>CaerleonR17</v>
      </c>
      <c r="H313" s="94" t="s">
        <v>380</v>
      </c>
      <c r="I313" s="94">
        <v>17</v>
      </c>
    </row>
    <row r="314" spans="1:9" x14ac:dyDescent="0.25">
      <c r="A314" s="94" t="s">
        <v>280</v>
      </c>
      <c r="B314" s="94" t="s">
        <v>130</v>
      </c>
      <c r="C314" s="94">
        <v>6182</v>
      </c>
      <c r="D314" s="94" t="s">
        <v>603</v>
      </c>
      <c r="E314" s="94"/>
      <c r="F314" s="94"/>
      <c r="G314" s="94" t="str">
        <f t="shared" si="4"/>
        <v>Fort SterlingR17</v>
      </c>
      <c r="H314" s="94" t="s">
        <v>380</v>
      </c>
      <c r="I314" s="94">
        <v>17</v>
      </c>
    </row>
    <row r="315" spans="1:9" x14ac:dyDescent="0.25">
      <c r="A315" s="94" t="s">
        <v>280</v>
      </c>
      <c r="B315" s="94" t="s">
        <v>131</v>
      </c>
      <c r="C315" s="94">
        <v>5385</v>
      </c>
      <c r="D315" s="94" t="s">
        <v>487</v>
      </c>
      <c r="E315" s="94"/>
      <c r="F315" s="94"/>
      <c r="G315" s="94" t="str">
        <f t="shared" si="4"/>
        <v>LymhurstR17</v>
      </c>
      <c r="H315" s="94" t="s">
        <v>380</v>
      </c>
      <c r="I315" s="94">
        <v>17</v>
      </c>
    </row>
    <row r="316" spans="1:9" x14ac:dyDescent="0.25">
      <c r="A316" s="94" t="s">
        <v>280</v>
      </c>
      <c r="B316" s="94" t="s">
        <v>132</v>
      </c>
      <c r="C316" s="94">
        <v>6412</v>
      </c>
      <c r="D316" s="94" t="s">
        <v>653</v>
      </c>
      <c r="E316" s="94">
        <v>4658</v>
      </c>
      <c r="F316" s="94" t="s">
        <v>637</v>
      </c>
      <c r="G316" s="94" t="str">
        <f t="shared" si="4"/>
        <v>MartlockR17</v>
      </c>
      <c r="H316" s="94" t="s">
        <v>380</v>
      </c>
      <c r="I316" s="94">
        <v>17</v>
      </c>
    </row>
    <row r="317" spans="1:9" x14ac:dyDescent="0.25">
      <c r="A317" s="94" t="s">
        <v>280</v>
      </c>
      <c r="B317" s="94" t="s">
        <v>133</v>
      </c>
      <c r="C317" s="94">
        <v>5279</v>
      </c>
      <c r="D317" s="94" t="s">
        <v>657</v>
      </c>
      <c r="E317" s="94">
        <v>5001</v>
      </c>
      <c r="F317" s="94" t="s">
        <v>653</v>
      </c>
      <c r="G317" s="94" t="str">
        <f t="shared" si="4"/>
        <v>ThetfordR17</v>
      </c>
      <c r="H317" s="94" t="s">
        <v>380</v>
      </c>
      <c r="I317" s="94">
        <v>17</v>
      </c>
    </row>
    <row r="318" spans="1:9" x14ac:dyDescent="0.25">
      <c r="A318" s="94" t="s">
        <v>281</v>
      </c>
      <c r="B318" s="94" t="s">
        <v>127</v>
      </c>
      <c r="C318" s="94"/>
      <c r="D318" s="94"/>
      <c r="E318" s="94"/>
      <c r="F318" s="94"/>
      <c r="G318" s="94" t="str">
        <f t="shared" si="4"/>
        <v>BrecilienR18</v>
      </c>
      <c r="H318" s="94" t="s">
        <v>380</v>
      </c>
      <c r="I318" s="94">
        <v>18</v>
      </c>
    </row>
    <row r="319" spans="1:9" x14ac:dyDescent="0.25">
      <c r="A319" s="94" t="s">
        <v>281</v>
      </c>
      <c r="B319" s="94" t="s">
        <v>128</v>
      </c>
      <c r="C319" s="94">
        <v>22788</v>
      </c>
      <c r="D319" s="94" t="s">
        <v>622</v>
      </c>
      <c r="E319" s="94"/>
      <c r="F319" s="94"/>
      <c r="G319" s="94" t="str">
        <f t="shared" si="4"/>
        <v>BridgewatchR18</v>
      </c>
      <c r="H319" s="94" t="s">
        <v>380</v>
      </c>
      <c r="I319" s="94">
        <v>18</v>
      </c>
    </row>
    <row r="320" spans="1:9" x14ac:dyDescent="0.25">
      <c r="A320" s="94" t="s">
        <v>281</v>
      </c>
      <c r="B320" s="94" t="s">
        <v>129</v>
      </c>
      <c r="C320" s="94">
        <v>19980</v>
      </c>
      <c r="D320" s="94" t="s">
        <v>661</v>
      </c>
      <c r="E320" s="94"/>
      <c r="F320" s="94"/>
      <c r="G320" s="94" t="str">
        <f t="shared" si="4"/>
        <v>CaerleonR18</v>
      </c>
      <c r="H320" s="94" t="s">
        <v>380</v>
      </c>
      <c r="I320" s="94">
        <v>18</v>
      </c>
    </row>
    <row r="321" spans="1:9" x14ac:dyDescent="0.25">
      <c r="A321" s="94" t="s">
        <v>281</v>
      </c>
      <c r="B321" s="94" t="s">
        <v>130</v>
      </c>
      <c r="C321" s="94">
        <v>21225</v>
      </c>
      <c r="D321" s="94" t="s">
        <v>603</v>
      </c>
      <c r="E321" s="94"/>
      <c r="F321" s="94"/>
      <c r="G321" s="94" t="str">
        <f t="shared" ref="G321:G380" si="5">_xlfn.CONCAT(B321,H321,I321)</f>
        <v>Fort SterlingR18</v>
      </c>
      <c r="H321" s="94" t="s">
        <v>380</v>
      </c>
      <c r="I321" s="94">
        <v>18</v>
      </c>
    </row>
    <row r="322" spans="1:9" x14ac:dyDescent="0.25">
      <c r="A322" s="94" t="s">
        <v>281</v>
      </c>
      <c r="B322" s="94" t="s">
        <v>131</v>
      </c>
      <c r="C322" s="94">
        <v>22554</v>
      </c>
      <c r="D322" s="94" t="s">
        <v>487</v>
      </c>
      <c r="E322" s="94"/>
      <c r="F322" s="94"/>
      <c r="G322" s="94" t="str">
        <f t="shared" si="5"/>
        <v>LymhurstR18</v>
      </c>
      <c r="H322" s="94" t="s">
        <v>380</v>
      </c>
      <c r="I322" s="94">
        <v>18</v>
      </c>
    </row>
    <row r="323" spans="1:9" x14ac:dyDescent="0.25">
      <c r="A323" s="94" t="s">
        <v>281</v>
      </c>
      <c r="B323" s="94" t="s">
        <v>132</v>
      </c>
      <c r="C323" s="94">
        <v>22295</v>
      </c>
      <c r="D323" s="94" t="s">
        <v>637</v>
      </c>
      <c r="E323" s="94"/>
      <c r="F323" s="94"/>
      <c r="G323" s="94" t="str">
        <f t="shared" si="5"/>
        <v>MartlockR18</v>
      </c>
      <c r="H323" s="94" t="s">
        <v>380</v>
      </c>
      <c r="I323" s="94">
        <v>18</v>
      </c>
    </row>
    <row r="324" spans="1:9" x14ac:dyDescent="0.25">
      <c r="A324" s="94" t="s">
        <v>281</v>
      </c>
      <c r="B324" s="94" t="s">
        <v>133</v>
      </c>
      <c r="C324" s="94">
        <v>21499</v>
      </c>
      <c r="D324" s="94" t="s">
        <v>650</v>
      </c>
      <c r="E324" s="94">
        <v>17038</v>
      </c>
      <c r="F324" s="94" t="s">
        <v>634</v>
      </c>
      <c r="G324" s="94" t="str">
        <f t="shared" si="5"/>
        <v>ThetfordR18</v>
      </c>
      <c r="H324" s="94" t="s">
        <v>380</v>
      </c>
      <c r="I324" s="94">
        <v>18</v>
      </c>
    </row>
    <row r="325" spans="1:9" x14ac:dyDescent="0.25">
      <c r="A325" s="94" t="s">
        <v>282</v>
      </c>
      <c r="B325" s="94" t="s">
        <v>127</v>
      </c>
      <c r="C325" s="94">
        <v>62217</v>
      </c>
      <c r="D325" s="94" t="s">
        <v>499</v>
      </c>
      <c r="E325" s="94"/>
      <c r="F325" s="94"/>
      <c r="G325" s="94" t="str">
        <f t="shared" si="5"/>
        <v>BrecilienR19</v>
      </c>
      <c r="H325" s="94" t="s">
        <v>380</v>
      </c>
      <c r="I325" s="94">
        <v>19</v>
      </c>
    </row>
    <row r="326" spans="1:9" x14ac:dyDescent="0.25">
      <c r="A326" s="94" t="s">
        <v>282</v>
      </c>
      <c r="B326" s="94" t="s">
        <v>128</v>
      </c>
      <c r="C326" s="94">
        <v>62997</v>
      </c>
      <c r="D326" s="94" t="s">
        <v>622</v>
      </c>
      <c r="E326" s="94"/>
      <c r="F326" s="94"/>
      <c r="G326" s="94" t="str">
        <f t="shared" si="5"/>
        <v>BridgewatchR19</v>
      </c>
      <c r="H326" s="94" t="s">
        <v>380</v>
      </c>
      <c r="I326" s="94">
        <v>19</v>
      </c>
    </row>
    <row r="327" spans="1:9" x14ac:dyDescent="0.25">
      <c r="A327" s="94" t="s">
        <v>282</v>
      </c>
      <c r="B327" s="94" t="s">
        <v>129</v>
      </c>
      <c r="C327" s="94">
        <v>59983</v>
      </c>
      <c r="D327" s="94" t="s">
        <v>601</v>
      </c>
      <c r="E327" s="94"/>
      <c r="F327" s="94"/>
      <c r="G327" s="94" t="str">
        <f t="shared" si="5"/>
        <v>CaerleonR19</v>
      </c>
      <c r="H327" s="94" t="s">
        <v>380</v>
      </c>
      <c r="I327" s="94">
        <v>19</v>
      </c>
    </row>
    <row r="328" spans="1:9" x14ac:dyDescent="0.25">
      <c r="A328" s="94" t="s">
        <v>282</v>
      </c>
      <c r="B328" s="94" t="s">
        <v>130</v>
      </c>
      <c r="C328" s="94">
        <v>60995</v>
      </c>
      <c r="D328" s="94" t="s">
        <v>559</v>
      </c>
      <c r="E328" s="94"/>
      <c r="F328" s="94"/>
      <c r="G328" s="94" t="str">
        <f t="shared" si="5"/>
        <v>Fort SterlingR19</v>
      </c>
      <c r="H328" s="94" t="s">
        <v>380</v>
      </c>
      <c r="I328" s="94">
        <v>19</v>
      </c>
    </row>
    <row r="329" spans="1:9" x14ac:dyDescent="0.25">
      <c r="A329" s="94" t="s">
        <v>282</v>
      </c>
      <c r="B329" s="94" t="s">
        <v>131</v>
      </c>
      <c r="C329" s="94">
        <v>70874</v>
      </c>
      <c r="D329" s="94" t="s">
        <v>649</v>
      </c>
      <c r="E329" s="94"/>
      <c r="F329" s="94"/>
      <c r="G329" s="94" t="str">
        <f t="shared" si="5"/>
        <v>LymhurstR19</v>
      </c>
      <c r="H329" s="94" t="s">
        <v>380</v>
      </c>
      <c r="I329" s="94">
        <v>19</v>
      </c>
    </row>
    <row r="330" spans="1:9" x14ac:dyDescent="0.25">
      <c r="A330" s="94" t="s">
        <v>282</v>
      </c>
      <c r="B330" s="94" t="s">
        <v>132</v>
      </c>
      <c r="C330" s="94"/>
      <c r="D330" s="94"/>
      <c r="E330" s="94"/>
      <c r="F330" s="94"/>
      <c r="G330" s="94" t="str">
        <f t="shared" si="5"/>
        <v>MartlockR19</v>
      </c>
      <c r="H330" s="94" t="s">
        <v>380</v>
      </c>
      <c r="I330" s="94">
        <v>19</v>
      </c>
    </row>
    <row r="331" spans="1:9" x14ac:dyDescent="0.25">
      <c r="A331" s="94" t="s">
        <v>282</v>
      </c>
      <c r="B331" s="94" t="s">
        <v>133</v>
      </c>
      <c r="C331" s="94">
        <v>69994</v>
      </c>
      <c r="D331" s="94" t="s">
        <v>669</v>
      </c>
      <c r="E331" s="94">
        <v>62001</v>
      </c>
      <c r="F331" s="94" t="s">
        <v>634</v>
      </c>
      <c r="G331" s="94" t="str">
        <f t="shared" si="5"/>
        <v>ThetfordR19</v>
      </c>
      <c r="H331" s="94" t="s">
        <v>380</v>
      </c>
      <c r="I331" s="94">
        <v>19</v>
      </c>
    </row>
    <row r="332" spans="1:9" x14ac:dyDescent="0.25">
      <c r="A332" s="94" t="s">
        <v>283</v>
      </c>
      <c r="B332" s="94" t="s">
        <v>127</v>
      </c>
      <c r="C332" s="94">
        <v>249998</v>
      </c>
      <c r="D332" s="94" t="s">
        <v>487</v>
      </c>
      <c r="E332" s="94"/>
      <c r="F332" s="94"/>
      <c r="G332" s="94" t="str">
        <f t="shared" si="5"/>
        <v>BrecilienR20</v>
      </c>
      <c r="H332" s="94" t="s">
        <v>380</v>
      </c>
      <c r="I332" s="94">
        <v>20</v>
      </c>
    </row>
    <row r="333" spans="1:9" x14ac:dyDescent="0.25">
      <c r="A333" s="94" t="s">
        <v>283</v>
      </c>
      <c r="B333" s="94" t="s">
        <v>128</v>
      </c>
      <c r="C333" s="94"/>
      <c r="D333" s="94"/>
      <c r="E333" s="94"/>
      <c r="F333" s="94"/>
      <c r="G333" s="94" t="str">
        <f t="shared" si="5"/>
        <v>BridgewatchR20</v>
      </c>
      <c r="H333" s="94" t="s">
        <v>380</v>
      </c>
      <c r="I333" s="94">
        <v>20</v>
      </c>
    </row>
    <row r="334" spans="1:9" x14ac:dyDescent="0.25">
      <c r="A334" s="94" t="s">
        <v>283</v>
      </c>
      <c r="B334" s="94" t="s">
        <v>129</v>
      </c>
      <c r="C334" s="94">
        <v>220000</v>
      </c>
      <c r="D334" s="94" t="s">
        <v>590</v>
      </c>
      <c r="E334" s="94"/>
      <c r="F334" s="94"/>
      <c r="G334" s="94" t="str">
        <f t="shared" si="5"/>
        <v>CaerleonR20</v>
      </c>
      <c r="H334" s="94" t="s">
        <v>380</v>
      </c>
      <c r="I334" s="94">
        <v>20</v>
      </c>
    </row>
    <row r="335" spans="1:9" x14ac:dyDescent="0.25">
      <c r="A335" s="94" t="s">
        <v>283</v>
      </c>
      <c r="B335" s="94" t="s">
        <v>130</v>
      </c>
      <c r="C335" s="94">
        <v>224000</v>
      </c>
      <c r="D335" s="94" t="s">
        <v>559</v>
      </c>
      <c r="E335" s="94">
        <v>180000</v>
      </c>
      <c r="F335" s="94" t="s">
        <v>564</v>
      </c>
      <c r="G335" s="94" t="str">
        <f t="shared" si="5"/>
        <v>Fort SterlingR20</v>
      </c>
      <c r="H335" s="94" t="s">
        <v>380</v>
      </c>
      <c r="I335" s="94">
        <v>20</v>
      </c>
    </row>
    <row r="336" spans="1:9" x14ac:dyDescent="0.25">
      <c r="A336" s="94" t="s">
        <v>283</v>
      </c>
      <c r="B336" s="94" t="s">
        <v>131</v>
      </c>
      <c r="C336" s="94">
        <v>219999</v>
      </c>
      <c r="D336" s="94" t="s">
        <v>487</v>
      </c>
      <c r="E336" s="94"/>
      <c r="F336" s="94"/>
      <c r="G336" s="94" t="str">
        <f t="shared" si="5"/>
        <v>LymhurstR20</v>
      </c>
      <c r="H336" s="94" t="s">
        <v>380</v>
      </c>
      <c r="I336" s="94">
        <v>20</v>
      </c>
    </row>
    <row r="337" spans="1:9" x14ac:dyDescent="0.25">
      <c r="A337" s="94" t="s">
        <v>283</v>
      </c>
      <c r="B337" s="94" t="s">
        <v>132</v>
      </c>
      <c r="C337" s="94">
        <v>219999</v>
      </c>
      <c r="D337" s="94" t="s">
        <v>508</v>
      </c>
      <c r="E337" s="94">
        <v>186671</v>
      </c>
      <c r="F337" s="94" t="s">
        <v>508</v>
      </c>
      <c r="G337" s="94" t="str">
        <f t="shared" si="5"/>
        <v>MartlockR20</v>
      </c>
      <c r="H337" s="94" t="s">
        <v>380</v>
      </c>
      <c r="I337" s="94">
        <v>20</v>
      </c>
    </row>
    <row r="338" spans="1:9" x14ac:dyDescent="0.25">
      <c r="A338" s="94" t="s">
        <v>283</v>
      </c>
      <c r="B338" s="94" t="s">
        <v>133</v>
      </c>
      <c r="C338" s="94">
        <v>214994</v>
      </c>
      <c r="D338" s="94" t="s">
        <v>646</v>
      </c>
      <c r="E338" s="94">
        <v>186002</v>
      </c>
      <c r="F338" s="94" t="s">
        <v>646</v>
      </c>
      <c r="G338" s="94" t="str">
        <f t="shared" si="5"/>
        <v>ThetfordR20</v>
      </c>
      <c r="H338" s="94" t="s">
        <v>380</v>
      </c>
      <c r="I338" s="94">
        <v>20</v>
      </c>
    </row>
    <row r="339" spans="1:9" x14ac:dyDescent="0.25">
      <c r="A339" s="94" t="s">
        <v>284</v>
      </c>
      <c r="B339" s="94" t="s">
        <v>127</v>
      </c>
      <c r="C339" s="94"/>
      <c r="D339" s="94"/>
      <c r="E339" s="94"/>
      <c r="F339" s="94"/>
      <c r="G339" s="94" t="str">
        <f t="shared" si="5"/>
        <v>BrecilienR21</v>
      </c>
      <c r="H339" s="94" t="s">
        <v>380</v>
      </c>
      <c r="I339" s="94">
        <v>21</v>
      </c>
    </row>
    <row r="340" spans="1:9" x14ac:dyDescent="0.25">
      <c r="A340" s="94" t="s">
        <v>284</v>
      </c>
      <c r="B340" s="94" t="s">
        <v>128</v>
      </c>
      <c r="C340" s="94"/>
      <c r="D340" s="94"/>
      <c r="E340" s="94"/>
      <c r="F340" s="94"/>
      <c r="G340" s="94" t="str">
        <f t="shared" si="5"/>
        <v>BridgewatchR21</v>
      </c>
      <c r="H340" s="94" t="s">
        <v>380</v>
      </c>
      <c r="I340" s="94">
        <v>21</v>
      </c>
    </row>
    <row r="341" spans="1:9" x14ac:dyDescent="0.25">
      <c r="A341" s="94" t="s">
        <v>284</v>
      </c>
      <c r="B341" s="94" t="s">
        <v>129</v>
      </c>
      <c r="C341" s="94"/>
      <c r="D341" s="94"/>
      <c r="E341" s="94"/>
      <c r="F341" s="94"/>
      <c r="G341" s="94" t="str">
        <f t="shared" si="5"/>
        <v>CaerleonR21</v>
      </c>
      <c r="H341" s="94" t="s">
        <v>380</v>
      </c>
      <c r="I341" s="94">
        <v>21</v>
      </c>
    </row>
    <row r="342" spans="1:9" x14ac:dyDescent="0.25">
      <c r="A342" s="94" t="s">
        <v>284</v>
      </c>
      <c r="B342" s="94" t="s">
        <v>130</v>
      </c>
      <c r="C342" s="94">
        <v>624981</v>
      </c>
      <c r="D342" s="94" t="s">
        <v>559</v>
      </c>
      <c r="E342" s="94"/>
      <c r="F342" s="94"/>
      <c r="G342" s="94" t="str">
        <f t="shared" si="5"/>
        <v>Fort SterlingR21</v>
      </c>
      <c r="H342" s="94" t="s">
        <v>380</v>
      </c>
      <c r="I342" s="94">
        <v>21</v>
      </c>
    </row>
    <row r="343" spans="1:9" x14ac:dyDescent="0.25">
      <c r="A343" s="94" t="s">
        <v>284</v>
      </c>
      <c r="B343" s="94" t="s">
        <v>131</v>
      </c>
      <c r="C343" s="94"/>
      <c r="D343" s="94"/>
      <c r="E343" s="94"/>
      <c r="F343" s="94"/>
      <c r="G343" s="94" t="str">
        <f t="shared" si="5"/>
        <v>LymhurstR21</v>
      </c>
      <c r="H343" s="94" t="s">
        <v>380</v>
      </c>
      <c r="I343" s="94">
        <v>21</v>
      </c>
    </row>
    <row r="344" spans="1:9" x14ac:dyDescent="0.25">
      <c r="A344" s="94" t="s">
        <v>284</v>
      </c>
      <c r="B344" s="94" t="s">
        <v>132</v>
      </c>
      <c r="C344" s="94"/>
      <c r="D344" s="94"/>
      <c r="E344" s="94"/>
      <c r="F344" s="94"/>
      <c r="G344" s="94" t="str">
        <f t="shared" si="5"/>
        <v>MartlockR21</v>
      </c>
      <c r="H344" s="94" t="s">
        <v>380</v>
      </c>
      <c r="I344" s="94">
        <v>21</v>
      </c>
    </row>
    <row r="345" spans="1:9" x14ac:dyDescent="0.25">
      <c r="A345" s="94" t="s">
        <v>284</v>
      </c>
      <c r="B345" s="94" t="s">
        <v>133</v>
      </c>
      <c r="C345" s="94">
        <v>658000</v>
      </c>
      <c r="D345" s="94" t="s">
        <v>650</v>
      </c>
      <c r="E345" s="94"/>
      <c r="F345" s="94"/>
      <c r="G345" s="94" t="str">
        <f t="shared" si="5"/>
        <v>ThetfordR21</v>
      </c>
      <c r="H345" s="94" t="s">
        <v>380</v>
      </c>
      <c r="I345" s="94">
        <v>21</v>
      </c>
    </row>
    <row r="346" spans="1:9" x14ac:dyDescent="0.25">
      <c r="A346" s="94" t="s">
        <v>285</v>
      </c>
      <c r="B346" s="94" t="s">
        <v>127</v>
      </c>
      <c r="C346" s="94"/>
      <c r="D346" s="94"/>
      <c r="E346" s="94"/>
      <c r="F346" s="94"/>
      <c r="G346" s="94" t="str">
        <f t="shared" si="5"/>
        <v>BrecilienR22</v>
      </c>
      <c r="H346" s="94" t="s">
        <v>380</v>
      </c>
      <c r="I346" s="94">
        <v>22</v>
      </c>
    </row>
    <row r="347" spans="1:9" x14ac:dyDescent="0.25">
      <c r="A347" s="94" t="s">
        <v>285</v>
      </c>
      <c r="B347" s="94" t="s">
        <v>128</v>
      </c>
      <c r="C347" s="94">
        <v>27956</v>
      </c>
      <c r="D347" s="94" t="s">
        <v>668</v>
      </c>
      <c r="E347" s="94">
        <v>25000</v>
      </c>
      <c r="F347" s="94" t="s">
        <v>668</v>
      </c>
      <c r="G347" s="94" t="str">
        <f t="shared" si="5"/>
        <v>BridgewatchR22</v>
      </c>
      <c r="H347" s="94" t="s">
        <v>380</v>
      </c>
      <c r="I347" s="94">
        <v>22</v>
      </c>
    </row>
    <row r="348" spans="1:9" x14ac:dyDescent="0.25">
      <c r="A348" s="94" t="s">
        <v>285</v>
      </c>
      <c r="B348" s="94" t="s">
        <v>129</v>
      </c>
      <c r="C348" s="94">
        <v>25985</v>
      </c>
      <c r="D348" s="94" t="s">
        <v>671</v>
      </c>
      <c r="E348" s="94">
        <v>25001</v>
      </c>
      <c r="F348" s="94" t="s">
        <v>632</v>
      </c>
      <c r="G348" s="94" t="str">
        <f t="shared" si="5"/>
        <v>CaerleonR22</v>
      </c>
      <c r="H348" s="94" t="s">
        <v>380</v>
      </c>
      <c r="I348" s="94">
        <v>22</v>
      </c>
    </row>
    <row r="349" spans="1:9" x14ac:dyDescent="0.25">
      <c r="A349" s="94" t="s">
        <v>285</v>
      </c>
      <c r="B349" s="94" t="s">
        <v>130</v>
      </c>
      <c r="C349" s="94">
        <v>25999</v>
      </c>
      <c r="D349" s="94" t="s">
        <v>642</v>
      </c>
      <c r="E349" s="94">
        <v>20025</v>
      </c>
      <c r="F349" s="94" t="s">
        <v>484</v>
      </c>
      <c r="G349" s="94" t="str">
        <f t="shared" si="5"/>
        <v>Fort SterlingR22</v>
      </c>
      <c r="H349" s="94" t="s">
        <v>380</v>
      </c>
      <c r="I349" s="94">
        <v>22</v>
      </c>
    </row>
    <row r="350" spans="1:9" x14ac:dyDescent="0.25">
      <c r="A350" s="94" t="s">
        <v>285</v>
      </c>
      <c r="B350" s="94" t="s">
        <v>131</v>
      </c>
      <c r="C350" s="94">
        <v>23195</v>
      </c>
      <c r="D350" s="94" t="s">
        <v>679</v>
      </c>
      <c r="E350" s="94">
        <v>20098</v>
      </c>
      <c r="F350" s="94" t="s">
        <v>562</v>
      </c>
      <c r="G350" s="94" t="str">
        <f t="shared" si="5"/>
        <v>LymhurstR22</v>
      </c>
      <c r="H350" s="94" t="s">
        <v>380</v>
      </c>
      <c r="I350" s="94">
        <v>22</v>
      </c>
    </row>
    <row r="351" spans="1:9" x14ac:dyDescent="0.25">
      <c r="A351" s="94" t="s">
        <v>285</v>
      </c>
      <c r="B351" s="94" t="s">
        <v>132</v>
      </c>
      <c r="C351" s="94">
        <v>24599</v>
      </c>
      <c r="D351" s="94" t="s">
        <v>637</v>
      </c>
      <c r="E351" s="94">
        <v>21908</v>
      </c>
      <c r="F351" s="94" t="s">
        <v>637</v>
      </c>
      <c r="G351" s="94" t="str">
        <f t="shared" si="5"/>
        <v>MartlockR22</v>
      </c>
      <c r="H351" s="94" t="s">
        <v>380</v>
      </c>
      <c r="I351" s="94">
        <v>22</v>
      </c>
    </row>
    <row r="352" spans="1:9" x14ac:dyDescent="0.25">
      <c r="A352" s="94" t="s">
        <v>285</v>
      </c>
      <c r="B352" s="94" t="s">
        <v>133</v>
      </c>
      <c r="C352" s="94">
        <v>23766</v>
      </c>
      <c r="D352" s="94" t="s">
        <v>653</v>
      </c>
      <c r="E352" s="94">
        <v>21056</v>
      </c>
      <c r="F352" s="94" t="s">
        <v>657</v>
      </c>
      <c r="G352" s="94" t="str">
        <f t="shared" si="5"/>
        <v>ThetfordR22</v>
      </c>
      <c r="H352" s="94" t="s">
        <v>380</v>
      </c>
      <c r="I352" s="94">
        <v>22</v>
      </c>
    </row>
    <row r="353" spans="1:9" x14ac:dyDescent="0.25">
      <c r="A353" s="94" t="s">
        <v>286</v>
      </c>
      <c r="B353" s="94" t="s">
        <v>127</v>
      </c>
      <c r="C353" s="94"/>
      <c r="D353" s="94"/>
      <c r="E353" s="94"/>
      <c r="F353" s="94"/>
      <c r="G353" s="94" t="str">
        <f t="shared" si="5"/>
        <v>BrecilienR23</v>
      </c>
      <c r="H353" s="94" t="s">
        <v>380</v>
      </c>
      <c r="I353" s="94">
        <v>23</v>
      </c>
    </row>
    <row r="354" spans="1:9" x14ac:dyDescent="0.25">
      <c r="A354" s="94" t="s">
        <v>286</v>
      </c>
      <c r="B354" s="94" t="s">
        <v>128</v>
      </c>
      <c r="C354" s="94">
        <v>61499</v>
      </c>
      <c r="D354" s="94" t="s">
        <v>655</v>
      </c>
      <c r="E354" s="94">
        <v>55007</v>
      </c>
      <c r="F354" s="94" t="s">
        <v>583</v>
      </c>
      <c r="G354" s="94" t="str">
        <f t="shared" si="5"/>
        <v>BridgewatchR23</v>
      </c>
      <c r="H354" s="94" t="s">
        <v>380</v>
      </c>
      <c r="I354" s="94">
        <v>23</v>
      </c>
    </row>
    <row r="355" spans="1:9" x14ac:dyDescent="0.25">
      <c r="A355" s="94" t="s">
        <v>286</v>
      </c>
      <c r="B355" s="94" t="s">
        <v>129</v>
      </c>
      <c r="C355" s="94">
        <v>59965</v>
      </c>
      <c r="D355" s="94" t="s">
        <v>656</v>
      </c>
      <c r="E355" s="94"/>
      <c r="F355" s="94"/>
      <c r="G355" s="94" t="str">
        <f t="shared" si="5"/>
        <v>CaerleonR23</v>
      </c>
      <c r="H355" s="94" t="s">
        <v>380</v>
      </c>
      <c r="I355" s="94">
        <v>23</v>
      </c>
    </row>
    <row r="356" spans="1:9" x14ac:dyDescent="0.25">
      <c r="A356" s="94" t="s">
        <v>286</v>
      </c>
      <c r="B356" s="94" t="s">
        <v>130</v>
      </c>
      <c r="C356" s="94">
        <v>64975</v>
      </c>
      <c r="D356" s="94" t="s">
        <v>642</v>
      </c>
      <c r="E356" s="94">
        <v>49001</v>
      </c>
      <c r="F356" s="94" t="s">
        <v>484</v>
      </c>
      <c r="G356" s="94" t="str">
        <f t="shared" si="5"/>
        <v>Fort SterlingR23</v>
      </c>
      <c r="H356" s="94" t="s">
        <v>380</v>
      </c>
      <c r="I356" s="94">
        <v>23</v>
      </c>
    </row>
    <row r="357" spans="1:9" x14ac:dyDescent="0.25">
      <c r="A357" s="94" t="s">
        <v>286</v>
      </c>
      <c r="B357" s="94" t="s">
        <v>131</v>
      </c>
      <c r="C357" s="94">
        <v>59987</v>
      </c>
      <c r="D357" s="94" t="s">
        <v>679</v>
      </c>
      <c r="E357" s="94">
        <v>50000</v>
      </c>
      <c r="F357" s="94" t="s">
        <v>595</v>
      </c>
      <c r="G357" s="94" t="str">
        <f t="shared" si="5"/>
        <v>LymhurstR23</v>
      </c>
      <c r="H357" s="94" t="s">
        <v>380</v>
      </c>
      <c r="I357" s="94">
        <v>23</v>
      </c>
    </row>
    <row r="358" spans="1:9" x14ac:dyDescent="0.25">
      <c r="A358" s="94" t="s">
        <v>286</v>
      </c>
      <c r="B358" s="94" t="s">
        <v>132</v>
      </c>
      <c r="C358" s="94">
        <v>60885</v>
      </c>
      <c r="D358" s="94" t="s">
        <v>648</v>
      </c>
      <c r="E358" s="94">
        <v>45556</v>
      </c>
      <c r="F358" s="94" t="s">
        <v>602</v>
      </c>
      <c r="G358" s="94" t="str">
        <f t="shared" si="5"/>
        <v>MartlockR23</v>
      </c>
      <c r="H358" s="94" t="s">
        <v>380</v>
      </c>
      <c r="I358" s="94">
        <v>23</v>
      </c>
    </row>
    <row r="359" spans="1:9" x14ac:dyDescent="0.25">
      <c r="A359" s="94" t="s">
        <v>286</v>
      </c>
      <c r="B359" s="94" t="s">
        <v>133</v>
      </c>
      <c r="C359" s="94">
        <v>56498</v>
      </c>
      <c r="D359" s="94" t="s">
        <v>650</v>
      </c>
      <c r="E359" s="94">
        <v>53203</v>
      </c>
      <c r="F359" s="94" t="s">
        <v>634</v>
      </c>
      <c r="G359" s="94" t="str">
        <f t="shared" si="5"/>
        <v>ThetfordR23</v>
      </c>
      <c r="H359" s="94" t="s">
        <v>380</v>
      </c>
      <c r="I359" s="94">
        <v>23</v>
      </c>
    </row>
    <row r="360" spans="1:9" x14ac:dyDescent="0.25">
      <c r="A360" s="94" t="s">
        <v>287</v>
      </c>
      <c r="B360" s="94" t="s">
        <v>127</v>
      </c>
      <c r="C360" s="94">
        <v>210000</v>
      </c>
      <c r="D360" s="94" t="s">
        <v>487</v>
      </c>
      <c r="E360" s="94"/>
      <c r="F360" s="94"/>
      <c r="G360" s="94" t="str">
        <f t="shared" si="5"/>
        <v>BrecilienR24</v>
      </c>
      <c r="H360" s="94" t="s">
        <v>380</v>
      </c>
      <c r="I360" s="94">
        <v>24</v>
      </c>
    </row>
    <row r="361" spans="1:9" x14ac:dyDescent="0.25">
      <c r="A361" s="94" t="s">
        <v>287</v>
      </c>
      <c r="B361" s="94" t="s">
        <v>128</v>
      </c>
      <c r="C361" s="94"/>
      <c r="D361" s="94"/>
      <c r="E361" s="94"/>
      <c r="F361" s="94"/>
      <c r="G361" s="94" t="str">
        <f t="shared" si="5"/>
        <v>BridgewatchR24</v>
      </c>
      <c r="H361" s="94" t="s">
        <v>380</v>
      </c>
      <c r="I361" s="94">
        <v>24</v>
      </c>
    </row>
    <row r="362" spans="1:9" x14ac:dyDescent="0.25">
      <c r="A362" s="94" t="s">
        <v>287</v>
      </c>
      <c r="B362" s="94" t="s">
        <v>129</v>
      </c>
      <c r="C362" s="94">
        <v>199993</v>
      </c>
      <c r="D362" s="94" t="s">
        <v>670</v>
      </c>
      <c r="E362" s="94"/>
      <c r="F362" s="94"/>
      <c r="G362" s="94" t="str">
        <f t="shared" si="5"/>
        <v>CaerleonR24</v>
      </c>
      <c r="H362" s="94" t="s">
        <v>380</v>
      </c>
      <c r="I362" s="94">
        <v>24</v>
      </c>
    </row>
    <row r="363" spans="1:9" x14ac:dyDescent="0.25">
      <c r="A363" s="94" t="s">
        <v>287</v>
      </c>
      <c r="B363" s="94" t="s">
        <v>130</v>
      </c>
      <c r="C363" s="94">
        <v>175000</v>
      </c>
      <c r="D363" s="94" t="s">
        <v>642</v>
      </c>
      <c r="E363" s="94">
        <v>150000</v>
      </c>
      <c r="F363" s="94" t="s">
        <v>564</v>
      </c>
      <c r="G363" s="94" t="str">
        <f t="shared" si="5"/>
        <v>Fort SterlingR24</v>
      </c>
      <c r="H363" s="94" t="s">
        <v>380</v>
      </c>
      <c r="I363" s="94">
        <v>24</v>
      </c>
    </row>
    <row r="364" spans="1:9" x14ac:dyDescent="0.25">
      <c r="A364" s="94" t="s">
        <v>287</v>
      </c>
      <c r="B364" s="94" t="s">
        <v>131</v>
      </c>
      <c r="C364" s="94">
        <v>229911</v>
      </c>
      <c r="D364" s="94" t="s">
        <v>641</v>
      </c>
      <c r="E364" s="94"/>
      <c r="F364" s="94"/>
      <c r="G364" s="94" t="str">
        <f t="shared" si="5"/>
        <v>LymhurstR24</v>
      </c>
      <c r="H364" s="94" t="s">
        <v>380</v>
      </c>
      <c r="I364" s="94">
        <v>24</v>
      </c>
    </row>
    <row r="365" spans="1:9" x14ac:dyDescent="0.25">
      <c r="A365" s="94" t="s">
        <v>287</v>
      </c>
      <c r="B365" s="94" t="s">
        <v>132</v>
      </c>
      <c r="C365" s="94">
        <v>171000</v>
      </c>
      <c r="D365" s="94" t="s">
        <v>648</v>
      </c>
      <c r="E365" s="94"/>
      <c r="F365" s="94"/>
      <c r="G365" s="94" t="str">
        <f t="shared" si="5"/>
        <v>MartlockR24</v>
      </c>
      <c r="H365" s="94" t="s">
        <v>380</v>
      </c>
      <c r="I365" s="94">
        <v>24</v>
      </c>
    </row>
    <row r="366" spans="1:9" x14ac:dyDescent="0.25">
      <c r="A366" s="94" t="s">
        <v>287</v>
      </c>
      <c r="B366" s="94" t="s">
        <v>133</v>
      </c>
      <c r="C366" s="94">
        <v>168977</v>
      </c>
      <c r="D366" s="94" t="s">
        <v>650</v>
      </c>
      <c r="E366" s="94">
        <v>150002</v>
      </c>
      <c r="F366" s="94" t="s">
        <v>669</v>
      </c>
      <c r="G366" s="94" t="str">
        <f t="shared" si="5"/>
        <v>ThetfordR24</v>
      </c>
      <c r="H366" s="94" t="s">
        <v>380</v>
      </c>
      <c r="I366" s="94">
        <v>24</v>
      </c>
    </row>
    <row r="367" spans="1:9" x14ac:dyDescent="0.25">
      <c r="A367" s="68" t="s">
        <v>288</v>
      </c>
      <c r="B367" s="68" t="s">
        <v>127</v>
      </c>
      <c r="C367" s="68">
        <v>999999</v>
      </c>
      <c r="D367" s="68" t="s">
        <v>500</v>
      </c>
      <c r="E367" s="68"/>
      <c r="F367" s="68"/>
      <c r="G367" s="94" t="str">
        <f t="shared" si="5"/>
        <v>BrecilienR25</v>
      </c>
      <c r="H367" s="94" t="s">
        <v>380</v>
      </c>
      <c r="I367" s="94">
        <v>25</v>
      </c>
    </row>
    <row r="368" spans="1:9" x14ac:dyDescent="0.25">
      <c r="A368" s="81" t="s">
        <v>288</v>
      </c>
      <c r="B368" s="81" t="s">
        <v>128</v>
      </c>
      <c r="C368" s="81"/>
      <c r="D368" s="81"/>
      <c r="E368" s="81"/>
      <c r="F368" s="81"/>
      <c r="G368" s="94" t="str">
        <f t="shared" si="5"/>
        <v>BridgewatchR25</v>
      </c>
      <c r="H368" s="94" t="s">
        <v>380</v>
      </c>
      <c r="I368" s="94">
        <v>25</v>
      </c>
    </row>
    <row r="369" spans="1:9" x14ac:dyDescent="0.25">
      <c r="A369" s="81" t="s">
        <v>288</v>
      </c>
      <c r="B369" s="81" t="s">
        <v>129</v>
      </c>
      <c r="C369" s="81">
        <v>599994</v>
      </c>
      <c r="D369" s="81" t="s">
        <v>656</v>
      </c>
      <c r="E369" s="81"/>
      <c r="F369" s="81"/>
      <c r="G369" s="94" t="str">
        <f t="shared" si="5"/>
        <v>CaerleonR25</v>
      </c>
      <c r="H369" s="94" t="s">
        <v>380</v>
      </c>
      <c r="I369" s="94">
        <v>25</v>
      </c>
    </row>
    <row r="370" spans="1:9" x14ac:dyDescent="0.25">
      <c r="A370" s="81" t="s">
        <v>288</v>
      </c>
      <c r="B370" s="81" t="s">
        <v>130</v>
      </c>
      <c r="C370" s="81">
        <v>636500</v>
      </c>
      <c r="D370" s="81" t="s">
        <v>642</v>
      </c>
      <c r="E370" s="81"/>
      <c r="F370" s="81"/>
      <c r="G370" s="94" t="str">
        <f t="shared" si="5"/>
        <v>Fort SterlingR25</v>
      </c>
      <c r="H370" s="94" t="s">
        <v>380</v>
      </c>
      <c r="I370" s="94">
        <v>25</v>
      </c>
    </row>
    <row r="371" spans="1:9" x14ac:dyDescent="0.25">
      <c r="A371" s="81" t="s">
        <v>288</v>
      </c>
      <c r="B371" s="81" t="s">
        <v>131</v>
      </c>
      <c r="C371" s="81">
        <v>609999</v>
      </c>
      <c r="D371" s="81" t="s">
        <v>557</v>
      </c>
      <c r="E371" s="81"/>
      <c r="F371" s="81"/>
      <c r="G371" s="94" t="str">
        <f t="shared" si="5"/>
        <v>LymhurstR25</v>
      </c>
      <c r="H371" s="94" t="s">
        <v>380</v>
      </c>
      <c r="I371" s="94">
        <v>25</v>
      </c>
    </row>
    <row r="372" spans="1:9" x14ac:dyDescent="0.25">
      <c r="A372" s="81" t="s">
        <v>288</v>
      </c>
      <c r="B372" s="81" t="s">
        <v>132</v>
      </c>
      <c r="C372" s="81"/>
      <c r="D372" s="81"/>
      <c r="E372" s="81"/>
      <c r="F372" s="81"/>
      <c r="G372" s="94" t="str">
        <f t="shared" si="5"/>
        <v>MartlockR25</v>
      </c>
      <c r="H372" s="94" t="s">
        <v>380</v>
      </c>
      <c r="I372" s="94">
        <v>25</v>
      </c>
    </row>
    <row r="373" spans="1:9" x14ac:dyDescent="0.25">
      <c r="A373" s="81" t="s">
        <v>288</v>
      </c>
      <c r="B373" s="81" t="s">
        <v>133</v>
      </c>
      <c r="C373" s="81">
        <v>637993</v>
      </c>
      <c r="D373" s="81" t="s">
        <v>650</v>
      </c>
      <c r="E373" s="81">
        <v>575000</v>
      </c>
      <c r="F373" s="81" t="s">
        <v>647</v>
      </c>
      <c r="G373" s="94" t="str">
        <f t="shared" si="5"/>
        <v>ThetfordR25</v>
      </c>
      <c r="H373" s="94" t="s">
        <v>380</v>
      </c>
      <c r="I373" s="94">
        <v>25</v>
      </c>
    </row>
    <row r="374" spans="1:9" x14ac:dyDescent="0.25">
      <c r="A374" s="81" t="s">
        <v>289</v>
      </c>
      <c r="B374" s="81" t="s">
        <v>127</v>
      </c>
      <c r="C374" s="81"/>
      <c r="D374" s="81"/>
      <c r="E374" s="81"/>
      <c r="F374" s="81"/>
      <c r="G374" s="94" t="str">
        <f t="shared" si="5"/>
        <v>BrecilienR26</v>
      </c>
      <c r="H374" s="94" t="s">
        <v>380</v>
      </c>
      <c r="I374" s="94">
        <v>26</v>
      </c>
    </row>
    <row r="375" spans="1:9" x14ac:dyDescent="0.25">
      <c r="A375" s="81" t="s">
        <v>289</v>
      </c>
      <c r="B375" s="81" t="s">
        <v>128</v>
      </c>
      <c r="C375" s="81"/>
      <c r="D375" s="81"/>
      <c r="E375" s="81"/>
      <c r="F375" s="81"/>
      <c r="G375" s="94" t="str">
        <f t="shared" si="5"/>
        <v>BridgewatchR26</v>
      </c>
      <c r="H375" s="94" t="s">
        <v>380</v>
      </c>
      <c r="I375" s="94">
        <v>26</v>
      </c>
    </row>
    <row r="376" spans="1:9" x14ac:dyDescent="0.25">
      <c r="A376" s="81" t="s">
        <v>289</v>
      </c>
      <c r="B376" s="81" t="s">
        <v>129</v>
      </c>
      <c r="C376" s="81">
        <v>2900000</v>
      </c>
      <c r="D376" s="81" t="s">
        <v>667</v>
      </c>
      <c r="E376" s="81"/>
      <c r="F376" s="81"/>
      <c r="G376" s="94" t="str">
        <f t="shared" si="5"/>
        <v>CaerleonR26</v>
      </c>
      <c r="H376" s="94" t="s">
        <v>380</v>
      </c>
      <c r="I376" s="94">
        <v>26</v>
      </c>
    </row>
    <row r="377" spans="1:9" x14ac:dyDescent="0.25">
      <c r="A377" s="81" t="s">
        <v>289</v>
      </c>
      <c r="B377" s="81" t="s">
        <v>130</v>
      </c>
      <c r="C377" s="81">
        <v>2999992</v>
      </c>
      <c r="D377" s="81" t="s">
        <v>642</v>
      </c>
      <c r="E377" s="81"/>
      <c r="F377" s="81"/>
      <c r="G377" s="94" t="str">
        <f t="shared" si="5"/>
        <v>Fort SterlingR26</v>
      </c>
      <c r="H377" s="94" t="s">
        <v>380</v>
      </c>
      <c r="I377" s="94">
        <v>26</v>
      </c>
    </row>
    <row r="378" spans="1:9" x14ac:dyDescent="0.25">
      <c r="A378" s="81" t="s">
        <v>289</v>
      </c>
      <c r="B378" s="81" t="s">
        <v>131</v>
      </c>
      <c r="C378" s="81">
        <v>3000000</v>
      </c>
      <c r="D378" s="81" t="s">
        <v>645</v>
      </c>
      <c r="E378" s="81"/>
      <c r="F378" s="81"/>
      <c r="G378" s="94" t="str">
        <f t="shared" si="5"/>
        <v>LymhurstR26</v>
      </c>
      <c r="H378" s="94" t="s">
        <v>380</v>
      </c>
      <c r="I378" s="94">
        <v>26</v>
      </c>
    </row>
    <row r="379" spans="1:9" x14ac:dyDescent="0.25">
      <c r="A379" s="81" t="s">
        <v>289</v>
      </c>
      <c r="B379" s="81" t="s">
        <v>132</v>
      </c>
      <c r="C379" s="81">
        <v>2899999</v>
      </c>
      <c r="D379" s="81" t="s">
        <v>617</v>
      </c>
      <c r="E379" s="81"/>
      <c r="F379" s="81"/>
      <c r="G379" s="94" t="str">
        <f t="shared" si="5"/>
        <v>MartlockR26</v>
      </c>
      <c r="H379" s="94" t="s">
        <v>380</v>
      </c>
      <c r="I379" s="94">
        <v>26</v>
      </c>
    </row>
    <row r="380" spans="1:9" x14ac:dyDescent="0.25">
      <c r="A380" s="81" t="s">
        <v>289</v>
      </c>
      <c r="B380" s="81" t="s">
        <v>133</v>
      </c>
      <c r="C380" s="81">
        <v>2855988</v>
      </c>
      <c r="D380" s="81" t="s">
        <v>650</v>
      </c>
      <c r="E380" s="81"/>
      <c r="F380" s="81"/>
      <c r="G380" s="94" t="str">
        <f t="shared" si="5"/>
        <v>ThetfordR26</v>
      </c>
      <c r="H380" s="94" t="s">
        <v>380</v>
      </c>
      <c r="I380" s="94">
        <v>26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DEAF0-E864-440E-ACC9-1D64BBF82D2B}">
  <sheetPr codeName="Planilha17">
    <tabColor rgb="FFFFC000"/>
  </sheetPr>
  <dimension ref="A1:I380"/>
  <sheetViews>
    <sheetView showGridLines="0" showRowColHeaders="0" showZeros="0" workbookViewId="0">
      <selection activeCell="F7" sqref="F7:G7"/>
    </sheetView>
  </sheetViews>
  <sheetFormatPr defaultColWidth="0" defaultRowHeight="15" zeroHeight="1" x14ac:dyDescent="0.25"/>
  <cols>
    <col min="1" max="7" width="18.42578125" customWidth="1"/>
    <col min="8" max="9" width="6.85546875" customWidth="1"/>
    <col min="10" max="16384" width="9.140625" hidden="1"/>
  </cols>
  <sheetData>
    <row r="1" spans="1:9" x14ac:dyDescent="0.25">
      <c r="A1" s="98"/>
      <c r="B1" s="98"/>
      <c r="C1" s="98"/>
      <c r="D1" s="98"/>
      <c r="E1" s="98"/>
      <c r="F1" s="98"/>
      <c r="G1" s="98" t="s">
        <v>381</v>
      </c>
      <c r="H1" s="98" t="s">
        <v>382</v>
      </c>
      <c r="I1" s="98" t="s">
        <v>365</v>
      </c>
    </row>
    <row r="2" spans="1:9" x14ac:dyDescent="0.25">
      <c r="A2" s="94" t="s">
        <v>566</v>
      </c>
      <c r="B2" s="94" t="s">
        <v>127</v>
      </c>
      <c r="C2" s="94">
        <v>198</v>
      </c>
      <c r="D2" s="94" t="s">
        <v>899</v>
      </c>
      <c r="E2" s="94"/>
      <c r="F2" s="94"/>
      <c r="G2" s="94" t="str">
        <f>_xlfn.CONCAT(B2,H2,I2)</f>
        <v>BrecilienB0</v>
      </c>
      <c r="H2" s="94" t="s">
        <v>377</v>
      </c>
      <c r="I2" s="94">
        <v>0</v>
      </c>
    </row>
    <row r="3" spans="1:9" x14ac:dyDescent="0.25">
      <c r="A3" s="94" t="s">
        <v>566</v>
      </c>
      <c r="B3" s="94" t="s">
        <v>128</v>
      </c>
      <c r="C3" s="94">
        <v>44</v>
      </c>
      <c r="D3" s="94" t="s">
        <v>900</v>
      </c>
      <c r="E3" s="94">
        <v>37</v>
      </c>
      <c r="F3" s="94" t="s">
        <v>901</v>
      </c>
      <c r="G3" s="94" t="str">
        <f t="shared" ref="G3:G66" si="0">_xlfn.CONCAT(B3,H3,I3)</f>
        <v>BridgewatchB0</v>
      </c>
      <c r="H3" s="94" t="s">
        <v>377</v>
      </c>
      <c r="I3" s="94">
        <v>0</v>
      </c>
    </row>
    <row r="4" spans="1:9" x14ac:dyDescent="0.25">
      <c r="A4" s="94" t="s">
        <v>566</v>
      </c>
      <c r="B4" s="94" t="s">
        <v>129</v>
      </c>
      <c r="C4" s="94"/>
      <c r="D4" s="94"/>
      <c r="E4" s="94"/>
      <c r="F4" s="94"/>
      <c r="G4" s="94" t="str">
        <f t="shared" si="0"/>
        <v>CaerleonB0</v>
      </c>
      <c r="H4" s="94" t="s">
        <v>377</v>
      </c>
      <c r="I4" s="94">
        <v>0</v>
      </c>
    </row>
    <row r="5" spans="1:9" x14ac:dyDescent="0.25">
      <c r="A5" s="94" t="s">
        <v>566</v>
      </c>
      <c r="B5" s="94" t="s">
        <v>130</v>
      </c>
      <c r="C5" s="94">
        <v>66</v>
      </c>
      <c r="D5" s="94" t="s">
        <v>902</v>
      </c>
      <c r="E5" s="94">
        <v>51</v>
      </c>
      <c r="F5" s="94" t="s">
        <v>903</v>
      </c>
      <c r="G5" s="94" t="str">
        <f t="shared" si="0"/>
        <v>Fort SterlingB0</v>
      </c>
      <c r="H5" s="94" t="s">
        <v>377</v>
      </c>
      <c r="I5" s="94">
        <v>0</v>
      </c>
    </row>
    <row r="6" spans="1:9" x14ac:dyDescent="0.25">
      <c r="A6" s="94" t="s">
        <v>566</v>
      </c>
      <c r="B6" s="94" t="s">
        <v>131</v>
      </c>
      <c r="C6" s="94">
        <v>60</v>
      </c>
      <c r="D6" s="94" t="s">
        <v>904</v>
      </c>
      <c r="E6" s="94">
        <v>49</v>
      </c>
      <c r="F6" s="94" t="s">
        <v>905</v>
      </c>
      <c r="G6" s="94" t="str">
        <f t="shared" si="0"/>
        <v>LymhurstB0</v>
      </c>
      <c r="H6" s="94" t="s">
        <v>377</v>
      </c>
      <c r="I6" s="94">
        <v>0</v>
      </c>
    </row>
    <row r="7" spans="1:9" x14ac:dyDescent="0.25">
      <c r="A7" s="94" t="s">
        <v>566</v>
      </c>
      <c r="B7" s="94" t="s">
        <v>132</v>
      </c>
      <c r="C7" s="94">
        <v>39</v>
      </c>
      <c r="D7" s="94" t="s">
        <v>906</v>
      </c>
      <c r="E7" s="94">
        <v>36</v>
      </c>
      <c r="F7" s="94" t="s">
        <v>907</v>
      </c>
      <c r="G7" s="94" t="str">
        <f t="shared" si="0"/>
        <v>MartlockB0</v>
      </c>
      <c r="H7" s="94" t="s">
        <v>377</v>
      </c>
      <c r="I7" s="94">
        <v>0</v>
      </c>
    </row>
    <row r="8" spans="1:9" x14ac:dyDescent="0.25">
      <c r="A8" s="94" t="s">
        <v>566</v>
      </c>
      <c r="B8" s="94" t="s">
        <v>133</v>
      </c>
      <c r="C8" s="94">
        <v>47</v>
      </c>
      <c r="D8" s="94" t="s">
        <v>900</v>
      </c>
      <c r="E8" s="94">
        <v>45</v>
      </c>
      <c r="F8" s="94" t="s">
        <v>900</v>
      </c>
      <c r="G8" s="94" t="str">
        <f t="shared" si="0"/>
        <v>ThetfordB0</v>
      </c>
      <c r="H8" s="94" t="s">
        <v>377</v>
      </c>
      <c r="I8" s="94">
        <v>0</v>
      </c>
    </row>
    <row r="9" spans="1:9" x14ac:dyDescent="0.25">
      <c r="A9" s="94" t="s">
        <v>290</v>
      </c>
      <c r="B9" s="94" t="s">
        <v>127</v>
      </c>
      <c r="C9" s="94"/>
      <c r="D9" s="94"/>
      <c r="E9" s="94"/>
      <c r="F9" s="94"/>
      <c r="G9" s="94" t="str">
        <f t="shared" si="0"/>
        <v>BrecilienB1</v>
      </c>
      <c r="H9" s="94" t="s">
        <v>377</v>
      </c>
      <c r="I9" s="94">
        <v>1</v>
      </c>
    </row>
    <row r="10" spans="1:9" x14ac:dyDescent="0.25">
      <c r="A10" s="94" t="s">
        <v>290</v>
      </c>
      <c r="B10" s="94" t="s">
        <v>128</v>
      </c>
      <c r="C10" s="94"/>
      <c r="D10" s="94"/>
      <c r="E10" s="94"/>
      <c r="F10" s="94"/>
      <c r="G10" s="94" t="str">
        <f t="shared" si="0"/>
        <v>BridgewatchB1</v>
      </c>
      <c r="H10" s="94" t="s">
        <v>377</v>
      </c>
      <c r="I10" s="94">
        <v>1</v>
      </c>
    </row>
    <row r="11" spans="1:9" x14ac:dyDescent="0.25">
      <c r="A11" s="94" t="s">
        <v>290</v>
      </c>
      <c r="B11" s="94" t="s">
        <v>129</v>
      </c>
      <c r="C11" s="94"/>
      <c r="D11" s="94"/>
      <c r="E11" s="94"/>
      <c r="F11" s="94"/>
      <c r="G11" s="94" t="str">
        <f t="shared" si="0"/>
        <v>CaerleonB1</v>
      </c>
      <c r="H11" s="94" t="s">
        <v>377</v>
      </c>
      <c r="I11" s="94">
        <v>1</v>
      </c>
    </row>
    <row r="12" spans="1:9" x14ac:dyDescent="0.25">
      <c r="A12" s="94" t="s">
        <v>290</v>
      </c>
      <c r="B12" s="94" t="s">
        <v>130</v>
      </c>
      <c r="C12" s="94">
        <v>101</v>
      </c>
      <c r="D12" s="94" t="s">
        <v>908</v>
      </c>
      <c r="E12" s="94">
        <v>91</v>
      </c>
      <c r="F12" s="94" t="s">
        <v>908</v>
      </c>
      <c r="G12" s="94" t="str">
        <f t="shared" si="0"/>
        <v>Fort SterlingB1</v>
      </c>
      <c r="H12" s="94" t="s">
        <v>377</v>
      </c>
      <c r="I12" s="94">
        <v>1</v>
      </c>
    </row>
    <row r="13" spans="1:9" x14ac:dyDescent="0.25">
      <c r="A13" s="94" t="s">
        <v>290</v>
      </c>
      <c r="B13" s="94" t="s">
        <v>131</v>
      </c>
      <c r="C13" s="94">
        <v>100</v>
      </c>
      <c r="D13" s="94" t="s">
        <v>902</v>
      </c>
      <c r="E13" s="94"/>
      <c r="F13" s="94"/>
      <c r="G13" s="94" t="str">
        <f t="shared" si="0"/>
        <v>LymhurstB1</v>
      </c>
      <c r="H13" s="94" t="s">
        <v>377</v>
      </c>
      <c r="I13" s="94">
        <v>1</v>
      </c>
    </row>
    <row r="14" spans="1:9" x14ac:dyDescent="0.25">
      <c r="A14" s="94" t="s">
        <v>290</v>
      </c>
      <c r="B14" s="94" t="s">
        <v>132</v>
      </c>
      <c r="C14" s="94">
        <v>79</v>
      </c>
      <c r="D14" s="94" t="s">
        <v>909</v>
      </c>
      <c r="E14" s="94">
        <v>79</v>
      </c>
      <c r="F14" s="94" t="s">
        <v>910</v>
      </c>
      <c r="G14" s="94" t="str">
        <f t="shared" si="0"/>
        <v>MartlockB1</v>
      </c>
      <c r="H14" s="94" t="s">
        <v>377</v>
      </c>
      <c r="I14" s="94">
        <v>1</v>
      </c>
    </row>
    <row r="15" spans="1:9" x14ac:dyDescent="0.25">
      <c r="A15" s="94" t="s">
        <v>290</v>
      </c>
      <c r="B15" s="94" t="s">
        <v>133</v>
      </c>
      <c r="C15" s="94">
        <v>79</v>
      </c>
      <c r="D15" s="94" t="s">
        <v>911</v>
      </c>
      <c r="E15" s="94">
        <v>1</v>
      </c>
      <c r="F15" s="94" t="s">
        <v>912</v>
      </c>
      <c r="G15" s="94" t="str">
        <f t="shared" si="0"/>
        <v>ThetfordB1</v>
      </c>
      <c r="H15" s="94" t="s">
        <v>377</v>
      </c>
      <c r="I15" s="94">
        <v>1</v>
      </c>
    </row>
    <row r="16" spans="1:9" x14ac:dyDescent="0.25">
      <c r="A16" s="94" t="s">
        <v>291</v>
      </c>
      <c r="B16" s="94" t="s">
        <v>127</v>
      </c>
      <c r="C16" s="94">
        <v>69</v>
      </c>
      <c r="D16" s="94" t="s">
        <v>913</v>
      </c>
      <c r="E16" s="94">
        <v>68</v>
      </c>
      <c r="F16" s="94" t="s">
        <v>914</v>
      </c>
      <c r="G16" s="94" t="str">
        <f t="shared" si="0"/>
        <v>BrecilienB2</v>
      </c>
      <c r="H16" s="94" t="s">
        <v>377</v>
      </c>
      <c r="I16" s="94">
        <v>2</v>
      </c>
    </row>
    <row r="17" spans="1:9" x14ac:dyDescent="0.25">
      <c r="A17" s="94" t="s">
        <v>291</v>
      </c>
      <c r="B17" s="94" t="s">
        <v>128</v>
      </c>
      <c r="C17" s="94">
        <v>63</v>
      </c>
      <c r="D17" s="94" t="s">
        <v>915</v>
      </c>
      <c r="E17" s="94">
        <v>60</v>
      </c>
      <c r="F17" s="94" t="s">
        <v>916</v>
      </c>
      <c r="G17" s="94" t="str">
        <f t="shared" si="0"/>
        <v>BridgewatchB2</v>
      </c>
      <c r="H17" s="94" t="s">
        <v>377</v>
      </c>
      <c r="I17" s="94">
        <v>2</v>
      </c>
    </row>
    <row r="18" spans="1:9" x14ac:dyDescent="0.25">
      <c r="A18" s="94" t="s">
        <v>291</v>
      </c>
      <c r="B18" s="94" t="s">
        <v>129</v>
      </c>
      <c r="C18" s="94">
        <v>74</v>
      </c>
      <c r="D18" s="94" t="s">
        <v>917</v>
      </c>
      <c r="E18" s="94"/>
      <c r="F18" s="94"/>
      <c r="G18" s="94" t="str">
        <f t="shared" si="0"/>
        <v>CaerleonB2</v>
      </c>
      <c r="H18" s="94" t="s">
        <v>377</v>
      </c>
      <c r="I18" s="94">
        <v>2</v>
      </c>
    </row>
    <row r="19" spans="1:9" x14ac:dyDescent="0.25">
      <c r="A19" s="94" t="s">
        <v>291</v>
      </c>
      <c r="B19" s="94" t="s">
        <v>130</v>
      </c>
      <c r="C19" s="94">
        <v>112</v>
      </c>
      <c r="D19" s="94" t="s">
        <v>908</v>
      </c>
      <c r="E19" s="94">
        <v>88</v>
      </c>
      <c r="F19" s="94" t="s">
        <v>908</v>
      </c>
      <c r="G19" s="94" t="str">
        <f t="shared" si="0"/>
        <v>Fort SterlingB2</v>
      </c>
      <c r="H19" s="94" t="s">
        <v>377</v>
      </c>
      <c r="I19" s="94">
        <v>2</v>
      </c>
    </row>
    <row r="20" spans="1:9" x14ac:dyDescent="0.25">
      <c r="A20" s="94" t="s">
        <v>291</v>
      </c>
      <c r="B20" s="94" t="s">
        <v>131</v>
      </c>
      <c r="C20" s="94">
        <v>86</v>
      </c>
      <c r="D20" s="94" t="s">
        <v>904</v>
      </c>
      <c r="E20" s="94"/>
      <c r="F20" s="94"/>
      <c r="G20" s="94" t="str">
        <f t="shared" si="0"/>
        <v>LymhurstB2</v>
      </c>
      <c r="H20" s="94" t="s">
        <v>377</v>
      </c>
      <c r="I20" s="94">
        <v>2</v>
      </c>
    </row>
    <row r="21" spans="1:9" x14ac:dyDescent="0.25">
      <c r="A21" s="94" t="s">
        <v>291</v>
      </c>
      <c r="B21" s="94" t="s">
        <v>132</v>
      </c>
      <c r="C21" s="94">
        <v>68</v>
      </c>
      <c r="D21" s="94" t="s">
        <v>910</v>
      </c>
      <c r="E21" s="94">
        <v>64</v>
      </c>
      <c r="F21" s="94" t="s">
        <v>918</v>
      </c>
      <c r="G21" s="94" t="str">
        <f t="shared" si="0"/>
        <v>MartlockB2</v>
      </c>
      <c r="H21" s="94" t="s">
        <v>377</v>
      </c>
      <c r="I21" s="94">
        <v>2</v>
      </c>
    </row>
    <row r="22" spans="1:9" x14ac:dyDescent="0.25">
      <c r="A22" s="94" t="s">
        <v>291</v>
      </c>
      <c r="B22" s="94" t="s">
        <v>133</v>
      </c>
      <c r="C22" s="94">
        <v>70</v>
      </c>
      <c r="D22" s="94" t="s">
        <v>919</v>
      </c>
      <c r="E22" s="94">
        <v>69</v>
      </c>
      <c r="F22" s="94" t="s">
        <v>919</v>
      </c>
      <c r="G22" s="94" t="str">
        <f t="shared" si="0"/>
        <v>ThetfordB2</v>
      </c>
      <c r="H22" s="94" t="s">
        <v>377</v>
      </c>
      <c r="I22" s="94">
        <v>2</v>
      </c>
    </row>
    <row r="23" spans="1:9" x14ac:dyDescent="0.25">
      <c r="A23" s="94" t="s">
        <v>292</v>
      </c>
      <c r="B23" s="94" t="s">
        <v>127</v>
      </c>
      <c r="C23" s="94">
        <v>66</v>
      </c>
      <c r="D23" s="94" t="s">
        <v>920</v>
      </c>
      <c r="E23" s="94">
        <v>67</v>
      </c>
      <c r="F23" s="94" t="s">
        <v>911</v>
      </c>
      <c r="G23" s="94" t="str">
        <f t="shared" si="0"/>
        <v>BrecilienB3</v>
      </c>
      <c r="H23" s="94" t="s">
        <v>377</v>
      </c>
      <c r="I23" s="94">
        <v>3</v>
      </c>
    </row>
    <row r="24" spans="1:9" x14ac:dyDescent="0.25">
      <c r="A24" s="94" t="s">
        <v>292</v>
      </c>
      <c r="B24" s="94" t="s">
        <v>128</v>
      </c>
      <c r="C24" s="94">
        <v>93</v>
      </c>
      <c r="D24" s="94" t="s">
        <v>921</v>
      </c>
      <c r="E24" s="94">
        <v>91</v>
      </c>
      <c r="F24" s="94" t="s">
        <v>922</v>
      </c>
      <c r="G24" s="94" t="str">
        <f t="shared" si="0"/>
        <v>BridgewatchB3</v>
      </c>
      <c r="H24" s="94" t="s">
        <v>377</v>
      </c>
      <c r="I24" s="94">
        <v>3</v>
      </c>
    </row>
    <row r="25" spans="1:9" x14ac:dyDescent="0.25">
      <c r="A25" s="94" t="s">
        <v>292</v>
      </c>
      <c r="B25" s="94" t="s">
        <v>129</v>
      </c>
      <c r="C25" s="94">
        <v>108</v>
      </c>
      <c r="D25" s="94" t="s">
        <v>917</v>
      </c>
      <c r="E25" s="94"/>
      <c r="F25" s="94"/>
      <c r="G25" s="94" t="str">
        <f t="shared" si="0"/>
        <v>CaerleonB3</v>
      </c>
      <c r="H25" s="94" t="s">
        <v>377</v>
      </c>
      <c r="I25" s="94">
        <v>3</v>
      </c>
    </row>
    <row r="26" spans="1:9" x14ac:dyDescent="0.25">
      <c r="A26" s="94" t="s">
        <v>292</v>
      </c>
      <c r="B26" s="94" t="s">
        <v>130</v>
      </c>
      <c r="C26" s="94">
        <v>168</v>
      </c>
      <c r="D26" s="94" t="s">
        <v>902</v>
      </c>
      <c r="E26" s="94">
        <v>155</v>
      </c>
      <c r="F26" s="94" t="s">
        <v>923</v>
      </c>
      <c r="G26" s="94" t="str">
        <f t="shared" si="0"/>
        <v>Fort SterlingB3</v>
      </c>
      <c r="H26" s="94" t="s">
        <v>377</v>
      </c>
      <c r="I26" s="94">
        <v>3</v>
      </c>
    </row>
    <row r="27" spans="1:9" x14ac:dyDescent="0.25">
      <c r="A27" s="94" t="s">
        <v>292</v>
      </c>
      <c r="B27" s="94" t="s">
        <v>131</v>
      </c>
      <c r="C27" s="94">
        <v>133</v>
      </c>
      <c r="D27" s="94" t="s">
        <v>904</v>
      </c>
      <c r="E27" s="94">
        <v>130</v>
      </c>
      <c r="F27" s="94" t="s">
        <v>923</v>
      </c>
      <c r="G27" s="94" t="str">
        <f t="shared" si="0"/>
        <v>LymhurstB3</v>
      </c>
      <c r="H27" s="94" t="s">
        <v>377</v>
      </c>
      <c r="I27" s="94">
        <v>3</v>
      </c>
    </row>
    <row r="28" spans="1:9" x14ac:dyDescent="0.25">
      <c r="A28" s="94" t="s">
        <v>292</v>
      </c>
      <c r="B28" s="94" t="s">
        <v>132</v>
      </c>
      <c r="C28" s="94">
        <v>88</v>
      </c>
      <c r="D28" s="94" t="s">
        <v>924</v>
      </c>
      <c r="E28" s="94">
        <v>86</v>
      </c>
      <c r="F28" s="94" t="s">
        <v>925</v>
      </c>
      <c r="G28" s="94" t="str">
        <f t="shared" si="0"/>
        <v>MartlockB3</v>
      </c>
      <c r="H28" s="94" t="s">
        <v>377</v>
      </c>
      <c r="I28" s="94">
        <v>3</v>
      </c>
    </row>
    <row r="29" spans="1:9" x14ac:dyDescent="0.25">
      <c r="A29" s="94" t="s">
        <v>292</v>
      </c>
      <c r="B29" s="94" t="s">
        <v>133</v>
      </c>
      <c r="C29" s="94">
        <v>97</v>
      </c>
      <c r="D29" s="94" t="s">
        <v>926</v>
      </c>
      <c r="E29" s="94">
        <v>97</v>
      </c>
      <c r="F29" s="94" t="s">
        <v>927</v>
      </c>
      <c r="G29" s="94" t="str">
        <f t="shared" si="0"/>
        <v>ThetfordB3</v>
      </c>
      <c r="H29" s="94" t="s">
        <v>377</v>
      </c>
      <c r="I29" s="94">
        <v>3</v>
      </c>
    </row>
    <row r="30" spans="1:9" x14ac:dyDescent="0.25">
      <c r="A30" s="94" t="s">
        <v>293</v>
      </c>
      <c r="B30" s="94" t="s">
        <v>127</v>
      </c>
      <c r="C30" s="94">
        <v>371</v>
      </c>
      <c r="D30" s="94" t="s">
        <v>928</v>
      </c>
      <c r="E30" s="94"/>
      <c r="F30" s="94"/>
      <c r="G30" s="94" t="str">
        <f t="shared" si="0"/>
        <v>BrecilienB4</v>
      </c>
      <c r="H30" s="94" t="s">
        <v>377</v>
      </c>
      <c r="I30" s="94">
        <v>4</v>
      </c>
    </row>
    <row r="31" spans="1:9" x14ac:dyDescent="0.25">
      <c r="A31" s="94" t="s">
        <v>293</v>
      </c>
      <c r="B31" s="94" t="s">
        <v>128</v>
      </c>
      <c r="C31" s="94"/>
      <c r="D31" s="94"/>
      <c r="E31" s="94">
        <v>418</v>
      </c>
      <c r="F31" s="94" t="s">
        <v>929</v>
      </c>
      <c r="G31" s="94" t="str">
        <f t="shared" si="0"/>
        <v>BridgewatchB4</v>
      </c>
      <c r="H31" s="94" t="s">
        <v>377</v>
      </c>
      <c r="I31" s="94">
        <v>4</v>
      </c>
    </row>
    <row r="32" spans="1:9" x14ac:dyDescent="0.25">
      <c r="A32" s="94" t="s">
        <v>293</v>
      </c>
      <c r="B32" s="94" t="s">
        <v>129</v>
      </c>
      <c r="C32" s="94">
        <v>403</v>
      </c>
      <c r="D32" s="94" t="s">
        <v>917</v>
      </c>
      <c r="E32" s="94"/>
      <c r="F32" s="94"/>
      <c r="G32" s="94" t="str">
        <f t="shared" si="0"/>
        <v>CaerleonB4</v>
      </c>
      <c r="H32" s="94" t="s">
        <v>377</v>
      </c>
      <c r="I32" s="94">
        <v>4</v>
      </c>
    </row>
    <row r="33" spans="1:9" x14ac:dyDescent="0.25">
      <c r="A33" s="94" t="s">
        <v>293</v>
      </c>
      <c r="B33" s="94" t="s">
        <v>130</v>
      </c>
      <c r="C33" s="94">
        <v>562</v>
      </c>
      <c r="D33" s="94" t="s">
        <v>902</v>
      </c>
      <c r="E33" s="94">
        <v>562</v>
      </c>
      <c r="F33" s="94" t="s">
        <v>930</v>
      </c>
      <c r="G33" s="94" t="str">
        <f t="shared" si="0"/>
        <v>Fort SterlingB4</v>
      </c>
      <c r="H33" s="94" t="s">
        <v>377</v>
      </c>
      <c r="I33" s="94">
        <v>4</v>
      </c>
    </row>
    <row r="34" spans="1:9" x14ac:dyDescent="0.25">
      <c r="A34" s="94" t="s">
        <v>293</v>
      </c>
      <c r="B34" s="94" t="s">
        <v>131</v>
      </c>
      <c r="C34" s="94">
        <v>466</v>
      </c>
      <c r="D34" s="94" t="s">
        <v>931</v>
      </c>
      <c r="E34" s="94">
        <v>503</v>
      </c>
      <c r="F34" s="94" t="s">
        <v>932</v>
      </c>
      <c r="G34" s="94" t="str">
        <f t="shared" si="0"/>
        <v>LymhurstB4</v>
      </c>
      <c r="H34" s="94" t="s">
        <v>377</v>
      </c>
      <c r="I34" s="94">
        <v>4</v>
      </c>
    </row>
    <row r="35" spans="1:9" x14ac:dyDescent="0.25">
      <c r="A35" s="94" t="s">
        <v>293</v>
      </c>
      <c r="B35" s="94" t="s">
        <v>132</v>
      </c>
      <c r="C35" s="94">
        <v>422</v>
      </c>
      <c r="D35" s="94" t="s">
        <v>906</v>
      </c>
      <c r="E35" s="94">
        <v>421</v>
      </c>
      <c r="F35" s="94" t="s">
        <v>933</v>
      </c>
      <c r="G35" s="94" t="str">
        <f t="shared" si="0"/>
        <v>MartlockB4</v>
      </c>
      <c r="H35" s="94" t="s">
        <v>377</v>
      </c>
      <c r="I35" s="94">
        <v>4</v>
      </c>
    </row>
    <row r="36" spans="1:9" x14ac:dyDescent="0.25">
      <c r="A36" s="94" t="s">
        <v>293</v>
      </c>
      <c r="B36" s="94" t="s">
        <v>133</v>
      </c>
      <c r="C36" s="94"/>
      <c r="D36" s="94"/>
      <c r="E36" s="94"/>
      <c r="F36" s="94"/>
      <c r="G36" s="94" t="str">
        <f t="shared" si="0"/>
        <v>ThetfordB4</v>
      </c>
      <c r="H36" s="94" t="s">
        <v>377</v>
      </c>
      <c r="I36" s="94">
        <v>4</v>
      </c>
    </row>
    <row r="37" spans="1:9" x14ac:dyDescent="0.25">
      <c r="A37" s="94" t="s">
        <v>294</v>
      </c>
      <c r="B37" s="94" t="s">
        <v>127</v>
      </c>
      <c r="C37" s="94">
        <v>5592</v>
      </c>
      <c r="D37" s="94" t="s">
        <v>934</v>
      </c>
      <c r="E37" s="94"/>
      <c r="F37" s="94"/>
      <c r="G37" s="94" t="str">
        <f t="shared" si="0"/>
        <v>BrecilienB5</v>
      </c>
      <c r="H37" s="94" t="s">
        <v>377</v>
      </c>
      <c r="I37" s="94">
        <v>5</v>
      </c>
    </row>
    <row r="38" spans="1:9" x14ac:dyDescent="0.25">
      <c r="A38" s="94" t="s">
        <v>294</v>
      </c>
      <c r="B38" s="94" t="s">
        <v>128</v>
      </c>
      <c r="C38" s="94"/>
      <c r="D38" s="94"/>
      <c r="E38" s="94"/>
      <c r="F38" s="94"/>
      <c r="G38" s="94" t="str">
        <f t="shared" si="0"/>
        <v>BridgewatchB5</v>
      </c>
      <c r="H38" s="94" t="s">
        <v>377</v>
      </c>
      <c r="I38" s="94">
        <v>5</v>
      </c>
    </row>
    <row r="39" spans="1:9" x14ac:dyDescent="0.25">
      <c r="A39" s="94" t="s">
        <v>294</v>
      </c>
      <c r="B39" s="94" t="s">
        <v>129</v>
      </c>
      <c r="C39" s="94">
        <v>5968</v>
      </c>
      <c r="D39" s="94" t="s">
        <v>917</v>
      </c>
      <c r="E39" s="94">
        <v>4817</v>
      </c>
      <c r="F39" s="94" t="s">
        <v>935</v>
      </c>
      <c r="G39" s="94" t="str">
        <f t="shared" si="0"/>
        <v>CaerleonB5</v>
      </c>
      <c r="H39" s="94" t="s">
        <v>377</v>
      </c>
      <c r="I39" s="94">
        <v>5</v>
      </c>
    </row>
    <row r="40" spans="1:9" x14ac:dyDescent="0.25">
      <c r="A40" s="94" t="s">
        <v>294</v>
      </c>
      <c r="B40" s="94" t="s">
        <v>130</v>
      </c>
      <c r="C40" s="94">
        <v>7178</v>
      </c>
      <c r="D40" s="94" t="s">
        <v>902</v>
      </c>
      <c r="E40" s="94">
        <v>6001</v>
      </c>
      <c r="F40" s="94" t="s">
        <v>936</v>
      </c>
      <c r="G40" s="94" t="str">
        <f t="shared" si="0"/>
        <v>Fort SterlingB5</v>
      </c>
      <c r="H40" s="94" t="s">
        <v>377</v>
      </c>
      <c r="I40" s="94">
        <v>5</v>
      </c>
    </row>
    <row r="41" spans="1:9" x14ac:dyDescent="0.25">
      <c r="A41" s="94" t="s">
        <v>294</v>
      </c>
      <c r="B41" s="94" t="s">
        <v>131</v>
      </c>
      <c r="C41" s="94">
        <v>6258</v>
      </c>
      <c r="D41" s="94" t="s">
        <v>904</v>
      </c>
      <c r="E41" s="94"/>
      <c r="F41" s="94"/>
      <c r="G41" s="94" t="str">
        <f t="shared" si="0"/>
        <v>LymhurstB5</v>
      </c>
      <c r="H41" s="94" t="s">
        <v>377</v>
      </c>
      <c r="I41" s="94">
        <v>5</v>
      </c>
    </row>
    <row r="42" spans="1:9" x14ac:dyDescent="0.25">
      <c r="A42" s="94" t="s">
        <v>294</v>
      </c>
      <c r="B42" s="94" t="s">
        <v>132</v>
      </c>
      <c r="C42" s="94">
        <v>6007</v>
      </c>
      <c r="D42" s="94" t="s">
        <v>924</v>
      </c>
      <c r="E42" s="94">
        <v>5592</v>
      </c>
      <c r="F42" s="94" t="s">
        <v>910</v>
      </c>
      <c r="G42" s="94" t="str">
        <f t="shared" si="0"/>
        <v>MartlockB5</v>
      </c>
      <c r="H42" s="94" t="s">
        <v>377</v>
      </c>
      <c r="I42" s="94">
        <v>5</v>
      </c>
    </row>
    <row r="43" spans="1:9" x14ac:dyDescent="0.25">
      <c r="A43" s="94" t="s">
        <v>294</v>
      </c>
      <c r="B43" s="94" t="s">
        <v>133</v>
      </c>
      <c r="C43" s="94"/>
      <c r="D43" s="94"/>
      <c r="E43" s="94"/>
      <c r="F43" s="94"/>
      <c r="G43" s="94" t="str">
        <f t="shared" si="0"/>
        <v>ThetfordB5</v>
      </c>
      <c r="H43" s="94" t="s">
        <v>377</v>
      </c>
      <c r="I43" s="94">
        <v>5</v>
      </c>
    </row>
    <row r="44" spans="1:9" x14ac:dyDescent="0.25">
      <c r="A44" s="94" t="s">
        <v>295</v>
      </c>
      <c r="B44" s="94" t="s">
        <v>127</v>
      </c>
      <c r="C44" s="94">
        <v>39999</v>
      </c>
      <c r="D44" s="94" t="s">
        <v>937</v>
      </c>
      <c r="E44" s="94"/>
      <c r="F44" s="94"/>
      <c r="G44" s="94" t="str">
        <f t="shared" si="0"/>
        <v>BrecilienB6</v>
      </c>
      <c r="H44" s="94" t="s">
        <v>377</v>
      </c>
      <c r="I44" s="94">
        <v>6</v>
      </c>
    </row>
    <row r="45" spans="1:9" x14ac:dyDescent="0.25">
      <c r="A45" s="94" t="s">
        <v>295</v>
      </c>
      <c r="B45" s="94" t="s">
        <v>128</v>
      </c>
      <c r="C45" s="94">
        <v>35297</v>
      </c>
      <c r="D45" s="94" t="s">
        <v>938</v>
      </c>
      <c r="E45" s="94">
        <v>28502</v>
      </c>
      <c r="F45" s="94" t="s">
        <v>939</v>
      </c>
      <c r="G45" s="94" t="str">
        <f t="shared" si="0"/>
        <v>BridgewatchB6</v>
      </c>
      <c r="H45" s="94" t="s">
        <v>377</v>
      </c>
      <c r="I45" s="94">
        <v>6</v>
      </c>
    </row>
    <row r="46" spans="1:9" x14ac:dyDescent="0.25">
      <c r="A46" s="94" t="s">
        <v>295</v>
      </c>
      <c r="B46" s="94" t="s">
        <v>129</v>
      </c>
      <c r="C46" s="94"/>
      <c r="D46" s="94"/>
      <c r="E46" s="94"/>
      <c r="F46" s="94"/>
      <c r="G46" s="94" t="str">
        <f t="shared" si="0"/>
        <v>CaerleonB6</v>
      </c>
      <c r="H46" s="94" t="s">
        <v>377</v>
      </c>
      <c r="I46" s="94">
        <v>6</v>
      </c>
    </row>
    <row r="47" spans="1:9" x14ac:dyDescent="0.25">
      <c r="A47" s="94" t="s">
        <v>295</v>
      </c>
      <c r="B47" s="94" t="s">
        <v>130</v>
      </c>
      <c r="C47" s="94">
        <v>36289</v>
      </c>
      <c r="D47" s="94" t="s">
        <v>902</v>
      </c>
      <c r="E47" s="94"/>
      <c r="F47" s="94"/>
      <c r="G47" s="94" t="str">
        <f t="shared" si="0"/>
        <v>Fort SterlingB6</v>
      </c>
      <c r="H47" s="94" t="s">
        <v>377</v>
      </c>
      <c r="I47" s="94">
        <v>6</v>
      </c>
    </row>
    <row r="48" spans="1:9" x14ac:dyDescent="0.25">
      <c r="A48" s="94" t="s">
        <v>295</v>
      </c>
      <c r="B48" s="94" t="s">
        <v>131</v>
      </c>
      <c r="C48" s="94">
        <v>35984</v>
      </c>
      <c r="D48" s="94" t="s">
        <v>902</v>
      </c>
      <c r="E48" s="94"/>
      <c r="F48" s="94"/>
      <c r="G48" s="94" t="str">
        <f t="shared" si="0"/>
        <v>LymhurstB6</v>
      </c>
      <c r="H48" s="94" t="s">
        <v>377</v>
      </c>
      <c r="I48" s="94">
        <v>6</v>
      </c>
    </row>
    <row r="49" spans="1:9" x14ac:dyDescent="0.25">
      <c r="A49" s="94" t="s">
        <v>295</v>
      </c>
      <c r="B49" s="94" t="s">
        <v>132</v>
      </c>
      <c r="C49" s="94">
        <v>34791</v>
      </c>
      <c r="D49" s="94" t="s">
        <v>940</v>
      </c>
      <c r="E49" s="94">
        <v>27082</v>
      </c>
      <c r="F49" s="94" t="s">
        <v>941</v>
      </c>
      <c r="G49" s="94" t="str">
        <f t="shared" si="0"/>
        <v>MartlockB6</v>
      </c>
      <c r="H49" s="94" t="s">
        <v>377</v>
      </c>
      <c r="I49" s="94">
        <v>6</v>
      </c>
    </row>
    <row r="50" spans="1:9" x14ac:dyDescent="0.25">
      <c r="A50" s="94" t="s">
        <v>295</v>
      </c>
      <c r="B50" s="94" t="s">
        <v>133</v>
      </c>
      <c r="C50" s="94">
        <v>35290</v>
      </c>
      <c r="D50" s="94" t="s">
        <v>942</v>
      </c>
      <c r="E50" s="94">
        <v>31101</v>
      </c>
      <c r="F50" s="94" t="s">
        <v>940</v>
      </c>
      <c r="G50" s="94" t="str">
        <f t="shared" si="0"/>
        <v>ThetfordB6</v>
      </c>
      <c r="H50" s="94" t="s">
        <v>377</v>
      </c>
      <c r="I50" s="94">
        <v>6</v>
      </c>
    </row>
    <row r="51" spans="1:9" x14ac:dyDescent="0.25">
      <c r="A51" s="94" t="s">
        <v>296</v>
      </c>
      <c r="B51" s="94" t="s">
        <v>127</v>
      </c>
      <c r="C51" s="94">
        <v>248</v>
      </c>
      <c r="D51" s="94" t="s">
        <v>943</v>
      </c>
      <c r="E51" s="94">
        <v>245</v>
      </c>
      <c r="F51" s="94" t="s">
        <v>943</v>
      </c>
      <c r="G51" s="94" t="str">
        <f t="shared" si="0"/>
        <v>BrecilienB7</v>
      </c>
      <c r="H51" s="94" t="s">
        <v>377</v>
      </c>
      <c r="I51" s="94">
        <v>7</v>
      </c>
    </row>
    <row r="52" spans="1:9" x14ac:dyDescent="0.25">
      <c r="A52" s="94" t="s">
        <v>296</v>
      </c>
      <c r="B52" s="94" t="s">
        <v>128</v>
      </c>
      <c r="C52" s="94">
        <v>272</v>
      </c>
      <c r="D52" s="94" t="s">
        <v>944</v>
      </c>
      <c r="E52" s="94">
        <v>252</v>
      </c>
      <c r="F52" s="94" t="s">
        <v>944</v>
      </c>
      <c r="G52" s="94" t="str">
        <f t="shared" si="0"/>
        <v>BridgewatchB7</v>
      </c>
      <c r="H52" s="94" t="s">
        <v>377</v>
      </c>
      <c r="I52" s="94">
        <v>7</v>
      </c>
    </row>
    <row r="53" spans="1:9" x14ac:dyDescent="0.25">
      <c r="A53" s="94" t="s">
        <v>296</v>
      </c>
      <c r="B53" s="94" t="s">
        <v>129</v>
      </c>
      <c r="C53" s="94">
        <v>300</v>
      </c>
      <c r="D53" s="94" t="s">
        <v>945</v>
      </c>
      <c r="E53" s="94"/>
      <c r="F53" s="94"/>
      <c r="G53" s="94" t="str">
        <f t="shared" si="0"/>
        <v>CaerleonB7</v>
      </c>
      <c r="H53" s="94" t="s">
        <v>377</v>
      </c>
      <c r="I53" s="94">
        <v>7</v>
      </c>
    </row>
    <row r="54" spans="1:9" x14ac:dyDescent="0.25">
      <c r="A54" s="94" t="s">
        <v>296</v>
      </c>
      <c r="B54" s="94" t="s">
        <v>130</v>
      </c>
      <c r="C54" s="94">
        <v>324</v>
      </c>
      <c r="D54" s="94" t="s">
        <v>902</v>
      </c>
      <c r="E54" s="94">
        <v>323</v>
      </c>
      <c r="F54" s="94" t="s">
        <v>946</v>
      </c>
      <c r="G54" s="94" t="str">
        <f t="shared" si="0"/>
        <v>Fort SterlingB7</v>
      </c>
      <c r="H54" s="94" t="s">
        <v>377</v>
      </c>
      <c r="I54" s="94">
        <v>7</v>
      </c>
    </row>
    <row r="55" spans="1:9" x14ac:dyDescent="0.25">
      <c r="A55" s="94" t="s">
        <v>296</v>
      </c>
      <c r="B55" s="94" t="s">
        <v>131</v>
      </c>
      <c r="C55" s="94">
        <v>304</v>
      </c>
      <c r="D55" s="94" t="s">
        <v>944</v>
      </c>
      <c r="E55" s="94">
        <v>281</v>
      </c>
      <c r="F55" s="94" t="s">
        <v>944</v>
      </c>
      <c r="G55" s="94" t="str">
        <f t="shared" si="0"/>
        <v>LymhurstB7</v>
      </c>
      <c r="H55" s="94" t="s">
        <v>377</v>
      </c>
      <c r="I55" s="94">
        <v>7</v>
      </c>
    </row>
    <row r="56" spans="1:9" x14ac:dyDescent="0.25">
      <c r="A56" s="94" t="s">
        <v>296</v>
      </c>
      <c r="B56" s="94" t="s">
        <v>132</v>
      </c>
      <c r="C56" s="94">
        <v>261</v>
      </c>
      <c r="D56" s="94" t="s">
        <v>904</v>
      </c>
      <c r="E56" s="94">
        <v>257</v>
      </c>
      <c r="F56" s="94" t="s">
        <v>904</v>
      </c>
      <c r="G56" s="94" t="str">
        <f t="shared" si="0"/>
        <v>MartlockB7</v>
      </c>
      <c r="H56" s="94" t="s">
        <v>377</v>
      </c>
      <c r="I56" s="94">
        <v>7</v>
      </c>
    </row>
    <row r="57" spans="1:9" x14ac:dyDescent="0.25">
      <c r="A57" s="94" t="s">
        <v>296</v>
      </c>
      <c r="B57" s="94" t="s">
        <v>133</v>
      </c>
      <c r="C57" s="94">
        <v>270</v>
      </c>
      <c r="D57" s="94" t="s">
        <v>947</v>
      </c>
      <c r="E57" s="94">
        <v>261</v>
      </c>
      <c r="F57" s="94" t="s">
        <v>947</v>
      </c>
      <c r="G57" s="94" t="str">
        <f t="shared" si="0"/>
        <v>ThetfordB7</v>
      </c>
      <c r="H57" s="94" t="s">
        <v>377</v>
      </c>
      <c r="I57" s="94">
        <v>7</v>
      </c>
    </row>
    <row r="58" spans="1:9" x14ac:dyDescent="0.25">
      <c r="A58" s="94" t="s">
        <v>297</v>
      </c>
      <c r="B58" s="94" t="s">
        <v>127</v>
      </c>
      <c r="C58" s="94">
        <v>319</v>
      </c>
      <c r="D58" s="94" t="s">
        <v>934</v>
      </c>
      <c r="E58" s="94"/>
      <c r="F58" s="94"/>
      <c r="G58" s="94" t="str">
        <f t="shared" si="0"/>
        <v>BrecilienB8</v>
      </c>
      <c r="H58" s="94" t="s">
        <v>377</v>
      </c>
      <c r="I58" s="94">
        <v>8</v>
      </c>
    </row>
    <row r="59" spans="1:9" x14ac:dyDescent="0.25">
      <c r="A59" s="94" t="s">
        <v>297</v>
      </c>
      <c r="B59" s="94" t="s">
        <v>128</v>
      </c>
      <c r="C59" s="94">
        <v>420</v>
      </c>
      <c r="D59" s="94" t="s">
        <v>948</v>
      </c>
      <c r="E59" s="94">
        <v>417</v>
      </c>
      <c r="F59" s="94" t="s">
        <v>948</v>
      </c>
      <c r="G59" s="94" t="str">
        <f t="shared" si="0"/>
        <v>BridgewatchB8</v>
      </c>
      <c r="H59" s="94" t="s">
        <v>377</v>
      </c>
      <c r="I59" s="94">
        <v>8</v>
      </c>
    </row>
    <row r="60" spans="1:9" x14ac:dyDescent="0.25">
      <c r="A60" s="94" t="s">
        <v>297</v>
      </c>
      <c r="B60" s="94" t="s">
        <v>129</v>
      </c>
      <c r="C60" s="94">
        <v>389</v>
      </c>
      <c r="D60" s="94" t="s">
        <v>945</v>
      </c>
      <c r="E60" s="94"/>
      <c r="F60" s="94"/>
      <c r="G60" s="94" t="str">
        <f t="shared" si="0"/>
        <v>CaerleonB8</v>
      </c>
      <c r="H60" s="94" t="s">
        <v>377</v>
      </c>
      <c r="I60" s="94">
        <v>8</v>
      </c>
    </row>
    <row r="61" spans="1:9" x14ac:dyDescent="0.25">
      <c r="A61" s="94" t="s">
        <v>297</v>
      </c>
      <c r="B61" s="94" t="s">
        <v>130</v>
      </c>
      <c r="C61" s="94">
        <v>618</v>
      </c>
      <c r="D61" s="94" t="s">
        <v>902</v>
      </c>
      <c r="E61" s="94">
        <v>466</v>
      </c>
      <c r="F61" s="94" t="s">
        <v>946</v>
      </c>
      <c r="G61" s="94" t="str">
        <f t="shared" si="0"/>
        <v>Fort SterlingB8</v>
      </c>
      <c r="H61" s="94" t="s">
        <v>377</v>
      </c>
      <c r="I61" s="94">
        <v>8</v>
      </c>
    </row>
    <row r="62" spans="1:9" x14ac:dyDescent="0.25">
      <c r="A62" s="94" t="s">
        <v>297</v>
      </c>
      <c r="B62" s="94" t="s">
        <v>131</v>
      </c>
      <c r="C62" s="94">
        <v>583</v>
      </c>
      <c r="D62" s="94" t="s">
        <v>944</v>
      </c>
      <c r="E62" s="94">
        <v>573</v>
      </c>
      <c r="F62" s="94" t="s">
        <v>944</v>
      </c>
      <c r="G62" s="94" t="str">
        <f t="shared" si="0"/>
        <v>LymhurstB8</v>
      </c>
      <c r="H62" s="94" t="s">
        <v>377</v>
      </c>
      <c r="I62" s="94">
        <v>8</v>
      </c>
    </row>
    <row r="63" spans="1:9" x14ac:dyDescent="0.25">
      <c r="A63" s="94" t="s">
        <v>297</v>
      </c>
      <c r="B63" s="94" t="s">
        <v>132</v>
      </c>
      <c r="C63" s="94">
        <v>454</v>
      </c>
      <c r="D63" s="94" t="s">
        <v>904</v>
      </c>
      <c r="E63" s="94">
        <v>453</v>
      </c>
      <c r="F63" s="94" t="s">
        <v>904</v>
      </c>
      <c r="G63" s="94" t="str">
        <f t="shared" si="0"/>
        <v>MartlockB8</v>
      </c>
      <c r="H63" s="94" t="s">
        <v>377</v>
      </c>
      <c r="I63" s="94">
        <v>8</v>
      </c>
    </row>
    <row r="64" spans="1:9" x14ac:dyDescent="0.25">
      <c r="A64" s="94" t="s">
        <v>297</v>
      </c>
      <c r="B64" s="94" t="s">
        <v>133</v>
      </c>
      <c r="C64" s="94">
        <v>464</v>
      </c>
      <c r="D64" s="94" t="s">
        <v>947</v>
      </c>
      <c r="E64" s="94">
        <v>448</v>
      </c>
      <c r="F64" s="94" t="s">
        <v>949</v>
      </c>
      <c r="G64" s="94" t="str">
        <f t="shared" si="0"/>
        <v>ThetfordB8</v>
      </c>
      <c r="H64" s="94" t="s">
        <v>377</v>
      </c>
      <c r="I64" s="94">
        <v>8</v>
      </c>
    </row>
    <row r="65" spans="1:9" x14ac:dyDescent="0.25">
      <c r="A65" s="94" t="s">
        <v>298</v>
      </c>
      <c r="B65" s="94" t="s">
        <v>127</v>
      </c>
      <c r="C65" s="94"/>
      <c r="D65" s="94"/>
      <c r="E65" s="94"/>
      <c r="F65" s="94"/>
      <c r="G65" s="94" t="str">
        <f t="shared" si="0"/>
        <v>BrecilienB9</v>
      </c>
      <c r="H65" s="94" t="s">
        <v>377</v>
      </c>
      <c r="I65" s="94">
        <v>9</v>
      </c>
    </row>
    <row r="66" spans="1:9" x14ac:dyDescent="0.25">
      <c r="A66" s="94" t="s">
        <v>298</v>
      </c>
      <c r="B66" s="94" t="s">
        <v>128</v>
      </c>
      <c r="C66" s="94"/>
      <c r="D66" s="94"/>
      <c r="E66" s="94"/>
      <c r="F66" s="94"/>
      <c r="G66" s="94" t="str">
        <f t="shared" si="0"/>
        <v>BridgewatchB9</v>
      </c>
      <c r="H66" s="94" t="s">
        <v>377</v>
      </c>
      <c r="I66" s="94">
        <v>9</v>
      </c>
    </row>
    <row r="67" spans="1:9" x14ac:dyDescent="0.25">
      <c r="A67" s="94" t="s">
        <v>298</v>
      </c>
      <c r="B67" s="94" t="s">
        <v>129</v>
      </c>
      <c r="C67" s="94">
        <v>1197</v>
      </c>
      <c r="D67" s="94" t="s">
        <v>945</v>
      </c>
      <c r="E67" s="94">
        <v>993</v>
      </c>
      <c r="F67" s="94" t="s">
        <v>935</v>
      </c>
      <c r="G67" s="94" t="str">
        <f t="shared" ref="G67:G130" si="1">_xlfn.CONCAT(B67,H67,I67)</f>
        <v>CaerleonB9</v>
      </c>
      <c r="H67" s="94" t="s">
        <v>377</v>
      </c>
      <c r="I67" s="94">
        <v>9</v>
      </c>
    </row>
    <row r="68" spans="1:9" x14ac:dyDescent="0.25">
      <c r="A68" s="94" t="s">
        <v>298</v>
      </c>
      <c r="B68" s="94" t="s">
        <v>130</v>
      </c>
      <c r="C68" s="94">
        <v>1324</v>
      </c>
      <c r="D68" s="94" t="s">
        <v>902</v>
      </c>
      <c r="E68" s="94">
        <v>1265</v>
      </c>
      <c r="F68" s="94" t="s">
        <v>950</v>
      </c>
      <c r="G68" s="94" t="str">
        <f t="shared" si="1"/>
        <v>Fort SterlingB9</v>
      </c>
      <c r="H68" s="94" t="s">
        <v>377</v>
      </c>
      <c r="I68" s="94">
        <v>9</v>
      </c>
    </row>
    <row r="69" spans="1:9" x14ac:dyDescent="0.25">
      <c r="A69" s="94" t="s">
        <v>298</v>
      </c>
      <c r="B69" s="94" t="s">
        <v>131</v>
      </c>
      <c r="C69" s="94">
        <v>1451</v>
      </c>
      <c r="D69" s="94" t="s">
        <v>951</v>
      </c>
      <c r="E69" s="94">
        <v>1293</v>
      </c>
      <c r="F69" s="94" t="s">
        <v>951</v>
      </c>
      <c r="G69" s="94" t="str">
        <f t="shared" si="1"/>
        <v>LymhurstB9</v>
      </c>
      <c r="H69" s="94" t="s">
        <v>377</v>
      </c>
      <c r="I69" s="94">
        <v>9</v>
      </c>
    </row>
    <row r="70" spans="1:9" x14ac:dyDescent="0.25">
      <c r="A70" s="94" t="s">
        <v>298</v>
      </c>
      <c r="B70" s="94" t="s">
        <v>132</v>
      </c>
      <c r="C70" s="94">
        <v>1280</v>
      </c>
      <c r="D70" s="94" t="s">
        <v>952</v>
      </c>
      <c r="E70" s="94">
        <v>1252</v>
      </c>
      <c r="F70" s="94" t="s">
        <v>933</v>
      </c>
      <c r="G70" s="94" t="str">
        <f t="shared" si="1"/>
        <v>MartlockB9</v>
      </c>
      <c r="H70" s="94" t="s">
        <v>377</v>
      </c>
      <c r="I70" s="94">
        <v>9</v>
      </c>
    </row>
    <row r="71" spans="1:9" x14ac:dyDescent="0.25">
      <c r="A71" s="94" t="s">
        <v>298</v>
      </c>
      <c r="B71" s="94" t="s">
        <v>133</v>
      </c>
      <c r="C71" s="94">
        <v>1261</v>
      </c>
      <c r="D71" s="94" t="s">
        <v>953</v>
      </c>
      <c r="E71" s="94">
        <v>1258</v>
      </c>
      <c r="F71" s="94" t="s">
        <v>953</v>
      </c>
      <c r="G71" s="94" t="str">
        <f t="shared" si="1"/>
        <v>ThetfordB9</v>
      </c>
      <c r="H71" s="94" t="s">
        <v>377</v>
      </c>
      <c r="I71" s="94">
        <v>9</v>
      </c>
    </row>
    <row r="72" spans="1:9" x14ac:dyDescent="0.25">
      <c r="A72" s="94" t="s">
        <v>299</v>
      </c>
      <c r="B72" s="94" t="s">
        <v>127</v>
      </c>
      <c r="C72" s="94"/>
      <c r="D72" s="94"/>
      <c r="E72" s="94"/>
      <c r="F72" s="94"/>
      <c r="G72" s="94" t="str">
        <f t="shared" si="1"/>
        <v>BrecilienB10</v>
      </c>
      <c r="H72" s="94" t="s">
        <v>377</v>
      </c>
      <c r="I72" s="94">
        <v>10</v>
      </c>
    </row>
    <row r="73" spans="1:9" x14ac:dyDescent="0.25">
      <c r="A73" s="94" t="s">
        <v>299</v>
      </c>
      <c r="B73" s="94" t="s">
        <v>128</v>
      </c>
      <c r="C73" s="94">
        <v>8492</v>
      </c>
      <c r="D73" s="94" t="s">
        <v>938</v>
      </c>
      <c r="E73" s="94">
        <v>8351</v>
      </c>
      <c r="F73" s="94" t="s">
        <v>920</v>
      </c>
      <c r="G73" s="94" t="str">
        <f t="shared" si="1"/>
        <v>BridgewatchB10</v>
      </c>
      <c r="H73" s="94" t="s">
        <v>377</v>
      </c>
      <c r="I73" s="94">
        <v>10</v>
      </c>
    </row>
    <row r="74" spans="1:9" x14ac:dyDescent="0.25">
      <c r="A74" s="94" t="s">
        <v>299</v>
      </c>
      <c r="B74" s="94" t="s">
        <v>129</v>
      </c>
      <c r="C74" s="94">
        <v>8581</v>
      </c>
      <c r="D74" s="94" t="s">
        <v>945</v>
      </c>
      <c r="E74" s="94">
        <v>6101</v>
      </c>
      <c r="F74" s="94" t="s">
        <v>935</v>
      </c>
      <c r="G74" s="94" t="str">
        <f t="shared" si="1"/>
        <v>CaerleonB10</v>
      </c>
      <c r="H74" s="94" t="s">
        <v>377</v>
      </c>
      <c r="I74" s="94">
        <v>10</v>
      </c>
    </row>
    <row r="75" spans="1:9" x14ac:dyDescent="0.25">
      <c r="A75" s="94" t="s">
        <v>299</v>
      </c>
      <c r="B75" s="94" t="s">
        <v>130</v>
      </c>
      <c r="C75" s="94">
        <v>10383</v>
      </c>
      <c r="D75" s="94" t="s">
        <v>954</v>
      </c>
      <c r="E75" s="94">
        <v>8951</v>
      </c>
      <c r="F75" s="94" t="s">
        <v>954</v>
      </c>
      <c r="G75" s="94" t="str">
        <f t="shared" si="1"/>
        <v>Fort SterlingB10</v>
      </c>
      <c r="H75" s="94" t="s">
        <v>377</v>
      </c>
      <c r="I75" s="94">
        <v>10</v>
      </c>
    </row>
    <row r="76" spans="1:9" x14ac:dyDescent="0.25">
      <c r="A76" s="94" t="s">
        <v>299</v>
      </c>
      <c r="B76" s="94" t="s">
        <v>131</v>
      </c>
      <c r="C76" s="94">
        <v>9837</v>
      </c>
      <c r="D76" s="94" t="s">
        <v>902</v>
      </c>
      <c r="E76" s="94"/>
      <c r="F76" s="94"/>
      <c r="G76" s="94" t="str">
        <f t="shared" si="1"/>
        <v>LymhurstB10</v>
      </c>
      <c r="H76" s="94" t="s">
        <v>377</v>
      </c>
      <c r="I76" s="94">
        <v>10</v>
      </c>
    </row>
    <row r="77" spans="1:9" x14ac:dyDescent="0.25">
      <c r="A77" s="94" t="s">
        <v>299</v>
      </c>
      <c r="B77" s="94" t="s">
        <v>132</v>
      </c>
      <c r="C77" s="94"/>
      <c r="D77" s="94"/>
      <c r="E77" s="94">
        <v>8301</v>
      </c>
      <c r="F77" s="94" t="s">
        <v>920</v>
      </c>
      <c r="G77" s="94" t="str">
        <f t="shared" si="1"/>
        <v>MartlockB10</v>
      </c>
      <c r="H77" s="94" t="s">
        <v>377</v>
      </c>
      <c r="I77" s="94">
        <v>10</v>
      </c>
    </row>
    <row r="78" spans="1:9" x14ac:dyDescent="0.25">
      <c r="A78" s="94" t="s">
        <v>299</v>
      </c>
      <c r="B78" s="94" t="s">
        <v>133</v>
      </c>
      <c r="C78" s="94">
        <v>9671</v>
      </c>
      <c r="D78" s="94" t="s">
        <v>941</v>
      </c>
      <c r="E78" s="94">
        <v>8503</v>
      </c>
      <c r="F78" s="94" t="s">
        <v>940</v>
      </c>
      <c r="G78" s="94" t="str">
        <f t="shared" si="1"/>
        <v>ThetfordB10</v>
      </c>
      <c r="H78" s="94" t="s">
        <v>377</v>
      </c>
      <c r="I78" s="94">
        <v>10</v>
      </c>
    </row>
    <row r="79" spans="1:9" x14ac:dyDescent="0.25">
      <c r="A79" s="94" t="s">
        <v>300</v>
      </c>
      <c r="B79" s="94" t="s">
        <v>127</v>
      </c>
      <c r="C79" s="94"/>
      <c r="D79" s="94"/>
      <c r="E79" s="94"/>
      <c r="F79" s="94"/>
      <c r="G79" s="94" t="str">
        <f t="shared" si="1"/>
        <v>BrecilienB11</v>
      </c>
      <c r="H79" s="94" t="s">
        <v>377</v>
      </c>
      <c r="I79" s="94">
        <v>11</v>
      </c>
    </row>
    <row r="80" spans="1:9" x14ac:dyDescent="0.25">
      <c r="A80" s="94" t="s">
        <v>300</v>
      </c>
      <c r="B80" s="94" t="s">
        <v>128</v>
      </c>
      <c r="C80" s="94">
        <v>45941</v>
      </c>
      <c r="D80" s="94" t="s">
        <v>955</v>
      </c>
      <c r="E80" s="94">
        <v>40006</v>
      </c>
      <c r="F80" s="94" t="s">
        <v>956</v>
      </c>
      <c r="G80" s="94" t="str">
        <f t="shared" si="1"/>
        <v>BridgewatchB11</v>
      </c>
      <c r="H80" s="94" t="s">
        <v>377</v>
      </c>
      <c r="I80" s="94">
        <v>11</v>
      </c>
    </row>
    <row r="81" spans="1:9" x14ac:dyDescent="0.25">
      <c r="A81" s="94" t="s">
        <v>300</v>
      </c>
      <c r="B81" s="94" t="s">
        <v>129</v>
      </c>
      <c r="C81" s="94">
        <v>50000</v>
      </c>
      <c r="D81" s="94" t="s">
        <v>945</v>
      </c>
      <c r="E81" s="94"/>
      <c r="F81" s="94"/>
      <c r="G81" s="94" t="str">
        <f t="shared" si="1"/>
        <v>CaerleonB11</v>
      </c>
      <c r="H81" s="94" t="s">
        <v>377</v>
      </c>
      <c r="I81" s="94">
        <v>11</v>
      </c>
    </row>
    <row r="82" spans="1:9" x14ac:dyDescent="0.25">
      <c r="A82" s="94" t="s">
        <v>300</v>
      </c>
      <c r="B82" s="94" t="s">
        <v>130</v>
      </c>
      <c r="C82" s="94">
        <v>51063</v>
      </c>
      <c r="D82" s="94" t="s">
        <v>902</v>
      </c>
      <c r="E82" s="94">
        <v>35028</v>
      </c>
      <c r="F82" s="94" t="s">
        <v>921</v>
      </c>
      <c r="G82" s="94" t="str">
        <f t="shared" si="1"/>
        <v>Fort SterlingB11</v>
      </c>
      <c r="H82" s="94" t="s">
        <v>377</v>
      </c>
      <c r="I82" s="94">
        <v>11</v>
      </c>
    </row>
    <row r="83" spans="1:9" x14ac:dyDescent="0.25">
      <c r="A83" s="94" t="s">
        <v>300</v>
      </c>
      <c r="B83" s="94" t="s">
        <v>131</v>
      </c>
      <c r="C83" s="94">
        <v>44998</v>
      </c>
      <c r="D83" s="94" t="s">
        <v>902</v>
      </c>
      <c r="E83" s="94">
        <v>40011</v>
      </c>
      <c r="F83" s="94" t="s">
        <v>938</v>
      </c>
      <c r="G83" s="94" t="str">
        <f t="shared" si="1"/>
        <v>LymhurstB11</v>
      </c>
      <c r="H83" s="94" t="s">
        <v>377</v>
      </c>
      <c r="I83" s="94">
        <v>11</v>
      </c>
    </row>
    <row r="84" spans="1:9" x14ac:dyDescent="0.25">
      <c r="A84" s="94" t="s">
        <v>300</v>
      </c>
      <c r="B84" s="94" t="s">
        <v>132</v>
      </c>
      <c r="C84" s="94">
        <v>66633</v>
      </c>
      <c r="D84" s="94" t="s">
        <v>939</v>
      </c>
      <c r="E84" s="94">
        <v>38056</v>
      </c>
      <c r="F84" s="94" t="s">
        <v>940</v>
      </c>
      <c r="G84" s="94" t="str">
        <f t="shared" si="1"/>
        <v>MartlockB11</v>
      </c>
      <c r="H84" s="94" t="s">
        <v>377</v>
      </c>
      <c r="I84" s="94">
        <v>11</v>
      </c>
    </row>
    <row r="85" spans="1:9" x14ac:dyDescent="0.25">
      <c r="A85" s="94" t="s">
        <v>300</v>
      </c>
      <c r="B85" s="94" t="s">
        <v>133</v>
      </c>
      <c r="C85" s="94">
        <v>44996</v>
      </c>
      <c r="D85" s="94" t="s">
        <v>942</v>
      </c>
      <c r="E85" s="94">
        <v>39346</v>
      </c>
      <c r="F85" s="94" t="s">
        <v>942</v>
      </c>
      <c r="G85" s="94" t="str">
        <f t="shared" si="1"/>
        <v>ThetfordB11</v>
      </c>
      <c r="H85" s="94" t="s">
        <v>377</v>
      </c>
      <c r="I85" s="94">
        <v>11</v>
      </c>
    </row>
    <row r="86" spans="1:9" x14ac:dyDescent="0.25">
      <c r="A86" s="94" t="s">
        <v>301</v>
      </c>
      <c r="B86" s="94" t="s">
        <v>127</v>
      </c>
      <c r="C86" s="94">
        <v>546</v>
      </c>
      <c r="D86" s="94" t="s">
        <v>957</v>
      </c>
      <c r="E86" s="94">
        <v>561</v>
      </c>
      <c r="F86" s="94" t="s">
        <v>911</v>
      </c>
      <c r="G86" s="94" t="str">
        <f t="shared" si="1"/>
        <v>BrecilienB12</v>
      </c>
      <c r="H86" s="94" t="s">
        <v>377</v>
      </c>
      <c r="I86" s="94">
        <v>12</v>
      </c>
    </row>
    <row r="87" spans="1:9" x14ac:dyDescent="0.25">
      <c r="A87" s="94" t="s">
        <v>301</v>
      </c>
      <c r="B87" s="94" t="s">
        <v>128</v>
      </c>
      <c r="C87" s="94">
        <v>629</v>
      </c>
      <c r="D87" s="94" t="s">
        <v>944</v>
      </c>
      <c r="E87" s="94">
        <v>613</v>
      </c>
      <c r="F87" s="94" t="s">
        <v>944</v>
      </c>
      <c r="G87" s="94" t="str">
        <f t="shared" si="1"/>
        <v>BridgewatchB12</v>
      </c>
      <c r="H87" s="94" t="s">
        <v>377</v>
      </c>
      <c r="I87" s="94">
        <v>12</v>
      </c>
    </row>
    <row r="88" spans="1:9" x14ac:dyDescent="0.25">
      <c r="A88" s="94" t="s">
        <v>301</v>
      </c>
      <c r="B88" s="94" t="s">
        <v>129</v>
      </c>
      <c r="C88" s="94">
        <v>600</v>
      </c>
      <c r="D88" s="94" t="s">
        <v>945</v>
      </c>
      <c r="E88" s="94">
        <v>530</v>
      </c>
      <c r="F88" s="94" t="s">
        <v>958</v>
      </c>
      <c r="G88" s="94" t="str">
        <f t="shared" si="1"/>
        <v>CaerleonB12</v>
      </c>
      <c r="H88" s="94" t="s">
        <v>377</v>
      </c>
      <c r="I88" s="94">
        <v>12</v>
      </c>
    </row>
    <row r="89" spans="1:9" x14ac:dyDescent="0.25">
      <c r="A89" s="94" t="s">
        <v>301</v>
      </c>
      <c r="B89" s="94" t="s">
        <v>130</v>
      </c>
      <c r="C89" s="94">
        <v>716</v>
      </c>
      <c r="D89" s="94" t="s">
        <v>902</v>
      </c>
      <c r="E89" s="94"/>
      <c r="F89" s="94"/>
      <c r="G89" s="94" t="str">
        <f t="shared" si="1"/>
        <v>Fort SterlingB12</v>
      </c>
      <c r="H89" s="94" t="s">
        <v>377</v>
      </c>
      <c r="I89" s="94">
        <v>12</v>
      </c>
    </row>
    <row r="90" spans="1:9" x14ac:dyDescent="0.25">
      <c r="A90" s="94" t="s">
        <v>301</v>
      </c>
      <c r="B90" s="94" t="s">
        <v>131</v>
      </c>
      <c r="C90" s="94">
        <v>625</v>
      </c>
      <c r="D90" s="94" t="s">
        <v>944</v>
      </c>
      <c r="E90" s="94">
        <v>595</v>
      </c>
      <c r="F90" s="94" t="s">
        <v>944</v>
      </c>
      <c r="G90" s="94" t="str">
        <f t="shared" si="1"/>
        <v>LymhurstB12</v>
      </c>
      <c r="H90" s="94" t="s">
        <v>377</v>
      </c>
      <c r="I90" s="94">
        <v>12</v>
      </c>
    </row>
    <row r="91" spans="1:9" x14ac:dyDescent="0.25">
      <c r="A91" s="94" t="s">
        <v>301</v>
      </c>
      <c r="B91" s="94" t="s">
        <v>132</v>
      </c>
      <c r="C91" s="94">
        <v>662</v>
      </c>
      <c r="D91" s="94" t="s">
        <v>959</v>
      </c>
      <c r="E91" s="94">
        <v>606</v>
      </c>
      <c r="F91" s="94" t="s">
        <v>959</v>
      </c>
      <c r="G91" s="94" t="str">
        <f t="shared" si="1"/>
        <v>MartlockB12</v>
      </c>
      <c r="H91" s="94" t="s">
        <v>377</v>
      </c>
      <c r="I91" s="94">
        <v>12</v>
      </c>
    </row>
    <row r="92" spans="1:9" x14ac:dyDescent="0.25">
      <c r="A92" s="94" t="s">
        <v>301</v>
      </c>
      <c r="B92" s="94" t="s">
        <v>133</v>
      </c>
      <c r="C92" s="94">
        <v>655</v>
      </c>
      <c r="D92" s="94" t="s">
        <v>947</v>
      </c>
      <c r="E92" s="94">
        <v>636</v>
      </c>
      <c r="F92" s="94" t="s">
        <v>947</v>
      </c>
      <c r="G92" s="94" t="str">
        <f t="shared" si="1"/>
        <v>ThetfordB12</v>
      </c>
      <c r="H92" s="94" t="s">
        <v>377</v>
      </c>
      <c r="I92" s="94">
        <v>12</v>
      </c>
    </row>
    <row r="93" spans="1:9" x14ac:dyDescent="0.25">
      <c r="A93" s="94" t="s">
        <v>302</v>
      </c>
      <c r="B93" s="94" t="s">
        <v>127</v>
      </c>
      <c r="C93" s="94">
        <v>978</v>
      </c>
      <c r="D93" s="94" t="s">
        <v>949</v>
      </c>
      <c r="E93" s="94">
        <v>977</v>
      </c>
      <c r="F93" s="94" t="s">
        <v>949</v>
      </c>
      <c r="G93" s="94" t="str">
        <f t="shared" si="1"/>
        <v>BrecilienB13</v>
      </c>
      <c r="H93" s="94" t="s">
        <v>377</v>
      </c>
      <c r="I93" s="94">
        <v>13</v>
      </c>
    </row>
    <row r="94" spans="1:9" x14ac:dyDescent="0.25">
      <c r="A94" s="94" t="s">
        <v>302</v>
      </c>
      <c r="B94" s="94" t="s">
        <v>128</v>
      </c>
      <c r="C94" s="94">
        <v>1147</v>
      </c>
      <c r="D94" s="94" t="s">
        <v>944</v>
      </c>
      <c r="E94" s="94">
        <v>995</v>
      </c>
      <c r="F94" s="94" t="s">
        <v>948</v>
      </c>
      <c r="G94" s="94" t="str">
        <f t="shared" si="1"/>
        <v>BridgewatchB13</v>
      </c>
      <c r="H94" s="94" t="s">
        <v>377</v>
      </c>
      <c r="I94" s="94">
        <v>13</v>
      </c>
    </row>
    <row r="95" spans="1:9" x14ac:dyDescent="0.25">
      <c r="A95" s="94" t="s">
        <v>302</v>
      </c>
      <c r="B95" s="94" t="s">
        <v>129</v>
      </c>
      <c r="C95" s="94">
        <v>1152</v>
      </c>
      <c r="D95" s="94" t="s">
        <v>945</v>
      </c>
      <c r="E95" s="94"/>
      <c r="F95" s="94"/>
      <c r="G95" s="94" t="str">
        <f t="shared" si="1"/>
        <v>CaerleonB13</v>
      </c>
      <c r="H95" s="94" t="s">
        <v>377</v>
      </c>
      <c r="I95" s="94">
        <v>13</v>
      </c>
    </row>
    <row r="96" spans="1:9" x14ac:dyDescent="0.25">
      <c r="A96" s="94" t="s">
        <v>302</v>
      </c>
      <c r="B96" s="94" t="s">
        <v>130</v>
      </c>
      <c r="C96" s="94">
        <v>1059</v>
      </c>
      <c r="D96" s="94" t="s">
        <v>902</v>
      </c>
      <c r="E96" s="94">
        <v>1001</v>
      </c>
      <c r="F96" s="94" t="s">
        <v>946</v>
      </c>
      <c r="G96" s="94" t="str">
        <f t="shared" si="1"/>
        <v>Fort SterlingB13</v>
      </c>
      <c r="H96" s="94" t="s">
        <v>377</v>
      </c>
      <c r="I96" s="94">
        <v>13</v>
      </c>
    </row>
    <row r="97" spans="1:9" x14ac:dyDescent="0.25">
      <c r="A97" s="94" t="s">
        <v>302</v>
      </c>
      <c r="B97" s="94" t="s">
        <v>131</v>
      </c>
      <c r="C97" s="94">
        <v>1228</v>
      </c>
      <c r="D97" s="94" t="s">
        <v>944</v>
      </c>
      <c r="E97" s="94">
        <v>1227</v>
      </c>
      <c r="F97" s="94" t="s">
        <v>944</v>
      </c>
      <c r="G97" s="94" t="str">
        <f t="shared" si="1"/>
        <v>LymhurstB13</v>
      </c>
      <c r="H97" s="94" t="s">
        <v>377</v>
      </c>
      <c r="I97" s="94">
        <v>13</v>
      </c>
    </row>
    <row r="98" spans="1:9" x14ac:dyDescent="0.25">
      <c r="A98" s="94" t="s">
        <v>302</v>
      </c>
      <c r="B98" s="94" t="s">
        <v>132</v>
      </c>
      <c r="C98" s="94">
        <v>1101</v>
      </c>
      <c r="D98" s="94" t="s">
        <v>904</v>
      </c>
      <c r="E98" s="94">
        <v>1</v>
      </c>
      <c r="F98" s="94" t="s">
        <v>948</v>
      </c>
      <c r="G98" s="94" t="str">
        <f t="shared" si="1"/>
        <v>MartlockB13</v>
      </c>
      <c r="H98" s="94" t="s">
        <v>377</v>
      </c>
      <c r="I98" s="94">
        <v>13</v>
      </c>
    </row>
    <row r="99" spans="1:9" x14ac:dyDescent="0.25">
      <c r="A99" s="94" t="s">
        <v>302</v>
      </c>
      <c r="B99" s="94" t="s">
        <v>133</v>
      </c>
      <c r="C99" s="94">
        <v>1130</v>
      </c>
      <c r="D99" s="94" t="s">
        <v>949</v>
      </c>
      <c r="E99" s="94">
        <v>1100</v>
      </c>
      <c r="F99" s="94" t="s">
        <v>949</v>
      </c>
      <c r="G99" s="94" t="str">
        <f t="shared" si="1"/>
        <v>ThetfordB13</v>
      </c>
      <c r="H99" s="94" t="s">
        <v>377</v>
      </c>
      <c r="I99" s="94">
        <v>13</v>
      </c>
    </row>
    <row r="100" spans="1:9" x14ac:dyDescent="0.25">
      <c r="A100" s="94" t="s">
        <v>303</v>
      </c>
      <c r="B100" s="94" t="s">
        <v>127</v>
      </c>
      <c r="C100" s="94">
        <v>6290</v>
      </c>
      <c r="D100" s="94" t="s">
        <v>949</v>
      </c>
      <c r="E100" s="94">
        <v>5801</v>
      </c>
      <c r="F100" s="94" t="s">
        <v>949</v>
      </c>
      <c r="G100" s="94" t="str">
        <f t="shared" si="1"/>
        <v>BrecilienB14</v>
      </c>
      <c r="H100" s="94" t="s">
        <v>377</v>
      </c>
      <c r="I100" s="94">
        <v>14</v>
      </c>
    </row>
    <row r="101" spans="1:9" x14ac:dyDescent="0.25">
      <c r="A101" s="94" t="s">
        <v>303</v>
      </c>
      <c r="B101" s="94" t="s">
        <v>128</v>
      </c>
      <c r="C101" s="94">
        <v>6924</v>
      </c>
      <c r="D101" s="94" t="s">
        <v>925</v>
      </c>
      <c r="E101" s="94">
        <v>5714</v>
      </c>
      <c r="F101" s="94" t="s">
        <v>955</v>
      </c>
      <c r="G101" s="94" t="str">
        <f t="shared" si="1"/>
        <v>BridgewatchB14</v>
      </c>
      <c r="H101" s="94" t="s">
        <v>377</v>
      </c>
      <c r="I101" s="94">
        <v>14</v>
      </c>
    </row>
    <row r="102" spans="1:9" x14ac:dyDescent="0.25">
      <c r="A102" s="94" t="s">
        <v>303</v>
      </c>
      <c r="B102" s="94" t="s">
        <v>129</v>
      </c>
      <c r="C102" s="94">
        <v>6014</v>
      </c>
      <c r="D102" s="94" t="s">
        <v>945</v>
      </c>
      <c r="E102" s="94"/>
      <c r="F102" s="94"/>
      <c r="G102" s="94" t="str">
        <f t="shared" si="1"/>
        <v>CaerleonB14</v>
      </c>
      <c r="H102" s="94" t="s">
        <v>377</v>
      </c>
      <c r="I102" s="94">
        <v>14</v>
      </c>
    </row>
    <row r="103" spans="1:9" x14ac:dyDescent="0.25">
      <c r="A103" s="94" t="s">
        <v>303</v>
      </c>
      <c r="B103" s="94" t="s">
        <v>130</v>
      </c>
      <c r="C103" s="94">
        <v>6747</v>
      </c>
      <c r="D103" s="94" t="s">
        <v>902</v>
      </c>
      <c r="E103" s="94">
        <v>6562</v>
      </c>
      <c r="F103" s="94" t="s">
        <v>950</v>
      </c>
      <c r="G103" s="94" t="str">
        <f t="shared" si="1"/>
        <v>Fort SterlingB14</v>
      </c>
      <c r="H103" s="94" t="s">
        <v>377</v>
      </c>
      <c r="I103" s="94">
        <v>14</v>
      </c>
    </row>
    <row r="104" spans="1:9" x14ac:dyDescent="0.25">
      <c r="A104" s="94" t="s">
        <v>303</v>
      </c>
      <c r="B104" s="94" t="s">
        <v>131</v>
      </c>
      <c r="C104" s="94">
        <v>6198</v>
      </c>
      <c r="D104" s="94" t="s">
        <v>902</v>
      </c>
      <c r="E104" s="94"/>
      <c r="F104" s="94"/>
      <c r="G104" s="94" t="str">
        <f t="shared" si="1"/>
        <v>LymhurstB14</v>
      </c>
      <c r="H104" s="94" t="s">
        <v>377</v>
      </c>
      <c r="I104" s="94">
        <v>14</v>
      </c>
    </row>
    <row r="105" spans="1:9" x14ac:dyDescent="0.25">
      <c r="A105" s="94" t="s">
        <v>303</v>
      </c>
      <c r="B105" s="94" t="s">
        <v>132</v>
      </c>
      <c r="C105" s="94">
        <v>6440</v>
      </c>
      <c r="D105" s="94" t="s">
        <v>960</v>
      </c>
      <c r="E105" s="94">
        <v>5866</v>
      </c>
      <c r="F105" s="94" t="s">
        <v>910</v>
      </c>
      <c r="G105" s="94" t="str">
        <f t="shared" si="1"/>
        <v>MartlockB14</v>
      </c>
      <c r="H105" s="94" t="s">
        <v>377</v>
      </c>
      <c r="I105" s="94">
        <v>14</v>
      </c>
    </row>
    <row r="106" spans="1:9" x14ac:dyDescent="0.25">
      <c r="A106" s="94" t="s">
        <v>303</v>
      </c>
      <c r="B106" s="94" t="s">
        <v>133</v>
      </c>
      <c r="C106" s="94">
        <v>6419</v>
      </c>
      <c r="D106" s="94" t="s">
        <v>961</v>
      </c>
      <c r="E106" s="94">
        <v>6300</v>
      </c>
      <c r="F106" s="94" t="s">
        <v>942</v>
      </c>
      <c r="G106" s="94" t="str">
        <f t="shared" si="1"/>
        <v>ThetfordB14</v>
      </c>
      <c r="H106" s="94" t="s">
        <v>377</v>
      </c>
      <c r="I106" s="94">
        <v>14</v>
      </c>
    </row>
    <row r="107" spans="1:9" x14ac:dyDescent="0.25">
      <c r="A107" s="94" t="s">
        <v>304</v>
      </c>
      <c r="B107" s="94" t="s">
        <v>127</v>
      </c>
      <c r="C107" s="94">
        <v>18888</v>
      </c>
      <c r="D107" s="94" t="s">
        <v>962</v>
      </c>
      <c r="E107" s="94"/>
      <c r="F107" s="94"/>
      <c r="G107" s="94" t="str">
        <f t="shared" si="1"/>
        <v>BrecilienB15</v>
      </c>
      <c r="H107" s="94" t="s">
        <v>377</v>
      </c>
      <c r="I107" s="94">
        <v>15</v>
      </c>
    </row>
    <row r="108" spans="1:9" x14ac:dyDescent="0.25">
      <c r="A108" s="94" t="s">
        <v>304</v>
      </c>
      <c r="B108" s="94" t="s">
        <v>128</v>
      </c>
      <c r="C108" s="94">
        <v>20486</v>
      </c>
      <c r="D108" s="94" t="s">
        <v>925</v>
      </c>
      <c r="E108" s="94">
        <v>18650</v>
      </c>
      <c r="F108" s="94" t="s">
        <v>955</v>
      </c>
      <c r="G108" s="94" t="str">
        <f t="shared" si="1"/>
        <v>BridgewatchB15</v>
      </c>
      <c r="H108" s="94" t="s">
        <v>377</v>
      </c>
      <c r="I108" s="94">
        <v>15</v>
      </c>
    </row>
    <row r="109" spans="1:9" x14ac:dyDescent="0.25">
      <c r="A109" s="94" t="s">
        <v>304</v>
      </c>
      <c r="B109" s="94" t="s">
        <v>129</v>
      </c>
      <c r="C109" s="94">
        <v>19887</v>
      </c>
      <c r="D109" s="94" t="s">
        <v>963</v>
      </c>
      <c r="E109" s="94"/>
      <c r="F109" s="94"/>
      <c r="G109" s="94" t="str">
        <f t="shared" si="1"/>
        <v>CaerleonB15</v>
      </c>
      <c r="H109" s="94" t="s">
        <v>377</v>
      </c>
      <c r="I109" s="94">
        <v>15</v>
      </c>
    </row>
    <row r="110" spans="1:9" x14ac:dyDescent="0.25">
      <c r="A110" s="94" t="s">
        <v>304</v>
      </c>
      <c r="B110" s="94" t="s">
        <v>130</v>
      </c>
      <c r="C110" s="94">
        <v>26781</v>
      </c>
      <c r="D110" s="94" t="s">
        <v>954</v>
      </c>
      <c r="E110" s="94">
        <v>20027</v>
      </c>
      <c r="F110" s="94" t="s">
        <v>954</v>
      </c>
      <c r="G110" s="94" t="str">
        <f t="shared" si="1"/>
        <v>Fort SterlingB15</v>
      </c>
      <c r="H110" s="94" t="s">
        <v>377</v>
      </c>
      <c r="I110" s="94">
        <v>15</v>
      </c>
    </row>
    <row r="111" spans="1:9" x14ac:dyDescent="0.25">
      <c r="A111" s="94" t="s">
        <v>304</v>
      </c>
      <c r="B111" s="94" t="s">
        <v>131</v>
      </c>
      <c r="C111" s="94">
        <v>21894</v>
      </c>
      <c r="D111" s="94" t="s">
        <v>902</v>
      </c>
      <c r="E111" s="94"/>
      <c r="F111" s="94"/>
      <c r="G111" s="94" t="str">
        <f t="shared" si="1"/>
        <v>LymhurstB15</v>
      </c>
      <c r="H111" s="94" t="s">
        <v>377</v>
      </c>
      <c r="I111" s="94">
        <v>15</v>
      </c>
    </row>
    <row r="112" spans="1:9" x14ac:dyDescent="0.25">
      <c r="A112" s="94" t="s">
        <v>304</v>
      </c>
      <c r="B112" s="94" t="s">
        <v>132</v>
      </c>
      <c r="C112" s="94">
        <v>20990</v>
      </c>
      <c r="D112" s="94" t="s">
        <v>940</v>
      </c>
      <c r="E112" s="94">
        <v>18802</v>
      </c>
      <c r="F112" s="94" t="s">
        <v>940</v>
      </c>
      <c r="G112" s="94" t="str">
        <f t="shared" si="1"/>
        <v>MartlockB15</v>
      </c>
      <c r="H112" s="94" t="s">
        <v>377</v>
      </c>
      <c r="I112" s="94">
        <v>15</v>
      </c>
    </row>
    <row r="113" spans="1:9" x14ac:dyDescent="0.25">
      <c r="A113" s="94" t="s">
        <v>304</v>
      </c>
      <c r="B113" s="94" t="s">
        <v>133</v>
      </c>
      <c r="C113" s="94">
        <v>20464</v>
      </c>
      <c r="D113" s="94" t="s">
        <v>942</v>
      </c>
      <c r="E113" s="94">
        <v>18812</v>
      </c>
      <c r="F113" s="94" t="s">
        <v>955</v>
      </c>
      <c r="G113" s="94" t="str">
        <f t="shared" si="1"/>
        <v>ThetfordB15</v>
      </c>
      <c r="H113" s="94" t="s">
        <v>377</v>
      </c>
      <c r="I113" s="94">
        <v>15</v>
      </c>
    </row>
    <row r="114" spans="1:9" x14ac:dyDescent="0.25">
      <c r="A114" s="94" t="s">
        <v>305</v>
      </c>
      <c r="B114" s="94" t="s">
        <v>127</v>
      </c>
      <c r="C114" s="94">
        <v>93998</v>
      </c>
      <c r="D114" s="94" t="s">
        <v>964</v>
      </c>
      <c r="E114" s="94"/>
      <c r="F114" s="94"/>
      <c r="G114" s="94" t="str">
        <f t="shared" si="1"/>
        <v>BrecilienB16</v>
      </c>
      <c r="H114" s="94" t="s">
        <v>377</v>
      </c>
      <c r="I114" s="94">
        <v>16</v>
      </c>
    </row>
    <row r="115" spans="1:9" x14ac:dyDescent="0.25">
      <c r="A115" s="94" t="s">
        <v>305</v>
      </c>
      <c r="B115" s="94" t="s">
        <v>128</v>
      </c>
      <c r="C115" s="94">
        <v>111076</v>
      </c>
      <c r="D115" s="94" t="s">
        <v>925</v>
      </c>
      <c r="E115" s="94">
        <v>89661</v>
      </c>
      <c r="F115" s="94" t="s">
        <v>941</v>
      </c>
      <c r="G115" s="94" t="str">
        <f t="shared" si="1"/>
        <v>BridgewatchB16</v>
      </c>
      <c r="H115" s="94" t="s">
        <v>377</v>
      </c>
      <c r="I115" s="94">
        <v>16</v>
      </c>
    </row>
    <row r="116" spans="1:9" x14ac:dyDescent="0.25">
      <c r="A116" s="94" t="s">
        <v>305</v>
      </c>
      <c r="B116" s="94" t="s">
        <v>129</v>
      </c>
      <c r="C116" s="94">
        <v>150000</v>
      </c>
      <c r="D116" s="94" t="s">
        <v>963</v>
      </c>
      <c r="E116" s="94"/>
      <c r="F116" s="94"/>
      <c r="G116" s="94" t="str">
        <f t="shared" si="1"/>
        <v>CaerleonB16</v>
      </c>
      <c r="H116" s="94" t="s">
        <v>377</v>
      </c>
      <c r="I116" s="94">
        <v>16</v>
      </c>
    </row>
    <row r="117" spans="1:9" x14ac:dyDescent="0.25">
      <c r="A117" s="94" t="s">
        <v>305</v>
      </c>
      <c r="B117" s="94" t="s">
        <v>130</v>
      </c>
      <c r="C117" s="94">
        <v>143950</v>
      </c>
      <c r="D117" s="94" t="s">
        <v>902</v>
      </c>
      <c r="E117" s="94">
        <v>97250</v>
      </c>
      <c r="F117" s="94" t="s">
        <v>939</v>
      </c>
      <c r="G117" s="94" t="str">
        <f t="shared" si="1"/>
        <v>Fort SterlingB16</v>
      </c>
      <c r="H117" s="94" t="s">
        <v>377</v>
      </c>
      <c r="I117" s="94">
        <v>16</v>
      </c>
    </row>
    <row r="118" spans="1:9" x14ac:dyDescent="0.25">
      <c r="A118" s="94" t="s">
        <v>305</v>
      </c>
      <c r="B118" s="94" t="s">
        <v>131</v>
      </c>
      <c r="C118" s="94">
        <v>113878</v>
      </c>
      <c r="D118" s="94" t="s">
        <v>947</v>
      </c>
      <c r="E118" s="94">
        <v>93070</v>
      </c>
      <c r="F118" s="94" t="s">
        <v>939</v>
      </c>
      <c r="G118" s="94" t="str">
        <f t="shared" si="1"/>
        <v>LymhurstB16</v>
      </c>
      <c r="H118" s="94" t="s">
        <v>377</v>
      </c>
      <c r="I118" s="94">
        <v>16</v>
      </c>
    </row>
    <row r="119" spans="1:9" x14ac:dyDescent="0.25">
      <c r="A119" s="94" t="s">
        <v>305</v>
      </c>
      <c r="B119" s="94" t="s">
        <v>132</v>
      </c>
      <c r="C119" s="94">
        <v>138866</v>
      </c>
      <c r="D119" s="94" t="s">
        <v>939</v>
      </c>
      <c r="E119" s="94">
        <v>88076</v>
      </c>
      <c r="F119" s="94" t="s">
        <v>939</v>
      </c>
      <c r="G119" s="94" t="str">
        <f t="shared" si="1"/>
        <v>MartlockB16</v>
      </c>
      <c r="H119" s="94" t="s">
        <v>377</v>
      </c>
      <c r="I119" s="94">
        <v>16</v>
      </c>
    </row>
    <row r="120" spans="1:9" x14ac:dyDescent="0.25">
      <c r="A120" s="94" t="s">
        <v>305</v>
      </c>
      <c r="B120" s="94" t="s">
        <v>133</v>
      </c>
      <c r="C120" s="94">
        <v>119995</v>
      </c>
      <c r="D120" s="94" t="s">
        <v>942</v>
      </c>
      <c r="E120" s="94">
        <v>91863</v>
      </c>
      <c r="F120" s="94" t="s">
        <v>942</v>
      </c>
      <c r="G120" s="94" t="str">
        <f t="shared" si="1"/>
        <v>ThetfordB16</v>
      </c>
      <c r="H120" s="94" t="s">
        <v>377</v>
      </c>
      <c r="I120" s="94">
        <v>16</v>
      </c>
    </row>
    <row r="121" spans="1:9" x14ac:dyDescent="0.25">
      <c r="A121" s="94" t="s">
        <v>306</v>
      </c>
      <c r="B121" s="94" t="s">
        <v>127</v>
      </c>
      <c r="C121" s="94">
        <v>1717</v>
      </c>
      <c r="D121" s="94" t="s">
        <v>949</v>
      </c>
      <c r="E121" s="94">
        <v>1612</v>
      </c>
      <c r="F121" s="94" t="s">
        <v>949</v>
      </c>
      <c r="G121" s="94" t="str">
        <f t="shared" si="1"/>
        <v>BrecilienB17</v>
      </c>
      <c r="H121" s="94" t="s">
        <v>377</v>
      </c>
      <c r="I121" s="94">
        <v>17</v>
      </c>
    </row>
    <row r="122" spans="1:9" x14ac:dyDescent="0.25">
      <c r="A122" s="94" t="s">
        <v>306</v>
      </c>
      <c r="B122" s="94" t="s">
        <v>128</v>
      </c>
      <c r="C122" s="94">
        <v>1920</v>
      </c>
      <c r="D122" s="94" t="s">
        <v>917</v>
      </c>
      <c r="E122" s="94">
        <v>1855</v>
      </c>
      <c r="F122" s="94" t="s">
        <v>917</v>
      </c>
      <c r="G122" s="94" t="str">
        <f t="shared" si="1"/>
        <v>BridgewatchB17</v>
      </c>
      <c r="H122" s="94" t="s">
        <v>377</v>
      </c>
      <c r="I122" s="94">
        <v>17</v>
      </c>
    </row>
    <row r="123" spans="1:9" x14ac:dyDescent="0.25">
      <c r="A123" s="94" t="s">
        <v>306</v>
      </c>
      <c r="B123" s="94" t="s">
        <v>129</v>
      </c>
      <c r="C123" s="94">
        <v>1710</v>
      </c>
      <c r="D123" s="94" t="s">
        <v>963</v>
      </c>
      <c r="E123" s="94">
        <v>1113</v>
      </c>
      <c r="F123" s="94" t="s">
        <v>965</v>
      </c>
      <c r="G123" s="94" t="str">
        <f t="shared" si="1"/>
        <v>CaerleonB17</v>
      </c>
      <c r="H123" s="94" t="s">
        <v>377</v>
      </c>
      <c r="I123" s="94">
        <v>17</v>
      </c>
    </row>
    <row r="124" spans="1:9" x14ac:dyDescent="0.25">
      <c r="A124" s="94" t="s">
        <v>306</v>
      </c>
      <c r="B124" s="94" t="s">
        <v>130</v>
      </c>
      <c r="C124" s="94">
        <v>2598</v>
      </c>
      <c r="D124" s="94" t="s">
        <v>902</v>
      </c>
      <c r="E124" s="94">
        <v>1</v>
      </c>
      <c r="F124" s="94" t="s">
        <v>931</v>
      </c>
      <c r="G124" s="94" t="str">
        <f t="shared" si="1"/>
        <v>Fort SterlingB17</v>
      </c>
      <c r="H124" s="94" t="s">
        <v>377</v>
      </c>
      <c r="I124" s="94">
        <v>17</v>
      </c>
    </row>
    <row r="125" spans="1:9" x14ac:dyDescent="0.25">
      <c r="A125" s="94" t="s">
        <v>306</v>
      </c>
      <c r="B125" s="94" t="s">
        <v>131</v>
      </c>
      <c r="C125" s="94">
        <v>2281</v>
      </c>
      <c r="D125" s="94" t="s">
        <v>902</v>
      </c>
      <c r="E125" s="94">
        <v>1989</v>
      </c>
      <c r="F125" s="94" t="s">
        <v>956</v>
      </c>
      <c r="G125" s="94" t="str">
        <f t="shared" si="1"/>
        <v>LymhurstB17</v>
      </c>
      <c r="H125" s="94" t="s">
        <v>377</v>
      </c>
      <c r="I125" s="94">
        <v>17</v>
      </c>
    </row>
    <row r="126" spans="1:9" x14ac:dyDescent="0.25">
      <c r="A126" s="94" t="s">
        <v>306</v>
      </c>
      <c r="B126" s="94" t="s">
        <v>132</v>
      </c>
      <c r="C126" s="94">
        <v>2023</v>
      </c>
      <c r="D126" s="94" t="s">
        <v>966</v>
      </c>
      <c r="E126" s="94">
        <v>1882</v>
      </c>
      <c r="F126" s="94" t="s">
        <v>966</v>
      </c>
      <c r="G126" s="94" t="str">
        <f t="shared" si="1"/>
        <v>MartlockB17</v>
      </c>
      <c r="H126" s="94" t="s">
        <v>377</v>
      </c>
      <c r="I126" s="94">
        <v>17</v>
      </c>
    </row>
    <row r="127" spans="1:9" x14ac:dyDescent="0.25">
      <c r="A127" s="94" t="s">
        <v>306</v>
      </c>
      <c r="B127" s="94" t="s">
        <v>133</v>
      </c>
      <c r="C127" s="94">
        <v>1939</v>
      </c>
      <c r="D127" s="94" t="s">
        <v>940</v>
      </c>
      <c r="E127" s="94">
        <v>1937</v>
      </c>
      <c r="F127" s="94" t="s">
        <v>942</v>
      </c>
      <c r="G127" s="94" t="str">
        <f t="shared" si="1"/>
        <v>ThetfordB17</v>
      </c>
      <c r="H127" s="94" t="s">
        <v>377</v>
      </c>
      <c r="I127" s="94">
        <v>17</v>
      </c>
    </row>
    <row r="128" spans="1:9" x14ac:dyDescent="0.25">
      <c r="A128" s="94" t="s">
        <v>307</v>
      </c>
      <c r="B128" s="94" t="s">
        <v>127</v>
      </c>
      <c r="C128" s="94">
        <v>3737</v>
      </c>
      <c r="D128" s="94" t="s">
        <v>949</v>
      </c>
      <c r="E128" s="94">
        <v>3153</v>
      </c>
      <c r="F128" s="94" t="s">
        <v>949</v>
      </c>
      <c r="G128" s="94" t="str">
        <f t="shared" si="1"/>
        <v>BrecilienB18</v>
      </c>
      <c r="H128" s="94" t="s">
        <v>377</v>
      </c>
      <c r="I128" s="94">
        <v>18</v>
      </c>
    </row>
    <row r="129" spans="1:9" x14ac:dyDescent="0.25">
      <c r="A129" s="94" t="s">
        <v>307</v>
      </c>
      <c r="B129" s="94" t="s">
        <v>128</v>
      </c>
      <c r="C129" s="94">
        <v>3488</v>
      </c>
      <c r="D129" s="94" t="s">
        <v>967</v>
      </c>
      <c r="E129" s="94">
        <v>3319</v>
      </c>
      <c r="F129" s="94" t="s">
        <v>956</v>
      </c>
      <c r="G129" s="94" t="str">
        <f t="shared" si="1"/>
        <v>BridgewatchB18</v>
      </c>
      <c r="H129" s="94" t="s">
        <v>377</v>
      </c>
      <c r="I129" s="94">
        <v>18</v>
      </c>
    </row>
    <row r="130" spans="1:9" x14ac:dyDescent="0.25">
      <c r="A130" s="94" t="s">
        <v>307</v>
      </c>
      <c r="B130" s="94" t="s">
        <v>129</v>
      </c>
      <c r="C130" s="94">
        <v>4395</v>
      </c>
      <c r="D130" s="94" t="s">
        <v>963</v>
      </c>
      <c r="E130" s="94"/>
      <c r="F130" s="94"/>
      <c r="G130" s="94" t="str">
        <f t="shared" si="1"/>
        <v>CaerleonB18</v>
      </c>
      <c r="H130" s="94" t="s">
        <v>377</v>
      </c>
      <c r="I130" s="94">
        <v>18</v>
      </c>
    </row>
    <row r="131" spans="1:9" x14ac:dyDescent="0.25">
      <c r="A131" s="94" t="s">
        <v>307</v>
      </c>
      <c r="B131" s="94" t="s">
        <v>130</v>
      </c>
      <c r="C131" s="94">
        <v>4959</v>
      </c>
      <c r="D131" s="94" t="s">
        <v>902</v>
      </c>
      <c r="E131" s="94">
        <v>3875</v>
      </c>
      <c r="F131" s="94" t="s">
        <v>921</v>
      </c>
      <c r="G131" s="94" t="str">
        <f t="shared" ref="G131:G190" si="2">_xlfn.CONCAT(B131,H131,I131)</f>
        <v>Fort SterlingB18</v>
      </c>
      <c r="H131" s="94" t="s">
        <v>377</v>
      </c>
      <c r="I131" s="94">
        <v>18</v>
      </c>
    </row>
    <row r="132" spans="1:9" x14ac:dyDescent="0.25">
      <c r="A132" s="94" t="s">
        <v>307</v>
      </c>
      <c r="B132" s="94" t="s">
        <v>131</v>
      </c>
      <c r="C132" s="94">
        <v>3899</v>
      </c>
      <c r="D132" s="94" t="s">
        <v>902</v>
      </c>
      <c r="E132" s="94">
        <v>3847</v>
      </c>
      <c r="F132" s="94" t="s">
        <v>955</v>
      </c>
      <c r="G132" s="94" t="str">
        <f t="shared" si="2"/>
        <v>LymhurstB18</v>
      </c>
      <c r="H132" s="94" t="s">
        <v>377</v>
      </c>
      <c r="I132" s="94">
        <v>18</v>
      </c>
    </row>
    <row r="133" spans="1:9" x14ac:dyDescent="0.25">
      <c r="A133" s="94" t="s">
        <v>307</v>
      </c>
      <c r="B133" s="94" t="s">
        <v>132</v>
      </c>
      <c r="C133" s="94">
        <v>3553</v>
      </c>
      <c r="D133" s="94" t="s">
        <v>940</v>
      </c>
      <c r="E133" s="94">
        <v>3541</v>
      </c>
      <c r="F133" s="94" t="s">
        <v>940</v>
      </c>
      <c r="G133" s="94" t="str">
        <f t="shared" si="2"/>
        <v>MartlockB18</v>
      </c>
      <c r="H133" s="94" t="s">
        <v>377</v>
      </c>
      <c r="I133" s="94">
        <v>18</v>
      </c>
    </row>
    <row r="134" spans="1:9" x14ac:dyDescent="0.25">
      <c r="A134" s="94" t="s">
        <v>307</v>
      </c>
      <c r="B134" s="94" t="s">
        <v>133</v>
      </c>
      <c r="C134" s="94">
        <v>4094</v>
      </c>
      <c r="D134" s="94" t="s">
        <v>942</v>
      </c>
      <c r="E134" s="94">
        <v>3703</v>
      </c>
      <c r="F134" s="94" t="s">
        <v>942</v>
      </c>
      <c r="G134" s="94" t="str">
        <f t="shared" si="2"/>
        <v>ThetfordB18</v>
      </c>
      <c r="H134" s="94" t="s">
        <v>377</v>
      </c>
      <c r="I134" s="94">
        <v>18</v>
      </c>
    </row>
    <row r="135" spans="1:9" x14ac:dyDescent="0.25">
      <c r="A135" s="94" t="s">
        <v>308</v>
      </c>
      <c r="B135" s="94" t="s">
        <v>127</v>
      </c>
      <c r="C135" s="94">
        <v>9000</v>
      </c>
      <c r="D135" s="94" t="s">
        <v>964</v>
      </c>
      <c r="E135" s="94"/>
      <c r="F135" s="94"/>
      <c r="G135" s="94" t="str">
        <f t="shared" si="2"/>
        <v>BrecilienB19</v>
      </c>
      <c r="H135" s="94" t="s">
        <v>377</v>
      </c>
      <c r="I135" s="94">
        <v>19</v>
      </c>
    </row>
    <row r="136" spans="1:9" x14ac:dyDescent="0.25">
      <c r="A136" s="94" t="s">
        <v>308</v>
      </c>
      <c r="B136" s="94" t="s">
        <v>128</v>
      </c>
      <c r="C136" s="94">
        <v>35548</v>
      </c>
      <c r="D136" s="94" t="s">
        <v>967</v>
      </c>
      <c r="E136" s="94">
        <v>7561</v>
      </c>
      <c r="F136" s="94" t="s">
        <v>941</v>
      </c>
      <c r="G136" s="94" t="str">
        <f t="shared" si="2"/>
        <v>BridgewatchB19</v>
      </c>
      <c r="H136" s="94" t="s">
        <v>377</v>
      </c>
      <c r="I136" s="94">
        <v>19</v>
      </c>
    </row>
    <row r="137" spans="1:9" x14ac:dyDescent="0.25">
      <c r="A137" s="94" t="s">
        <v>308</v>
      </c>
      <c r="B137" s="94" t="s">
        <v>129</v>
      </c>
      <c r="C137" s="94">
        <v>9950</v>
      </c>
      <c r="D137" s="94" t="s">
        <v>968</v>
      </c>
      <c r="E137" s="94"/>
      <c r="F137" s="94"/>
      <c r="G137" s="94" t="str">
        <f t="shared" si="2"/>
        <v>CaerleonB19</v>
      </c>
      <c r="H137" s="94" t="s">
        <v>377</v>
      </c>
      <c r="I137" s="94">
        <v>19</v>
      </c>
    </row>
    <row r="138" spans="1:9" x14ac:dyDescent="0.25">
      <c r="A138" s="94" t="s">
        <v>308</v>
      </c>
      <c r="B138" s="94" t="s">
        <v>130</v>
      </c>
      <c r="C138" s="94">
        <v>18979</v>
      </c>
      <c r="D138" s="94" t="s">
        <v>902</v>
      </c>
      <c r="E138" s="94">
        <v>10397</v>
      </c>
      <c r="F138" s="94" t="s">
        <v>969</v>
      </c>
      <c r="G138" s="94" t="str">
        <f t="shared" si="2"/>
        <v>Fort SterlingB19</v>
      </c>
      <c r="H138" s="94" t="s">
        <v>377</v>
      </c>
      <c r="I138" s="94">
        <v>19</v>
      </c>
    </row>
    <row r="139" spans="1:9" x14ac:dyDescent="0.25">
      <c r="A139" s="94" t="s">
        <v>308</v>
      </c>
      <c r="B139" s="94" t="s">
        <v>131</v>
      </c>
      <c r="C139" s="94">
        <v>16496</v>
      </c>
      <c r="D139" s="94" t="s">
        <v>902</v>
      </c>
      <c r="E139" s="94">
        <v>15000</v>
      </c>
      <c r="F139" s="94" t="s">
        <v>938</v>
      </c>
      <c r="G139" s="94" t="str">
        <f t="shared" si="2"/>
        <v>LymhurstB19</v>
      </c>
      <c r="H139" s="94" t="s">
        <v>377</v>
      </c>
      <c r="I139" s="94">
        <v>19</v>
      </c>
    </row>
    <row r="140" spans="1:9" x14ac:dyDescent="0.25">
      <c r="A140" s="94" t="s">
        <v>308</v>
      </c>
      <c r="B140" s="94" t="s">
        <v>132</v>
      </c>
      <c r="C140" s="94">
        <v>10998</v>
      </c>
      <c r="D140" s="94" t="s">
        <v>940</v>
      </c>
      <c r="E140" s="94">
        <v>8082</v>
      </c>
      <c r="F140" s="94" t="s">
        <v>940</v>
      </c>
      <c r="G140" s="94" t="str">
        <f t="shared" si="2"/>
        <v>MartlockB19</v>
      </c>
      <c r="H140" s="94" t="s">
        <v>377</v>
      </c>
      <c r="I140" s="94">
        <v>19</v>
      </c>
    </row>
    <row r="141" spans="1:9" x14ac:dyDescent="0.25">
      <c r="A141" s="94" t="s">
        <v>308</v>
      </c>
      <c r="B141" s="94" t="s">
        <v>133</v>
      </c>
      <c r="C141" s="94">
        <v>12554</v>
      </c>
      <c r="D141" s="94" t="s">
        <v>969</v>
      </c>
      <c r="E141" s="94">
        <v>12200</v>
      </c>
      <c r="F141" s="94" t="s">
        <v>942</v>
      </c>
      <c r="G141" s="94" t="str">
        <f t="shared" si="2"/>
        <v>ThetfordB19</v>
      </c>
      <c r="H141" s="94" t="s">
        <v>377</v>
      </c>
      <c r="I141" s="94">
        <v>19</v>
      </c>
    </row>
    <row r="142" spans="1:9" x14ac:dyDescent="0.25">
      <c r="A142" s="94" t="s">
        <v>309</v>
      </c>
      <c r="B142" s="94" t="s">
        <v>127</v>
      </c>
      <c r="C142" s="94">
        <v>57987</v>
      </c>
      <c r="D142" s="94" t="s">
        <v>970</v>
      </c>
      <c r="E142" s="94"/>
      <c r="F142" s="94"/>
      <c r="G142" s="94" t="str">
        <f t="shared" si="2"/>
        <v>BrecilienB20</v>
      </c>
      <c r="H142" s="94" t="s">
        <v>377</v>
      </c>
      <c r="I142" s="94">
        <v>20</v>
      </c>
    </row>
    <row r="143" spans="1:9" x14ac:dyDescent="0.25">
      <c r="A143" s="94" t="s">
        <v>309</v>
      </c>
      <c r="B143" s="94" t="s">
        <v>128</v>
      </c>
      <c r="C143" s="94">
        <v>79910</v>
      </c>
      <c r="D143" s="94" t="s">
        <v>967</v>
      </c>
      <c r="E143" s="94">
        <v>65008</v>
      </c>
      <c r="F143" s="94" t="s">
        <v>939</v>
      </c>
      <c r="G143" s="94" t="str">
        <f t="shared" si="2"/>
        <v>BridgewatchB20</v>
      </c>
      <c r="H143" s="94" t="s">
        <v>377</v>
      </c>
      <c r="I143" s="94">
        <v>20</v>
      </c>
    </row>
    <row r="144" spans="1:9" x14ac:dyDescent="0.25">
      <c r="A144" s="94" t="s">
        <v>309</v>
      </c>
      <c r="B144" s="94" t="s">
        <v>129</v>
      </c>
      <c r="C144" s="94">
        <v>69999</v>
      </c>
      <c r="D144" s="94" t="s">
        <v>963</v>
      </c>
      <c r="E144" s="94"/>
      <c r="F144" s="94"/>
      <c r="G144" s="94" t="str">
        <f t="shared" si="2"/>
        <v>CaerleonB20</v>
      </c>
      <c r="H144" s="94" t="s">
        <v>377</v>
      </c>
      <c r="I144" s="94">
        <v>20</v>
      </c>
    </row>
    <row r="145" spans="1:9" x14ac:dyDescent="0.25">
      <c r="A145" s="94" t="s">
        <v>309</v>
      </c>
      <c r="B145" s="94" t="s">
        <v>130</v>
      </c>
      <c r="C145" s="94">
        <v>72995</v>
      </c>
      <c r="D145" s="94" t="s">
        <v>902</v>
      </c>
      <c r="E145" s="94">
        <v>63007</v>
      </c>
      <c r="F145" s="94" t="s">
        <v>969</v>
      </c>
      <c r="G145" s="94" t="str">
        <f t="shared" si="2"/>
        <v>Fort SterlingB20</v>
      </c>
      <c r="H145" s="94" t="s">
        <v>377</v>
      </c>
      <c r="I145" s="94">
        <v>20</v>
      </c>
    </row>
    <row r="146" spans="1:9" x14ac:dyDescent="0.25">
      <c r="A146" s="94" t="s">
        <v>309</v>
      </c>
      <c r="B146" s="94" t="s">
        <v>131</v>
      </c>
      <c r="C146" s="94">
        <v>64995</v>
      </c>
      <c r="D146" s="94" t="s">
        <v>902</v>
      </c>
      <c r="E146" s="94">
        <v>60003</v>
      </c>
      <c r="F146" s="94" t="s">
        <v>955</v>
      </c>
      <c r="G146" s="94" t="str">
        <f t="shared" si="2"/>
        <v>LymhurstB20</v>
      </c>
      <c r="H146" s="94" t="s">
        <v>377</v>
      </c>
      <c r="I146" s="94">
        <v>20</v>
      </c>
    </row>
    <row r="147" spans="1:9" x14ac:dyDescent="0.25">
      <c r="A147" s="94" t="s">
        <v>309</v>
      </c>
      <c r="B147" s="94" t="s">
        <v>132</v>
      </c>
      <c r="C147" s="94">
        <v>70970</v>
      </c>
      <c r="D147" s="94" t="s">
        <v>940</v>
      </c>
      <c r="E147" s="94">
        <v>65504</v>
      </c>
      <c r="F147" s="94" t="s">
        <v>940</v>
      </c>
      <c r="G147" s="94" t="str">
        <f t="shared" si="2"/>
        <v>MartlockB20</v>
      </c>
      <c r="H147" s="94" t="s">
        <v>377</v>
      </c>
      <c r="I147" s="94">
        <v>20</v>
      </c>
    </row>
    <row r="148" spans="1:9" x14ac:dyDescent="0.25">
      <c r="A148" s="94" t="s">
        <v>309</v>
      </c>
      <c r="B148" s="94" t="s">
        <v>133</v>
      </c>
      <c r="C148" s="94">
        <v>69993</v>
      </c>
      <c r="D148" s="94" t="s">
        <v>942</v>
      </c>
      <c r="E148" s="94">
        <v>65004</v>
      </c>
      <c r="F148" s="94" t="s">
        <v>942</v>
      </c>
      <c r="G148" s="94" t="str">
        <f t="shared" si="2"/>
        <v>ThetfordB20</v>
      </c>
      <c r="H148" s="94" t="s">
        <v>377</v>
      </c>
      <c r="I148" s="94">
        <v>20</v>
      </c>
    </row>
    <row r="149" spans="1:9" x14ac:dyDescent="0.25">
      <c r="A149" s="94" t="s">
        <v>310</v>
      </c>
      <c r="B149" s="94" t="s">
        <v>127</v>
      </c>
      <c r="C149" s="94"/>
      <c r="D149" s="94"/>
      <c r="E149" s="94"/>
      <c r="F149" s="94"/>
      <c r="G149" s="94" t="str">
        <f t="shared" si="2"/>
        <v>BrecilienB21</v>
      </c>
      <c r="H149" s="94" t="s">
        <v>377</v>
      </c>
      <c r="I149" s="94">
        <v>21</v>
      </c>
    </row>
    <row r="150" spans="1:9" x14ac:dyDescent="0.25">
      <c r="A150" s="94" t="s">
        <v>310</v>
      </c>
      <c r="B150" s="94" t="s">
        <v>128</v>
      </c>
      <c r="C150" s="94">
        <v>299885</v>
      </c>
      <c r="D150" s="94" t="s">
        <v>925</v>
      </c>
      <c r="E150" s="94">
        <v>181481</v>
      </c>
      <c r="F150" s="94" t="s">
        <v>939</v>
      </c>
      <c r="G150" s="94" t="str">
        <f t="shared" si="2"/>
        <v>BridgewatchB21</v>
      </c>
      <c r="H150" s="94" t="s">
        <v>377</v>
      </c>
      <c r="I150" s="94">
        <v>21</v>
      </c>
    </row>
    <row r="151" spans="1:9" x14ac:dyDescent="0.25">
      <c r="A151" s="94" t="s">
        <v>310</v>
      </c>
      <c r="B151" s="94" t="s">
        <v>129</v>
      </c>
      <c r="C151" s="94">
        <v>1000000</v>
      </c>
      <c r="D151" s="94" t="s">
        <v>963</v>
      </c>
      <c r="E151" s="94"/>
      <c r="F151" s="94"/>
      <c r="G151" s="94" t="str">
        <f t="shared" si="2"/>
        <v>CaerleonB21</v>
      </c>
      <c r="H151" s="94" t="s">
        <v>377</v>
      </c>
      <c r="I151" s="94">
        <v>21</v>
      </c>
    </row>
    <row r="152" spans="1:9" x14ac:dyDescent="0.25">
      <c r="A152" s="94" t="s">
        <v>310</v>
      </c>
      <c r="B152" s="94" t="s">
        <v>130</v>
      </c>
      <c r="C152" s="94">
        <v>275000</v>
      </c>
      <c r="D152" s="94" t="s">
        <v>902</v>
      </c>
      <c r="E152" s="94">
        <v>247100</v>
      </c>
      <c r="F152" s="94" t="s">
        <v>921</v>
      </c>
      <c r="G152" s="94" t="str">
        <f t="shared" si="2"/>
        <v>Fort SterlingB21</v>
      </c>
      <c r="H152" s="94" t="s">
        <v>377</v>
      </c>
      <c r="I152" s="94">
        <v>21</v>
      </c>
    </row>
    <row r="153" spans="1:9" x14ac:dyDescent="0.25">
      <c r="A153" s="94" t="s">
        <v>310</v>
      </c>
      <c r="B153" s="94" t="s">
        <v>131</v>
      </c>
      <c r="C153" s="94">
        <v>277770</v>
      </c>
      <c r="D153" s="94" t="s">
        <v>933</v>
      </c>
      <c r="E153" s="94">
        <v>228027</v>
      </c>
      <c r="F153" s="94" t="s">
        <v>956</v>
      </c>
      <c r="G153" s="94" t="str">
        <f t="shared" si="2"/>
        <v>LymhurstB21</v>
      </c>
      <c r="H153" s="94" t="s">
        <v>377</v>
      </c>
      <c r="I153" s="94">
        <v>21</v>
      </c>
    </row>
    <row r="154" spans="1:9" x14ac:dyDescent="0.25">
      <c r="A154" s="94" t="s">
        <v>310</v>
      </c>
      <c r="B154" s="94" t="s">
        <v>132</v>
      </c>
      <c r="C154" s="94">
        <v>283281</v>
      </c>
      <c r="D154" s="94" t="s">
        <v>940</v>
      </c>
      <c r="E154" s="94">
        <v>217023</v>
      </c>
      <c r="F154" s="94" t="s">
        <v>940</v>
      </c>
      <c r="G154" s="94" t="str">
        <f t="shared" si="2"/>
        <v>MartlockB21</v>
      </c>
      <c r="H154" s="94" t="s">
        <v>377</v>
      </c>
      <c r="I154" s="94">
        <v>21</v>
      </c>
    </row>
    <row r="155" spans="1:9" x14ac:dyDescent="0.25">
      <c r="A155" s="94" t="s">
        <v>310</v>
      </c>
      <c r="B155" s="94" t="s">
        <v>133</v>
      </c>
      <c r="C155" s="94">
        <v>286660</v>
      </c>
      <c r="D155" s="94" t="s">
        <v>920</v>
      </c>
      <c r="E155" s="94">
        <v>234137</v>
      </c>
      <c r="F155" s="94" t="s">
        <v>942</v>
      </c>
      <c r="G155" s="94" t="str">
        <f t="shared" si="2"/>
        <v>ThetfordB21</v>
      </c>
      <c r="H155" s="94" t="s">
        <v>377</v>
      </c>
      <c r="I155" s="94">
        <v>21</v>
      </c>
    </row>
    <row r="156" spans="1:9" x14ac:dyDescent="0.25">
      <c r="A156" s="94" t="s">
        <v>311</v>
      </c>
      <c r="B156" s="94" t="s">
        <v>127</v>
      </c>
      <c r="C156" s="94">
        <v>7218</v>
      </c>
      <c r="D156" s="94" t="s">
        <v>949</v>
      </c>
      <c r="E156" s="94">
        <v>6386</v>
      </c>
      <c r="F156" s="94" t="s">
        <v>949</v>
      </c>
      <c r="G156" s="94" t="str">
        <f t="shared" si="2"/>
        <v>BrecilienB22</v>
      </c>
      <c r="H156" s="94" t="s">
        <v>377</v>
      </c>
      <c r="I156" s="94">
        <v>22</v>
      </c>
    </row>
    <row r="157" spans="1:9" x14ac:dyDescent="0.25">
      <c r="A157" s="94" t="s">
        <v>311</v>
      </c>
      <c r="B157" s="94" t="s">
        <v>128</v>
      </c>
      <c r="C157" s="94">
        <v>7838</v>
      </c>
      <c r="D157" s="94" t="s">
        <v>956</v>
      </c>
      <c r="E157" s="94">
        <v>7043</v>
      </c>
      <c r="F157" s="94" t="s">
        <v>939</v>
      </c>
      <c r="G157" s="94" t="str">
        <f t="shared" si="2"/>
        <v>BridgewatchB22</v>
      </c>
      <c r="H157" s="94" t="s">
        <v>377</v>
      </c>
      <c r="I157" s="94">
        <v>22</v>
      </c>
    </row>
    <row r="158" spans="1:9" x14ac:dyDescent="0.25">
      <c r="A158" s="94" t="s">
        <v>311</v>
      </c>
      <c r="B158" s="94" t="s">
        <v>129</v>
      </c>
      <c r="C158" s="94">
        <v>7694</v>
      </c>
      <c r="D158" s="94" t="s">
        <v>963</v>
      </c>
      <c r="E158" s="94"/>
      <c r="F158" s="94"/>
      <c r="G158" s="94" t="str">
        <f t="shared" si="2"/>
        <v>CaerleonB22</v>
      </c>
      <c r="H158" s="94" t="s">
        <v>377</v>
      </c>
      <c r="I158" s="94">
        <v>22</v>
      </c>
    </row>
    <row r="159" spans="1:9" x14ac:dyDescent="0.25">
      <c r="A159" s="94" t="s">
        <v>311</v>
      </c>
      <c r="B159" s="94" t="s">
        <v>130</v>
      </c>
      <c r="C159" s="94">
        <v>9098</v>
      </c>
      <c r="D159" s="94" t="s">
        <v>902</v>
      </c>
      <c r="E159" s="94">
        <v>8001</v>
      </c>
      <c r="F159" s="94" t="s">
        <v>971</v>
      </c>
      <c r="G159" s="94" t="str">
        <f t="shared" si="2"/>
        <v>Fort SterlingB22</v>
      </c>
      <c r="H159" s="94" t="s">
        <v>377</v>
      </c>
      <c r="I159" s="94">
        <v>22</v>
      </c>
    </row>
    <row r="160" spans="1:9" x14ac:dyDescent="0.25">
      <c r="A160" s="94" t="s">
        <v>311</v>
      </c>
      <c r="B160" s="94" t="s">
        <v>131</v>
      </c>
      <c r="C160" s="94">
        <v>9874</v>
      </c>
      <c r="D160" s="94" t="s">
        <v>902</v>
      </c>
      <c r="E160" s="94">
        <v>7700</v>
      </c>
      <c r="F160" s="94" t="s">
        <v>955</v>
      </c>
      <c r="G160" s="94" t="str">
        <f t="shared" si="2"/>
        <v>LymhurstB22</v>
      </c>
      <c r="H160" s="94" t="s">
        <v>377</v>
      </c>
      <c r="I160" s="94">
        <v>22</v>
      </c>
    </row>
    <row r="161" spans="1:9" x14ac:dyDescent="0.25">
      <c r="A161" s="94" t="s">
        <v>311</v>
      </c>
      <c r="B161" s="94" t="s">
        <v>132</v>
      </c>
      <c r="C161" s="94">
        <v>9591</v>
      </c>
      <c r="D161" s="94" t="s">
        <v>956</v>
      </c>
      <c r="E161" s="94">
        <v>7233</v>
      </c>
      <c r="F161" s="94" t="s">
        <v>939</v>
      </c>
      <c r="G161" s="94" t="str">
        <f t="shared" si="2"/>
        <v>MartlockB22</v>
      </c>
      <c r="H161" s="94" t="s">
        <v>377</v>
      </c>
      <c r="I161" s="94">
        <v>22</v>
      </c>
    </row>
    <row r="162" spans="1:9" x14ac:dyDescent="0.25">
      <c r="A162" s="94" t="s">
        <v>311</v>
      </c>
      <c r="B162" s="94" t="s">
        <v>133</v>
      </c>
      <c r="C162" s="94">
        <v>7986</v>
      </c>
      <c r="D162" s="94" t="s">
        <v>939</v>
      </c>
      <c r="E162" s="94">
        <v>7800</v>
      </c>
      <c r="F162" s="94" t="s">
        <v>969</v>
      </c>
      <c r="G162" s="94" t="str">
        <f t="shared" si="2"/>
        <v>ThetfordB22</v>
      </c>
      <c r="H162" s="94" t="s">
        <v>377</v>
      </c>
      <c r="I162" s="94">
        <v>22</v>
      </c>
    </row>
    <row r="163" spans="1:9" x14ac:dyDescent="0.25">
      <c r="A163" s="94" t="s">
        <v>312</v>
      </c>
      <c r="B163" s="94" t="s">
        <v>127</v>
      </c>
      <c r="C163" s="94">
        <v>14489</v>
      </c>
      <c r="D163" s="94" t="s">
        <v>949</v>
      </c>
      <c r="E163" s="94">
        <v>7240</v>
      </c>
      <c r="F163" s="94" t="s">
        <v>949</v>
      </c>
      <c r="G163" s="94" t="str">
        <f t="shared" si="2"/>
        <v>BrecilienB23</v>
      </c>
      <c r="H163" s="94" t="s">
        <v>377</v>
      </c>
      <c r="I163" s="94">
        <v>23</v>
      </c>
    </row>
    <row r="164" spans="1:9" x14ac:dyDescent="0.25">
      <c r="A164" s="94" t="s">
        <v>312</v>
      </c>
      <c r="B164" s="94" t="s">
        <v>128</v>
      </c>
      <c r="C164" s="94">
        <v>8899</v>
      </c>
      <c r="D164" s="94" t="s">
        <v>972</v>
      </c>
      <c r="E164" s="94">
        <v>7556</v>
      </c>
      <c r="F164" s="94" t="s">
        <v>956</v>
      </c>
      <c r="G164" s="94" t="str">
        <f t="shared" si="2"/>
        <v>BridgewatchB23</v>
      </c>
      <c r="H164" s="94" t="s">
        <v>377</v>
      </c>
      <c r="I164" s="94">
        <v>23</v>
      </c>
    </row>
    <row r="165" spans="1:9" x14ac:dyDescent="0.25">
      <c r="A165" s="94" t="s">
        <v>312</v>
      </c>
      <c r="B165" s="94" t="s">
        <v>129</v>
      </c>
      <c r="C165" s="94">
        <v>19970</v>
      </c>
      <c r="D165" s="94" t="s">
        <v>963</v>
      </c>
      <c r="E165" s="94"/>
      <c r="F165" s="94"/>
      <c r="G165" s="94" t="str">
        <f t="shared" si="2"/>
        <v>CaerleonB23</v>
      </c>
      <c r="H165" s="94" t="s">
        <v>377</v>
      </c>
      <c r="I165" s="94">
        <v>23</v>
      </c>
    </row>
    <row r="166" spans="1:9" x14ac:dyDescent="0.25">
      <c r="A166" s="94" t="s">
        <v>312</v>
      </c>
      <c r="B166" s="94" t="s">
        <v>130</v>
      </c>
      <c r="C166" s="94">
        <v>10873</v>
      </c>
      <c r="D166" s="94" t="s">
        <v>902</v>
      </c>
      <c r="E166" s="94">
        <v>9013</v>
      </c>
      <c r="F166" s="94" t="s">
        <v>971</v>
      </c>
      <c r="G166" s="94" t="str">
        <f t="shared" si="2"/>
        <v>Fort SterlingB23</v>
      </c>
      <c r="H166" s="94" t="s">
        <v>377</v>
      </c>
      <c r="I166" s="94">
        <v>23</v>
      </c>
    </row>
    <row r="167" spans="1:9" x14ac:dyDescent="0.25">
      <c r="A167" s="94" t="s">
        <v>312</v>
      </c>
      <c r="B167" s="94" t="s">
        <v>131</v>
      </c>
      <c r="C167" s="94">
        <v>8890</v>
      </c>
      <c r="D167" s="94" t="s">
        <v>902</v>
      </c>
      <c r="E167" s="94">
        <v>8201</v>
      </c>
      <c r="F167" s="94" t="s">
        <v>955</v>
      </c>
      <c r="G167" s="94" t="str">
        <f t="shared" si="2"/>
        <v>LymhurstB23</v>
      </c>
      <c r="H167" s="94" t="s">
        <v>377</v>
      </c>
      <c r="I167" s="94">
        <v>23</v>
      </c>
    </row>
    <row r="168" spans="1:9" x14ac:dyDescent="0.25">
      <c r="A168" s="94" t="s">
        <v>312</v>
      </c>
      <c r="B168" s="94" t="s">
        <v>132</v>
      </c>
      <c r="C168" s="94">
        <v>10295</v>
      </c>
      <c r="D168" s="94" t="s">
        <v>973</v>
      </c>
      <c r="E168" s="94">
        <v>6816</v>
      </c>
      <c r="F168" s="94" t="s">
        <v>941</v>
      </c>
      <c r="G168" s="94" t="str">
        <f t="shared" si="2"/>
        <v>MartlockB23</v>
      </c>
      <c r="H168" s="94" t="s">
        <v>377</v>
      </c>
      <c r="I168" s="94">
        <v>23</v>
      </c>
    </row>
    <row r="169" spans="1:9" x14ac:dyDescent="0.25">
      <c r="A169" s="94" t="s">
        <v>312</v>
      </c>
      <c r="B169" s="94" t="s">
        <v>133</v>
      </c>
      <c r="C169" s="94">
        <v>10677</v>
      </c>
      <c r="D169" s="94" t="s">
        <v>903</v>
      </c>
      <c r="E169" s="94">
        <v>7443</v>
      </c>
      <c r="F169" s="94" t="s">
        <v>940</v>
      </c>
      <c r="G169" s="94" t="str">
        <f t="shared" si="2"/>
        <v>ThetfordB23</v>
      </c>
      <c r="H169" s="94" t="s">
        <v>377</v>
      </c>
      <c r="I169" s="94">
        <v>23</v>
      </c>
    </row>
    <row r="170" spans="1:9" x14ac:dyDescent="0.25">
      <c r="A170" s="94" t="s">
        <v>313</v>
      </c>
      <c r="B170" s="94" t="s">
        <v>127</v>
      </c>
      <c r="C170" s="94">
        <v>53890</v>
      </c>
      <c r="D170" s="94" t="s">
        <v>964</v>
      </c>
      <c r="E170" s="94"/>
      <c r="F170" s="94"/>
      <c r="G170" s="94" t="str">
        <f t="shared" si="2"/>
        <v>BrecilienB24</v>
      </c>
      <c r="H170" s="94" t="s">
        <v>377</v>
      </c>
      <c r="I170" s="94">
        <v>24</v>
      </c>
    </row>
    <row r="171" spans="1:9" x14ac:dyDescent="0.25">
      <c r="A171" s="94" t="s">
        <v>313</v>
      </c>
      <c r="B171" s="94" t="s">
        <v>128</v>
      </c>
      <c r="C171" s="94">
        <v>58044</v>
      </c>
      <c r="D171" s="94" t="s">
        <v>925</v>
      </c>
      <c r="E171" s="94">
        <v>50034</v>
      </c>
      <c r="F171" s="94" t="s">
        <v>955</v>
      </c>
      <c r="G171" s="94" t="str">
        <f t="shared" si="2"/>
        <v>BridgewatchB24</v>
      </c>
      <c r="H171" s="94" t="s">
        <v>377</v>
      </c>
      <c r="I171" s="94">
        <v>24</v>
      </c>
    </row>
    <row r="172" spans="1:9" x14ac:dyDescent="0.25">
      <c r="A172" s="94" t="s">
        <v>313</v>
      </c>
      <c r="B172" s="94" t="s">
        <v>129</v>
      </c>
      <c r="C172" s="94">
        <v>72200</v>
      </c>
      <c r="D172" s="94" t="s">
        <v>963</v>
      </c>
      <c r="E172" s="94"/>
      <c r="F172" s="94"/>
      <c r="G172" s="94" t="str">
        <f t="shared" si="2"/>
        <v>CaerleonB24</v>
      </c>
      <c r="H172" s="94" t="s">
        <v>377</v>
      </c>
      <c r="I172" s="94">
        <v>24</v>
      </c>
    </row>
    <row r="173" spans="1:9" x14ac:dyDescent="0.25">
      <c r="A173" s="94" t="s">
        <v>313</v>
      </c>
      <c r="B173" s="94" t="s">
        <v>130</v>
      </c>
      <c r="C173" s="94">
        <v>74154</v>
      </c>
      <c r="D173" s="94" t="s">
        <v>902</v>
      </c>
      <c r="E173" s="94">
        <v>50212</v>
      </c>
      <c r="F173" s="94" t="s">
        <v>971</v>
      </c>
      <c r="G173" s="94" t="str">
        <f t="shared" si="2"/>
        <v>Fort SterlingB24</v>
      </c>
      <c r="H173" s="94" t="s">
        <v>377</v>
      </c>
      <c r="I173" s="94">
        <v>24</v>
      </c>
    </row>
    <row r="174" spans="1:9" x14ac:dyDescent="0.25">
      <c r="A174" s="94" t="s">
        <v>313</v>
      </c>
      <c r="B174" s="94" t="s">
        <v>131</v>
      </c>
      <c r="C174" s="94">
        <v>56439</v>
      </c>
      <c r="D174" s="94" t="s">
        <v>902</v>
      </c>
      <c r="E174" s="94">
        <v>49150</v>
      </c>
      <c r="F174" s="94" t="s">
        <v>955</v>
      </c>
      <c r="G174" s="94" t="str">
        <f t="shared" si="2"/>
        <v>LymhurstB24</v>
      </c>
      <c r="H174" s="94" t="s">
        <v>377</v>
      </c>
      <c r="I174" s="94">
        <v>24</v>
      </c>
    </row>
    <row r="175" spans="1:9" x14ac:dyDescent="0.25">
      <c r="A175" s="94" t="s">
        <v>313</v>
      </c>
      <c r="B175" s="94" t="s">
        <v>132</v>
      </c>
      <c r="C175" s="94">
        <v>56884</v>
      </c>
      <c r="D175" s="94" t="s">
        <v>941</v>
      </c>
      <c r="E175" s="94">
        <v>51041</v>
      </c>
      <c r="F175" s="94" t="s">
        <v>941</v>
      </c>
      <c r="G175" s="94" t="str">
        <f t="shared" si="2"/>
        <v>MartlockB24</v>
      </c>
      <c r="H175" s="94" t="s">
        <v>377</v>
      </c>
      <c r="I175" s="94">
        <v>24</v>
      </c>
    </row>
    <row r="176" spans="1:9" x14ac:dyDescent="0.25">
      <c r="A176" s="94" t="s">
        <v>313</v>
      </c>
      <c r="B176" s="94" t="s">
        <v>133</v>
      </c>
      <c r="C176" s="94">
        <v>52998</v>
      </c>
      <c r="D176" s="94" t="s">
        <v>931</v>
      </c>
      <c r="E176" s="94">
        <v>51154</v>
      </c>
      <c r="F176" s="94" t="s">
        <v>942</v>
      </c>
      <c r="G176" s="94" t="str">
        <f t="shared" si="2"/>
        <v>ThetfordB24</v>
      </c>
      <c r="H176" s="94" t="s">
        <v>377</v>
      </c>
      <c r="I176" s="94">
        <v>24</v>
      </c>
    </row>
    <row r="177" spans="1:9" x14ac:dyDescent="0.25">
      <c r="A177" s="94" t="s">
        <v>314</v>
      </c>
      <c r="B177" s="94" t="s">
        <v>127</v>
      </c>
      <c r="C177" s="94">
        <v>178000</v>
      </c>
      <c r="D177" s="94" t="s">
        <v>927</v>
      </c>
      <c r="E177" s="94"/>
      <c r="F177" s="94"/>
      <c r="G177" s="94" t="str">
        <f t="shared" si="2"/>
        <v>BrecilienB25</v>
      </c>
      <c r="H177" s="94" t="s">
        <v>377</v>
      </c>
      <c r="I177" s="94">
        <v>25</v>
      </c>
    </row>
    <row r="178" spans="1:9" x14ac:dyDescent="0.25">
      <c r="A178" s="94" t="s">
        <v>314</v>
      </c>
      <c r="B178" s="94" t="s">
        <v>128</v>
      </c>
      <c r="C178" s="94">
        <v>199999</v>
      </c>
      <c r="D178" s="94" t="s">
        <v>925</v>
      </c>
      <c r="E178" s="94"/>
      <c r="F178" s="94"/>
      <c r="G178" s="94" t="str">
        <f t="shared" si="2"/>
        <v>BridgewatchB25</v>
      </c>
      <c r="H178" s="94" t="s">
        <v>377</v>
      </c>
      <c r="I178" s="94">
        <v>25</v>
      </c>
    </row>
    <row r="179" spans="1:9" x14ac:dyDescent="0.25">
      <c r="A179" s="94" t="s">
        <v>314</v>
      </c>
      <c r="B179" s="94" t="s">
        <v>129</v>
      </c>
      <c r="C179" s="94"/>
      <c r="D179" s="94"/>
      <c r="E179" s="94"/>
      <c r="F179" s="94"/>
      <c r="G179" s="94" t="str">
        <f t="shared" si="2"/>
        <v>CaerleonB25</v>
      </c>
      <c r="H179" s="94" t="s">
        <v>377</v>
      </c>
      <c r="I179" s="94">
        <v>25</v>
      </c>
    </row>
    <row r="180" spans="1:9" x14ac:dyDescent="0.25">
      <c r="A180" s="94" t="s">
        <v>314</v>
      </c>
      <c r="B180" s="94" t="s">
        <v>130</v>
      </c>
      <c r="C180" s="94">
        <v>300000</v>
      </c>
      <c r="D180" s="94" t="s">
        <v>902</v>
      </c>
      <c r="E180" s="94">
        <v>185137</v>
      </c>
      <c r="F180" s="94" t="s">
        <v>971</v>
      </c>
      <c r="G180" s="94" t="str">
        <f t="shared" si="2"/>
        <v>Fort SterlingB25</v>
      </c>
      <c r="H180" s="94" t="s">
        <v>377</v>
      </c>
      <c r="I180" s="94">
        <v>25</v>
      </c>
    </row>
    <row r="181" spans="1:9" x14ac:dyDescent="0.25">
      <c r="A181" s="94" t="s">
        <v>314</v>
      </c>
      <c r="B181" s="94" t="s">
        <v>131</v>
      </c>
      <c r="C181" s="94">
        <v>192000</v>
      </c>
      <c r="D181" s="94" t="s">
        <v>908</v>
      </c>
      <c r="E181" s="94"/>
      <c r="F181" s="94"/>
      <c r="G181" s="94" t="str">
        <f t="shared" si="2"/>
        <v>LymhurstB25</v>
      </c>
      <c r="H181" s="94" t="s">
        <v>377</v>
      </c>
      <c r="I181" s="94">
        <v>25</v>
      </c>
    </row>
    <row r="182" spans="1:9" x14ac:dyDescent="0.25">
      <c r="A182" s="94" t="s">
        <v>314</v>
      </c>
      <c r="B182" s="94" t="s">
        <v>132</v>
      </c>
      <c r="C182" s="94">
        <v>294980</v>
      </c>
      <c r="D182" s="94" t="s">
        <v>955</v>
      </c>
      <c r="E182" s="94">
        <v>178030</v>
      </c>
      <c r="F182" s="94" t="s">
        <v>939</v>
      </c>
      <c r="G182" s="94" t="str">
        <f t="shared" si="2"/>
        <v>MartlockB25</v>
      </c>
      <c r="H182" s="94" t="s">
        <v>377</v>
      </c>
      <c r="I182" s="94">
        <v>25</v>
      </c>
    </row>
    <row r="183" spans="1:9" x14ac:dyDescent="0.25">
      <c r="A183" s="94" t="s">
        <v>314</v>
      </c>
      <c r="B183" s="94" t="s">
        <v>133</v>
      </c>
      <c r="C183" s="94">
        <v>299991</v>
      </c>
      <c r="D183" s="94" t="s">
        <v>917</v>
      </c>
      <c r="E183" s="94"/>
      <c r="F183" s="94"/>
      <c r="G183" s="94" t="str">
        <f t="shared" si="2"/>
        <v>ThetfordB25</v>
      </c>
      <c r="H183" s="94" t="s">
        <v>377</v>
      </c>
      <c r="I183" s="94">
        <v>25</v>
      </c>
    </row>
    <row r="184" spans="1:9" x14ac:dyDescent="0.25">
      <c r="A184" s="94" t="s">
        <v>315</v>
      </c>
      <c r="B184" s="94" t="s">
        <v>127</v>
      </c>
      <c r="C184" s="94">
        <v>850000</v>
      </c>
      <c r="D184" s="94" t="s">
        <v>964</v>
      </c>
      <c r="E184" s="94"/>
      <c r="F184" s="94"/>
      <c r="G184" s="94" t="str">
        <f t="shared" si="2"/>
        <v>BrecilienB26</v>
      </c>
      <c r="H184" s="94" t="s">
        <v>377</v>
      </c>
      <c r="I184" s="94">
        <v>26</v>
      </c>
    </row>
    <row r="185" spans="1:9" x14ac:dyDescent="0.25">
      <c r="A185" s="94" t="s">
        <v>315</v>
      </c>
      <c r="B185" s="94" t="s">
        <v>128</v>
      </c>
      <c r="C185" s="94">
        <v>1099989</v>
      </c>
      <c r="D185" s="94" t="s">
        <v>925</v>
      </c>
      <c r="E185" s="94"/>
      <c r="F185" s="94"/>
      <c r="G185" s="94" t="str">
        <f t="shared" si="2"/>
        <v>BridgewatchB26</v>
      </c>
      <c r="H185" s="94" t="s">
        <v>377</v>
      </c>
      <c r="I185" s="94">
        <v>26</v>
      </c>
    </row>
    <row r="186" spans="1:9" x14ac:dyDescent="0.25">
      <c r="A186" s="94" t="s">
        <v>315</v>
      </c>
      <c r="B186" s="94" t="s">
        <v>129</v>
      </c>
      <c r="C186" s="94"/>
      <c r="D186" s="94"/>
      <c r="E186" s="94"/>
      <c r="F186" s="94"/>
      <c r="G186" s="94" t="str">
        <f t="shared" si="2"/>
        <v>CaerleonB26</v>
      </c>
      <c r="H186" s="94" t="s">
        <v>377</v>
      </c>
      <c r="I186" s="94">
        <v>26</v>
      </c>
    </row>
    <row r="187" spans="1:9" x14ac:dyDescent="0.25">
      <c r="A187" s="94" t="s">
        <v>315</v>
      </c>
      <c r="B187" s="94" t="s">
        <v>130</v>
      </c>
      <c r="C187" s="94">
        <v>1111107</v>
      </c>
      <c r="D187" s="94" t="s">
        <v>902</v>
      </c>
      <c r="E187" s="94">
        <v>910035</v>
      </c>
      <c r="F187" s="94" t="s">
        <v>971</v>
      </c>
      <c r="G187" s="94" t="str">
        <f t="shared" si="2"/>
        <v>Fort SterlingB26</v>
      </c>
      <c r="H187" s="94" t="s">
        <v>377</v>
      </c>
      <c r="I187" s="94">
        <v>26</v>
      </c>
    </row>
    <row r="188" spans="1:9" x14ac:dyDescent="0.25">
      <c r="A188" s="94" t="s">
        <v>315</v>
      </c>
      <c r="B188" s="94" t="s">
        <v>131</v>
      </c>
      <c r="C188" s="94">
        <v>989995</v>
      </c>
      <c r="D188" s="94" t="s">
        <v>902</v>
      </c>
      <c r="E188" s="94"/>
      <c r="F188" s="94"/>
      <c r="G188" s="94" t="str">
        <f t="shared" si="2"/>
        <v>LymhurstB26</v>
      </c>
      <c r="H188" s="94" t="s">
        <v>377</v>
      </c>
      <c r="I188" s="94">
        <v>26</v>
      </c>
    </row>
    <row r="189" spans="1:9" x14ac:dyDescent="0.25">
      <c r="A189" s="94" t="s">
        <v>315</v>
      </c>
      <c r="B189" s="94" t="s">
        <v>132</v>
      </c>
      <c r="C189" s="94"/>
      <c r="D189" s="94"/>
      <c r="E189" s="94"/>
      <c r="F189" s="94"/>
      <c r="G189" s="94" t="str">
        <f t="shared" si="2"/>
        <v>MartlockB26</v>
      </c>
      <c r="H189" s="94" t="s">
        <v>377</v>
      </c>
      <c r="I189" s="94">
        <v>26</v>
      </c>
    </row>
    <row r="190" spans="1:9" x14ac:dyDescent="0.25">
      <c r="A190" s="94" t="s">
        <v>315</v>
      </c>
      <c r="B190" s="94" t="s">
        <v>133</v>
      </c>
      <c r="C190" s="94"/>
      <c r="D190" s="94"/>
      <c r="E190" s="94"/>
      <c r="F190" s="94"/>
      <c r="G190" s="94" t="str">
        <f t="shared" si="2"/>
        <v>ThetfordB26</v>
      </c>
      <c r="H190" s="94" t="s">
        <v>377</v>
      </c>
      <c r="I190" s="94">
        <v>26</v>
      </c>
    </row>
    <row r="191" spans="1:9" x14ac:dyDescent="0.25">
      <c r="A191" s="103"/>
      <c r="B191" s="103"/>
      <c r="C191" s="103"/>
      <c r="D191" s="103"/>
      <c r="E191" s="103"/>
      <c r="F191" s="103"/>
      <c r="G191" s="103"/>
      <c r="H191" s="44"/>
      <c r="I191" s="44"/>
    </row>
    <row r="192" spans="1:9" x14ac:dyDescent="0.25">
      <c r="A192" s="94" t="s">
        <v>567</v>
      </c>
      <c r="B192" s="94" t="s">
        <v>127</v>
      </c>
      <c r="C192" s="94">
        <v>38</v>
      </c>
      <c r="D192" s="94" t="s">
        <v>974</v>
      </c>
      <c r="E192" s="94"/>
      <c r="F192" s="94"/>
      <c r="G192" s="94" t="str">
        <f>_xlfn.CONCAT(B192,H192,I192)</f>
        <v>BrecilienR0</v>
      </c>
      <c r="H192" s="94" t="s">
        <v>380</v>
      </c>
      <c r="I192" s="94">
        <v>0</v>
      </c>
    </row>
    <row r="193" spans="1:9" x14ac:dyDescent="0.25">
      <c r="A193" s="94" t="s">
        <v>567</v>
      </c>
      <c r="B193" s="94" t="s">
        <v>128</v>
      </c>
      <c r="C193" s="94">
        <v>19</v>
      </c>
      <c r="D193" s="94" t="s">
        <v>975</v>
      </c>
      <c r="E193" s="94">
        <v>12</v>
      </c>
      <c r="F193" s="94" t="s">
        <v>976</v>
      </c>
      <c r="G193" s="94" t="str">
        <f t="shared" ref="G193:G256" si="3">_xlfn.CONCAT(B193,H193,I193)</f>
        <v>BridgewatchR0</v>
      </c>
      <c r="H193" s="94" t="s">
        <v>380</v>
      </c>
      <c r="I193" s="94">
        <v>0</v>
      </c>
    </row>
    <row r="194" spans="1:9" x14ac:dyDescent="0.25">
      <c r="A194" s="94" t="s">
        <v>567</v>
      </c>
      <c r="B194" s="94" t="s">
        <v>129</v>
      </c>
      <c r="C194" s="94">
        <v>61</v>
      </c>
      <c r="D194" s="94" t="s">
        <v>977</v>
      </c>
      <c r="E194" s="94"/>
      <c r="F194" s="94"/>
      <c r="G194" s="94" t="str">
        <f t="shared" si="3"/>
        <v>CaerleonR0</v>
      </c>
      <c r="H194" s="94" t="s">
        <v>380</v>
      </c>
      <c r="I194" s="94">
        <v>0</v>
      </c>
    </row>
    <row r="195" spans="1:9" x14ac:dyDescent="0.25">
      <c r="A195" s="94" t="s">
        <v>567</v>
      </c>
      <c r="B195" s="94" t="s">
        <v>130</v>
      </c>
      <c r="C195" s="94">
        <v>29</v>
      </c>
      <c r="D195" s="94" t="s">
        <v>912</v>
      </c>
      <c r="E195" s="94">
        <v>25</v>
      </c>
      <c r="F195" s="94" t="s">
        <v>908</v>
      </c>
      <c r="G195" s="94" t="str">
        <f t="shared" si="3"/>
        <v>Fort SterlingR0</v>
      </c>
      <c r="H195" s="94" t="s">
        <v>380</v>
      </c>
      <c r="I195" s="94">
        <v>0</v>
      </c>
    </row>
    <row r="196" spans="1:9" x14ac:dyDescent="0.25">
      <c r="A196" s="94" t="s">
        <v>567</v>
      </c>
      <c r="B196" s="94" t="s">
        <v>131</v>
      </c>
      <c r="C196" s="94">
        <v>26</v>
      </c>
      <c r="D196" s="94" t="s">
        <v>978</v>
      </c>
      <c r="E196" s="94"/>
      <c r="F196" s="94"/>
      <c r="G196" s="94" t="str">
        <f t="shared" si="3"/>
        <v>LymhurstR0</v>
      </c>
      <c r="H196" s="94" t="s">
        <v>380</v>
      </c>
      <c r="I196" s="94">
        <v>0</v>
      </c>
    </row>
    <row r="197" spans="1:9" x14ac:dyDescent="0.25">
      <c r="A197" s="94" t="s">
        <v>567</v>
      </c>
      <c r="B197" s="94" t="s">
        <v>132</v>
      </c>
      <c r="C197" s="94">
        <v>16</v>
      </c>
      <c r="D197" s="94" t="s">
        <v>979</v>
      </c>
      <c r="E197" s="94"/>
      <c r="F197" s="94"/>
      <c r="G197" s="94" t="str">
        <f t="shared" si="3"/>
        <v>MartlockR0</v>
      </c>
      <c r="H197" s="94" t="s">
        <v>380</v>
      </c>
      <c r="I197" s="94">
        <v>0</v>
      </c>
    </row>
    <row r="198" spans="1:9" x14ac:dyDescent="0.25">
      <c r="A198" s="94" t="s">
        <v>567</v>
      </c>
      <c r="B198" s="94" t="s">
        <v>133</v>
      </c>
      <c r="C198" s="94">
        <v>24</v>
      </c>
      <c r="D198" s="94" t="s">
        <v>945</v>
      </c>
      <c r="E198" s="94"/>
      <c r="F198" s="94"/>
      <c r="G198" s="94" t="str">
        <f t="shared" si="3"/>
        <v>ThetfordR0</v>
      </c>
      <c r="H198" s="94" t="s">
        <v>380</v>
      </c>
      <c r="I198" s="94">
        <v>0</v>
      </c>
    </row>
    <row r="199" spans="1:9" x14ac:dyDescent="0.25">
      <c r="A199" s="94" t="s">
        <v>316</v>
      </c>
      <c r="B199" s="94" t="s">
        <v>127</v>
      </c>
      <c r="C199" s="94"/>
      <c r="D199" s="94"/>
      <c r="E199" s="94"/>
      <c r="F199" s="94"/>
      <c r="G199" s="94" t="str">
        <f t="shared" si="3"/>
        <v>BrecilienR1</v>
      </c>
      <c r="H199" s="94" t="s">
        <v>380</v>
      </c>
      <c r="I199" s="94">
        <v>1</v>
      </c>
    </row>
    <row r="200" spans="1:9" x14ac:dyDescent="0.25">
      <c r="A200" s="94" t="s">
        <v>316</v>
      </c>
      <c r="B200" s="94" t="s">
        <v>128</v>
      </c>
      <c r="C200" s="94">
        <v>222</v>
      </c>
      <c r="D200" s="94" t="s">
        <v>980</v>
      </c>
      <c r="E200" s="94"/>
      <c r="F200" s="94"/>
      <c r="G200" s="94" t="str">
        <f t="shared" si="3"/>
        <v>BridgewatchR1</v>
      </c>
      <c r="H200" s="94" t="s">
        <v>380</v>
      </c>
      <c r="I200" s="94">
        <v>1</v>
      </c>
    </row>
    <row r="201" spans="1:9" x14ac:dyDescent="0.25">
      <c r="A201" s="94" t="s">
        <v>316</v>
      </c>
      <c r="B201" s="94" t="s">
        <v>129</v>
      </c>
      <c r="C201" s="94"/>
      <c r="D201" s="94"/>
      <c r="E201" s="94"/>
      <c r="F201" s="94"/>
      <c r="G201" s="94" t="str">
        <f t="shared" si="3"/>
        <v>CaerleonR1</v>
      </c>
      <c r="H201" s="94" t="s">
        <v>380</v>
      </c>
      <c r="I201" s="94">
        <v>1</v>
      </c>
    </row>
    <row r="202" spans="1:9" x14ac:dyDescent="0.25">
      <c r="A202" s="94" t="s">
        <v>316</v>
      </c>
      <c r="B202" s="94" t="s">
        <v>130</v>
      </c>
      <c r="C202" s="94">
        <v>160</v>
      </c>
      <c r="D202" s="94" t="s">
        <v>978</v>
      </c>
      <c r="E202" s="94">
        <v>148</v>
      </c>
      <c r="F202" s="94" t="s">
        <v>981</v>
      </c>
      <c r="G202" s="94" t="str">
        <f t="shared" si="3"/>
        <v>Fort SterlingR1</v>
      </c>
      <c r="H202" s="94" t="s">
        <v>380</v>
      </c>
      <c r="I202" s="94">
        <v>1</v>
      </c>
    </row>
    <row r="203" spans="1:9" x14ac:dyDescent="0.25">
      <c r="A203" s="94" t="s">
        <v>316</v>
      </c>
      <c r="B203" s="94" t="s">
        <v>131</v>
      </c>
      <c r="C203" s="94">
        <v>172</v>
      </c>
      <c r="D203" s="94" t="s">
        <v>978</v>
      </c>
      <c r="E203" s="94">
        <v>146</v>
      </c>
      <c r="F203" s="94" t="s">
        <v>982</v>
      </c>
      <c r="G203" s="94" t="str">
        <f t="shared" si="3"/>
        <v>LymhurstR1</v>
      </c>
      <c r="H203" s="94" t="s">
        <v>380</v>
      </c>
      <c r="I203" s="94">
        <v>1</v>
      </c>
    </row>
    <row r="204" spans="1:9" x14ac:dyDescent="0.25">
      <c r="A204" s="94" t="s">
        <v>316</v>
      </c>
      <c r="B204" s="94" t="s">
        <v>132</v>
      </c>
      <c r="C204" s="94">
        <v>196</v>
      </c>
      <c r="D204" s="94" t="s">
        <v>909</v>
      </c>
      <c r="E204" s="94">
        <v>181</v>
      </c>
      <c r="F204" s="94" t="s">
        <v>979</v>
      </c>
      <c r="G204" s="94" t="str">
        <f t="shared" si="3"/>
        <v>MartlockR1</v>
      </c>
      <c r="H204" s="94" t="s">
        <v>380</v>
      </c>
      <c r="I204" s="94">
        <v>1</v>
      </c>
    </row>
    <row r="205" spans="1:9" x14ac:dyDescent="0.25">
      <c r="A205" s="94" t="s">
        <v>316</v>
      </c>
      <c r="B205" s="94" t="s">
        <v>133</v>
      </c>
      <c r="C205" s="94">
        <v>177</v>
      </c>
      <c r="D205" s="94" t="s">
        <v>983</v>
      </c>
      <c r="E205" s="94">
        <v>136</v>
      </c>
      <c r="F205" s="94" t="s">
        <v>984</v>
      </c>
      <c r="G205" s="94" t="str">
        <f t="shared" si="3"/>
        <v>ThetfordR1</v>
      </c>
      <c r="H205" s="94" t="s">
        <v>380</v>
      </c>
      <c r="I205" s="94">
        <v>1</v>
      </c>
    </row>
    <row r="206" spans="1:9" x14ac:dyDescent="0.25">
      <c r="A206" s="94" t="s">
        <v>317</v>
      </c>
      <c r="B206" s="94" t="s">
        <v>127</v>
      </c>
      <c r="C206" s="94"/>
      <c r="D206" s="94"/>
      <c r="E206" s="94"/>
      <c r="F206" s="94"/>
      <c r="G206" s="94" t="str">
        <f t="shared" si="3"/>
        <v>BrecilienR2</v>
      </c>
      <c r="H206" s="94" t="s">
        <v>380</v>
      </c>
      <c r="I206" s="94">
        <v>2</v>
      </c>
    </row>
    <row r="207" spans="1:9" x14ac:dyDescent="0.25">
      <c r="A207" s="94" t="s">
        <v>317</v>
      </c>
      <c r="B207" s="94" t="s">
        <v>128</v>
      </c>
      <c r="C207" s="94">
        <v>243</v>
      </c>
      <c r="D207" s="94" t="s">
        <v>975</v>
      </c>
      <c r="E207" s="94">
        <v>198</v>
      </c>
      <c r="F207" s="94" t="s">
        <v>977</v>
      </c>
      <c r="G207" s="94" t="str">
        <f t="shared" si="3"/>
        <v>BridgewatchR2</v>
      </c>
      <c r="H207" s="94" t="s">
        <v>380</v>
      </c>
      <c r="I207" s="94">
        <v>2</v>
      </c>
    </row>
    <row r="208" spans="1:9" x14ac:dyDescent="0.25">
      <c r="A208" s="94" t="s">
        <v>317</v>
      </c>
      <c r="B208" s="94" t="s">
        <v>129</v>
      </c>
      <c r="C208" s="94">
        <v>315</v>
      </c>
      <c r="D208" s="94" t="s">
        <v>985</v>
      </c>
      <c r="E208" s="94">
        <v>292</v>
      </c>
      <c r="F208" s="94" t="s">
        <v>985</v>
      </c>
      <c r="G208" s="94" t="str">
        <f t="shared" si="3"/>
        <v>CaerleonR2</v>
      </c>
      <c r="H208" s="94" t="s">
        <v>380</v>
      </c>
      <c r="I208" s="94">
        <v>2</v>
      </c>
    </row>
    <row r="209" spans="1:9" x14ac:dyDescent="0.25">
      <c r="A209" s="94" t="s">
        <v>317</v>
      </c>
      <c r="B209" s="94" t="s">
        <v>130</v>
      </c>
      <c r="C209" s="94">
        <v>185</v>
      </c>
      <c r="D209" s="94" t="s">
        <v>912</v>
      </c>
      <c r="E209" s="94">
        <v>178</v>
      </c>
      <c r="F209" s="94" t="s">
        <v>908</v>
      </c>
      <c r="G209" s="94" t="str">
        <f t="shared" si="3"/>
        <v>Fort SterlingR2</v>
      </c>
      <c r="H209" s="94" t="s">
        <v>380</v>
      </c>
      <c r="I209" s="94">
        <v>2</v>
      </c>
    </row>
    <row r="210" spans="1:9" x14ac:dyDescent="0.25">
      <c r="A210" s="94" t="s">
        <v>317</v>
      </c>
      <c r="B210" s="94" t="s">
        <v>131</v>
      </c>
      <c r="C210" s="94">
        <v>206</v>
      </c>
      <c r="D210" s="94" t="s">
        <v>978</v>
      </c>
      <c r="E210" s="94"/>
      <c r="F210" s="94"/>
      <c r="G210" s="94" t="str">
        <f t="shared" si="3"/>
        <v>LymhurstR2</v>
      </c>
      <c r="H210" s="94" t="s">
        <v>380</v>
      </c>
      <c r="I210" s="94">
        <v>2</v>
      </c>
    </row>
    <row r="211" spans="1:9" x14ac:dyDescent="0.25">
      <c r="A211" s="94" t="s">
        <v>317</v>
      </c>
      <c r="B211" s="94" t="s">
        <v>132</v>
      </c>
      <c r="C211" s="94">
        <v>223</v>
      </c>
      <c r="D211" s="94" t="s">
        <v>986</v>
      </c>
      <c r="E211" s="94">
        <v>6</v>
      </c>
      <c r="F211" s="94" t="s">
        <v>986</v>
      </c>
      <c r="G211" s="94" t="str">
        <f t="shared" si="3"/>
        <v>MartlockR2</v>
      </c>
      <c r="H211" s="94" t="s">
        <v>380</v>
      </c>
      <c r="I211" s="94">
        <v>2</v>
      </c>
    </row>
    <row r="212" spans="1:9" x14ac:dyDescent="0.25">
      <c r="A212" s="94" t="s">
        <v>317</v>
      </c>
      <c r="B212" s="94" t="s">
        <v>133</v>
      </c>
      <c r="C212" s="94">
        <v>220</v>
      </c>
      <c r="D212" s="94" t="s">
        <v>919</v>
      </c>
      <c r="E212" s="94">
        <v>183</v>
      </c>
      <c r="F212" s="94" t="s">
        <v>919</v>
      </c>
      <c r="G212" s="94" t="str">
        <f t="shared" si="3"/>
        <v>ThetfordR2</v>
      </c>
      <c r="H212" s="94" t="s">
        <v>380</v>
      </c>
      <c r="I212" s="94">
        <v>2</v>
      </c>
    </row>
    <row r="213" spans="1:9" x14ac:dyDescent="0.25">
      <c r="A213" s="94" t="s">
        <v>318</v>
      </c>
      <c r="B213" s="94" t="s">
        <v>127</v>
      </c>
      <c r="C213" s="94"/>
      <c r="D213" s="94"/>
      <c r="E213" s="94"/>
      <c r="F213" s="94"/>
      <c r="G213" s="94" t="str">
        <f t="shared" si="3"/>
        <v>BrecilienR3</v>
      </c>
      <c r="H213" s="94" t="s">
        <v>380</v>
      </c>
      <c r="I213" s="94">
        <v>3</v>
      </c>
    </row>
    <row r="214" spans="1:9" x14ac:dyDescent="0.25">
      <c r="A214" s="94" t="s">
        <v>318</v>
      </c>
      <c r="B214" s="94" t="s">
        <v>128</v>
      </c>
      <c r="C214" s="94"/>
      <c r="D214" s="94"/>
      <c r="E214" s="94"/>
      <c r="F214" s="94"/>
      <c r="G214" s="94" t="str">
        <f t="shared" si="3"/>
        <v>BridgewatchR3</v>
      </c>
      <c r="H214" s="94" t="s">
        <v>380</v>
      </c>
      <c r="I214" s="94">
        <v>3</v>
      </c>
    </row>
    <row r="215" spans="1:9" x14ac:dyDescent="0.25">
      <c r="A215" s="94" t="s">
        <v>318</v>
      </c>
      <c r="B215" s="94" t="s">
        <v>129</v>
      </c>
      <c r="C215" s="94">
        <v>410</v>
      </c>
      <c r="D215" s="94" t="s">
        <v>917</v>
      </c>
      <c r="E215" s="94">
        <v>365</v>
      </c>
      <c r="F215" s="94" t="s">
        <v>935</v>
      </c>
      <c r="G215" s="94" t="str">
        <f t="shared" si="3"/>
        <v>CaerleonR3</v>
      </c>
      <c r="H215" s="94" t="s">
        <v>380</v>
      </c>
      <c r="I215" s="94">
        <v>3</v>
      </c>
    </row>
    <row r="216" spans="1:9" x14ac:dyDescent="0.25">
      <c r="A216" s="94" t="s">
        <v>318</v>
      </c>
      <c r="B216" s="94" t="s">
        <v>130</v>
      </c>
      <c r="C216" s="94">
        <v>264</v>
      </c>
      <c r="D216" s="94" t="s">
        <v>987</v>
      </c>
      <c r="E216" s="94">
        <v>251</v>
      </c>
      <c r="F216" s="94" t="s">
        <v>987</v>
      </c>
      <c r="G216" s="94" t="str">
        <f t="shared" si="3"/>
        <v>Fort SterlingR3</v>
      </c>
      <c r="H216" s="94" t="s">
        <v>380</v>
      </c>
      <c r="I216" s="94">
        <v>3</v>
      </c>
    </row>
    <row r="217" spans="1:9" x14ac:dyDescent="0.25">
      <c r="A217" s="94" t="s">
        <v>318</v>
      </c>
      <c r="B217" s="94" t="s">
        <v>131</v>
      </c>
      <c r="C217" s="94">
        <v>271</v>
      </c>
      <c r="D217" s="94" t="s">
        <v>978</v>
      </c>
      <c r="E217" s="94"/>
      <c r="F217" s="94"/>
      <c r="G217" s="94" t="str">
        <f t="shared" si="3"/>
        <v>LymhurstR3</v>
      </c>
      <c r="H217" s="94" t="s">
        <v>380</v>
      </c>
      <c r="I217" s="94">
        <v>3</v>
      </c>
    </row>
    <row r="218" spans="1:9" x14ac:dyDescent="0.25">
      <c r="A218" s="94" t="s">
        <v>318</v>
      </c>
      <c r="B218" s="94" t="s">
        <v>132</v>
      </c>
      <c r="C218" s="94">
        <v>327</v>
      </c>
      <c r="D218" s="94" t="s">
        <v>907</v>
      </c>
      <c r="E218" s="94">
        <v>261</v>
      </c>
      <c r="F218" s="94" t="s">
        <v>907</v>
      </c>
      <c r="G218" s="94" t="str">
        <f t="shared" si="3"/>
        <v>MartlockR3</v>
      </c>
      <c r="H218" s="94" t="s">
        <v>380</v>
      </c>
      <c r="I218" s="94">
        <v>3</v>
      </c>
    </row>
    <row r="219" spans="1:9" x14ac:dyDescent="0.25">
      <c r="A219" s="94" t="s">
        <v>318</v>
      </c>
      <c r="B219" s="94" t="s">
        <v>133</v>
      </c>
      <c r="C219" s="94">
        <v>341</v>
      </c>
      <c r="D219" s="94" t="s">
        <v>926</v>
      </c>
      <c r="E219" s="94">
        <v>262</v>
      </c>
      <c r="F219" s="94" t="s">
        <v>926</v>
      </c>
      <c r="G219" s="94" t="str">
        <f t="shared" si="3"/>
        <v>ThetfordR3</v>
      </c>
      <c r="H219" s="94" t="s">
        <v>380</v>
      </c>
      <c r="I219" s="94">
        <v>3</v>
      </c>
    </row>
    <row r="220" spans="1:9" x14ac:dyDescent="0.25">
      <c r="A220" s="94" t="s">
        <v>319</v>
      </c>
      <c r="B220" s="94" t="s">
        <v>127</v>
      </c>
      <c r="C220" s="94"/>
      <c r="D220" s="94"/>
      <c r="E220" s="94"/>
      <c r="F220" s="94"/>
      <c r="G220" s="94" t="str">
        <f t="shared" si="3"/>
        <v>BrecilienR4</v>
      </c>
      <c r="H220" s="94" t="s">
        <v>380</v>
      </c>
      <c r="I220" s="94">
        <v>4</v>
      </c>
    </row>
    <row r="221" spans="1:9" x14ac:dyDescent="0.25">
      <c r="A221" s="94" t="s">
        <v>319</v>
      </c>
      <c r="B221" s="94" t="s">
        <v>128</v>
      </c>
      <c r="C221" s="94"/>
      <c r="D221" s="94"/>
      <c r="E221" s="94"/>
      <c r="F221" s="94"/>
      <c r="G221" s="94" t="str">
        <f t="shared" si="3"/>
        <v>BridgewatchR4</v>
      </c>
      <c r="H221" s="94" t="s">
        <v>380</v>
      </c>
      <c r="I221" s="94">
        <v>4</v>
      </c>
    </row>
    <row r="222" spans="1:9" x14ac:dyDescent="0.25">
      <c r="A222" s="94" t="s">
        <v>319</v>
      </c>
      <c r="B222" s="94" t="s">
        <v>129</v>
      </c>
      <c r="C222" s="94">
        <v>1556</v>
      </c>
      <c r="D222" s="94" t="s">
        <v>917</v>
      </c>
      <c r="E222" s="94">
        <v>985</v>
      </c>
      <c r="F222" s="94" t="s">
        <v>935</v>
      </c>
      <c r="G222" s="94" t="str">
        <f t="shared" si="3"/>
        <v>CaerleonR4</v>
      </c>
      <c r="H222" s="94" t="s">
        <v>380</v>
      </c>
      <c r="I222" s="94">
        <v>4</v>
      </c>
    </row>
    <row r="223" spans="1:9" x14ac:dyDescent="0.25">
      <c r="A223" s="94" t="s">
        <v>319</v>
      </c>
      <c r="B223" s="94" t="s">
        <v>130</v>
      </c>
      <c r="C223" s="94">
        <v>900</v>
      </c>
      <c r="D223" s="94" t="s">
        <v>987</v>
      </c>
      <c r="E223" s="94">
        <v>855</v>
      </c>
      <c r="F223" s="94" t="s">
        <v>987</v>
      </c>
      <c r="G223" s="94" t="str">
        <f t="shared" si="3"/>
        <v>Fort SterlingR4</v>
      </c>
      <c r="H223" s="94" t="s">
        <v>380</v>
      </c>
      <c r="I223" s="94">
        <v>4</v>
      </c>
    </row>
    <row r="224" spans="1:9" x14ac:dyDescent="0.25">
      <c r="A224" s="94" t="s">
        <v>319</v>
      </c>
      <c r="B224" s="94" t="s">
        <v>131</v>
      </c>
      <c r="C224" s="94">
        <v>919</v>
      </c>
      <c r="D224" s="94" t="s">
        <v>912</v>
      </c>
      <c r="E224" s="94"/>
      <c r="F224" s="94"/>
      <c r="G224" s="94" t="str">
        <f t="shared" si="3"/>
        <v>LymhurstR4</v>
      </c>
      <c r="H224" s="94" t="s">
        <v>380</v>
      </c>
      <c r="I224" s="94">
        <v>4</v>
      </c>
    </row>
    <row r="225" spans="1:9" x14ac:dyDescent="0.25">
      <c r="A225" s="94" t="s">
        <v>319</v>
      </c>
      <c r="B225" s="94" t="s">
        <v>132</v>
      </c>
      <c r="C225" s="94"/>
      <c r="D225" s="94"/>
      <c r="E225" s="94"/>
      <c r="F225" s="94"/>
      <c r="G225" s="94" t="str">
        <f t="shared" si="3"/>
        <v>MartlockR4</v>
      </c>
      <c r="H225" s="94" t="s">
        <v>380</v>
      </c>
      <c r="I225" s="94">
        <v>4</v>
      </c>
    </row>
    <row r="226" spans="1:9" x14ac:dyDescent="0.25">
      <c r="A226" s="94" t="s">
        <v>319</v>
      </c>
      <c r="B226" s="94" t="s">
        <v>133</v>
      </c>
      <c r="C226" s="94">
        <v>1005</v>
      </c>
      <c r="D226" s="94" t="s">
        <v>988</v>
      </c>
      <c r="E226" s="94"/>
      <c r="F226" s="94"/>
      <c r="G226" s="94" t="str">
        <f t="shared" si="3"/>
        <v>ThetfordR4</v>
      </c>
      <c r="H226" s="94" t="s">
        <v>380</v>
      </c>
      <c r="I226" s="94">
        <v>4</v>
      </c>
    </row>
    <row r="227" spans="1:9" x14ac:dyDescent="0.25">
      <c r="A227" s="94" t="s">
        <v>320</v>
      </c>
      <c r="B227" s="94" t="s">
        <v>127</v>
      </c>
      <c r="C227" s="94"/>
      <c r="D227" s="94"/>
      <c r="E227" s="94"/>
      <c r="F227" s="94"/>
      <c r="G227" s="94" t="str">
        <f t="shared" si="3"/>
        <v>BrecilienR5</v>
      </c>
      <c r="H227" s="94" t="s">
        <v>380</v>
      </c>
      <c r="I227" s="94">
        <v>5</v>
      </c>
    </row>
    <row r="228" spans="1:9" x14ac:dyDescent="0.25">
      <c r="A228" s="94" t="s">
        <v>320</v>
      </c>
      <c r="B228" s="94" t="s">
        <v>128</v>
      </c>
      <c r="C228" s="94"/>
      <c r="D228" s="94"/>
      <c r="E228" s="94"/>
      <c r="F228" s="94"/>
      <c r="G228" s="94" t="str">
        <f t="shared" si="3"/>
        <v>BridgewatchR5</v>
      </c>
      <c r="H228" s="94" t="s">
        <v>380</v>
      </c>
      <c r="I228" s="94">
        <v>5</v>
      </c>
    </row>
    <row r="229" spans="1:9" x14ac:dyDescent="0.25">
      <c r="A229" s="94" t="s">
        <v>320</v>
      </c>
      <c r="B229" s="94" t="s">
        <v>129</v>
      </c>
      <c r="C229" s="94">
        <v>12089</v>
      </c>
      <c r="D229" s="94" t="s">
        <v>917</v>
      </c>
      <c r="E229" s="94">
        <v>7959</v>
      </c>
      <c r="F229" s="94" t="s">
        <v>975</v>
      </c>
      <c r="G229" s="94" t="str">
        <f t="shared" si="3"/>
        <v>CaerleonR5</v>
      </c>
      <c r="H229" s="94" t="s">
        <v>380</v>
      </c>
      <c r="I229" s="94">
        <v>5</v>
      </c>
    </row>
    <row r="230" spans="1:9" x14ac:dyDescent="0.25">
      <c r="A230" s="94" t="s">
        <v>320</v>
      </c>
      <c r="B230" s="94" t="s">
        <v>130</v>
      </c>
      <c r="C230" s="94">
        <v>8112</v>
      </c>
      <c r="D230" s="94" t="s">
        <v>978</v>
      </c>
      <c r="E230" s="94">
        <v>7603</v>
      </c>
      <c r="F230" s="94" t="s">
        <v>989</v>
      </c>
      <c r="G230" s="94" t="str">
        <f t="shared" si="3"/>
        <v>Fort SterlingR5</v>
      </c>
      <c r="H230" s="94" t="s">
        <v>380</v>
      </c>
      <c r="I230" s="94">
        <v>5</v>
      </c>
    </row>
    <row r="231" spans="1:9" x14ac:dyDescent="0.25">
      <c r="A231" s="94" t="s">
        <v>320</v>
      </c>
      <c r="B231" s="94" t="s">
        <v>131</v>
      </c>
      <c r="C231" s="94">
        <v>9361</v>
      </c>
      <c r="D231" s="94" t="s">
        <v>978</v>
      </c>
      <c r="E231" s="94"/>
      <c r="F231" s="94"/>
      <c r="G231" s="94" t="str">
        <f t="shared" si="3"/>
        <v>LymhurstR5</v>
      </c>
      <c r="H231" s="94" t="s">
        <v>380</v>
      </c>
      <c r="I231" s="94">
        <v>5</v>
      </c>
    </row>
    <row r="232" spans="1:9" x14ac:dyDescent="0.25">
      <c r="A232" s="94" t="s">
        <v>320</v>
      </c>
      <c r="B232" s="94" t="s">
        <v>132</v>
      </c>
      <c r="C232" s="94">
        <v>7552</v>
      </c>
      <c r="D232" s="94" t="s">
        <v>958</v>
      </c>
      <c r="E232" s="94">
        <v>4405</v>
      </c>
      <c r="F232" s="94" t="s">
        <v>990</v>
      </c>
      <c r="G232" s="94" t="str">
        <f t="shared" si="3"/>
        <v>MartlockR5</v>
      </c>
      <c r="H232" s="94" t="s">
        <v>380</v>
      </c>
      <c r="I232" s="94">
        <v>5</v>
      </c>
    </row>
    <row r="233" spans="1:9" x14ac:dyDescent="0.25">
      <c r="A233" s="94" t="s">
        <v>320</v>
      </c>
      <c r="B233" s="94" t="s">
        <v>133</v>
      </c>
      <c r="C233" s="94">
        <v>9428</v>
      </c>
      <c r="D233" s="94" t="s">
        <v>971</v>
      </c>
      <c r="E233" s="94">
        <v>6536</v>
      </c>
      <c r="F233" s="94" t="s">
        <v>991</v>
      </c>
      <c r="G233" s="94" t="str">
        <f t="shared" si="3"/>
        <v>ThetfordR5</v>
      </c>
      <c r="H233" s="94" t="s">
        <v>380</v>
      </c>
      <c r="I233" s="94">
        <v>5</v>
      </c>
    </row>
    <row r="234" spans="1:9" x14ac:dyDescent="0.25">
      <c r="A234" s="94" t="s">
        <v>321</v>
      </c>
      <c r="B234" s="94" t="s">
        <v>127</v>
      </c>
      <c r="C234" s="94"/>
      <c r="D234" s="94"/>
      <c r="E234" s="94"/>
      <c r="F234" s="94"/>
      <c r="G234" s="94" t="str">
        <f t="shared" si="3"/>
        <v>BrecilienR6</v>
      </c>
      <c r="H234" s="94" t="s">
        <v>380</v>
      </c>
      <c r="I234" s="94">
        <v>6</v>
      </c>
    </row>
    <row r="235" spans="1:9" x14ac:dyDescent="0.25">
      <c r="A235" s="94" t="s">
        <v>321</v>
      </c>
      <c r="B235" s="94" t="s">
        <v>128</v>
      </c>
      <c r="C235" s="94"/>
      <c r="D235" s="94"/>
      <c r="E235" s="94"/>
      <c r="F235" s="94"/>
      <c r="G235" s="94" t="str">
        <f t="shared" si="3"/>
        <v>BridgewatchR6</v>
      </c>
      <c r="H235" s="94" t="s">
        <v>380</v>
      </c>
      <c r="I235" s="94">
        <v>6</v>
      </c>
    </row>
    <row r="236" spans="1:9" x14ac:dyDescent="0.25">
      <c r="A236" s="94" t="s">
        <v>321</v>
      </c>
      <c r="B236" s="94" t="s">
        <v>129</v>
      </c>
      <c r="C236" s="94">
        <v>40999</v>
      </c>
      <c r="D236" s="94" t="s">
        <v>945</v>
      </c>
      <c r="E236" s="94"/>
      <c r="F236" s="94"/>
      <c r="G236" s="94" t="str">
        <f t="shared" si="3"/>
        <v>CaerleonR6</v>
      </c>
      <c r="H236" s="94" t="s">
        <v>380</v>
      </c>
      <c r="I236" s="94">
        <v>6</v>
      </c>
    </row>
    <row r="237" spans="1:9" x14ac:dyDescent="0.25">
      <c r="A237" s="94" t="s">
        <v>321</v>
      </c>
      <c r="B237" s="94" t="s">
        <v>130</v>
      </c>
      <c r="C237" s="94">
        <v>37506</v>
      </c>
      <c r="D237" s="94" t="s">
        <v>912</v>
      </c>
      <c r="E237" s="94">
        <v>34611</v>
      </c>
      <c r="F237" s="94" t="s">
        <v>912</v>
      </c>
      <c r="G237" s="94" t="str">
        <f t="shared" si="3"/>
        <v>Fort SterlingR6</v>
      </c>
      <c r="H237" s="94" t="s">
        <v>380</v>
      </c>
      <c r="I237" s="94">
        <v>6</v>
      </c>
    </row>
    <row r="238" spans="1:9" x14ac:dyDescent="0.25">
      <c r="A238" s="94" t="s">
        <v>321</v>
      </c>
      <c r="B238" s="94" t="s">
        <v>131</v>
      </c>
      <c r="C238" s="94">
        <v>39899</v>
      </c>
      <c r="D238" s="94" t="s">
        <v>978</v>
      </c>
      <c r="E238" s="94"/>
      <c r="F238" s="94"/>
      <c r="G238" s="94" t="str">
        <f t="shared" si="3"/>
        <v>LymhurstR6</v>
      </c>
      <c r="H238" s="94" t="s">
        <v>380</v>
      </c>
      <c r="I238" s="94">
        <v>6</v>
      </c>
    </row>
    <row r="239" spans="1:9" x14ac:dyDescent="0.25">
      <c r="A239" s="94" t="s">
        <v>321</v>
      </c>
      <c r="B239" s="94" t="s">
        <v>132</v>
      </c>
      <c r="C239" s="94"/>
      <c r="D239" s="94"/>
      <c r="E239" s="94"/>
      <c r="F239" s="94"/>
      <c r="G239" s="94" t="str">
        <f t="shared" si="3"/>
        <v>MartlockR6</v>
      </c>
      <c r="H239" s="94" t="s">
        <v>380</v>
      </c>
      <c r="I239" s="94">
        <v>6</v>
      </c>
    </row>
    <row r="240" spans="1:9" x14ac:dyDescent="0.25">
      <c r="A240" s="94" t="s">
        <v>321</v>
      </c>
      <c r="B240" s="94" t="s">
        <v>133</v>
      </c>
      <c r="C240" s="94"/>
      <c r="D240" s="94"/>
      <c r="E240" s="94"/>
      <c r="F240" s="94"/>
      <c r="G240" s="94" t="str">
        <f t="shared" si="3"/>
        <v>ThetfordR6</v>
      </c>
      <c r="H240" s="94" t="s">
        <v>380</v>
      </c>
      <c r="I240" s="94">
        <v>6</v>
      </c>
    </row>
    <row r="241" spans="1:9" x14ac:dyDescent="0.25">
      <c r="A241" s="94" t="s">
        <v>322</v>
      </c>
      <c r="B241" s="94" t="s">
        <v>127</v>
      </c>
      <c r="C241" s="94"/>
      <c r="D241" s="94"/>
      <c r="E241" s="94"/>
      <c r="F241" s="94"/>
      <c r="G241" s="94" t="str">
        <f t="shared" si="3"/>
        <v>BrecilienR7</v>
      </c>
      <c r="H241" s="94" t="s">
        <v>380</v>
      </c>
      <c r="I241" s="94">
        <v>7</v>
      </c>
    </row>
    <row r="242" spans="1:9" x14ac:dyDescent="0.25">
      <c r="A242" s="94" t="s">
        <v>322</v>
      </c>
      <c r="B242" s="94" t="s">
        <v>128</v>
      </c>
      <c r="C242" s="94">
        <v>793</v>
      </c>
      <c r="D242" s="94" t="s">
        <v>992</v>
      </c>
      <c r="E242" s="94">
        <v>739</v>
      </c>
      <c r="F242" s="94" t="s">
        <v>993</v>
      </c>
      <c r="G242" s="94" t="str">
        <f t="shared" si="3"/>
        <v>BridgewatchR7</v>
      </c>
      <c r="H242" s="94" t="s">
        <v>380</v>
      </c>
      <c r="I242" s="94">
        <v>7</v>
      </c>
    </row>
    <row r="243" spans="1:9" x14ac:dyDescent="0.25">
      <c r="A243" s="94" t="s">
        <v>322</v>
      </c>
      <c r="B243" s="94" t="s">
        <v>129</v>
      </c>
      <c r="C243" s="94"/>
      <c r="D243" s="94"/>
      <c r="E243" s="94"/>
      <c r="F243" s="94"/>
      <c r="G243" s="94" t="str">
        <f t="shared" si="3"/>
        <v>CaerleonR7</v>
      </c>
      <c r="H243" s="94" t="s">
        <v>380</v>
      </c>
      <c r="I243" s="94">
        <v>7</v>
      </c>
    </row>
    <row r="244" spans="1:9" x14ac:dyDescent="0.25">
      <c r="A244" s="94" t="s">
        <v>322</v>
      </c>
      <c r="B244" s="94" t="s">
        <v>130</v>
      </c>
      <c r="C244" s="94">
        <v>658</v>
      </c>
      <c r="D244" s="94" t="s">
        <v>947</v>
      </c>
      <c r="E244" s="94">
        <v>632</v>
      </c>
      <c r="F244" s="94" t="s">
        <v>947</v>
      </c>
      <c r="G244" s="94" t="str">
        <f t="shared" si="3"/>
        <v>Fort SterlingR7</v>
      </c>
      <c r="H244" s="94" t="s">
        <v>380</v>
      </c>
      <c r="I244" s="94">
        <v>7</v>
      </c>
    </row>
    <row r="245" spans="1:9" x14ac:dyDescent="0.25">
      <c r="A245" s="94" t="s">
        <v>322</v>
      </c>
      <c r="B245" s="94" t="s">
        <v>131</v>
      </c>
      <c r="C245" s="94">
        <v>765</v>
      </c>
      <c r="D245" s="94" t="s">
        <v>912</v>
      </c>
      <c r="E245" s="94"/>
      <c r="F245" s="94"/>
      <c r="G245" s="94" t="str">
        <f t="shared" si="3"/>
        <v>LymhurstR7</v>
      </c>
      <c r="H245" s="94" t="s">
        <v>380</v>
      </c>
      <c r="I245" s="94">
        <v>7</v>
      </c>
    </row>
    <row r="246" spans="1:9" x14ac:dyDescent="0.25">
      <c r="A246" s="94" t="s">
        <v>322</v>
      </c>
      <c r="B246" s="94" t="s">
        <v>132</v>
      </c>
      <c r="C246" s="94">
        <v>801</v>
      </c>
      <c r="D246" s="94" t="s">
        <v>909</v>
      </c>
      <c r="E246" s="94">
        <v>689</v>
      </c>
      <c r="F246" s="94" t="s">
        <v>994</v>
      </c>
      <c r="G246" s="94" t="str">
        <f t="shared" si="3"/>
        <v>MartlockR7</v>
      </c>
      <c r="H246" s="94" t="s">
        <v>380</v>
      </c>
      <c r="I246" s="94">
        <v>7</v>
      </c>
    </row>
    <row r="247" spans="1:9" x14ac:dyDescent="0.25">
      <c r="A247" s="94" t="s">
        <v>322</v>
      </c>
      <c r="B247" s="94" t="s">
        <v>133</v>
      </c>
      <c r="C247" s="94">
        <v>818</v>
      </c>
      <c r="D247" s="94" t="s">
        <v>959</v>
      </c>
      <c r="E247" s="94">
        <v>764</v>
      </c>
      <c r="F247" s="94" t="s">
        <v>900</v>
      </c>
      <c r="G247" s="94" t="str">
        <f t="shared" si="3"/>
        <v>ThetfordR7</v>
      </c>
      <c r="H247" s="94" t="s">
        <v>380</v>
      </c>
      <c r="I247" s="94">
        <v>7</v>
      </c>
    </row>
    <row r="248" spans="1:9" x14ac:dyDescent="0.25">
      <c r="A248" s="94" t="s">
        <v>323</v>
      </c>
      <c r="B248" s="94" t="s">
        <v>127</v>
      </c>
      <c r="C248" s="94"/>
      <c r="D248" s="94"/>
      <c r="E248" s="94"/>
      <c r="F248" s="94"/>
      <c r="G248" s="94" t="str">
        <f t="shared" si="3"/>
        <v>BrecilienR8</v>
      </c>
      <c r="H248" s="94" t="s">
        <v>380</v>
      </c>
      <c r="I248" s="94">
        <v>8</v>
      </c>
    </row>
    <row r="249" spans="1:9" x14ac:dyDescent="0.25">
      <c r="A249" s="94" t="s">
        <v>323</v>
      </c>
      <c r="B249" s="94" t="s">
        <v>128</v>
      </c>
      <c r="C249" s="94">
        <v>1348</v>
      </c>
      <c r="D249" s="94" t="s">
        <v>993</v>
      </c>
      <c r="E249" s="94">
        <v>1009</v>
      </c>
      <c r="F249" s="94" t="s">
        <v>993</v>
      </c>
      <c r="G249" s="94" t="str">
        <f t="shared" si="3"/>
        <v>BridgewatchR8</v>
      </c>
      <c r="H249" s="94" t="s">
        <v>380</v>
      </c>
      <c r="I249" s="94">
        <v>8</v>
      </c>
    </row>
    <row r="250" spans="1:9" x14ac:dyDescent="0.25">
      <c r="A250" s="94" t="s">
        <v>323</v>
      </c>
      <c r="B250" s="94" t="s">
        <v>129</v>
      </c>
      <c r="C250" s="94">
        <v>1375</v>
      </c>
      <c r="D250" s="94" t="s">
        <v>945</v>
      </c>
      <c r="E250" s="94"/>
      <c r="F250" s="94"/>
      <c r="G250" s="94" t="str">
        <f t="shared" si="3"/>
        <v>CaerleonR8</v>
      </c>
      <c r="H250" s="94" t="s">
        <v>380</v>
      </c>
      <c r="I250" s="94">
        <v>8</v>
      </c>
    </row>
    <row r="251" spans="1:9" x14ac:dyDescent="0.25">
      <c r="A251" s="94" t="s">
        <v>323</v>
      </c>
      <c r="B251" s="94" t="s">
        <v>130</v>
      </c>
      <c r="C251" s="94">
        <v>1265</v>
      </c>
      <c r="D251" s="94" t="s">
        <v>995</v>
      </c>
      <c r="E251" s="94">
        <v>1220</v>
      </c>
      <c r="F251" s="94" t="s">
        <v>995</v>
      </c>
      <c r="G251" s="94" t="str">
        <f t="shared" si="3"/>
        <v>Fort SterlingR8</v>
      </c>
      <c r="H251" s="94" t="s">
        <v>380</v>
      </c>
      <c r="I251" s="94">
        <v>8</v>
      </c>
    </row>
    <row r="252" spans="1:9" x14ac:dyDescent="0.25">
      <c r="A252" s="94" t="s">
        <v>323</v>
      </c>
      <c r="B252" s="94" t="s">
        <v>131</v>
      </c>
      <c r="C252" s="94">
        <v>1256</v>
      </c>
      <c r="D252" s="94" t="s">
        <v>978</v>
      </c>
      <c r="E252" s="94"/>
      <c r="F252" s="94"/>
      <c r="G252" s="94" t="str">
        <f t="shared" si="3"/>
        <v>LymhurstR8</v>
      </c>
      <c r="H252" s="94" t="s">
        <v>380</v>
      </c>
      <c r="I252" s="94">
        <v>8</v>
      </c>
    </row>
    <row r="253" spans="1:9" x14ac:dyDescent="0.25">
      <c r="A253" s="94" t="s">
        <v>323</v>
      </c>
      <c r="B253" s="94" t="s">
        <v>132</v>
      </c>
      <c r="C253" s="94"/>
      <c r="D253" s="94"/>
      <c r="E253" s="94"/>
      <c r="F253" s="94"/>
      <c r="G253" s="94" t="str">
        <f t="shared" si="3"/>
        <v>MartlockR8</v>
      </c>
      <c r="H253" s="94" t="s">
        <v>380</v>
      </c>
      <c r="I253" s="94">
        <v>8</v>
      </c>
    </row>
    <row r="254" spans="1:9" x14ac:dyDescent="0.25">
      <c r="A254" s="94" t="s">
        <v>323</v>
      </c>
      <c r="B254" s="94" t="s">
        <v>133</v>
      </c>
      <c r="C254" s="94">
        <v>1489</v>
      </c>
      <c r="D254" s="94" t="s">
        <v>988</v>
      </c>
      <c r="E254" s="94"/>
      <c r="F254" s="94"/>
      <c r="G254" s="94" t="str">
        <f t="shared" si="3"/>
        <v>ThetfordR8</v>
      </c>
      <c r="H254" s="94" t="s">
        <v>380</v>
      </c>
      <c r="I254" s="94">
        <v>8</v>
      </c>
    </row>
    <row r="255" spans="1:9" x14ac:dyDescent="0.25">
      <c r="A255" s="94" t="s">
        <v>324</v>
      </c>
      <c r="B255" s="94" t="s">
        <v>127</v>
      </c>
      <c r="C255" s="94"/>
      <c r="D255" s="94"/>
      <c r="E255" s="94"/>
      <c r="F255" s="94"/>
      <c r="G255" s="94" t="str">
        <f t="shared" si="3"/>
        <v>BrecilienR9</v>
      </c>
      <c r="H255" s="94" t="s">
        <v>380</v>
      </c>
      <c r="I255" s="94">
        <v>9</v>
      </c>
    </row>
    <row r="256" spans="1:9" x14ac:dyDescent="0.25">
      <c r="A256" s="94" t="s">
        <v>324</v>
      </c>
      <c r="B256" s="94" t="s">
        <v>128</v>
      </c>
      <c r="C256" s="94"/>
      <c r="D256" s="94"/>
      <c r="E256" s="94"/>
      <c r="F256" s="94"/>
      <c r="G256" s="94" t="str">
        <f t="shared" si="3"/>
        <v>BridgewatchR9</v>
      </c>
      <c r="H256" s="94" t="s">
        <v>380</v>
      </c>
      <c r="I256" s="94">
        <v>9</v>
      </c>
    </row>
    <row r="257" spans="1:9" x14ac:dyDescent="0.25">
      <c r="A257" s="94" t="s">
        <v>324</v>
      </c>
      <c r="B257" s="94" t="s">
        <v>129</v>
      </c>
      <c r="C257" s="94">
        <v>6089</v>
      </c>
      <c r="D257" s="94" t="s">
        <v>945</v>
      </c>
      <c r="E257" s="94">
        <v>4008</v>
      </c>
      <c r="F257" s="94" t="s">
        <v>974</v>
      </c>
      <c r="G257" s="94" t="str">
        <f t="shared" ref="G257:G320" si="4">_xlfn.CONCAT(B257,H257,I257)</f>
        <v>CaerleonR9</v>
      </c>
      <c r="H257" s="94" t="s">
        <v>380</v>
      </c>
      <c r="I257" s="94">
        <v>9</v>
      </c>
    </row>
    <row r="258" spans="1:9" x14ac:dyDescent="0.25">
      <c r="A258" s="94" t="s">
        <v>324</v>
      </c>
      <c r="B258" s="94" t="s">
        <v>130</v>
      </c>
      <c r="C258" s="94">
        <v>3854</v>
      </c>
      <c r="D258" s="94" t="s">
        <v>995</v>
      </c>
      <c r="E258" s="94">
        <v>3734</v>
      </c>
      <c r="F258" s="94" t="s">
        <v>996</v>
      </c>
      <c r="G258" s="94" t="str">
        <f t="shared" si="4"/>
        <v>Fort SterlingR9</v>
      </c>
      <c r="H258" s="94" t="s">
        <v>380</v>
      </c>
      <c r="I258" s="94">
        <v>9</v>
      </c>
    </row>
    <row r="259" spans="1:9" x14ac:dyDescent="0.25">
      <c r="A259" s="94" t="s">
        <v>324</v>
      </c>
      <c r="B259" s="94" t="s">
        <v>131</v>
      </c>
      <c r="C259" s="94">
        <v>4193</v>
      </c>
      <c r="D259" s="94" t="s">
        <v>951</v>
      </c>
      <c r="E259" s="94">
        <v>4000</v>
      </c>
      <c r="F259" s="94" t="s">
        <v>951</v>
      </c>
      <c r="G259" s="94" t="str">
        <f t="shared" si="4"/>
        <v>LymhurstR9</v>
      </c>
      <c r="H259" s="94" t="s">
        <v>380</v>
      </c>
      <c r="I259" s="94">
        <v>9</v>
      </c>
    </row>
    <row r="260" spans="1:9" x14ac:dyDescent="0.25">
      <c r="A260" s="94" t="s">
        <v>324</v>
      </c>
      <c r="B260" s="94" t="s">
        <v>132</v>
      </c>
      <c r="C260" s="94"/>
      <c r="D260" s="94"/>
      <c r="E260" s="94"/>
      <c r="F260" s="94"/>
      <c r="G260" s="94" t="str">
        <f t="shared" si="4"/>
        <v>MartlockR9</v>
      </c>
      <c r="H260" s="94" t="s">
        <v>380</v>
      </c>
      <c r="I260" s="94">
        <v>9</v>
      </c>
    </row>
    <row r="261" spans="1:9" x14ac:dyDescent="0.25">
      <c r="A261" s="94" t="s">
        <v>324</v>
      </c>
      <c r="B261" s="94" t="s">
        <v>133</v>
      </c>
      <c r="C261" s="94">
        <v>4297</v>
      </c>
      <c r="D261" s="94" t="s">
        <v>988</v>
      </c>
      <c r="E261" s="94"/>
      <c r="F261" s="94"/>
      <c r="G261" s="94" t="str">
        <f t="shared" si="4"/>
        <v>ThetfordR9</v>
      </c>
      <c r="H261" s="94" t="s">
        <v>380</v>
      </c>
      <c r="I261" s="94">
        <v>9</v>
      </c>
    </row>
    <row r="262" spans="1:9" x14ac:dyDescent="0.25">
      <c r="A262" s="94" t="s">
        <v>325</v>
      </c>
      <c r="B262" s="94" t="s">
        <v>127</v>
      </c>
      <c r="C262" s="94"/>
      <c r="D262" s="94"/>
      <c r="E262" s="94"/>
      <c r="F262" s="94"/>
      <c r="G262" s="94" t="str">
        <f t="shared" si="4"/>
        <v>BrecilienR10</v>
      </c>
      <c r="H262" s="94" t="s">
        <v>380</v>
      </c>
      <c r="I262" s="94">
        <v>10</v>
      </c>
    </row>
    <row r="263" spans="1:9" x14ac:dyDescent="0.25">
      <c r="A263" s="94" t="s">
        <v>325</v>
      </c>
      <c r="B263" s="94" t="s">
        <v>128</v>
      </c>
      <c r="C263" s="94">
        <v>26600</v>
      </c>
      <c r="D263" s="94" t="s">
        <v>993</v>
      </c>
      <c r="E263" s="94">
        <v>23015</v>
      </c>
      <c r="F263" s="94" t="s">
        <v>993</v>
      </c>
      <c r="G263" s="94" t="str">
        <f t="shared" si="4"/>
        <v>BridgewatchR10</v>
      </c>
      <c r="H263" s="94" t="s">
        <v>380</v>
      </c>
      <c r="I263" s="94">
        <v>10</v>
      </c>
    </row>
    <row r="264" spans="1:9" x14ac:dyDescent="0.25">
      <c r="A264" s="94" t="s">
        <v>325</v>
      </c>
      <c r="B264" s="94" t="s">
        <v>129</v>
      </c>
      <c r="C264" s="94">
        <v>34997</v>
      </c>
      <c r="D264" s="94" t="s">
        <v>945</v>
      </c>
      <c r="E264" s="94">
        <v>25103</v>
      </c>
      <c r="F264" s="94" t="s">
        <v>997</v>
      </c>
      <c r="G264" s="94" t="str">
        <f t="shared" si="4"/>
        <v>CaerleonR10</v>
      </c>
      <c r="H264" s="94" t="s">
        <v>380</v>
      </c>
      <c r="I264" s="94">
        <v>10</v>
      </c>
    </row>
    <row r="265" spans="1:9" x14ac:dyDescent="0.25">
      <c r="A265" s="94" t="s">
        <v>325</v>
      </c>
      <c r="B265" s="94" t="s">
        <v>130</v>
      </c>
      <c r="C265" s="94">
        <v>25463</v>
      </c>
      <c r="D265" s="94" t="s">
        <v>978</v>
      </c>
      <c r="E265" s="94">
        <v>23020</v>
      </c>
      <c r="F265" s="94" t="s">
        <v>982</v>
      </c>
      <c r="G265" s="94" t="str">
        <f t="shared" si="4"/>
        <v>Fort SterlingR10</v>
      </c>
      <c r="H265" s="94" t="s">
        <v>380</v>
      </c>
      <c r="I265" s="94">
        <v>10</v>
      </c>
    </row>
    <row r="266" spans="1:9" x14ac:dyDescent="0.25">
      <c r="A266" s="94" t="s">
        <v>325</v>
      </c>
      <c r="B266" s="94" t="s">
        <v>131</v>
      </c>
      <c r="C266" s="94">
        <v>26487</v>
      </c>
      <c r="D266" s="94" t="s">
        <v>978</v>
      </c>
      <c r="E266" s="94"/>
      <c r="F266" s="94"/>
      <c r="G266" s="94" t="str">
        <f t="shared" si="4"/>
        <v>LymhurstR10</v>
      </c>
      <c r="H266" s="94" t="s">
        <v>380</v>
      </c>
      <c r="I266" s="94">
        <v>10</v>
      </c>
    </row>
    <row r="267" spans="1:9" x14ac:dyDescent="0.25">
      <c r="A267" s="94" t="s">
        <v>325</v>
      </c>
      <c r="B267" s="94" t="s">
        <v>132</v>
      </c>
      <c r="C267" s="94">
        <v>27093</v>
      </c>
      <c r="D267" s="94" t="s">
        <v>988</v>
      </c>
      <c r="E267" s="94"/>
      <c r="F267" s="94"/>
      <c r="G267" s="94" t="str">
        <f t="shared" si="4"/>
        <v>MartlockR10</v>
      </c>
      <c r="H267" s="94" t="s">
        <v>380</v>
      </c>
      <c r="I267" s="94">
        <v>10</v>
      </c>
    </row>
    <row r="268" spans="1:9" x14ac:dyDescent="0.25">
      <c r="A268" s="94" t="s">
        <v>325</v>
      </c>
      <c r="B268" s="94" t="s">
        <v>133</v>
      </c>
      <c r="C268" s="94">
        <v>26648</v>
      </c>
      <c r="D268" s="94" t="s">
        <v>909</v>
      </c>
      <c r="E268" s="94"/>
      <c r="F268" s="94"/>
      <c r="G268" s="94" t="str">
        <f t="shared" si="4"/>
        <v>ThetfordR10</v>
      </c>
      <c r="H268" s="94" t="s">
        <v>380</v>
      </c>
      <c r="I268" s="94">
        <v>10</v>
      </c>
    </row>
    <row r="269" spans="1:9" x14ac:dyDescent="0.25">
      <c r="A269" s="94" t="s">
        <v>326</v>
      </c>
      <c r="B269" s="94" t="s">
        <v>127</v>
      </c>
      <c r="C269" s="94"/>
      <c r="D269" s="94"/>
      <c r="E269" s="94"/>
      <c r="F269" s="94"/>
      <c r="G269" s="94" t="str">
        <f t="shared" si="4"/>
        <v>BrecilienR11</v>
      </c>
      <c r="H269" s="94" t="s">
        <v>380</v>
      </c>
      <c r="I269" s="94">
        <v>11</v>
      </c>
    </row>
    <row r="270" spans="1:9" x14ac:dyDescent="0.25">
      <c r="A270" s="94" t="s">
        <v>326</v>
      </c>
      <c r="B270" s="94" t="s">
        <v>128</v>
      </c>
      <c r="C270" s="94"/>
      <c r="D270" s="94"/>
      <c r="E270" s="94"/>
      <c r="F270" s="94"/>
      <c r="G270" s="94" t="str">
        <f t="shared" si="4"/>
        <v>BridgewatchR11</v>
      </c>
      <c r="H270" s="94" t="s">
        <v>380</v>
      </c>
      <c r="I270" s="94">
        <v>11</v>
      </c>
    </row>
    <row r="271" spans="1:9" x14ac:dyDescent="0.25">
      <c r="A271" s="94" t="s">
        <v>326</v>
      </c>
      <c r="B271" s="94" t="s">
        <v>129</v>
      </c>
      <c r="C271" s="94">
        <v>129994</v>
      </c>
      <c r="D271" s="94" t="s">
        <v>945</v>
      </c>
      <c r="E271" s="94"/>
      <c r="F271" s="94"/>
      <c r="G271" s="94" t="str">
        <f t="shared" si="4"/>
        <v>CaerleonR11</v>
      </c>
      <c r="H271" s="94" t="s">
        <v>380</v>
      </c>
      <c r="I271" s="94">
        <v>11</v>
      </c>
    </row>
    <row r="272" spans="1:9" x14ac:dyDescent="0.25">
      <c r="A272" s="94" t="s">
        <v>326</v>
      </c>
      <c r="B272" s="94" t="s">
        <v>130</v>
      </c>
      <c r="C272" s="94">
        <v>106999</v>
      </c>
      <c r="D272" s="94" t="s">
        <v>978</v>
      </c>
      <c r="E272" s="94">
        <v>91017</v>
      </c>
      <c r="F272" s="94" t="s">
        <v>936</v>
      </c>
      <c r="G272" s="94" t="str">
        <f t="shared" si="4"/>
        <v>Fort SterlingR11</v>
      </c>
      <c r="H272" s="94" t="s">
        <v>380</v>
      </c>
      <c r="I272" s="94">
        <v>11</v>
      </c>
    </row>
    <row r="273" spans="1:9" x14ac:dyDescent="0.25">
      <c r="A273" s="94" t="s">
        <v>326</v>
      </c>
      <c r="B273" s="94" t="s">
        <v>131</v>
      </c>
      <c r="C273" s="94">
        <v>105999</v>
      </c>
      <c r="D273" s="94" t="s">
        <v>978</v>
      </c>
      <c r="E273" s="94"/>
      <c r="F273" s="94"/>
      <c r="G273" s="94" t="str">
        <f t="shared" si="4"/>
        <v>LymhurstR11</v>
      </c>
      <c r="H273" s="94" t="s">
        <v>380</v>
      </c>
      <c r="I273" s="94">
        <v>11</v>
      </c>
    </row>
    <row r="274" spans="1:9" x14ac:dyDescent="0.25">
      <c r="A274" s="94" t="s">
        <v>326</v>
      </c>
      <c r="B274" s="94" t="s">
        <v>132</v>
      </c>
      <c r="C274" s="94"/>
      <c r="D274" s="94"/>
      <c r="E274" s="94"/>
      <c r="F274" s="94"/>
      <c r="G274" s="94" t="str">
        <f t="shared" si="4"/>
        <v>MartlockR11</v>
      </c>
      <c r="H274" s="94" t="s">
        <v>380</v>
      </c>
      <c r="I274" s="94">
        <v>11</v>
      </c>
    </row>
    <row r="275" spans="1:9" x14ac:dyDescent="0.25">
      <c r="A275" s="94" t="s">
        <v>326</v>
      </c>
      <c r="B275" s="94" t="s">
        <v>133</v>
      </c>
      <c r="C275" s="94"/>
      <c r="D275" s="94"/>
      <c r="E275" s="94"/>
      <c r="F275" s="94"/>
      <c r="G275" s="94" t="str">
        <f t="shared" si="4"/>
        <v>ThetfordR11</v>
      </c>
      <c r="H275" s="94" t="s">
        <v>380</v>
      </c>
      <c r="I275" s="94">
        <v>11</v>
      </c>
    </row>
    <row r="276" spans="1:9" x14ac:dyDescent="0.25">
      <c r="A276" s="94" t="s">
        <v>327</v>
      </c>
      <c r="B276" s="94" t="s">
        <v>127</v>
      </c>
      <c r="C276" s="94">
        <v>2562</v>
      </c>
      <c r="D276" s="94" t="s">
        <v>964</v>
      </c>
      <c r="E276" s="94"/>
      <c r="F276" s="94"/>
      <c r="G276" s="94" t="str">
        <f t="shared" si="4"/>
        <v>BrecilienR12</v>
      </c>
      <c r="H276" s="94" t="s">
        <v>380</v>
      </c>
      <c r="I276" s="94">
        <v>12</v>
      </c>
    </row>
    <row r="277" spans="1:9" x14ac:dyDescent="0.25">
      <c r="A277" s="94" t="s">
        <v>327</v>
      </c>
      <c r="B277" s="94" t="s">
        <v>128</v>
      </c>
      <c r="C277" s="94">
        <v>2930</v>
      </c>
      <c r="D277" s="94" t="s">
        <v>992</v>
      </c>
      <c r="E277" s="94"/>
      <c r="F277" s="94"/>
      <c r="G277" s="94" t="str">
        <f t="shared" si="4"/>
        <v>BridgewatchR12</v>
      </c>
      <c r="H277" s="94" t="s">
        <v>380</v>
      </c>
      <c r="I277" s="94">
        <v>12</v>
      </c>
    </row>
    <row r="278" spans="1:9" x14ac:dyDescent="0.25">
      <c r="A278" s="94" t="s">
        <v>327</v>
      </c>
      <c r="B278" s="94" t="s">
        <v>129</v>
      </c>
      <c r="C278" s="94">
        <v>2967</v>
      </c>
      <c r="D278" s="94" t="s">
        <v>998</v>
      </c>
      <c r="E278" s="94"/>
      <c r="F278" s="94"/>
      <c r="G278" s="94" t="str">
        <f t="shared" si="4"/>
        <v>CaerleonR12</v>
      </c>
      <c r="H278" s="94" t="s">
        <v>380</v>
      </c>
      <c r="I278" s="94">
        <v>12</v>
      </c>
    </row>
    <row r="279" spans="1:9" x14ac:dyDescent="0.25">
      <c r="A279" s="94" t="s">
        <v>327</v>
      </c>
      <c r="B279" s="94" t="s">
        <v>130</v>
      </c>
      <c r="C279" s="94">
        <v>2296</v>
      </c>
      <c r="D279" s="94" t="s">
        <v>999</v>
      </c>
      <c r="E279" s="94">
        <v>2233</v>
      </c>
      <c r="F279" s="94" t="s">
        <v>999</v>
      </c>
      <c r="G279" s="94" t="str">
        <f t="shared" si="4"/>
        <v>Fort SterlingR12</v>
      </c>
      <c r="H279" s="94" t="s">
        <v>380</v>
      </c>
      <c r="I279" s="94">
        <v>12</v>
      </c>
    </row>
    <row r="280" spans="1:9" x14ac:dyDescent="0.25">
      <c r="A280" s="94" t="s">
        <v>327</v>
      </c>
      <c r="B280" s="94" t="s">
        <v>131</v>
      </c>
      <c r="C280" s="94">
        <v>2339</v>
      </c>
      <c r="D280" s="94" t="s">
        <v>978</v>
      </c>
      <c r="E280" s="94"/>
      <c r="F280" s="94"/>
      <c r="G280" s="94" t="str">
        <f t="shared" si="4"/>
        <v>LymhurstR12</v>
      </c>
      <c r="H280" s="94" t="s">
        <v>380</v>
      </c>
      <c r="I280" s="94">
        <v>12</v>
      </c>
    </row>
    <row r="281" spans="1:9" x14ac:dyDescent="0.25">
      <c r="A281" s="94" t="s">
        <v>327</v>
      </c>
      <c r="B281" s="94" t="s">
        <v>132</v>
      </c>
      <c r="C281" s="94">
        <v>2893</v>
      </c>
      <c r="D281" s="94" t="s">
        <v>909</v>
      </c>
      <c r="E281" s="94">
        <v>2192</v>
      </c>
      <c r="F281" s="94" t="s">
        <v>994</v>
      </c>
      <c r="G281" s="94" t="str">
        <f t="shared" si="4"/>
        <v>MartlockR12</v>
      </c>
      <c r="H281" s="94" t="s">
        <v>380</v>
      </c>
      <c r="I281" s="94">
        <v>12</v>
      </c>
    </row>
    <row r="282" spans="1:9" x14ac:dyDescent="0.25">
      <c r="A282" s="94" t="s">
        <v>327</v>
      </c>
      <c r="B282" s="94" t="s">
        <v>133</v>
      </c>
      <c r="C282" s="94">
        <v>2745</v>
      </c>
      <c r="D282" s="94" t="s">
        <v>1000</v>
      </c>
      <c r="E282" s="94"/>
      <c r="F282" s="94"/>
      <c r="G282" s="94" t="str">
        <f t="shared" si="4"/>
        <v>ThetfordR12</v>
      </c>
      <c r="H282" s="94" t="s">
        <v>380</v>
      </c>
      <c r="I282" s="94">
        <v>12</v>
      </c>
    </row>
    <row r="283" spans="1:9" x14ac:dyDescent="0.25">
      <c r="A283" s="94" t="s">
        <v>328</v>
      </c>
      <c r="B283" s="94" t="s">
        <v>127</v>
      </c>
      <c r="C283" s="94"/>
      <c r="D283" s="94"/>
      <c r="E283" s="94"/>
      <c r="F283" s="94"/>
      <c r="G283" s="94" t="str">
        <f t="shared" si="4"/>
        <v>BrecilienR13</v>
      </c>
      <c r="H283" s="94" t="s">
        <v>380</v>
      </c>
      <c r="I283" s="94">
        <v>13</v>
      </c>
    </row>
    <row r="284" spans="1:9" x14ac:dyDescent="0.25">
      <c r="A284" s="94" t="s">
        <v>328</v>
      </c>
      <c r="B284" s="94" t="s">
        <v>128</v>
      </c>
      <c r="C284" s="94"/>
      <c r="D284" s="94"/>
      <c r="E284" s="94"/>
      <c r="F284" s="94"/>
      <c r="G284" s="94" t="str">
        <f t="shared" si="4"/>
        <v>BridgewatchR13</v>
      </c>
      <c r="H284" s="94" t="s">
        <v>380</v>
      </c>
      <c r="I284" s="94">
        <v>13</v>
      </c>
    </row>
    <row r="285" spans="1:9" x14ac:dyDescent="0.25">
      <c r="A285" s="94" t="s">
        <v>328</v>
      </c>
      <c r="B285" s="94" t="s">
        <v>129</v>
      </c>
      <c r="C285" s="94">
        <v>6779</v>
      </c>
      <c r="D285" s="94" t="s">
        <v>945</v>
      </c>
      <c r="E285" s="94"/>
      <c r="F285" s="94"/>
      <c r="G285" s="94" t="str">
        <f t="shared" si="4"/>
        <v>CaerleonR13</v>
      </c>
      <c r="H285" s="94" t="s">
        <v>380</v>
      </c>
      <c r="I285" s="94">
        <v>13</v>
      </c>
    </row>
    <row r="286" spans="1:9" x14ac:dyDescent="0.25">
      <c r="A286" s="94" t="s">
        <v>328</v>
      </c>
      <c r="B286" s="94" t="s">
        <v>130</v>
      </c>
      <c r="C286" s="94">
        <v>4202</v>
      </c>
      <c r="D286" s="94" t="s">
        <v>1001</v>
      </c>
      <c r="E286" s="94">
        <v>3909</v>
      </c>
      <c r="F286" s="94" t="s">
        <v>1001</v>
      </c>
      <c r="G286" s="94" t="str">
        <f t="shared" si="4"/>
        <v>Fort SterlingR13</v>
      </c>
      <c r="H286" s="94" t="s">
        <v>380</v>
      </c>
      <c r="I286" s="94">
        <v>13</v>
      </c>
    </row>
    <row r="287" spans="1:9" x14ac:dyDescent="0.25">
      <c r="A287" s="94" t="s">
        <v>328</v>
      </c>
      <c r="B287" s="94" t="s">
        <v>131</v>
      </c>
      <c r="C287" s="94">
        <v>4799</v>
      </c>
      <c r="D287" s="94" t="s">
        <v>978</v>
      </c>
      <c r="E287" s="94">
        <v>4005</v>
      </c>
      <c r="F287" s="94" t="s">
        <v>1002</v>
      </c>
      <c r="G287" s="94" t="str">
        <f t="shared" si="4"/>
        <v>LymhurstR13</v>
      </c>
      <c r="H287" s="94" t="s">
        <v>380</v>
      </c>
      <c r="I287" s="94">
        <v>13</v>
      </c>
    </row>
    <row r="288" spans="1:9" x14ac:dyDescent="0.25">
      <c r="A288" s="94" t="s">
        <v>328</v>
      </c>
      <c r="B288" s="94" t="s">
        <v>132</v>
      </c>
      <c r="C288" s="94">
        <v>4741</v>
      </c>
      <c r="D288" s="94" t="s">
        <v>909</v>
      </c>
      <c r="E288" s="94"/>
      <c r="F288" s="94"/>
      <c r="G288" s="94" t="str">
        <f t="shared" si="4"/>
        <v>MartlockR13</v>
      </c>
      <c r="H288" s="94" t="s">
        <v>380</v>
      </c>
      <c r="I288" s="94">
        <v>13</v>
      </c>
    </row>
    <row r="289" spans="1:9" x14ac:dyDescent="0.25">
      <c r="A289" s="94" t="s">
        <v>328</v>
      </c>
      <c r="B289" s="94" t="s">
        <v>133</v>
      </c>
      <c r="C289" s="94">
        <v>4684</v>
      </c>
      <c r="D289" s="94" t="s">
        <v>1000</v>
      </c>
      <c r="E289" s="94"/>
      <c r="F289" s="94"/>
      <c r="G289" s="94" t="str">
        <f t="shared" si="4"/>
        <v>ThetfordR13</v>
      </c>
      <c r="H289" s="94" t="s">
        <v>380</v>
      </c>
      <c r="I289" s="94">
        <v>13</v>
      </c>
    </row>
    <row r="290" spans="1:9" x14ac:dyDescent="0.25">
      <c r="A290" s="94" t="s">
        <v>329</v>
      </c>
      <c r="B290" s="94" t="s">
        <v>127</v>
      </c>
      <c r="C290" s="94"/>
      <c r="D290" s="94"/>
      <c r="E290" s="94"/>
      <c r="F290" s="94"/>
      <c r="G290" s="94" t="str">
        <f t="shared" si="4"/>
        <v>BrecilienR14</v>
      </c>
      <c r="H290" s="94" t="s">
        <v>380</v>
      </c>
      <c r="I290" s="94">
        <v>14</v>
      </c>
    </row>
    <row r="291" spans="1:9" x14ac:dyDescent="0.25">
      <c r="A291" s="94" t="s">
        <v>329</v>
      </c>
      <c r="B291" s="94" t="s">
        <v>128</v>
      </c>
      <c r="C291" s="94">
        <v>23950</v>
      </c>
      <c r="D291" s="94" t="s">
        <v>925</v>
      </c>
      <c r="E291" s="94">
        <v>21005</v>
      </c>
      <c r="F291" s="94" t="s">
        <v>1003</v>
      </c>
      <c r="G291" s="94" t="str">
        <f t="shared" si="4"/>
        <v>BridgewatchR14</v>
      </c>
      <c r="H291" s="94" t="s">
        <v>380</v>
      </c>
      <c r="I291" s="94">
        <v>14</v>
      </c>
    </row>
    <row r="292" spans="1:9" x14ac:dyDescent="0.25">
      <c r="A292" s="94" t="s">
        <v>329</v>
      </c>
      <c r="B292" s="94" t="s">
        <v>129</v>
      </c>
      <c r="C292" s="94">
        <v>26483</v>
      </c>
      <c r="D292" s="94" t="s">
        <v>945</v>
      </c>
      <c r="E292" s="94">
        <v>17551</v>
      </c>
      <c r="F292" s="94" t="s">
        <v>975</v>
      </c>
      <c r="G292" s="94" t="str">
        <f t="shared" si="4"/>
        <v>CaerleonR14</v>
      </c>
      <c r="H292" s="94" t="s">
        <v>380</v>
      </c>
      <c r="I292" s="94">
        <v>14</v>
      </c>
    </row>
    <row r="293" spans="1:9" x14ac:dyDescent="0.25">
      <c r="A293" s="94" t="s">
        <v>329</v>
      </c>
      <c r="B293" s="94" t="s">
        <v>130</v>
      </c>
      <c r="C293" s="94">
        <v>22096</v>
      </c>
      <c r="D293" s="94" t="s">
        <v>1001</v>
      </c>
      <c r="E293" s="94">
        <v>19509</v>
      </c>
      <c r="F293" s="94" t="s">
        <v>1001</v>
      </c>
      <c r="G293" s="94" t="str">
        <f t="shared" si="4"/>
        <v>Fort SterlingR14</v>
      </c>
      <c r="H293" s="94" t="s">
        <v>380</v>
      </c>
      <c r="I293" s="94">
        <v>14</v>
      </c>
    </row>
    <row r="294" spans="1:9" x14ac:dyDescent="0.25">
      <c r="A294" s="94" t="s">
        <v>329</v>
      </c>
      <c r="B294" s="94" t="s">
        <v>131</v>
      </c>
      <c r="C294" s="94">
        <v>22998</v>
      </c>
      <c r="D294" s="94" t="s">
        <v>951</v>
      </c>
      <c r="E294" s="94">
        <v>19000</v>
      </c>
      <c r="F294" s="94" t="s">
        <v>951</v>
      </c>
      <c r="G294" s="94" t="str">
        <f t="shared" si="4"/>
        <v>LymhurstR14</v>
      </c>
      <c r="H294" s="94" t="s">
        <v>380</v>
      </c>
      <c r="I294" s="94">
        <v>14</v>
      </c>
    </row>
    <row r="295" spans="1:9" x14ac:dyDescent="0.25">
      <c r="A295" s="94" t="s">
        <v>329</v>
      </c>
      <c r="B295" s="94" t="s">
        <v>132</v>
      </c>
      <c r="C295" s="94">
        <v>22999</v>
      </c>
      <c r="D295" s="94" t="s">
        <v>968</v>
      </c>
      <c r="E295" s="94">
        <v>21208</v>
      </c>
      <c r="F295" s="94" t="s">
        <v>1004</v>
      </c>
      <c r="G295" s="94" t="str">
        <f t="shared" si="4"/>
        <v>MartlockR14</v>
      </c>
      <c r="H295" s="94" t="s">
        <v>380</v>
      </c>
      <c r="I295" s="94">
        <v>14</v>
      </c>
    </row>
    <row r="296" spans="1:9" x14ac:dyDescent="0.25">
      <c r="A296" s="94" t="s">
        <v>329</v>
      </c>
      <c r="B296" s="94" t="s">
        <v>133</v>
      </c>
      <c r="C296" s="94">
        <v>25988</v>
      </c>
      <c r="D296" s="94" t="s">
        <v>971</v>
      </c>
      <c r="E296" s="94">
        <v>20301</v>
      </c>
      <c r="F296" s="94" t="s">
        <v>1005</v>
      </c>
      <c r="G296" s="94" t="str">
        <f t="shared" si="4"/>
        <v>ThetfordR14</v>
      </c>
      <c r="H296" s="94" t="s">
        <v>380</v>
      </c>
      <c r="I296" s="94">
        <v>14</v>
      </c>
    </row>
    <row r="297" spans="1:9" x14ac:dyDescent="0.25">
      <c r="A297" s="94" t="s">
        <v>330</v>
      </c>
      <c r="B297" s="94" t="s">
        <v>127</v>
      </c>
      <c r="C297" s="94">
        <v>64079</v>
      </c>
      <c r="D297" s="94" t="s">
        <v>964</v>
      </c>
      <c r="E297" s="94"/>
      <c r="F297" s="94"/>
      <c r="G297" s="94" t="str">
        <f t="shared" si="4"/>
        <v>BrecilienR15</v>
      </c>
      <c r="H297" s="94" t="s">
        <v>380</v>
      </c>
      <c r="I297" s="94">
        <v>15</v>
      </c>
    </row>
    <row r="298" spans="1:9" x14ac:dyDescent="0.25">
      <c r="A298" s="94" t="s">
        <v>330</v>
      </c>
      <c r="B298" s="94" t="s">
        <v>128</v>
      </c>
      <c r="C298" s="94">
        <v>89409</v>
      </c>
      <c r="D298" s="94" t="s">
        <v>925</v>
      </c>
      <c r="E298" s="94"/>
      <c r="F298" s="94"/>
      <c r="G298" s="94" t="str">
        <f t="shared" si="4"/>
        <v>BridgewatchR15</v>
      </c>
      <c r="H298" s="94" t="s">
        <v>380</v>
      </c>
      <c r="I298" s="94">
        <v>15</v>
      </c>
    </row>
    <row r="299" spans="1:9" x14ac:dyDescent="0.25">
      <c r="A299" s="94" t="s">
        <v>330</v>
      </c>
      <c r="B299" s="94" t="s">
        <v>129</v>
      </c>
      <c r="C299" s="94">
        <v>74996</v>
      </c>
      <c r="D299" s="94" t="s">
        <v>963</v>
      </c>
      <c r="E299" s="94"/>
      <c r="F299" s="94"/>
      <c r="G299" s="94" t="str">
        <f t="shared" si="4"/>
        <v>CaerleonR15</v>
      </c>
      <c r="H299" s="94" t="s">
        <v>380</v>
      </c>
      <c r="I299" s="94">
        <v>15</v>
      </c>
    </row>
    <row r="300" spans="1:9" x14ac:dyDescent="0.25">
      <c r="A300" s="94" t="s">
        <v>330</v>
      </c>
      <c r="B300" s="94" t="s">
        <v>130</v>
      </c>
      <c r="C300" s="94">
        <v>69879</v>
      </c>
      <c r="D300" s="94" t="s">
        <v>978</v>
      </c>
      <c r="E300" s="94"/>
      <c r="F300" s="94"/>
      <c r="G300" s="94" t="str">
        <f t="shared" si="4"/>
        <v>Fort SterlingR15</v>
      </c>
      <c r="H300" s="94" t="s">
        <v>380</v>
      </c>
      <c r="I300" s="94">
        <v>15</v>
      </c>
    </row>
    <row r="301" spans="1:9" x14ac:dyDescent="0.25">
      <c r="A301" s="94" t="s">
        <v>330</v>
      </c>
      <c r="B301" s="94" t="s">
        <v>131</v>
      </c>
      <c r="C301" s="94">
        <v>72790</v>
      </c>
      <c r="D301" s="94" t="s">
        <v>978</v>
      </c>
      <c r="E301" s="94"/>
      <c r="F301" s="94"/>
      <c r="G301" s="94" t="str">
        <f t="shared" si="4"/>
        <v>LymhurstR15</v>
      </c>
      <c r="H301" s="94" t="s">
        <v>380</v>
      </c>
      <c r="I301" s="94">
        <v>15</v>
      </c>
    </row>
    <row r="302" spans="1:9" x14ac:dyDescent="0.25">
      <c r="A302" s="94" t="s">
        <v>330</v>
      </c>
      <c r="B302" s="94" t="s">
        <v>132</v>
      </c>
      <c r="C302" s="94">
        <v>69500</v>
      </c>
      <c r="D302" s="94" t="s">
        <v>1006</v>
      </c>
      <c r="E302" s="94">
        <v>56354</v>
      </c>
      <c r="F302" s="94" t="s">
        <v>1006</v>
      </c>
      <c r="G302" s="94" t="str">
        <f t="shared" si="4"/>
        <v>MartlockR15</v>
      </c>
      <c r="H302" s="94" t="s">
        <v>380</v>
      </c>
      <c r="I302" s="94">
        <v>15</v>
      </c>
    </row>
    <row r="303" spans="1:9" x14ac:dyDescent="0.25">
      <c r="A303" s="94" t="s">
        <v>330</v>
      </c>
      <c r="B303" s="94" t="s">
        <v>133</v>
      </c>
      <c r="C303" s="94">
        <v>79499</v>
      </c>
      <c r="D303" s="94" t="s">
        <v>909</v>
      </c>
      <c r="E303" s="94"/>
      <c r="F303" s="94"/>
      <c r="G303" s="94" t="str">
        <f t="shared" si="4"/>
        <v>ThetfordR15</v>
      </c>
      <c r="H303" s="94" t="s">
        <v>380</v>
      </c>
      <c r="I303" s="94">
        <v>15</v>
      </c>
    </row>
    <row r="304" spans="1:9" x14ac:dyDescent="0.25">
      <c r="A304" s="94" t="s">
        <v>331</v>
      </c>
      <c r="B304" s="94" t="s">
        <v>127</v>
      </c>
      <c r="C304" s="94">
        <v>287000</v>
      </c>
      <c r="D304" s="94" t="s">
        <v>964</v>
      </c>
      <c r="E304" s="94"/>
      <c r="F304" s="94"/>
      <c r="G304" s="94" t="str">
        <f t="shared" si="4"/>
        <v>BrecilienR16</v>
      </c>
      <c r="H304" s="94" t="s">
        <v>380</v>
      </c>
      <c r="I304" s="94">
        <v>16</v>
      </c>
    </row>
    <row r="305" spans="1:9" x14ac:dyDescent="0.25">
      <c r="A305" s="94" t="s">
        <v>331</v>
      </c>
      <c r="B305" s="94" t="s">
        <v>128</v>
      </c>
      <c r="C305" s="94">
        <v>300000</v>
      </c>
      <c r="D305" s="94" t="s">
        <v>925</v>
      </c>
      <c r="E305" s="94"/>
      <c r="F305" s="94"/>
      <c r="G305" s="94" t="str">
        <f t="shared" si="4"/>
        <v>BridgewatchR16</v>
      </c>
      <c r="H305" s="94" t="s">
        <v>380</v>
      </c>
      <c r="I305" s="94">
        <v>16</v>
      </c>
    </row>
    <row r="306" spans="1:9" x14ac:dyDescent="0.25">
      <c r="A306" s="94" t="s">
        <v>331</v>
      </c>
      <c r="B306" s="94" t="s">
        <v>129</v>
      </c>
      <c r="C306" s="94"/>
      <c r="D306" s="94"/>
      <c r="E306" s="94"/>
      <c r="F306" s="94"/>
      <c r="G306" s="94" t="str">
        <f t="shared" si="4"/>
        <v>CaerleonR16</v>
      </c>
      <c r="H306" s="94" t="s">
        <v>380</v>
      </c>
      <c r="I306" s="94">
        <v>16</v>
      </c>
    </row>
    <row r="307" spans="1:9" x14ac:dyDescent="0.25">
      <c r="A307" s="94" t="s">
        <v>331</v>
      </c>
      <c r="B307" s="94" t="s">
        <v>130</v>
      </c>
      <c r="C307" s="94">
        <v>289998</v>
      </c>
      <c r="D307" s="94" t="s">
        <v>978</v>
      </c>
      <c r="E307" s="94"/>
      <c r="F307" s="94"/>
      <c r="G307" s="94" t="str">
        <f t="shared" si="4"/>
        <v>Fort SterlingR16</v>
      </c>
      <c r="H307" s="94" t="s">
        <v>380</v>
      </c>
      <c r="I307" s="94">
        <v>16</v>
      </c>
    </row>
    <row r="308" spans="1:9" x14ac:dyDescent="0.25">
      <c r="A308" s="94" t="s">
        <v>331</v>
      </c>
      <c r="B308" s="94" t="s">
        <v>131</v>
      </c>
      <c r="C308" s="94">
        <v>276999</v>
      </c>
      <c r="D308" s="94" t="s">
        <v>947</v>
      </c>
      <c r="E308" s="94">
        <v>242000</v>
      </c>
      <c r="F308" s="94" t="s">
        <v>1007</v>
      </c>
      <c r="G308" s="94" t="str">
        <f t="shared" si="4"/>
        <v>LymhurstR16</v>
      </c>
      <c r="H308" s="94" t="s">
        <v>380</v>
      </c>
      <c r="I308" s="94">
        <v>16</v>
      </c>
    </row>
    <row r="309" spans="1:9" x14ac:dyDescent="0.25">
      <c r="A309" s="94" t="s">
        <v>331</v>
      </c>
      <c r="B309" s="94" t="s">
        <v>132</v>
      </c>
      <c r="C309" s="94"/>
      <c r="D309" s="94"/>
      <c r="E309" s="94"/>
      <c r="F309" s="94"/>
      <c r="G309" s="94" t="str">
        <f t="shared" si="4"/>
        <v>MartlockR16</v>
      </c>
      <c r="H309" s="94" t="s">
        <v>380</v>
      </c>
      <c r="I309" s="94">
        <v>16</v>
      </c>
    </row>
    <row r="310" spans="1:9" x14ac:dyDescent="0.25">
      <c r="A310" s="94" t="s">
        <v>331</v>
      </c>
      <c r="B310" s="94" t="s">
        <v>133</v>
      </c>
      <c r="C310" s="94"/>
      <c r="D310" s="94"/>
      <c r="E310" s="94"/>
      <c r="F310" s="94"/>
      <c r="G310" s="94" t="str">
        <f t="shared" si="4"/>
        <v>ThetfordR16</v>
      </c>
      <c r="H310" s="94" t="s">
        <v>380</v>
      </c>
      <c r="I310" s="94">
        <v>16</v>
      </c>
    </row>
    <row r="311" spans="1:9" x14ac:dyDescent="0.25">
      <c r="A311" s="94" t="s">
        <v>332</v>
      </c>
      <c r="B311" s="94" t="s">
        <v>127</v>
      </c>
      <c r="C311" s="94">
        <v>9996</v>
      </c>
      <c r="D311" s="94" t="s">
        <v>948</v>
      </c>
      <c r="E311" s="94">
        <v>3001</v>
      </c>
      <c r="F311" s="94" t="s">
        <v>944</v>
      </c>
      <c r="G311" s="94" t="str">
        <f t="shared" si="4"/>
        <v>BrecilienR17</v>
      </c>
      <c r="H311" s="94" t="s">
        <v>380</v>
      </c>
      <c r="I311" s="94">
        <v>17</v>
      </c>
    </row>
    <row r="312" spans="1:9" x14ac:dyDescent="0.25">
      <c r="A312" s="94" t="s">
        <v>332</v>
      </c>
      <c r="B312" s="94" t="s">
        <v>128</v>
      </c>
      <c r="C312" s="94">
        <v>8965</v>
      </c>
      <c r="D312" s="94" t="s">
        <v>992</v>
      </c>
      <c r="E312" s="94">
        <v>8480</v>
      </c>
      <c r="F312" s="94" t="s">
        <v>918</v>
      </c>
      <c r="G312" s="94" t="str">
        <f t="shared" si="4"/>
        <v>BridgewatchR17</v>
      </c>
      <c r="H312" s="94" t="s">
        <v>380</v>
      </c>
      <c r="I312" s="94">
        <v>17</v>
      </c>
    </row>
    <row r="313" spans="1:9" x14ac:dyDescent="0.25">
      <c r="A313" s="94" t="s">
        <v>332</v>
      </c>
      <c r="B313" s="94" t="s">
        <v>129</v>
      </c>
      <c r="C313" s="94">
        <v>9000</v>
      </c>
      <c r="D313" s="94" t="s">
        <v>911</v>
      </c>
      <c r="E313" s="94"/>
      <c r="F313" s="94"/>
      <c r="G313" s="94" t="str">
        <f t="shared" si="4"/>
        <v>CaerleonR17</v>
      </c>
      <c r="H313" s="94" t="s">
        <v>380</v>
      </c>
      <c r="I313" s="94">
        <v>17</v>
      </c>
    </row>
    <row r="314" spans="1:9" x14ac:dyDescent="0.25">
      <c r="A314" s="94" t="s">
        <v>332</v>
      </c>
      <c r="B314" s="94" t="s">
        <v>130</v>
      </c>
      <c r="C314" s="94">
        <v>8239</v>
      </c>
      <c r="D314" s="94" t="s">
        <v>996</v>
      </c>
      <c r="E314" s="94">
        <v>8131</v>
      </c>
      <c r="F314" s="94" t="s">
        <v>995</v>
      </c>
      <c r="G314" s="94" t="str">
        <f t="shared" si="4"/>
        <v>Fort SterlingR17</v>
      </c>
      <c r="H314" s="94" t="s">
        <v>380</v>
      </c>
      <c r="I314" s="94">
        <v>17</v>
      </c>
    </row>
    <row r="315" spans="1:9" x14ac:dyDescent="0.25">
      <c r="A315" s="94" t="s">
        <v>332</v>
      </c>
      <c r="B315" s="94" t="s">
        <v>131</v>
      </c>
      <c r="C315" s="94">
        <v>8658</v>
      </c>
      <c r="D315" s="94" t="s">
        <v>1008</v>
      </c>
      <c r="E315" s="94"/>
      <c r="F315" s="94"/>
      <c r="G315" s="94" t="str">
        <f t="shared" si="4"/>
        <v>LymhurstR17</v>
      </c>
      <c r="H315" s="94" t="s">
        <v>380</v>
      </c>
      <c r="I315" s="94">
        <v>17</v>
      </c>
    </row>
    <row r="316" spans="1:9" x14ac:dyDescent="0.25">
      <c r="A316" s="94" t="s">
        <v>332</v>
      </c>
      <c r="B316" s="94" t="s">
        <v>132</v>
      </c>
      <c r="C316" s="94">
        <v>8690</v>
      </c>
      <c r="D316" s="94" t="s">
        <v>1000</v>
      </c>
      <c r="E316" s="94">
        <v>6054</v>
      </c>
      <c r="F316" s="94" t="s">
        <v>994</v>
      </c>
      <c r="G316" s="94" t="str">
        <f t="shared" si="4"/>
        <v>MartlockR17</v>
      </c>
      <c r="H316" s="94" t="s">
        <v>380</v>
      </c>
      <c r="I316" s="94">
        <v>17</v>
      </c>
    </row>
    <row r="317" spans="1:9" x14ac:dyDescent="0.25">
      <c r="A317" s="94" t="s">
        <v>332</v>
      </c>
      <c r="B317" s="94" t="s">
        <v>133</v>
      </c>
      <c r="C317" s="94">
        <v>12995</v>
      </c>
      <c r="D317" s="94" t="s">
        <v>903</v>
      </c>
      <c r="E317" s="94"/>
      <c r="F317" s="94"/>
      <c r="G317" s="94" t="str">
        <f t="shared" si="4"/>
        <v>ThetfordR17</v>
      </c>
      <c r="H317" s="94" t="s">
        <v>380</v>
      </c>
      <c r="I317" s="94">
        <v>17</v>
      </c>
    </row>
    <row r="318" spans="1:9" x14ac:dyDescent="0.25">
      <c r="A318" s="94" t="s">
        <v>333</v>
      </c>
      <c r="B318" s="94" t="s">
        <v>127</v>
      </c>
      <c r="C318" s="94">
        <v>19995</v>
      </c>
      <c r="D318" s="94" t="s">
        <v>944</v>
      </c>
      <c r="E318" s="94"/>
      <c r="F318" s="94"/>
      <c r="G318" s="94" t="str">
        <f t="shared" si="4"/>
        <v>BrecilienR18</v>
      </c>
      <c r="H318" s="94" t="s">
        <v>380</v>
      </c>
      <c r="I318" s="94">
        <v>18</v>
      </c>
    </row>
    <row r="319" spans="1:9" x14ac:dyDescent="0.25">
      <c r="A319" s="94" t="s">
        <v>333</v>
      </c>
      <c r="B319" s="94" t="s">
        <v>128</v>
      </c>
      <c r="C319" s="94">
        <v>20400</v>
      </c>
      <c r="D319" s="94" t="s">
        <v>992</v>
      </c>
      <c r="E319" s="94"/>
      <c r="F319" s="94"/>
      <c r="G319" s="94" t="str">
        <f t="shared" si="4"/>
        <v>BridgewatchR18</v>
      </c>
      <c r="H319" s="94" t="s">
        <v>380</v>
      </c>
      <c r="I319" s="94">
        <v>18</v>
      </c>
    </row>
    <row r="320" spans="1:9" x14ac:dyDescent="0.25">
      <c r="A320" s="94" t="s">
        <v>333</v>
      </c>
      <c r="B320" s="94" t="s">
        <v>129</v>
      </c>
      <c r="C320" s="94">
        <v>36600</v>
      </c>
      <c r="D320" s="94" t="s">
        <v>963</v>
      </c>
      <c r="E320" s="94"/>
      <c r="F320" s="94"/>
      <c r="G320" s="94" t="str">
        <f t="shared" si="4"/>
        <v>CaerleonR18</v>
      </c>
      <c r="H320" s="94" t="s">
        <v>380</v>
      </c>
      <c r="I320" s="94">
        <v>18</v>
      </c>
    </row>
    <row r="321" spans="1:9" x14ac:dyDescent="0.25">
      <c r="A321" s="94" t="s">
        <v>333</v>
      </c>
      <c r="B321" s="94" t="s">
        <v>130</v>
      </c>
      <c r="C321" s="94">
        <v>18131</v>
      </c>
      <c r="D321" s="94" t="s">
        <v>996</v>
      </c>
      <c r="E321" s="94">
        <v>17802</v>
      </c>
      <c r="F321" s="94" t="s">
        <v>996</v>
      </c>
      <c r="G321" s="94" t="str">
        <f t="shared" ref="G321:G380" si="5">_xlfn.CONCAT(B321,H321,I321)</f>
        <v>Fort SterlingR18</v>
      </c>
      <c r="H321" s="94" t="s">
        <v>380</v>
      </c>
      <c r="I321" s="94">
        <v>18</v>
      </c>
    </row>
    <row r="322" spans="1:9" x14ac:dyDescent="0.25">
      <c r="A322" s="94" t="s">
        <v>333</v>
      </c>
      <c r="B322" s="94" t="s">
        <v>131</v>
      </c>
      <c r="C322" s="94">
        <v>18191</v>
      </c>
      <c r="D322" s="94" t="s">
        <v>978</v>
      </c>
      <c r="E322" s="94"/>
      <c r="F322" s="94"/>
      <c r="G322" s="94" t="str">
        <f t="shared" si="5"/>
        <v>LymhurstR18</v>
      </c>
      <c r="H322" s="94" t="s">
        <v>380</v>
      </c>
      <c r="I322" s="94">
        <v>18</v>
      </c>
    </row>
    <row r="323" spans="1:9" x14ac:dyDescent="0.25">
      <c r="A323" s="94" t="s">
        <v>333</v>
      </c>
      <c r="B323" s="94" t="s">
        <v>132</v>
      </c>
      <c r="C323" s="94">
        <v>18005</v>
      </c>
      <c r="D323" s="94" t="s">
        <v>1009</v>
      </c>
      <c r="E323" s="94"/>
      <c r="F323" s="94"/>
      <c r="G323" s="94" t="str">
        <f t="shared" si="5"/>
        <v>MartlockR18</v>
      </c>
      <c r="H323" s="94" t="s">
        <v>380</v>
      </c>
      <c r="I323" s="94">
        <v>18</v>
      </c>
    </row>
    <row r="324" spans="1:9" x14ac:dyDescent="0.25">
      <c r="A324" s="94" t="s">
        <v>333</v>
      </c>
      <c r="B324" s="94" t="s">
        <v>133</v>
      </c>
      <c r="C324" s="94">
        <v>17774</v>
      </c>
      <c r="D324" s="94" t="s">
        <v>903</v>
      </c>
      <c r="E324" s="94"/>
      <c r="F324" s="94"/>
      <c r="G324" s="94" t="str">
        <f t="shared" si="5"/>
        <v>ThetfordR18</v>
      </c>
      <c r="H324" s="94" t="s">
        <v>380</v>
      </c>
      <c r="I324" s="94">
        <v>18</v>
      </c>
    </row>
    <row r="325" spans="1:9" x14ac:dyDescent="0.25">
      <c r="A325" s="94" t="s">
        <v>334</v>
      </c>
      <c r="B325" s="94" t="s">
        <v>127</v>
      </c>
      <c r="C325" s="94">
        <v>45000</v>
      </c>
      <c r="D325" s="94" t="s">
        <v>944</v>
      </c>
      <c r="E325" s="94"/>
      <c r="F325" s="94"/>
      <c r="G325" s="94" t="str">
        <f t="shared" si="5"/>
        <v>BrecilienR19</v>
      </c>
      <c r="H325" s="94" t="s">
        <v>380</v>
      </c>
      <c r="I325" s="94">
        <v>19</v>
      </c>
    </row>
    <row r="326" spans="1:9" x14ac:dyDescent="0.25">
      <c r="A326" s="94" t="s">
        <v>334</v>
      </c>
      <c r="B326" s="94" t="s">
        <v>128</v>
      </c>
      <c r="C326" s="94">
        <v>55979</v>
      </c>
      <c r="D326" s="94" t="s">
        <v>967</v>
      </c>
      <c r="E326" s="94"/>
      <c r="F326" s="94"/>
      <c r="G326" s="94" t="str">
        <f t="shared" si="5"/>
        <v>BridgewatchR19</v>
      </c>
      <c r="H326" s="94" t="s">
        <v>380</v>
      </c>
      <c r="I326" s="94">
        <v>19</v>
      </c>
    </row>
    <row r="327" spans="1:9" x14ac:dyDescent="0.25">
      <c r="A327" s="94" t="s">
        <v>334</v>
      </c>
      <c r="B327" s="94" t="s">
        <v>129</v>
      </c>
      <c r="C327" s="94">
        <v>77995</v>
      </c>
      <c r="D327" s="94" t="s">
        <v>963</v>
      </c>
      <c r="E327" s="94"/>
      <c r="F327" s="94"/>
      <c r="G327" s="94" t="str">
        <f t="shared" si="5"/>
        <v>CaerleonR19</v>
      </c>
      <c r="H327" s="94" t="s">
        <v>380</v>
      </c>
      <c r="I327" s="94">
        <v>19</v>
      </c>
    </row>
    <row r="328" spans="1:9" x14ac:dyDescent="0.25">
      <c r="A328" s="94" t="s">
        <v>334</v>
      </c>
      <c r="B328" s="94" t="s">
        <v>130</v>
      </c>
      <c r="C328" s="94">
        <v>50982</v>
      </c>
      <c r="D328" s="94" t="s">
        <v>978</v>
      </c>
      <c r="E328" s="94"/>
      <c r="F328" s="94"/>
      <c r="G328" s="94" t="str">
        <f t="shared" si="5"/>
        <v>Fort SterlingR19</v>
      </c>
      <c r="H328" s="94" t="s">
        <v>380</v>
      </c>
      <c r="I328" s="94">
        <v>19</v>
      </c>
    </row>
    <row r="329" spans="1:9" x14ac:dyDescent="0.25">
      <c r="A329" s="94" t="s">
        <v>334</v>
      </c>
      <c r="B329" s="94" t="s">
        <v>131</v>
      </c>
      <c r="C329" s="94">
        <v>64999</v>
      </c>
      <c r="D329" s="94" t="s">
        <v>978</v>
      </c>
      <c r="E329" s="94"/>
      <c r="F329" s="94"/>
      <c r="G329" s="94" t="str">
        <f t="shared" si="5"/>
        <v>LymhurstR19</v>
      </c>
      <c r="H329" s="94" t="s">
        <v>380</v>
      </c>
      <c r="I329" s="94">
        <v>19</v>
      </c>
    </row>
    <row r="330" spans="1:9" x14ac:dyDescent="0.25">
      <c r="A330" s="94" t="s">
        <v>334</v>
      </c>
      <c r="B330" s="94" t="s">
        <v>132</v>
      </c>
      <c r="C330" s="94">
        <v>79997</v>
      </c>
      <c r="D330" s="94" t="s">
        <v>1009</v>
      </c>
      <c r="E330" s="94"/>
      <c r="F330" s="94"/>
      <c r="G330" s="94" t="str">
        <f t="shared" si="5"/>
        <v>MartlockR19</v>
      </c>
      <c r="H330" s="94" t="s">
        <v>380</v>
      </c>
      <c r="I330" s="94">
        <v>19</v>
      </c>
    </row>
    <row r="331" spans="1:9" x14ac:dyDescent="0.25">
      <c r="A331" s="94" t="s">
        <v>334</v>
      </c>
      <c r="B331" s="94" t="s">
        <v>133</v>
      </c>
      <c r="C331" s="94"/>
      <c r="D331" s="94"/>
      <c r="E331" s="94"/>
      <c r="F331" s="94"/>
      <c r="G331" s="94" t="str">
        <f t="shared" si="5"/>
        <v>ThetfordR19</v>
      </c>
      <c r="H331" s="94" t="s">
        <v>380</v>
      </c>
      <c r="I331" s="94">
        <v>19</v>
      </c>
    </row>
    <row r="332" spans="1:9" x14ac:dyDescent="0.25">
      <c r="A332" s="94" t="s">
        <v>335</v>
      </c>
      <c r="B332" s="94" t="s">
        <v>127</v>
      </c>
      <c r="C332" s="94">
        <v>209970</v>
      </c>
      <c r="D332" s="94" t="s">
        <v>944</v>
      </c>
      <c r="E332" s="94"/>
      <c r="F332" s="94"/>
      <c r="G332" s="94" t="str">
        <f t="shared" si="5"/>
        <v>BrecilienR20</v>
      </c>
      <c r="H332" s="94" t="s">
        <v>380</v>
      </c>
      <c r="I332" s="94">
        <v>20</v>
      </c>
    </row>
    <row r="333" spans="1:9" x14ac:dyDescent="0.25">
      <c r="A333" s="94" t="s">
        <v>335</v>
      </c>
      <c r="B333" s="94" t="s">
        <v>128</v>
      </c>
      <c r="C333" s="94">
        <v>230000</v>
      </c>
      <c r="D333" s="94" t="s">
        <v>967</v>
      </c>
      <c r="E333" s="94"/>
      <c r="F333" s="94"/>
      <c r="G333" s="94" t="str">
        <f t="shared" si="5"/>
        <v>BridgewatchR20</v>
      </c>
      <c r="H333" s="94" t="s">
        <v>380</v>
      </c>
      <c r="I333" s="94">
        <v>20</v>
      </c>
    </row>
    <row r="334" spans="1:9" x14ac:dyDescent="0.25">
      <c r="A334" s="94" t="s">
        <v>335</v>
      </c>
      <c r="B334" s="94" t="s">
        <v>129</v>
      </c>
      <c r="C334" s="94">
        <v>298996</v>
      </c>
      <c r="D334" s="94" t="s">
        <v>963</v>
      </c>
      <c r="E334" s="94"/>
      <c r="F334" s="94"/>
      <c r="G334" s="94" t="str">
        <f t="shared" si="5"/>
        <v>CaerleonR20</v>
      </c>
      <c r="H334" s="94" t="s">
        <v>380</v>
      </c>
      <c r="I334" s="94">
        <v>20</v>
      </c>
    </row>
    <row r="335" spans="1:9" x14ac:dyDescent="0.25">
      <c r="A335" s="94" t="s">
        <v>335</v>
      </c>
      <c r="B335" s="94" t="s">
        <v>130</v>
      </c>
      <c r="C335" s="94">
        <v>224895</v>
      </c>
      <c r="D335" s="94" t="s">
        <v>978</v>
      </c>
      <c r="E335" s="94"/>
      <c r="F335" s="94"/>
      <c r="G335" s="94" t="str">
        <f t="shared" si="5"/>
        <v>Fort SterlingR20</v>
      </c>
      <c r="H335" s="94" t="s">
        <v>380</v>
      </c>
      <c r="I335" s="94">
        <v>20</v>
      </c>
    </row>
    <row r="336" spans="1:9" x14ac:dyDescent="0.25">
      <c r="A336" s="94" t="s">
        <v>335</v>
      </c>
      <c r="B336" s="94" t="s">
        <v>131</v>
      </c>
      <c r="C336" s="94">
        <v>228999</v>
      </c>
      <c r="D336" s="94" t="s">
        <v>933</v>
      </c>
      <c r="E336" s="94"/>
      <c r="F336" s="94"/>
      <c r="G336" s="94" t="str">
        <f t="shared" si="5"/>
        <v>LymhurstR20</v>
      </c>
      <c r="H336" s="94" t="s">
        <v>380</v>
      </c>
      <c r="I336" s="94">
        <v>20</v>
      </c>
    </row>
    <row r="337" spans="1:9" x14ac:dyDescent="0.25">
      <c r="A337" s="94" t="s">
        <v>335</v>
      </c>
      <c r="B337" s="94" t="s">
        <v>132</v>
      </c>
      <c r="C337" s="94">
        <v>259987</v>
      </c>
      <c r="D337" s="94" t="s">
        <v>1009</v>
      </c>
      <c r="E337" s="94"/>
      <c r="F337" s="94"/>
      <c r="G337" s="94" t="str">
        <f t="shared" si="5"/>
        <v>MartlockR20</v>
      </c>
      <c r="H337" s="94" t="s">
        <v>380</v>
      </c>
      <c r="I337" s="94">
        <v>20</v>
      </c>
    </row>
    <row r="338" spans="1:9" x14ac:dyDescent="0.25">
      <c r="A338" s="94" t="s">
        <v>335</v>
      </c>
      <c r="B338" s="94" t="s">
        <v>133</v>
      </c>
      <c r="C338" s="94"/>
      <c r="D338" s="94"/>
      <c r="E338" s="94"/>
      <c r="F338" s="94"/>
      <c r="G338" s="94" t="str">
        <f t="shared" si="5"/>
        <v>ThetfordR20</v>
      </c>
      <c r="H338" s="94" t="s">
        <v>380</v>
      </c>
      <c r="I338" s="94">
        <v>20</v>
      </c>
    </row>
    <row r="339" spans="1:9" x14ac:dyDescent="0.25">
      <c r="A339" s="94" t="s">
        <v>336</v>
      </c>
      <c r="B339" s="94" t="s">
        <v>127</v>
      </c>
      <c r="C339" s="94"/>
      <c r="D339" s="94"/>
      <c r="E339" s="94"/>
      <c r="F339" s="94"/>
      <c r="G339" s="94" t="str">
        <f t="shared" si="5"/>
        <v>BrecilienR21</v>
      </c>
      <c r="H339" s="94" t="s">
        <v>380</v>
      </c>
      <c r="I339" s="94">
        <v>21</v>
      </c>
    </row>
    <row r="340" spans="1:9" x14ac:dyDescent="0.25">
      <c r="A340" s="94" t="s">
        <v>336</v>
      </c>
      <c r="B340" s="94" t="s">
        <v>128</v>
      </c>
      <c r="C340" s="94">
        <v>879998</v>
      </c>
      <c r="D340" s="94" t="s">
        <v>925</v>
      </c>
      <c r="E340" s="94"/>
      <c r="F340" s="94"/>
      <c r="G340" s="94" t="str">
        <f t="shared" si="5"/>
        <v>BridgewatchR21</v>
      </c>
      <c r="H340" s="94" t="s">
        <v>380</v>
      </c>
      <c r="I340" s="94">
        <v>21</v>
      </c>
    </row>
    <row r="341" spans="1:9" x14ac:dyDescent="0.25">
      <c r="A341" s="94" t="s">
        <v>336</v>
      </c>
      <c r="B341" s="94" t="s">
        <v>129</v>
      </c>
      <c r="C341" s="94"/>
      <c r="D341" s="94"/>
      <c r="E341" s="94"/>
      <c r="F341" s="94"/>
      <c r="G341" s="94" t="str">
        <f t="shared" si="5"/>
        <v>CaerleonR21</v>
      </c>
      <c r="H341" s="94" t="s">
        <v>380</v>
      </c>
      <c r="I341" s="94">
        <v>21</v>
      </c>
    </row>
    <row r="342" spans="1:9" x14ac:dyDescent="0.25">
      <c r="A342" s="94" t="s">
        <v>336</v>
      </c>
      <c r="B342" s="94" t="s">
        <v>130</v>
      </c>
      <c r="C342" s="94">
        <v>878996</v>
      </c>
      <c r="D342" s="94" t="s">
        <v>978</v>
      </c>
      <c r="E342" s="94"/>
      <c r="F342" s="94"/>
      <c r="G342" s="94" t="str">
        <f t="shared" si="5"/>
        <v>Fort SterlingR21</v>
      </c>
      <c r="H342" s="94" t="s">
        <v>380</v>
      </c>
      <c r="I342" s="94">
        <v>21</v>
      </c>
    </row>
    <row r="343" spans="1:9" x14ac:dyDescent="0.25">
      <c r="A343" s="94" t="s">
        <v>336</v>
      </c>
      <c r="B343" s="94" t="s">
        <v>131</v>
      </c>
      <c r="C343" s="94">
        <v>899998</v>
      </c>
      <c r="D343" s="94" t="s">
        <v>978</v>
      </c>
      <c r="E343" s="94"/>
      <c r="F343" s="94"/>
      <c r="G343" s="94" t="str">
        <f t="shared" si="5"/>
        <v>LymhurstR21</v>
      </c>
      <c r="H343" s="94" t="s">
        <v>380</v>
      </c>
      <c r="I343" s="94">
        <v>21</v>
      </c>
    </row>
    <row r="344" spans="1:9" x14ac:dyDescent="0.25">
      <c r="A344" s="94" t="s">
        <v>336</v>
      </c>
      <c r="B344" s="94" t="s">
        <v>132</v>
      </c>
      <c r="C344" s="94"/>
      <c r="D344" s="94"/>
      <c r="E344" s="94"/>
      <c r="F344" s="94"/>
      <c r="G344" s="94" t="str">
        <f t="shared" si="5"/>
        <v>MartlockR21</v>
      </c>
      <c r="H344" s="94" t="s">
        <v>380</v>
      </c>
      <c r="I344" s="94">
        <v>21</v>
      </c>
    </row>
    <row r="345" spans="1:9" x14ac:dyDescent="0.25">
      <c r="A345" s="94" t="s">
        <v>336</v>
      </c>
      <c r="B345" s="94" t="s">
        <v>133</v>
      </c>
      <c r="C345" s="94"/>
      <c r="D345" s="94"/>
      <c r="E345" s="94"/>
      <c r="F345" s="94"/>
      <c r="G345" s="94" t="str">
        <f t="shared" si="5"/>
        <v>ThetfordR21</v>
      </c>
      <c r="H345" s="94" t="s">
        <v>380</v>
      </c>
      <c r="I345" s="94">
        <v>21</v>
      </c>
    </row>
    <row r="346" spans="1:9" x14ac:dyDescent="0.25">
      <c r="A346" s="94" t="s">
        <v>337</v>
      </c>
      <c r="B346" s="94" t="s">
        <v>127</v>
      </c>
      <c r="C346" s="94">
        <v>31488</v>
      </c>
      <c r="D346" s="94" t="s">
        <v>1010</v>
      </c>
      <c r="E346" s="94"/>
      <c r="F346" s="94"/>
      <c r="G346" s="94" t="str">
        <f t="shared" si="5"/>
        <v>BrecilienR22</v>
      </c>
      <c r="H346" s="94" t="s">
        <v>380</v>
      </c>
      <c r="I346" s="94">
        <v>22</v>
      </c>
    </row>
    <row r="347" spans="1:9" x14ac:dyDescent="0.25">
      <c r="A347" s="94" t="s">
        <v>337</v>
      </c>
      <c r="B347" s="94" t="s">
        <v>128</v>
      </c>
      <c r="C347" s="94">
        <v>32392</v>
      </c>
      <c r="D347" s="94" t="s">
        <v>909</v>
      </c>
      <c r="E347" s="94">
        <v>30053</v>
      </c>
      <c r="F347" s="94" t="s">
        <v>909</v>
      </c>
      <c r="G347" s="94" t="str">
        <f t="shared" si="5"/>
        <v>BridgewatchR22</v>
      </c>
      <c r="H347" s="94" t="s">
        <v>380</v>
      </c>
      <c r="I347" s="94">
        <v>22</v>
      </c>
    </row>
    <row r="348" spans="1:9" x14ac:dyDescent="0.25">
      <c r="A348" s="94" t="s">
        <v>337</v>
      </c>
      <c r="B348" s="94" t="s">
        <v>129</v>
      </c>
      <c r="C348" s="94">
        <v>29987</v>
      </c>
      <c r="D348" s="94" t="s">
        <v>950</v>
      </c>
      <c r="E348" s="94">
        <v>26530</v>
      </c>
      <c r="F348" s="94" t="s">
        <v>950</v>
      </c>
      <c r="G348" s="94" t="str">
        <f t="shared" si="5"/>
        <v>CaerleonR22</v>
      </c>
      <c r="H348" s="94" t="s">
        <v>380</v>
      </c>
      <c r="I348" s="94">
        <v>22</v>
      </c>
    </row>
    <row r="349" spans="1:9" x14ac:dyDescent="0.25">
      <c r="A349" s="94" t="s">
        <v>337</v>
      </c>
      <c r="B349" s="94" t="s">
        <v>130</v>
      </c>
      <c r="C349" s="94">
        <v>29959</v>
      </c>
      <c r="D349" s="94" t="s">
        <v>995</v>
      </c>
      <c r="E349" s="94">
        <v>27571</v>
      </c>
      <c r="F349" s="94" t="s">
        <v>996</v>
      </c>
      <c r="G349" s="94" t="str">
        <f t="shared" si="5"/>
        <v>Fort SterlingR22</v>
      </c>
      <c r="H349" s="94" t="s">
        <v>380</v>
      </c>
      <c r="I349" s="94">
        <v>22</v>
      </c>
    </row>
    <row r="350" spans="1:9" x14ac:dyDescent="0.25">
      <c r="A350" s="94" t="s">
        <v>337</v>
      </c>
      <c r="B350" s="94" t="s">
        <v>131</v>
      </c>
      <c r="C350" s="94">
        <v>29983</v>
      </c>
      <c r="D350" s="94" t="s">
        <v>978</v>
      </c>
      <c r="E350" s="94">
        <v>25703</v>
      </c>
      <c r="F350" s="94" t="s">
        <v>961</v>
      </c>
      <c r="G350" s="94" t="str">
        <f t="shared" si="5"/>
        <v>LymhurstR22</v>
      </c>
      <c r="H350" s="94" t="s">
        <v>380</v>
      </c>
      <c r="I350" s="94">
        <v>22</v>
      </c>
    </row>
    <row r="351" spans="1:9" x14ac:dyDescent="0.25">
      <c r="A351" s="94" t="s">
        <v>337</v>
      </c>
      <c r="B351" s="94" t="s">
        <v>132</v>
      </c>
      <c r="C351" s="94">
        <v>29798</v>
      </c>
      <c r="D351" s="94" t="s">
        <v>951</v>
      </c>
      <c r="E351" s="94">
        <v>28018</v>
      </c>
      <c r="F351" s="94" t="s">
        <v>951</v>
      </c>
      <c r="G351" s="94" t="str">
        <f t="shared" si="5"/>
        <v>MartlockR22</v>
      </c>
      <c r="H351" s="94" t="s">
        <v>380</v>
      </c>
      <c r="I351" s="94">
        <v>22</v>
      </c>
    </row>
    <row r="352" spans="1:9" x14ac:dyDescent="0.25">
      <c r="A352" s="94" t="s">
        <v>337</v>
      </c>
      <c r="B352" s="94" t="s">
        <v>133</v>
      </c>
      <c r="C352" s="94">
        <v>29399</v>
      </c>
      <c r="D352" s="94" t="s">
        <v>903</v>
      </c>
      <c r="E352" s="94"/>
      <c r="F352" s="94"/>
      <c r="G352" s="94" t="str">
        <f t="shared" si="5"/>
        <v>ThetfordR22</v>
      </c>
      <c r="H352" s="94" t="s">
        <v>380</v>
      </c>
      <c r="I352" s="94">
        <v>22</v>
      </c>
    </row>
    <row r="353" spans="1:9" x14ac:dyDescent="0.25">
      <c r="A353" s="94" t="s">
        <v>338</v>
      </c>
      <c r="B353" s="94" t="s">
        <v>127</v>
      </c>
      <c r="C353" s="94">
        <v>39995</v>
      </c>
      <c r="D353" s="94" t="s">
        <v>1011</v>
      </c>
      <c r="E353" s="94"/>
      <c r="F353" s="94"/>
      <c r="G353" s="94" t="str">
        <f t="shared" si="5"/>
        <v>BrecilienR23</v>
      </c>
      <c r="H353" s="94" t="s">
        <v>380</v>
      </c>
      <c r="I353" s="94">
        <v>23</v>
      </c>
    </row>
    <row r="354" spans="1:9" x14ac:dyDescent="0.25">
      <c r="A354" s="94" t="s">
        <v>338</v>
      </c>
      <c r="B354" s="94" t="s">
        <v>128</v>
      </c>
      <c r="C354" s="94">
        <v>52983</v>
      </c>
      <c r="D354" s="94" t="s">
        <v>992</v>
      </c>
      <c r="E354" s="94"/>
      <c r="F354" s="94"/>
      <c r="G354" s="94" t="str">
        <f t="shared" si="5"/>
        <v>BridgewatchR23</v>
      </c>
      <c r="H354" s="94" t="s">
        <v>380</v>
      </c>
      <c r="I354" s="94">
        <v>23</v>
      </c>
    </row>
    <row r="355" spans="1:9" x14ac:dyDescent="0.25">
      <c r="A355" s="94" t="s">
        <v>338</v>
      </c>
      <c r="B355" s="94" t="s">
        <v>129</v>
      </c>
      <c r="C355" s="94">
        <v>79997</v>
      </c>
      <c r="D355" s="94" t="s">
        <v>963</v>
      </c>
      <c r="E355" s="94">
        <v>40001</v>
      </c>
      <c r="F355" s="94" t="s">
        <v>950</v>
      </c>
      <c r="G355" s="94" t="str">
        <f t="shared" si="5"/>
        <v>CaerleonR23</v>
      </c>
      <c r="H355" s="94" t="s">
        <v>380</v>
      </c>
      <c r="I355" s="94">
        <v>23</v>
      </c>
    </row>
    <row r="356" spans="1:9" x14ac:dyDescent="0.25">
      <c r="A356" s="94" t="s">
        <v>338</v>
      </c>
      <c r="B356" s="94" t="s">
        <v>130</v>
      </c>
      <c r="C356" s="94">
        <v>40649</v>
      </c>
      <c r="D356" s="94" t="s">
        <v>1012</v>
      </c>
      <c r="E356" s="94">
        <v>34500</v>
      </c>
      <c r="F356" s="94" t="s">
        <v>1012</v>
      </c>
      <c r="G356" s="94" t="str">
        <f t="shared" si="5"/>
        <v>Fort SterlingR23</v>
      </c>
      <c r="H356" s="94" t="s">
        <v>380</v>
      </c>
      <c r="I356" s="94">
        <v>23</v>
      </c>
    </row>
    <row r="357" spans="1:9" x14ac:dyDescent="0.25">
      <c r="A357" s="94" t="s">
        <v>338</v>
      </c>
      <c r="B357" s="94" t="s">
        <v>131</v>
      </c>
      <c r="C357" s="94">
        <v>42377</v>
      </c>
      <c r="D357" s="94" t="s">
        <v>978</v>
      </c>
      <c r="E357" s="94"/>
      <c r="F357" s="94"/>
      <c r="G357" s="94" t="str">
        <f t="shared" si="5"/>
        <v>LymhurstR23</v>
      </c>
      <c r="H357" s="94" t="s">
        <v>380</v>
      </c>
      <c r="I357" s="94">
        <v>23</v>
      </c>
    </row>
    <row r="358" spans="1:9" x14ac:dyDescent="0.25">
      <c r="A358" s="94" t="s">
        <v>338</v>
      </c>
      <c r="B358" s="94" t="s">
        <v>132</v>
      </c>
      <c r="C358" s="94">
        <v>40906</v>
      </c>
      <c r="D358" s="94" t="s">
        <v>951</v>
      </c>
      <c r="E358" s="94"/>
      <c r="F358" s="94"/>
      <c r="G358" s="94" t="str">
        <f t="shared" si="5"/>
        <v>MartlockR23</v>
      </c>
      <c r="H358" s="94" t="s">
        <v>380</v>
      </c>
      <c r="I358" s="94">
        <v>23</v>
      </c>
    </row>
    <row r="359" spans="1:9" x14ac:dyDescent="0.25">
      <c r="A359" s="94" t="s">
        <v>338</v>
      </c>
      <c r="B359" s="94" t="s">
        <v>133</v>
      </c>
      <c r="C359" s="94"/>
      <c r="D359" s="94"/>
      <c r="E359" s="94"/>
      <c r="F359" s="94"/>
      <c r="G359" s="94" t="str">
        <f t="shared" si="5"/>
        <v>ThetfordR23</v>
      </c>
      <c r="H359" s="94" t="s">
        <v>380</v>
      </c>
      <c r="I359" s="94">
        <v>23</v>
      </c>
    </row>
    <row r="360" spans="1:9" x14ac:dyDescent="0.25">
      <c r="A360" s="94" t="s">
        <v>339</v>
      </c>
      <c r="B360" s="94" t="s">
        <v>127</v>
      </c>
      <c r="C360" s="94"/>
      <c r="D360" s="94"/>
      <c r="E360" s="94"/>
      <c r="F360" s="94"/>
      <c r="G360" s="94" t="str">
        <f t="shared" si="5"/>
        <v>BrecilienR24</v>
      </c>
      <c r="H360" s="94" t="s">
        <v>380</v>
      </c>
      <c r="I360" s="94">
        <v>24</v>
      </c>
    </row>
    <row r="361" spans="1:9" x14ac:dyDescent="0.25">
      <c r="A361" s="94" t="s">
        <v>339</v>
      </c>
      <c r="B361" s="94" t="s">
        <v>128</v>
      </c>
      <c r="C361" s="94">
        <v>189998</v>
      </c>
      <c r="D361" s="94" t="s">
        <v>925</v>
      </c>
      <c r="E361" s="94"/>
      <c r="F361" s="94"/>
      <c r="G361" s="94" t="str">
        <f t="shared" si="5"/>
        <v>BridgewatchR24</v>
      </c>
      <c r="H361" s="94" t="s">
        <v>380</v>
      </c>
      <c r="I361" s="94">
        <v>24</v>
      </c>
    </row>
    <row r="362" spans="1:9" x14ac:dyDescent="0.25">
      <c r="A362" s="94" t="s">
        <v>339</v>
      </c>
      <c r="B362" s="94" t="s">
        <v>129</v>
      </c>
      <c r="C362" s="94">
        <v>299996</v>
      </c>
      <c r="D362" s="94" t="s">
        <v>963</v>
      </c>
      <c r="E362" s="94"/>
      <c r="F362" s="94"/>
      <c r="G362" s="94" t="str">
        <f t="shared" si="5"/>
        <v>CaerleonR24</v>
      </c>
      <c r="H362" s="94" t="s">
        <v>380</v>
      </c>
      <c r="I362" s="94">
        <v>24</v>
      </c>
    </row>
    <row r="363" spans="1:9" x14ac:dyDescent="0.25">
      <c r="A363" s="94" t="s">
        <v>339</v>
      </c>
      <c r="B363" s="94" t="s">
        <v>130</v>
      </c>
      <c r="C363" s="94">
        <v>204968</v>
      </c>
      <c r="D363" s="94" t="s">
        <v>978</v>
      </c>
      <c r="E363" s="94"/>
      <c r="F363" s="94"/>
      <c r="G363" s="94" t="str">
        <f t="shared" si="5"/>
        <v>Fort SterlingR24</v>
      </c>
      <c r="H363" s="94" t="s">
        <v>380</v>
      </c>
      <c r="I363" s="94">
        <v>24</v>
      </c>
    </row>
    <row r="364" spans="1:9" x14ac:dyDescent="0.25">
      <c r="A364" s="94" t="s">
        <v>339</v>
      </c>
      <c r="B364" s="94" t="s">
        <v>131</v>
      </c>
      <c r="C364" s="94">
        <v>226998</v>
      </c>
      <c r="D364" s="94" t="s">
        <v>978</v>
      </c>
      <c r="E364" s="94"/>
      <c r="F364" s="94"/>
      <c r="G364" s="94" t="str">
        <f t="shared" si="5"/>
        <v>LymhurstR24</v>
      </c>
      <c r="H364" s="94" t="s">
        <v>380</v>
      </c>
      <c r="I364" s="94">
        <v>24</v>
      </c>
    </row>
    <row r="365" spans="1:9" x14ac:dyDescent="0.25">
      <c r="A365" s="94" t="s">
        <v>339</v>
      </c>
      <c r="B365" s="94" t="s">
        <v>132</v>
      </c>
      <c r="C365" s="94"/>
      <c r="D365" s="94"/>
      <c r="E365" s="94"/>
      <c r="F365" s="94"/>
      <c r="G365" s="94" t="str">
        <f t="shared" si="5"/>
        <v>MartlockR24</v>
      </c>
      <c r="H365" s="94" t="s">
        <v>380</v>
      </c>
      <c r="I365" s="94">
        <v>24</v>
      </c>
    </row>
    <row r="366" spans="1:9" x14ac:dyDescent="0.25">
      <c r="A366" s="94" t="s">
        <v>339</v>
      </c>
      <c r="B366" s="94" t="s">
        <v>133</v>
      </c>
      <c r="C366" s="94"/>
      <c r="D366" s="94"/>
      <c r="E366" s="94"/>
      <c r="F366" s="94"/>
      <c r="G366" s="94" t="str">
        <f t="shared" si="5"/>
        <v>ThetfordR24</v>
      </c>
      <c r="H366" s="94" t="s">
        <v>380</v>
      </c>
      <c r="I366" s="94">
        <v>24</v>
      </c>
    </row>
    <row r="367" spans="1:9" x14ac:dyDescent="0.25">
      <c r="A367" s="68" t="s">
        <v>340</v>
      </c>
      <c r="B367" s="68" t="s">
        <v>127</v>
      </c>
      <c r="C367" s="68">
        <v>630000</v>
      </c>
      <c r="D367" s="68" t="s">
        <v>964</v>
      </c>
      <c r="E367" s="68"/>
      <c r="F367" s="68"/>
      <c r="G367" s="94" t="str">
        <f t="shared" si="5"/>
        <v>BrecilienR25</v>
      </c>
      <c r="H367" s="94" t="s">
        <v>380</v>
      </c>
      <c r="I367" s="94">
        <v>25</v>
      </c>
    </row>
    <row r="368" spans="1:9" x14ac:dyDescent="0.25">
      <c r="A368" s="81" t="s">
        <v>340</v>
      </c>
      <c r="B368" s="81" t="s">
        <v>128</v>
      </c>
      <c r="C368" s="81">
        <v>669986</v>
      </c>
      <c r="D368" s="81" t="s">
        <v>1013</v>
      </c>
      <c r="E368" s="81"/>
      <c r="F368" s="81"/>
      <c r="G368" s="94" t="str">
        <f t="shared" si="5"/>
        <v>BridgewatchR25</v>
      </c>
      <c r="H368" s="94" t="s">
        <v>380</v>
      </c>
      <c r="I368" s="94">
        <v>25</v>
      </c>
    </row>
    <row r="369" spans="1:9" x14ac:dyDescent="0.25">
      <c r="A369" s="81" t="s">
        <v>340</v>
      </c>
      <c r="B369" s="81" t="s">
        <v>129</v>
      </c>
      <c r="C369" s="81">
        <v>799999</v>
      </c>
      <c r="D369" s="81" t="s">
        <v>963</v>
      </c>
      <c r="E369" s="81"/>
      <c r="F369" s="81"/>
      <c r="G369" s="94" t="str">
        <f t="shared" si="5"/>
        <v>CaerleonR25</v>
      </c>
      <c r="H369" s="94" t="s">
        <v>380</v>
      </c>
      <c r="I369" s="94">
        <v>25</v>
      </c>
    </row>
    <row r="370" spans="1:9" x14ac:dyDescent="0.25">
      <c r="A370" s="81" t="s">
        <v>340</v>
      </c>
      <c r="B370" s="81" t="s">
        <v>130</v>
      </c>
      <c r="C370" s="81">
        <v>620000</v>
      </c>
      <c r="D370" s="81" t="s">
        <v>978</v>
      </c>
      <c r="E370" s="81"/>
      <c r="F370" s="81"/>
      <c r="G370" s="94" t="str">
        <f t="shared" si="5"/>
        <v>Fort SterlingR25</v>
      </c>
      <c r="H370" s="94" t="s">
        <v>380</v>
      </c>
      <c r="I370" s="94">
        <v>25</v>
      </c>
    </row>
    <row r="371" spans="1:9" x14ac:dyDescent="0.25">
      <c r="A371" s="81" t="s">
        <v>340</v>
      </c>
      <c r="B371" s="81" t="s">
        <v>131</v>
      </c>
      <c r="C371" s="81">
        <v>684998</v>
      </c>
      <c r="D371" s="81" t="s">
        <v>978</v>
      </c>
      <c r="E371" s="81"/>
      <c r="F371" s="81"/>
      <c r="G371" s="94" t="str">
        <f t="shared" si="5"/>
        <v>LymhurstR25</v>
      </c>
      <c r="H371" s="94" t="s">
        <v>380</v>
      </c>
      <c r="I371" s="94">
        <v>25</v>
      </c>
    </row>
    <row r="372" spans="1:9" x14ac:dyDescent="0.25">
      <c r="A372" s="81" t="s">
        <v>340</v>
      </c>
      <c r="B372" s="81" t="s">
        <v>132</v>
      </c>
      <c r="C372" s="81"/>
      <c r="D372" s="81"/>
      <c r="E372" s="81"/>
      <c r="F372" s="81"/>
      <c r="G372" s="94" t="str">
        <f t="shared" si="5"/>
        <v>MartlockR25</v>
      </c>
      <c r="H372" s="94" t="s">
        <v>380</v>
      </c>
      <c r="I372" s="94">
        <v>25</v>
      </c>
    </row>
    <row r="373" spans="1:9" x14ac:dyDescent="0.25">
      <c r="A373" s="81" t="s">
        <v>340</v>
      </c>
      <c r="B373" s="81" t="s">
        <v>133</v>
      </c>
      <c r="C373" s="81"/>
      <c r="D373" s="81"/>
      <c r="E373" s="81"/>
      <c r="F373" s="81"/>
      <c r="G373" s="94" t="str">
        <f t="shared" si="5"/>
        <v>ThetfordR25</v>
      </c>
      <c r="H373" s="94" t="s">
        <v>380</v>
      </c>
      <c r="I373" s="94">
        <v>25</v>
      </c>
    </row>
    <row r="374" spans="1:9" x14ac:dyDescent="0.25">
      <c r="A374" s="81" t="s">
        <v>341</v>
      </c>
      <c r="B374" s="81" t="s">
        <v>127</v>
      </c>
      <c r="C374" s="81"/>
      <c r="D374" s="81"/>
      <c r="E374" s="81"/>
      <c r="F374" s="81"/>
      <c r="G374" s="94" t="str">
        <f t="shared" si="5"/>
        <v>BrecilienR26</v>
      </c>
      <c r="H374" s="94" t="s">
        <v>380</v>
      </c>
      <c r="I374" s="94">
        <v>26</v>
      </c>
    </row>
    <row r="375" spans="1:9" x14ac:dyDescent="0.25">
      <c r="A375" s="81" t="s">
        <v>341</v>
      </c>
      <c r="B375" s="81" t="s">
        <v>128</v>
      </c>
      <c r="C375" s="81">
        <v>3199995</v>
      </c>
      <c r="D375" s="81" t="s">
        <v>925</v>
      </c>
      <c r="E375" s="81"/>
      <c r="F375" s="81"/>
      <c r="G375" s="94" t="str">
        <f t="shared" si="5"/>
        <v>BridgewatchR26</v>
      </c>
      <c r="H375" s="94" t="s">
        <v>380</v>
      </c>
      <c r="I375" s="94">
        <v>26</v>
      </c>
    </row>
    <row r="376" spans="1:9" x14ac:dyDescent="0.25">
      <c r="A376" s="81" t="s">
        <v>341</v>
      </c>
      <c r="B376" s="81" t="s">
        <v>129</v>
      </c>
      <c r="C376" s="81">
        <v>3100000</v>
      </c>
      <c r="D376" s="81" t="s">
        <v>963</v>
      </c>
      <c r="E376" s="81"/>
      <c r="F376" s="81"/>
      <c r="G376" s="94" t="str">
        <f t="shared" si="5"/>
        <v>CaerleonR26</v>
      </c>
      <c r="H376" s="94" t="s">
        <v>380</v>
      </c>
      <c r="I376" s="94">
        <v>26</v>
      </c>
    </row>
    <row r="377" spans="1:9" x14ac:dyDescent="0.25">
      <c r="A377" s="81" t="s">
        <v>341</v>
      </c>
      <c r="B377" s="81" t="s">
        <v>130</v>
      </c>
      <c r="C377" s="81">
        <v>2880989</v>
      </c>
      <c r="D377" s="81" t="s">
        <v>978</v>
      </c>
      <c r="E377" s="81"/>
      <c r="F377" s="81"/>
      <c r="G377" s="94" t="str">
        <f t="shared" si="5"/>
        <v>Fort SterlingR26</v>
      </c>
      <c r="H377" s="94" t="s">
        <v>380</v>
      </c>
      <c r="I377" s="94">
        <v>26</v>
      </c>
    </row>
    <row r="378" spans="1:9" x14ac:dyDescent="0.25">
      <c r="A378" s="81" t="s">
        <v>341</v>
      </c>
      <c r="B378" s="81" t="s">
        <v>131</v>
      </c>
      <c r="C378" s="81">
        <v>2999997</v>
      </c>
      <c r="D378" s="81" t="s">
        <v>978</v>
      </c>
      <c r="E378" s="81"/>
      <c r="F378" s="81"/>
      <c r="G378" s="94" t="str">
        <f t="shared" si="5"/>
        <v>LymhurstR26</v>
      </c>
      <c r="H378" s="94" t="s">
        <v>380</v>
      </c>
      <c r="I378" s="94">
        <v>26</v>
      </c>
    </row>
    <row r="379" spans="1:9" x14ac:dyDescent="0.25">
      <c r="A379" s="81" t="s">
        <v>341</v>
      </c>
      <c r="B379" s="81" t="s">
        <v>132</v>
      </c>
      <c r="C379" s="81"/>
      <c r="D379" s="81"/>
      <c r="E379" s="81"/>
      <c r="F379" s="81"/>
      <c r="G379" s="94" t="str">
        <f t="shared" si="5"/>
        <v>MartlockR26</v>
      </c>
      <c r="H379" s="94" t="s">
        <v>380</v>
      </c>
      <c r="I379" s="94">
        <v>26</v>
      </c>
    </row>
    <row r="380" spans="1:9" x14ac:dyDescent="0.25">
      <c r="A380" s="81" t="s">
        <v>341</v>
      </c>
      <c r="B380" s="81" t="s">
        <v>133</v>
      </c>
      <c r="C380" s="81"/>
      <c r="D380" s="81"/>
      <c r="E380" s="81"/>
      <c r="F380" s="81"/>
      <c r="G380" s="94" t="str">
        <f t="shared" si="5"/>
        <v>ThetfordR26</v>
      </c>
      <c r="H380" s="94" t="s">
        <v>380</v>
      </c>
      <c r="I380" s="94">
        <v>26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52-2CAA-4C28-B4E6-B21B56AB437F}">
  <sheetPr codeName="Planilha18">
    <tabColor rgb="FFFFC000"/>
  </sheetPr>
  <dimension ref="A1:I205"/>
  <sheetViews>
    <sheetView showGridLines="0" showRowColHeaders="0" showZeros="0" workbookViewId="0">
      <selection activeCell="F7" sqref="F7:G7"/>
    </sheetView>
  </sheetViews>
  <sheetFormatPr defaultColWidth="0" defaultRowHeight="15" zeroHeight="1" x14ac:dyDescent="0.25"/>
  <cols>
    <col min="1" max="1" width="19.28515625" customWidth="1"/>
    <col min="2" max="7" width="18.42578125" customWidth="1"/>
    <col min="8" max="9" width="7.42578125" customWidth="1"/>
    <col min="10" max="16384" width="9.140625" hidden="1"/>
  </cols>
  <sheetData>
    <row r="1" spans="1:9" x14ac:dyDescent="0.25">
      <c r="A1" s="98"/>
      <c r="B1" s="98"/>
      <c r="C1" s="98"/>
      <c r="D1" s="98"/>
      <c r="E1" s="98"/>
      <c r="F1" s="98"/>
      <c r="G1" s="98" t="s">
        <v>381</v>
      </c>
      <c r="H1" s="98" t="s">
        <v>382</v>
      </c>
      <c r="I1" s="98" t="s">
        <v>365</v>
      </c>
    </row>
    <row r="2" spans="1:9" x14ac:dyDescent="0.25">
      <c r="A2" s="68" t="s">
        <v>515</v>
      </c>
      <c r="B2" s="68" t="s">
        <v>127</v>
      </c>
      <c r="C2" s="68"/>
      <c r="D2" s="68"/>
      <c r="E2" s="68"/>
      <c r="F2" s="68"/>
      <c r="G2" s="99" t="str">
        <f>_xlfn.CONCAT(B2,H2,I2)</f>
        <v>BrecilienB0</v>
      </c>
      <c r="H2" s="99" t="s">
        <v>377</v>
      </c>
      <c r="I2" s="100">
        <v>0</v>
      </c>
    </row>
    <row r="3" spans="1:9" x14ac:dyDescent="0.25">
      <c r="A3" s="68" t="s">
        <v>515</v>
      </c>
      <c r="B3" s="68" t="s">
        <v>128</v>
      </c>
      <c r="C3" s="68">
        <v>56</v>
      </c>
      <c r="D3" s="68" t="s">
        <v>472</v>
      </c>
      <c r="E3" s="68">
        <v>35</v>
      </c>
      <c r="F3" s="68" t="s">
        <v>516</v>
      </c>
      <c r="G3" s="99" t="str">
        <f t="shared" ref="G3:G66" si="0">_xlfn.CONCAT(B3,H3,I3)</f>
        <v>BridgewatchB0</v>
      </c>
      <c r="H3" s="99" t="s">
        <v>377</v>
      </c>
      <c r="I3" s="100">
        <v>0</v>
      </c>
    </row>
    <row r="4" spans="1:9" x14ac:dyDescent="0.25">
      <c r="A4" s="68" t="s">
        <v>515</v>
      </c>
      <c r="B4" s="68" t="s">
        <v>129</v>
      </c>
      <c r="C4" s="68">
        <v>84</v>
      </c>
      <c r="D4" s="68" t="s">
        <v>460</v>
      </c>
      <c r="E4" s="68">
        <v>22</v>
      </c>
      <c r="F4" s="68" t="s">
        <v>470</v>
      </c>
      <c r="G4" s="99" t="str">
        <f t="shared" si="0"/>
        <v>CaerleonB0</v>
      </c>
      <c r="H4" s="99" t="s">
        <v>377</v>
      </c>
      <c r="I4" s="100">
        <v>0</v>
      </c>
    </row>
    <row r="5" spans="1:9" x14ac:dyDescent="0.25">
      <c r="A5" s="68" t="s">
        <v>515</v>
      </c>
      <c r="B5" s="68" t="s">
        <v>130</v>
      </c>
      <c r="C5" s="68"/>
      <c r="D5" s="68"/>
      <c r="E5" s="68"/>
      <c r="F5" s="68"/>
      <c r="G5" s="99" t="str">
        <f t="shared" si="0"/>
        <v>Fort SterlingB0</v>
      </c>
      <c r="H5" s="99" t="s">
        <v>377</v>
      </c>
      <c r="I5" s="100">
        <v>0</v>
      </c>
    </row>
    <row r="6" spans="1:9" x14ac:dyDescent="0.25">
      <c r="A6" s="68" t="s">
        <v>515</v>
      </c>
      <c r="B6" s="68" t="s">
        <v>131</v>
      </c>
      <c r="C6" s="68"/>
      <c r="D6" s="68"/>
      <c r="E6" s="68"/>
      <c r="F6" s="68"/>
      <c r="G6" s="99" t="str">
        <f t="shared" si="0"/>
        <v>LymhurstB0</v>
      </c>
      <c r="H6" s="99" t="s">
        <v>377</v>
      </c>
      <c r="I6" s="100">
        <v>0</v>
      </c>
    </row>
    <row r="7" spans="1:9" x14ac:dyDescent="0.25">
      <c r="A7" s="68" t="s">
        <v>515</v>
      </c>
      <c r="B7" s="68" t="s">
        <v>132</v>
      </c>
      <c r="C7" s="68">
        <v>43</v>
      </c>
      <c r="D7" s="68" t="s">
        <v>467</v>
      </c>
      <c r="E7" s="68">
        <v>41</v>
      </c>
      <c r="F7" s="68" t="s">
        <v>467</v>
      </c>
      <c r="G7" s="99" t="str">
        <f t="shared" si="0"/>
        <v>MartlockB0</v>
      </c>
      <c r="H7" s="99" t="s">
        <v>377</v>
      </c>
      <c r="I7" s="100">
        <v>0</v>
      </c>
    </row>
    <row r="8" spans="1:9" x14ac:dyDescent="0.25">
      <c r="A8" s="68" t="s">
        <v>515</v>
      </c>
      <c r="B8" s="68" t="s">
        <v>133</v>
      </c>
      <c r="C8" s="68">
        <v>45</v>
      </c>
      <c r="D8" s="68" t="s">
        <v>517</v>
      </c>
      <c r="E8" s="68"/>
      <c r="F8" s="68"/>
      <c r="G8" s="99" t="str">
        <f t="shared" si="0"/>
        <v>ThetfordB0</v>
      </c>
      <c r="H8" s="99" t="s">
        <v>377</v>
      </c>
      <c r="I8" s="100">
        <v>0</v>
      </c>
    </row>
    <row r="9" spans="1:9" x14ac:dyDescent="0.25">
      <c r="A9" s="68" t="s">
        <v>342</v>
      </c>
      <c r="B9" s="68" t="s">
        <v>127</v>
      </c>
      <c r="C9" s="68">
        <v>41</v>
      </c>
      <c r="D9" s="68" t="s">
        <v>487</v>
      </c>
      <c r="E9" s="68"/>
      <c r="F9" s="68"/>
      <c r="G9" s="99" t="str">
        <f t="shared" si="0"/>
        <v>BrecilienB1</v>
      </c>
      <c r="H9" s="99" t="s">
        <v>377</v>
      </c>
      <c r="I9" s="99">
        <v>1</v>
      </c>
    </row>
    <row r="10" spans="1:9" x14ac:dyDescent="0.25">
      <c r="A10" s="68" t="s">
        <v>342</v>
      </c>
      <c r="B10" s="68" t="s">
        <v>128</v>
      </c>
      <c r="C10" s="68">
        <v>85</v>
      </c>
      <c r="D10" s="68" t="s">
        <v>518</v>
      </c>
      <c r="E10" s="68">
        <v>61</v>
      </c>
      <c r="F10" s="68" t="s">
        <v>518</v>
      </c>
      <c r="G10" s="99" t="str">
        <f t="shared" si="0"/>
        <v>BridgewatchB1</v>
      </c>
      <c r="H10" s="99" t="s">
        <v>377</v>
      </c>
      <c r="I10" s="99">
        <v>1</v>
      </c>
    </row>
    <row r="11" spans="1:9" x14ac:dyDescent="0.25">
      <c r="A11" s="68" t="s">
        <v>342</v>
      </c>
      <c r="B11" s="68" t="s">
        <v>129</v>
      </c>
      <c r="C11" s="68">
        <v>53</v>
      </c>
      <c r="D11" s="68" t="s">
        <v>460</v>
      </c>
      <c r="E11" s="68">
        <v>51</v>
      </c>
      <c r="F11" s="68" t="s">
        <v>471</v>
      </c>
      <c r="G11" s="99" t="str">
        <f t="shared" si="0"/>
        <v>CaerleonB1</v>
      </c>
      <c r="H11" s="99" t="s">
        <v>377</v>
      </c>
      <c r="I11" s="99">
        <v>1</v>
      </c>
    </row>
    <row r="12" spans="1:9" x14ac:dyDescent="0.25">
      <c r="A12" s="68" t="s">
        <v>342</v>
      </c>
      <c r="B12" s="68" t="s">
        <v>130</v>
      </c>
      <c r="C12" s="68"/>
      <c r="D12" s="68"/>
      <c r="E12" s="68"/>
      <c r="F12" s="68"/>
      <c r="G12" s="99" t="str">
        <f t="shared" si="0"/>
        <v>Fort SterlingB1</v>
      </c>
      <c r="H12" s="99" t="s">
        <v>377</v>
      </c>
      <c r="I12" s="99">
        <v>1</v>
      </c>
    </row>
    <row r="13" spans="1:9" x14ac:dyDescent="0.25">
      <c r="A13" s="68" t="s">
        <v>342</v>
      </c>
      <c r="B13" s="68" t="s">
        <v>131</v>
      </c>
      <c r="C13" s="68"/>
      <c r="D13" s="68"/>
      <c r="E13" s="68"/>
      <c r="F13" s="68"/>
      <c r="G13" s="99" t="str">
        <f t="shared" si="0"/>
        <v>LymhurstB1</v>
      </c>
      <c r="H13" s="99" t="s">
        <v>377</v>
      </c>
      <c r="I13" s="99">
        <v>1</v>
      </c>
    </row>
    <row r="14" spans="1:9" x14ac:dyDescent="0.25">
      <c r="A14" s="68" t="s">
        <v>342</v>
      </c>
      <c r="B14" s="68" t="s">
        <v>132</v>
      </c>
      <c r="C14" s="68">
        <v>60</v>
      </c>
      <c r="D14" s="68" t="s">
        <v>471</v>
      </c>
      <c r="E14" s="68">
        <v>58</v>
      </c>
      <c r="F14" s="68" t="s">
        <v>490</v>
      </c>
      <c r="G14" s="99" t="str">
        <f t="shared" si="0"/>
        <v>MartlockB1</v>
      </c>
      <c r="H14" s="99" t="s">
        <v>377</v>
      </c>
      <c r="I14" s="99">
        <v>1</v>
      </c>
    </row>
    <row r="15" spans="1:9" x14ac:dyDescent="0.25">
      <c r="A15" s="68" t="s">
        <v>342</v>
      </c>
      <c r="B15" s="68" t="s">
        <v>133</v>
      </c>
      <c r="C15" s="68">
        <v>81</v>
      </c>
      <c r="D15" s="68" t="s">
        <v>486</v>
      </c>
      <c r="E15" s="68"/>
      <c r="F15" s="68"/>
      <c r="G15" s="99" t="str">
        <f t="shared" si="0"/>
        <v>ThetfordB1</v>
      </c>
      <c r="H15" s="99" t="s">
        <v>377</v>
      </c>
      <c r="I15" s="99">
        <v>1</v>
      </c>
    </row>
    <row r="16" spans="1:9" x14ac:dyDescent="0.25">
      <c r="A16" s="68" t="s">
        <v>343</v>
      </c>
      <c r="B16" s="68" t="s">
        <v>127</v>
      </c>
      <c r="C16" s="68">
        <v>8</v>
      </c>
      <c r="D16" s="68" t="s">
        <v>552</v>
      </c>
      <c r="E16" s="68"/>
      <c r="F16" s="68"/>
      <c r="G16" s="99" t="str">
        <f t="shared" si="0"/>
        <v>BrecilienB2</v>
      </c>
      <c r="H16" s="99" t="s">
        <v>377</v>
      </c>
      <c r="I16" s="99">
        <v>2</v>
      </c>
    </row>
    <row r="17" spans="1:9" x14ac:dyDescent="0.25">
      <c r="A17" s="68" t="s">
        <v>343</v>
      </c>
      <c r="B17" s="68" t="s">
        <v>128</v>
      </c>
      <c r="C17" s="68">
        <v>16</v>
      </c>
      <c r="D17" s="68" t="s">
        <v>484</v>
      </c>
      <c r="E17" s="68"/>
      <c r="F17" s="68"/>
      <c r="G17" s="99" t="str">
        <f t="shared" si="0"/>
        <v>BridgewatchB2</v>
      </c>
      <c r="H17" s="99" t="s">
        <v>377</v>
      </c>
      <c r="I17" s="99">
        <v>2</v>
      </c>
    </row>
    <row r="18" spans="1:9" x14ac:dyDescent="0.25">
      <c r="A18" s="68" t="s">
        <v>343</v>
      </c>
      <c r="B18" s="68" t="s">
        <v>129</v>
      </c>
      <c r="C18" s="68">
        <v>14</v>
      </c>
      <c r="D18" s="68" t="s">
        <v>520</v>
      </c>
      <c r="E18" s="68">
        <v>6</v>
      </c>
      <c r="F18" s="68" t="s">
        <v>463</v>
      </c>
      <c r="G18" s="99" t="str">
        <f t="shared" si="0"/>
        <v>CaerleonB2</v>
      </c>
      <c r="H18" s="99" t="s">
        <v>377</v>
      </c>
      <c r="I18" s="99">
        <v>2</v>
      </c>
    </row>
    <row r="19" spans="1:9" x14ac:dyDescent="0.25">
      <c r="A19" s="68" t="s">
        <v>343</v>
      </c>
      <c r="B19" s="68" t="s">
        <v>130</v>
      </c>
      <c r="C19" s="68">
        <v>9</v>
      </c>
      <c r="D19" s="68" t="s">
        <v>521</v>
      </c>
      <c r="E19" s="68">
        <v>8</v>
      </c>
      <c r="F19" s="68" t="s">
        <v>469</v>
      </c>
      <c r="G19" s="99" t="str">
        <f t="shared" si="0"/>
        <v>Fort SterlingB2</v>
      </c>
      <c r="H19" s="99" t="s">
        <v>377</v>
      </c>
      <c r="I19" s="99">
        <v>2</v>
      </c>
    </row>
    <row r="20" spans="1:9" x14ac:dyDescent="0.25">
      <c r="A20" s="68" t="s">
        <v>343</v>
      </c>
      <c r="B20" s="68" t="s">
        <v>131</v>
      </c>
      <c r="C20" s="68">
        <v>10</v>
      </c>
      <c r="D20" s="68" t="s">
        <v>521</v>
      </c>
      <c r="E20" s="68"/>
      <c r="F20" s="68"/>
      <c r="G20" s="99" t="str">
        <f t="shared" si="0"/>
        <v>LymhurstB2</v>
      </c>
      <c r="H20" s="99" t="s">
        <v>377</v>
      </c>
      <c r="I20" s="99">
        <v>2</v>
      </c>
    </row>
    <row r="21" spans="1:9" x14ac:dyDescent="0.25">
      <c r="A21" s="68" t="s">
        <v>343</v>
      </c>
      <c r="B21" s="68" t="s">
        <v>132</v>
      </c>
      <c r="C21" s="68">
        <v>13</v>
      </c>
      <c r="D21" s="68" t="s">
        <v>503</v>
      </c>
      <c r="E21" s="68"/>
      <c r="F21" s="68"/>
      <c r="G21" s="99" t="str">
        <f t="shared" si="0"/>
        <v>MartlockB2</v>
      </c>
      <c r="H21" s="99" t="s">
        <v>377</v>
      </c>
      <c r="I21" s="99">
        <v>2</v>
      </c>
    </row>
    <row r="22" spans="1:9" x14ac:dyDescent="0.25">
      <c r="A22" s="68" t="s">
        <v>343</v>
      </c>
      <c r="B22" s="68" t="s">
        <v>133</v>
      </c>
      <c r="C22" s="68">
        <v>10</v>
      </c>
      <c r="D22" s="68" t="s">
        <v>521</v>
      </c>
      <c r="E22" s="68"/>
      <c r="F22" s="68"/>
      <c r="G22" s="99" t="str">
        <f t="shared" si="0"/>
        <v>ThetfordB2</v>
      </c>
      <c r="H22" s="99" t="s">
        <v>377</v>
      </c>
      <c r="I22" s="99">
        <v>2</v>
      </c>
    </row>
    <row r="23" spans="1:9" x14ac:dyDescent="0.25">
      <c r="A23" s="68" t="s">
        <v>344</v>
      </c>
      <c r="B23" s="68" t="s">
        <v>127</v>
      </c>
      <c r="C23" s="68">
        <v>9</v>
      </c>
      <c r="D23" s="68" t="s">
        <v>523</v>
      </c>
      <c r="E23" s="68"/>
      <c r="F23" s="68"/>
      <c r="G23" s="99" t="str">
        <f t="shared" si="0"/>
        <v>BrecilienB3</v>
      </c>
      <c r="H23" s="99" t="s">
        <v>377</v>
      </c>
      <c r="I23" s="99">
        <v>3</v>
      </c>
    </row>
    <row r="24" spans="1:9" x14ac:dyDescent="0.25">
      <c r="A24" s="68" t="s">
        <v>344</v>
      </c>
      <c r="B24" s="68" t="s">
        <v>128</v>
      </c>
      <c r="C24" s="68">
        <v>33</v>
      </c>
      <c r="D24" s="68" t="s">
        <v>484</v>
      </c>
      <c r="E24" s="68"/>
      <c r="F24" s="68"/>
      <c r="G24" s="99" t="str">
        <f t="shared" si="0"/>
        <v>BridgewatchB3</v>
      </c>
      <c r="H24" s="99" t="s">
        <v>377</v>
      </c>
      <c r="I24" s="99">
        <v>3</v>
      </c>
    </row>
    <row r="25" spans="1:9" x14ac:dyDescent="0.25">
      <c r="A25" s="68" t="s">
        <v>344</v>
      </c>
      <c r="B25" s="68" t="s">
        <v>129</v>
      </c>
      <c r="C25" s="68">
        <v>15</v>
      </c>
      <c r="D25" s="68" t="s">
        <v>520</v>
      </c>
      <c r="E25" s="68">
        <v>14</v>
      </c>
      <c r="F25" s="68" t="s">
        <v>463</v>
      </c>
      <c r="G25" s="99" t="str">
        <f t="shared" si="0"/>
        <v>CaerleonB3</v>
      </c>
      <c r="H25" s="99" t="s">
        <v>377</v>
      </c>
      <c r="I25" s="99">
        <v>3</v>
      </c>
    </row>
    <row r="26" spans="1:9" x14ac:dyDescent="0.25">
      <c r="A26" s="68" t="s">
        <v>344</v>
      </c>
      <c r="B26" s="68" t="s">
        <v>130</v>
      </c>
      <c r="C26" s="68">
        <v>12</v>
      </c>
      <c r="D26" s="68" t="s">
        <v>521</v>
      </c>
      <c r="E26" s="68"/>
      <c r="F26" s="68"/>
      <c r="G26" s="99" t="str">
        <f t="shared" si="0"/>
        <v>Fort SterlingB3</v>
      </c>
      <c r="H26" s="99" t="s">
        <v>377</v>
      </c>
      <c r="I26" s="99">
        <v>3</v>
      </c>
    </row>
    <row r="27" spans="1:9" x14ac:dyDescent="0.25">
      <c r="A27" s="68" t="s">
        <v>344</v>
      </c>
      <c r="B27" s="68" t="s">
        <v>131</v>
      </c>
      <c r="C27" s="68">
        <v>12</v>
      </c>
      <c r="D27" s="68" t="s">
        <v>521</v>
      </c>
      <c r="E27" s="68">
        <v>12</v>
      </c>
      <c r="F27" s="68" t="s">
        <v>464</v>
      </c>
      <c r="G27" s="99" t="str">
        <f t="shared" si="0"/>
        <v>LymhurstB3</v>
      </c>
      <c r="H27" s="99" t="s">
        <v>377</v>
      </c>
      <c r="I27" s="99">
        <v>3</v>
      </c>
    </row>
    <row r="28" spans="1:9" x14ac:dyDescent="0.25">
      <c r="A28" s="68" t="s">
        <v>344</v>
      </c>
      <c r="B28" s="68" t="s">
        <v>132</v>
      </c>
      <c r="C28" s="68">
        <v>12</v>
      </c>
      <c r="D28" s="68" t="s">
        <v>493</v>
      </c>
      <c r="E28" s="68"/>
      <c r="F28" s="68"/>
      <c r="G28" s="99" t="str">
        <f t="shared" si="0"/>
        <v>MartlockB3</v>
      </c>
      <c r="H28" s="99" t="s">
        <v>377</v>
      </c>
      <c r="I28" s="99">
        <v>3</v>
      </c>
    </row>
    <row r="29" spans="1:9" x14ac:dyDescent="0.25">
      <c r="A29" s="68" t="s">
        <v>344</v>
      </c>
      <c r="B29" s="68" t="s">
        <v>133</v>
      </c>
      <c r="C29" s="68">
        <v>27</v>
      </c>
      <c r="D29" s="68" t="s">
        <v>456</v>
      </c>
      <c r="E29" s="68"/>
      <c r="F29" s="68"/>
      <c r="G29" s="99" t="str">
        <f t="shared" si="0"/>
        <v>ThetfordB3</v>
      </c>
      <c r="H29" s="99" t="s">
        <v>377</v>
      </c>
      <c r="I29" s="99">
        <v>3</v>
      </c>
    </row>
    <row r="30" spans="1:9" x14ac:dyDescent="0.25">
      <c r="A30" s="68" t="s">
        <v>345</v>
      </c>
      <c r="B30" s="68" t="s">
        <v>127</v>
      </c>
      <c r="C30" s="68">
        <v>47</v>
      </c>
      <c r="D30" s="68" t="s">
        <v>524</v>
      </c>
      <c r="E30" s="68"/>
      <c r="F30" s="68"/>
      <c r="G30" s="99" t="str">
        <f t="shared" si="0"/>
        <v>BrecilienB4</v>
      </c>
      <c r="H30" s="99" t="s">
        <v>377</v>
      </c>
      <c r="I30" s="99">
        <v>4</v>
      </c>
    </row>
    <row r="31" spans="1:9" x14ac:dyDescent="0.25">
      <c r="A31" s="68" t="s">
        <v>345</v>
      </c>
      <c r="B31" s="68" t="s">
        <v>128</v>
      </c>
      <c r="C31" s="68">
        <v>45</v>
      </c>
      <c r="D31" s="68" t="s">
        <v>525</v>
      </c>
      <c r="E31" s="68"/>
      <c r="F31" s="68"/>
      <c r="G31" s="99" t="str">
        <f t="shared" si="0"/>
        <v>BridgewatchB4</v>
      </c>
      <c r="H31" s="99" t="s">
        <v>377</v>
      </c>
      <c r="I31" s="99">
        <v>4</v>
      </c>
    </row>
    <row r="32" spans="1:9" x14ac:dyDescent="0.25">
      <c r="A32" s="68" t="s">
        <v>345</v>
      </c>
      <c r="B32" s="68" t="s">
        <v>129</v>
      </c>
      <c r="C32" s="68">
        <v>13</v>
      </c>
      <c r="D32" s="68" t="s">
        <v>520</v>
      </c>
      <c r="E32" s="68">
        <v>12</v>
      </c>
      <c r="F32" s="68" t="s">
        <v>463</v>
      </c>
      <c r="G32" s="99" t="str">
        <f t="shared" si="0"/>
        <v>CaerleonB4</v>
      </c>
      <c r="H32" s="99" t="s">
        <v>377</v>
      </c>
      <c r="I32" s="99">
        <v>4</v>
      </c>
    </row>
    <row r="33" spans="1:9" x14ac:dyDescent="0.25">
      <c r="A33" s="68" t="s">
        <v>345</v>
      </c>
      <c r="B33" s="68" t="s">
        <v>130</v>
      </c>
      <c r="C33" s="68">
        <v>21</v>
      </c>
      <c r="D33" s="68" t="s">
        <v>453</v>
      </c>
      <c r="E33" s="68"/>
      <c r="F33" s="68"/>
      <c r="G33" s="99" t="str">
        <f t="shared" si="0"/>
        <v>Fort SterlingB4</v>
      </c>
      <c r="H33" s="99" t="s">
        <v>377</v>
      </c>
      <c r="I33" s="99">
        <v>4</v>
      </c>
    </row>
    <row r="34" spans="1:9" x14ac:dyDescent="0.25">
      <c r="A34" s="68" t="s">
        <v>345</v>
      </c>
      <c r="B34" s="68" t="s">
        <v>131</v>
      </c>
      <c r="C34" s="68">
        <v>24</v>
      </c>
      <c r="D34" s="68" t="s">
        <v>526</v>
      </c>
      <c r="E34" s="68"/>
      <c r="F34" s="68"/>
      <c r="G34" s="99" t="str">
        <f t="shared" si="0"/>
        <v>LymhurstB4</v>
      </c>
      <c r="H34" s="99" t="s">
        <v>377</v>
      </c>
      <c r="I34" s="99">
        <v>4</v>
      </c>
    </row>
    <row r="35" spans="1:9" x14ac:dyDescent="0.25">
      <c r="A35" s="68" t="s">
        <v>345</v>
      </c>
      <c r="B35" s="68" t="s">
        <v>132</v>
      </c>
      <c r="C35" s="68">
        <v>27</v>
      </c>
      <c r="D35" s="68" t="s">
        <v>524</v>
      </c>
      <c r="E35" s="68"/>
      <c r="F35" s="68"/>
      <c r="G35" s="99" t="str">
        <f t="shared" si="0"/>
        <v>MartlockB4</v>
      </c>
      <c r="H35" s="99" t="s">
        <v>377</v>
      </c>
      <c r="I35" s="99">
        <v>4</v>
      </c>
    </row>
    <row r="36" spans="1:9" x14ac:dyDescent="0.25">
      <c r="A36" s="68" t="s">
        <v>345</v>
      </c>
      <c r="B36" s="68" t="s">
        <v>133</v>
      </c>
      <c r="C36" s="68">
        <v>15</v>
      </c>
      <c r="D36" s="68" t="s">
        <v>522</v>
      </c>
      <c r="E36" s="68"/>
      <c r="F36" s="68"/>
      <c r="G36" s="99" t="str">
        <f t="shared" si="0"/>
        <v>ThetfordB4</v>
      </c>
      <c r="H36" s="99" t="s">
        <v>377</v>
      </c>
      <c r="I36" s="99">
        <v>4</v>
      </c>
    </row>
    <row r="37" spans="1:9" x14ac:dyDescent="0.25">
      <c r="A37" s="68" t="s">
        <v>346</v>
      </c>
      <c r="B37" s="68" t="s">
        <v>127</v>
      </c>
      <c r="C37" s="68">
        <v>42</v>
      </c>
      <c r="D37" s="68" t="s">
        <v>527</v>
      </c>
      <c r="E37" s="68"/>
      <c r="F37" s="68"/>
      <c r="G37" s="99" t="str">
        <f t="shared" si="0"/>
        <v>BrecilienB5</v>
      </c>
      <c r="H37" s="99" t="s">
        <v>377</v>
      </c>
      <c r="I37" s="99">
        <v>5</v>
      </c>
    </row>
    <row r="38" spans="1:9" x14ac:dyDescent="0.25">
      <c r="A38" s="68" t="s">
        <v>346</v>
      </c>
      <c r="B38" s="68" t="s">
        <v>128</v>
      </c>
      <c r="C38" s="68">
        <v>82</v>
      </c>
      <c r="D38" s="68" t="s">
        <v>526</v>
      </c>
      <c r="E38" s="68">
        <v>61</v>
      </c>
      <c r="F38" s="68" t="s">
        <v>445</v>
      </c>
      <c r="G38" s="99" t="str">
        <f t="shared" si="0"/>
        <v>BridgewatchB5</v>
      </c>
      <c r="H38" s="99" t="s">
        <v>377</v>
      </c>
      <c r="I38" s="99">
        <v>5</v>
      </c>
    </row>
    <row r="39" spans="1:9" x14ac:dyDescent="0.25">
      <c r="A39" s="68" t="s">
        <v>346</v>
      </c>
      <c r="B39" s="68" t="s">
        <v>129</v>
      </c>
      <c r="C39" s="68">
        <v>74</v>
      </c>
      <c r="D39" s="68" t="s">
        <v>460</v>
      </c>
      <c r="E39" s="68">
        <v>42</v>
      </c>
      <c r="F39" s="68" t="s">
        <v>460</v>
      </c>
      <c r="G39" s="99" t="str">
        <f t="shared" si="0"/>
        <v>CaerleonB5</v>
      </c>
      <c r="H39" s="99" t="s">
        <v>377</v>
      </c>
      <c r="I39" s="99">
        <v>5</v>
      </c>
    </row>
    <row r="40" spans="1:9" x14ac:dyDescent="0.25">
      <c r="A40" s="68" t="s">
        <v>346</v>
      </c>
      <c r="B40" s="68" t="s">
        <v>130</v>
      </c>
      <c r="C40" s="68">
        <v>98</v>
      </c>
      <c r="D40" s="68" t="s">
        <v>524</v>
      </c>
      <c r="E40" s="68"/>
      <c r="F40" s="68"/>
      <c r="G40" s="99" t="str">
        <f t="shared" si="0"/>
        <v>Fort SterlingB5</v>
      </c>
      <c r="H40" s="99" t="s">
        <v>377</v>
      </c>
      <c r="I40" s="99">
        <v>5</v>
      </c>
    </row>
    <row r="41" spans="1:9" x14ac:dyDescent="0.25">
      <c r="A41" s="68" t="s">
        <v>346</v>
      </c>
      <c r="B41" s="68" t="s">
        <v>131</v>
      </c>
      <c r="C41" s="68">
        <v>71</v>
      </c>
      <c r="D41" s="68" t="s">
        <v>506</v>
      </c>
      <c r="E41" s="68"/>
      <c r="F41" s="68"/>
      <c r="G41" s="99" t="str">
        <f t="shared" si="0"/>
        <v>LymhurstB5</v>
      </c>
      <c r="H41" s="99" t="s">
        <v>377</v>
      </c>
      <c r="I41" s="99">
        <v>5</v>
      </c>
    </row>
    <row r="42" spans="1:9" x14ac:dyDescent="0.25">
      <c r="A42" s="68" t="s">
        <v>346</v>
      </c>
      <c r="B42" s="68" t="s">
        <v>132</v>
      </c>
      <c r="C42" s="68">
        <v>67</v>
      </c>
      <c r="D42" s="68" t="s">
        <v>519</v>
      </c>
      <c r="E42" s="68"/>
      <c r="F42" s="68"/>
      <c r="G42" s="99" t="str">
        <f t="shared" si="0"/>
        <v>MartlockB5</v>
      </c>
      <c r="H42" s="99" t="s">
        <v>377</v>
      </c>
      <c r="I42" s="99">
        <v>5</v>
      </c>
    </row>
    <row r="43" spans="1:9" x14ac:dyDescent="0.25">
      <c r="A43" s="68" t="s">
        <v>346</v>
      </c>
      <c r="B43" s="68" t="s">
        <v>133</v>
      </c>
      <c r="C43" s="68">
        <v>99</v>
      </c>
      <c r="D43" s="68" t="s">
        <v>525</v>
      </c>
      <c r="E43" s="68"/>
      <c r="F43" s="68"/>
      <c r="G43" s="99" t="str">
        <f t="shared" si="0"/>
        <v>ThetfordB5</v>
      </c>
      <c r="H43" s="99" t="s">
        <v>377</v>
      </c>
      <c r="I43" s="99">
        <v>5</v>
      </c>
    </row>
    <row r="44" spans="1:9" x14ac:dyDescent="0.25">
      <c r="A44" s="68" t="s">
        <v>347</v>
      </c>
      <c r="B44" s="68" t="s">
        <v>127</v>
      </c>
      <c r="C44" s="68">
        <v>84</v>
      </c>
      <c r="D44" s="68" t="s">
        <v>552</v>
      </c>
      <c r="E44" s="68">
        <v>47</v>
      </c>
      <c r="F44" s="68" t="s">
        <v>503</v>
      </c>
      <c r="G44" s="99" t="str">
        <f t="shared" si="0"/>
        <v>BrecilienB6</v>
      </c>
      <c r="H44" s="99" t="s">
        <v>377</v>
      </c>
      <c r="I44" s="99">
        <v>6</v>
      </c>
    </row>
    <row r="45" spans="1:9" x14ac:dyDescent="0.25">
      <c r="A45" s="68" t="s">
        <v>347</v>
      </c>
      <c r="B45" s="68" t="s">
        <v>128</v>
      </c>
      <c r="C45" s="68">
        <v>149</v>
      </c>
      <c r="D45" s="68" t="s">
        <v>520</v>
      </c>
      <c r="E45" s="68">
        <v>1</v>
      </c>
      <c r="F45" s="68" t="s">
        <v>520</v>
      </c>
      <c r="G45" s="99" t="str">
        <f t="shared" si="0"/>
        <v>BridgewatchB6</v>
      </c>
      <c r="H45" s="99" t="s">
        <v>377</v>
      </c>
      <c r="I45" s="99">
        <v>6</v>
      </c>
    </row>
    <row r="46" spans="1:9" x14ac:dyDescent="0.25">
      <c r="A46" s="68" t="s">
        <v>347</v>
      </c>
      <c r="B46" s="68" t="s">
        <v>129</v>
      </c>
      <c r="C46" s="68">
        <v>80</v>
      </c>
      <c r="D46" s="68" t="s">
        <v>520</v>
      </c>
      <c r="E46" s="68">
        <v>49</v>
      </c>
      <c r="F46" s="68" t="s">
        <v>552</v>
      </c>
      <c r="G46" s="99" t="str">
        <f t="shared" si="0"/>
        <v>CaerleonB6</v>
      </c>
      <c r="H46" s="99" t="s">
        <v>377</v>
      </c>
      <c r="I46" s="99">
        <v>6</v>
      </c>
    </row>
    <row r="47" spans="1:9" x14ac:dyDescent="0.25">
      <c r="A47" s="68" t="s">
        <v>347</v>
      </c>
      <c r="B47" s="68" t="s">
        <v>130</v>
      </c>
      <c r="C47" s="68">
        <v>65</v>
      </c>
      <c r="D47" s="68" t="s">
        <v>456</v>
      </c>
      <c r="E47" s="68"/>
      <c r="F47" s="68"/>
      <c r="G47" s="99" t="str">
        <f t="shared" si="0"/>
        <v>Fort SterlingB6</v>
      </c>
      <c r="H47" s="99" t="s">
        <v>377</v>
      </c>
      <c r="I47" s="99">
        <v>6</v>
      </c>
    </row>
    <row r="48" spans="1:9" x14ac:dyDescent="0.25">
      <c r="A48" s="68" t="s">
        <v>347</v>
      </c>
      <c r="B48" s="68" t="s">
        <v>131</v>
      </c>
      <c r="C48" s="68">
        <v>83</v>
      </c>
      <c r="D48" s="68" t="s">
        <v>528</v>
      </c>
      <c r="E48" s="68">
        <v>63</v>
      </c>
      <c r="F48" s="68" t="s">
        <v>528</v>
      </c>
      <c r="G48" s="99" t="str">
        <f t="shared" si="0"/>
        <v>LymhurstB6</v>
      </c>
      <c r="H48" s="99" t="s">
        <v>377</v>
      </c>
      <c r="I48" s="99">
        <v>6</v>
      </c>
    </row>
    <row r="49" spans="1:9" x14ac:dyDescent="0.25">
      <c r="A49" s="68" t="s">
        <v>347</v>
      </c>
      <c r="B49" s="68" t="s">
        <v>132</v>
      </c>
      <c r="C49" s="68">
        <v>76</v>
      </c>
      <c r="D49" s="68" t="s">
        <v>502</v>
      </c>
      <c r="E49" s="68">
        <v>70</v>
      </c>
      <c r="F49" s="68" t="s">
        <v>467</v>
      </c>
      <c r="G49" s="99" t="str">
        <f t="shared" si="0"/>
        <v>MartlockB6</v>
      </c>
      <c r="H49" s="99" t="s">
        <v>377</v>
      </c>
      <c r="I49" s="99">
        <v>6</v>
      </c>
    </row>
    <row r="50" spans="1:9" x14ac:dyDescent="0.25">
      <c r="A50" s="68" t="s">
        <v>347</v>
      </c>
      <c r="B50" s="68" t="s">
        <v>133</v>
      </c>
      <c r="C50" s="68">
        <v>86</v>
      </c>
      <c r="D50" s="68" t="s">
        <v>529</v>
      </c>
      <c r="E50" s="68"/>
      <c r="F50" s="68"/>
      <c r="G50" s="99" t="str">
        <f t="shared" si="0"/>
        <v>ThetfordB6</v>
      </c>
      <c r="H50" s="99" t="s">
        <v>377</v>
      </c>
      <c r="I50" s="99">
        <v>6</v>
      </c>
    </row>
    <row r="51" spans="1:9" x14ac:dyDescent="0.25">
      <c r="A51" s="68" t="s">
        <v>348</v>
      </c>
      <c r="B51" s="68" t="s">
        <v>127</v>
      </c>
      <c r="C51" s="68">
        <v>104</v>
      </c>
      <c r="D51" s="68" t="s">
        <v>460</v>
      </c>
      <c r="E51" s="68"/>
      <c r="F51" s="68"/>
      <c r="G51" s="99" t="str">
        <f t="shared" si="0"/>
        <v>BrecilienB7</v>
      </c>
      <c r="H51" s="99" t="s">
        <v>377</v>
      </c>
      <c r="I51" s="99">
        <v>7</v>
      </c>
    </row>
    <row r="52" spans="1:9" x14ac:dyDescent="0.25">
      <c r="A52" s="68" t="s">
        <v>348</v>
      </c>
      <c r="B52" s="68" t="s">
        <v>128</v>
      </c>
      <c r="C52" s="68">
        <v>169</v>
      </c>
      <c r="D52" s="68" t="s">
        <v>484</v>
      </c>
      <c r="E52" s="68"/>
      <c r="F52" s="68"/>
      <c r="G52" s="99" t="str">
        <f t="shared" si="0"/>
        <v>BridgewatchB7</v>
      </c>
      <c r="H52" s="99" t="s">
        <v>377</v>
      </c>
      <c r="I52" s="99">
        <v>7</v>
      </c>
    </row>
    <row r="53" spans="1:9" x14ac:dyDescent="0.25">
      <c r="A53" s="68" t="s">
        <v>348</v>
      </c>
      <c r="B53" s="68" t="s">
        <v>129</v>
      </c>
      <c r="C53" s="68">
        <v>84</v>
      </c>
      <c r="D53" s="68" t="s">
        <v>552</v>
      </c>
      <c r="E53" s="68">
        <v>76</v>
      </c>
      <c r="F53" s="68" t="s">
        <v>463</v>
      </c>
      <c r="G53" s="99" t="str">
        <f t="shared" si="0"/>
        <v>CaerleonB7</v>
      </c>
      <c r="H53" s="99" t="s">
        <v>377</v>
      </c>
      <c r="I53" s="99">
        <v>7</v>
      </c>
    </row>
    <row r="54" spans="1:9" x14ac:dyDescent="0.25">
      <c r="A54" s="68" t="s">
        <v>348</v>
      </c>
      <c r="B54" s="68" t="s">
        <v>130</v>
      </c>
      <c r="C54" s="68">
        <v>123</v>
      </c>
      <c r="D54" s="68" t="s">
        <v>530</v>
      </c>
      <c r="E54" s="68"/>
      <c r="F54" s="68"/>
      <c r="G54" s="99" t="str">
        <f t="shared" si="0"/>
        <v>Fort SterlingB7</v>
      </c>
      <c r="H54" s="99" t="s">
        <v>377</v>
      </c>
      <c r="I54" s="99">
        <v>7</v>
      </c>
    </row>
    <row r="55" spans="1:9" x14ac:dyDescent="0.25">
      <c r="A55" s="68" t="s">
        <v>348</v>
      </c>
      <c r="B55" s="68" t="s">
        <v>131</v>
      </c>
      <c r="C55" s="68">
        <v>196</v>
      </c>
      <c r="D55" s="68" t="s">
        <v>454</v>
      </c>
      <c r="E55" s="68">
        <v>101</v>
      </c>
      <c r="F55" s="68" t="s">
        <v>447</v>
      </c>
      <c r="G55" s="99" t="str">
        <f t="shared" si="0"/>
        <v>LymhurstB7</v>
      </c>
      <c r="H55" s="99" t="s">
        <v>377</v>
      </c>
      <c r="I55" s="99">
        <v>7</v>
      </c>
    </row>
    <row r="56" spans="1:9" x14ac:dyDescent="0.25">
      <c r="A56" s="68" t="s">
        <v>348</v>
      </c>
      <c r="B56" s="68" t="s">
        <v>132</v>
      </c>
      <c r="C56" s="68">
        <v>117</v>
      </c>
      <c r="D56" s="68" t="s">
        <v>531</v>
      </c>
      <c r="E56" s="68"/>
      <c r="F56" s="68"/>
      <c r="G56" s="99" t="str">
        <f t="shared" si="0"/>
        <v>MartlockB7</v>
      </c>
      <c r="H56" s="99" t="s">
        <v>377</v>
      </c>
      <c r="I56" s="99">
        <v>7</v>
      </c>
    </row>
    <row r="57" spans="1:9" x14ac:dyDescent="0.25">
      <c r="A57" s="68" t="s">
        <v>348</v>
      </c>
      <c r="B57" s="68" t="s">
        <v>133</v>
      </c>
      <c r="C57" s="68">
        <v>110</v>
      </c>
      <c r="D57" s="68" t="s">
        <v>532</v>
      </c>
      <c r="E57" s="68"/>
      <c r="F57" s="68"/>
      <c r="G57" s="99" t="str">
        <f t="shared" si="0"/>
        <v>ThetfordB7</v>
      </c>
      <c r="H57" s="99" t="s">
        <v>377</v>
      </c>
      <c r="I57" s="99">
        <v>7</v>
      </c>
    </row>
    <row r="58" spans="1:9" x14ac:dyDescent="0.25">
      <c r="A58" s="68" t="s">
        <v>349</v>
      </c>
      <c r="B58" s="68" t="s">
        <v>127</v>
      </c>
      <c r="C58" s="68">
        <v>193</v>
      </c>
      <c r="D58" s="68" t="s">
        <v>524</v>
      </c>
      <c r="E58" s="68"/>
      <c r="F58" s="68"/>
      <c r="G58" s="99" t="str">
        <f t="shared" si="0"/>
        <v>BrecilienB8</v>
      </c>
      <c r="H58" s="99" t="s">
        <v>377</v>
      </c>
      <c r="I58" s="99">
        <v>8</v>
      </c>
    </row>
    <row r="59" spans="1:9" x14ac:dyDescent="0.25">
      <c r="A59" s="68" t="s">
        <v>349</v>
      </c>
      <c r="B59" s="68" t="s">
        <v>128</v>
      </c>
      <c r="C59" s="68">
        <v>359</v>
      </c>
      <c r="D59" s="68" t="s">
        <v>474</v>
      </c>
      <c r="E59" s="68">
        <v>231</v>
      </c>
      <c r="F59" s="68" t="s">
        <v>481</v>
      </c>
      <c r="G59" s="99" t="str">
        <f t="shared" si="0"/>
        <v>BridgewatchB8</v>
      </c>
      <c r="H59" s="99" t="s">
        <v>377</v>
      </c>
      <c r="I59" s="99">
        <v>8</v>
      </c>
    </row>
    <row r="60" spans="1:9" x14ac:dyDescent="0.25">
      <c r="A60" s="68" t="s">
        <v>349</v>
      </c>
      <c r="B60" s="68" t="s">
        <v>129</v>
      </c>
      <c r="C60" s="68">
        <v>168</v>
      </c>
      <c r="D60" s="68" t="s">
        <v>552</v>
      </c>
      <c r="E60" s="68">
        <v>96</v>
      </c>
      <c r="F60" s="68" t="s">
        <v>470</v>
      </c>
      <c r="G60" s="99" t="str">
        <f t="shared" si="0"/>
        <v>CaerleonB8</v>
      </c>
      <c r="H60" s="99" t="s">
        <v>377</v>
      </c>
      <c r="I60" s="99">
        <v>8</v>
      </c>
    </row>
    <row r="61" spans="1:9" x14ac:dyDescent="0.25">
      <c r="A61" s="68" t="s">
        <v>349</v>
      </c>
      <c r="B61" s="68" t="s">
        <v>130</v>
      </c>
      <c r="C61" s="68">
        <v>375</v>
      </c>
      <c r="D61" s="68" t="s">
        <v>489</v>
      </c>
      <c r="E61" s="68">
        <v>280</v>
      </c>
      <c r="F61" s="68" t="s">
        <v>439</v>
      </c>
      <c r="G61" s="99" t="str">
        <f t="shared" si="0"/>
        <v>Fort SterlingB8</v>
      </c>
      <c r="H61" s="99" t="s">
        <v>377</v>
      </c>
      <c r="I61" s="99">
        <v>8</v>
      </c>
    </row>
    <row r="62" spans="1:9" x14ac:dyDescent="0.25">
      <c r="A62" s="68" t="s">
        <v>349</v>
      </c>
      <c r="B62" s="68" t="s">
        <v>131</v>
      </c>
      <c r="C62" s="68">
        <v>382</v>
      </c>
      <c r="D62" s="68" t="s">
        <v>505</v>
      </c>
      <c r="E62" s="68"/>
      <c r="F62" s="68"/>
      <c r="G62" s="99" t="str">
        <f t="shared" si="0"/>
        <v>LymhurstB8</v>
      </c>
      <c r="H62" s="99" t="s">
        <v>377</v>
      </c>
      <c r="I62" s="99">
        <v>8</v>
      </c>
    </row>
    <row r="63" spans="1:9" x14ac:dyDescent="0.25">
      <c r="A63" s="68" t="s">
        <v>349</v>
      </c>
      <c r="B63" s="68" t="s">
        <v>132</v>
      </c>
      <c r="C63" s="68">
        <v>304</v>
      </c>
      <c r="D63" s="68" t="s">
        <v>531</v>
      </c>
      <c r="E63" s="68"/>
      <c r="F63" s="68"/>
      <c r="G63" s="99" t="str">
        <f t="shared" si="0"/>
        <v>MartlockB8</v>
      </c>
      <c r="H63" s="99" t="s">
        <v>377</v>
      </c>
      <c r="I63" s="99">
        <v>8</v>
      </c>
    </row>
    <row r="64" spans="1:9" x14ac:dyDescent="0.25">
      <c r="A64" s="68" t="s">
        <v>349</v>
      </c>
      <c r="B64" s="68" t="s">
        <v>133</v>
      </c>
      <c r="C64" s="68">
        <v>189</v>
      </c>
      <c r="D64" s="68" t="s">
        <v>522</v>
      </c>
      <c r="E64" s="68"/>
      <c r="F64" s="68"/>
      <c r="G64" s="99" t="str">
        <f t="shared" si="0"/>
        <v>ThetfordB8</v>
      </c>
      <c r="H64" s="99" t="s">
        <v>377</v>
      </c>
      <c r="I64" s="99">
        <v>8</v>
      </c>
    </row>
    <row r="65" spans="1:9" x14ac:dyDescent="0.25">
      <c r="A65" s="68" t="s">
        <v>350</v>
      </c>
      <c r="B65" s="68" t="s">
        <v>127</v>
      </c>
      <c r="C65" s="68">
        <v>426</v>
      </c>
      <c r="D65" s="68" t="s">
        <v>484</v>
      </c>
      <c r="E65" s="68"/>
      <c r="F65" s="68"/>
      <c r="G65" s="99" t="str">
        <f t="shared" si="0"/>
        <v>BrecilienB9</v>
      </c>
      <c r="H65" s="99" t="s">
        <v>377</v>
      </c>
      <c r="I65" s="99">
        <v>9</v>
      </c>
    </row>
    <row r="66" spans="1:9" x14ac:dyDescent="0.25">
      <c r="A66" s="68" t="s">
        <v>350</v>
      </c>
      <c r="B66" s="68" t="s">
        <v>128</v>
      </c>
      <c r="C66" s="68"/>
      <c r="D66" s="68"/>
      <c r="E66" s="68"/>
      <c r="F66" s="68"/>
      <c r="G66" s="99" t="str">
        <f t="shared" si="0"/>
        <v>BridgewatchB9</v>
      </c>
      <c r="H66" s="99" t="s">
        <v>377</v>
      </c>
      <c r="I66" s="99">
        <v>9</v>
      </c>
    </row>
    <row r="67" spans="1:9" x14ac:dyDescent="0.25">
      <c r="A67" s="68" t="s">
        <v>350</v>
      </c>
      <c r="B67" s="68" t="s">
        <v>129</v>
      </c>
      <c r="C67" s="68">
        <v>673</v>
      </c>
      <c r="D67" s="68" t="s">
        <v>552</v>
      </c>
      <c r="E67" s="68">
        <v>240</v>
      </c>
      <c r="F67" s="68" t="s">
        <v>460</v>
      </c>
      <c r="G67" s="99" t="str">
        <f t="shared" ref="G67:G130" si="1">_xlfn.CONCAT(B67,H67,I67)</f>
        <v>CaerleonB9</v>
      </c>
      <c r="H67" s="99" t="s">
        <v>377</v>
      </c>
      <c r="I67" s="99">
        <v>9</v>
      </c>
    </row>
    <row r="68" spans="1:9" x14ac:dyDescent="0.25">
      <c r="A68" s="68" t="s">
        <v>350</v>
      </c>
      <c r="B68" s="68" t="s">
        <v>130</v>
      </c>
      <c r="C68" s="68">
        <v>892</v>
      </c>
      <c r="D68" s="68" t="s">
        <v>439</v>
      </c>
      <c r="E68" s="68">
        <v>670</v>
      </c>
      <c r="F68" s="68" t="s">
        <v>439</v>
      </c>
      <c r="G68" s="99" t="str">
        <f t="shared" si="1"/>
        <v>Fort SterlingB9</v>
      </c>
      <c r="H68" s="99" t="s">
        <v>377</v>
      </c>
      <c r="I68" s="99">
        <v>9</v>
      </c>
    </row>
    <row r="69" spans="1:9" x14ac:dyDescent="0.25">
      <c r="A69" s="68" t="s">
        <v>350</v>
      </c>
      <c r="B69" s="68" t="s">
        <v>131</v>
      </c>
      <c r="C69" s="68">
        <v>838</v>
      </c>
      <c r="D69" s="68" t="s">
        <v>533</v>
      </c>
      <c r="E69" s="68"/>
      <c r="F69" s="68"/>
      <c r="G69" s="99" t="str">
        <f t="shared" si="1"/>
        <v>LymhurstB9</v>
      </c>
      <c r="H69" s="99" t="s">
        <v>377</v>
      </c>
      <c r="I69" s="99">
        <v>9</v>
      </c>
    </row>
    <row r="70" spans="1:9" x14ac:dyDescent="0.25">
      <c r="A70" s="68" t="s">
        <v>350</v>
      </c>
      <c r="B70" s="68" t="s">
        <v>132</v>
      </c>
      <c r="C70" s="68">
        <v>689</v>
      </c>
      <c r="D70" s="68" t="s">
        <v>467</v>
      </c>
      <c r="E70" s="68">
        <v>671</v>
      </c>
      <c r="F70" s="68" t="s">
        <v>467</v>
      </c>
      <c r="G70" s="99" t="str">
        <f t="shared" si="1"/>
        <v>MartlockB9</v>
      </c>
      <c r="H70" s="99" t="s">
        <v>377</v>
      </c>
      <c r="I70" s="99">
        <v>9</v>
      </c>
    </row>
    <row r="71" spans="1:9" x14ac:dyDescent="0.25">
      <c r="A71" s="68" t="s">
        <v>350</v>
      </c>
      <c r="B71" s="68" t="s">
        <v>133</v>
      </c>
      <c r="C71" s="68">
        <v>569</v>
      </c>
      <c r="D71" s="68" t="s">
        <v>534</v>
      </c>
      <c r="E71" s="68"/>
      <c r="F71" s="68"/>
      <c r="G71" s="99" t="str">
        <f t="shared" si="1"/>
        <v>ThetfordB9</v>
      </c>
      <c r="H71" s="99" t="s">
        <v>377</v>
      </c>
      <c r="I71" s="99">
        <v>9</v>
      </c>
    </row>
    <row r="72" spans="1:9" x14ac:dyDescent="0.25">
      <c r="A72" s="68" t="s">
        <v>351</v>
      </c>
      <c r="B72" s="68" t="s">
        <v>127</v>
      </c>
      <c r="C72" s="68">
        <v>272</v>
      </c>
      <c r="D72" s="68" t="s">
        <v>484</v>
      </c>
      <c r="E72" s="68"/>
      <c r="F72" s="68"/>
      <c r="G72" s="99" t="str">
        <f t="shared" si="1"/>
        <v>BrecilienB10</v>
      </c>
      <c r="H72" s="99" t="s">
        <v>377</v>
      </c>
      <c r="I72" s="99">
        <v>10</v>
      </c>
    </row>
    <row r="73" spans="1:9" x14ac:dyDescent="0.25">
      <c r="A73" s="68" t="s">
        <v>351</v>
      </c>
      <c r="B73" s="68" t="s">
        <v>128</v>
      </c>
      <c r="C73" s="68">
        <v>534</v>
      </c>
      <c r="D73" s="68" t="s">
        <v>535</v>
      </c>
      <c r="E73" s="68">
        <v>422</v>
      </c>
      <c r="F73" s="68" t="s">
        <v>535</v>
      </c>
      <c r="G73" s="99" t="str">
        <f t="shared" si="1"/>
        <v>BridgewatchB10</v>
      </c>
      <c r="H73" s="99" t="s">
        <v>377</v>
      </c>
      <c r="I73" s="99">
        <v>10</v>
      </c>
    </row>
    <row r="74" spans="1:9" x14ac:dyDescent="0.25">
      <c r="A74" s="68" t="s">
        <v>351</v>
      </c>
      <c r="B74" s="68" t="s">
        <v>129</v>
      </c>
      <c r="C74" s="68">
        <v>300</v>
      </c>
      <c r="D74" s="68" t="s">
        <v>507</v>
      </c>
      <c r="E74" s="68">
        <v>290</v>
      </c>
      <c r="F74" s="68" t="s">
        <v>463</v>
      </c>
      <c r="G74" s="99" t="str">
        <f t="shared" si="1"/>
        <v>CaerleonB10</v>
      </c>
      <c r="H74" s="99" t="s">
        <v>377</v>
      </c>
      <c r="I74" s="99">
        <v>10</v>
      </c>
    </row>
    <row r="75" spans="1:9" x14ac:dyDescent="0.25">
      <c r="A75" s="68" t="s">
        <v>351</v>
      </c>
      <c r="B75" s="68" t="s">
        <v>130</v>
      </c>
      <c r="C75" s="68">
        <v>430</v>
      </c>
      <c r="D75" s="68" t="s">
        <v>466</v>
      </c>
      <c r="E75" s="68"/>
      <c r="F75" s="68"/>
      <c r="G75" s="99" t="str">
        <f t="shared" si="1"/>
        <v>Fort SterlingB10</v>
      </c>
      <c r="H75" s="99" t="s">
        <v>377</v>
      </c>
      <c r="I75" s="99">
        <v>10</v>
      </c>
    </row>
    <row r="76" spans="1:9" x14ac:dyDescent="0.25">
      <c r="A76" s="68" t="s">
        <v>351</v>
      </c>
      <c r="B76" s="68" t="s">
        <v>131</v>
      </c>
      <c r="C76" s="68">
        <v>538</v>
      </c>
      <c r="D76" s="68" t="s">
        <v>487</v>
      </c>
      <c r="E76" s="68">
        <v>212</v>
      </c>
      <c r="F76" s="68" t="s">
        <v>536</v>
      </c>
      <c r="G76" s="99" t="str">
        <f t="shared" si="1"/>
        <v>LymhurstB10</v>
      </c>
      <c r="H76" s="99" t="s">
        <v>377</v>
      </c>
      <c r="I76" s="99">
        <v>10</v>
      </c>
    </row>
    <row r="77" spans="1:9" x14ac:dyDescent="0.25">
      <c r="A77" s="68" t="s">
        <v>351</v>
      </c>
      <c r="B77" s="68" t="s">
        <v>132</v>
      </c>
      <c r="C77" s="68">
        <v>643</v>
      </c>
      <c r="D77" s="68" t="s">
        <v>502</v>
      </c>
      <c r="E77" s="68">
        <v>461</v>
      </c>
      <c r="F77" s="68" t="s">
        <v>537</v>
      </c>
      <c r="G77" s="99" t="str">
        <f t="shared" si="1"/>
        <v>MartlockB10</v>
      </c>
      <c r="H77" s="99" t="s">
        <v>377</v>
      </c>
      <c r="I77" s="99">
        <v>10</v>
      </c>
    </row>
    <row r="78" spans="1:9" x14ac:dyDescent="0.25">
      <c r="A78" s="68" t="s">
        <v>351</v>
      </c>
      <c r="B78" s="68" t="s">
        <v>133</v>
      </c>
      <c r="C78" s="68">
        <v>558</v>
      </c>
      <c r="D78" s="68" t="s">
        <v>437</v>
      </c>
      <c r="E78" s="68"/>
      <c r="F78" s="68"/>
      <c r="G78" s="99" t="str">
        <f t="shared" si="1"/>
        <v>ThetfordB10</v>
      </c>
      <c r="H78" s="99" t="s">
        <v>377</v>
      </c>
      <c r="I78" s="99">
        <v>10</v>
      </c>
    </row>
    <row r="79" spans="1:9" x14ac:dyDescent="0.25">
      <c r="A79" s="68" t="s">
        <v>352</v>
      </c>
      <c r="B79" s="68" t="s">
        <v>127</v>
      </c>
      <c r="C79" s="68">
        <v>489</v>
      </c>
      <c r="D79" s="68" t="s">
        <v>525</v>
      </c>
      <c r="E79" s="68"/>
      <c r="F79" s="68"/>
      <c r="G79" s="99" t="str">
        <f t="shared" si="1"/>
        <v>BrecilienB11</v>
      </c>
      <c r="H79" s="99" t="s">
        <v>377</v>
      </c>
      <c r="I79" s="99">
        <v>11</v>
      </c>
    </row>
    <row r="80" spans="1:9" x14ac:dyDescent="0.25">
      <c r="A80" s="68" t="s">
        <v>352</v>
      </c>
      <c r="B80" s="68" t="s">
        <v>128</v>
      </c>
      <c r="C80" s="68">
        <v>794</v>
      </c>
      <c r="D80" s="68" t="s">
        <v>507</v>
      </c>
      <c r="E80" s="68"/>
      <c r="F80" s="68"/>
      <c r="G80" s="99" t="str">
        <f t="shared" si="1"/>
        <v>BridgewatchB11</v>
      </c>
      <c r="H80" s="99" t="s">
        <v>377</v>
      </c>
      <c r="I80" s="99">
        <v>11</v>
      </c>
    </row>
    <row r="81" spans="1:9" x14ac:dyDescent="0.25">
      <c r="A81" s="68" t="s">
        <v>352</v>
      </c>
      <c r="B81" s="68" t="s">
        <v>129</v>
      </c>
      <c r="C81" s="68">
        <v>483</v>
      </c>
      <c r="D81" s="68" t="s">
        <v>525</v>
      </c>
      <c r="E81" s="68">
        <v>303</v>
      </c>
      <c r="F81" s="68" t="s">
        <v>452</v>
      </c>
      <c r="G81" s="99" t="str">
        <f t="shared" si="1"/>
        <v>CaerleonB11</v>
      </c>
      <c r="H81" s="99" t="s">
        <v>377</v>
      </c>
      <c r="I81" s="99">
        <v>11</v>
      </c>
    </row>
    <row r="82" spans="1:9" x14ac:dyDescent="0.25">
      <c r="A82" s="68" t="s">
        <v>352</v>
      </c>
      <c r="B82" s="68" t="s">
        <v>130</v>
      </c>
      <c r="C82" s="68">
        <v>893</v>
      </c>
      <c r="D82" s="68" t="s">
        <v>524</v>
      </c>
      <c r="E82" s="68"/>
      <c r="F82" s="68"/>
      <c r="G82" s="99" t="str">
        <f t="shared" si="1"/>
        <v>Fort SterlingB11</v>
      </c>
      <c r="H82" s="99" t="s">
        <v>377</v>
      </c>
      <c r="I82" s="99">
        <v>11</v>
      </c>
    </row>
    <row r="83" spans="1:9" x14ac:dyDescent="0.25">
      <c r="A83" s="68" t="s">
        <v>352</v>
      </c>
      <c r="B83" s="68" t="s">
        <v>131</v>
      </c>
      <c r="C83" s="68">
        <v>933</v>
      </c>
      <c r="D83" s="68" t="s">
        <v>520</v>
      </c>
      <c r="E83" s="68">
        <v>536</v>
      </c>
      <c r="F83" s="68" t="s">
        <v>538</v>
      </c>
      <c r="G83" s="99" t="str">
        <f t="shared" si="1"/>
        <v>LymhurstB11</v>
      </c>
      <c r="H83" s="99" t="s">
        <v>377</v>
      </c>
      <c r="I83" s="99">
        <v>11</v>
      </c>
    </row>
    <row r="84" spans="1:9" x14ac:dyDescent="0.25">
      <c r="A84" s="68" t="s">
        <v>352</v>
      </c>
      <c r="B84" s="68" t="s">
        <v>132</v>
      </c>
      <c r="C84" s="68">
        <v>650</v>
      </c>
      <c r="D84" s="68" t="s">
        <v>523</v>
      </c>
      <c r="E84" s="68">
        <v>461</v>
      </c>
      <c r="F84" s="68" t="s">
        <v>539</v>
      </c>
      <c r="G84" s="99" t="str">
        <f t="shared" si="1"/>
        <v>MartlockB11</v>
      </c>
      <c r="H84" s="99" t="s">
        <v>377</v>
      </c>
      <c r="I84" s="99">
        <v>11</v>
      </c>
    </row>
    <row r="85" spans="1:9" x14ac:dyDescent="0.25">
      <c r="A85" s="68" t="s">
        <v>352</v>
      </c>
      <c r="B85" s="68" t="s">
        <v>133</v>
      </c>
      <c r="C85" s="68">
        <v>980</v>
      </c>
      <c r="D85" s="68" t="s">
        <v>437</v>
      </c>
      <c r="E85" s="68">
        <v>505</v>
      </c>
      <c r="F85" s="68" t="s">
        <v>437</v>
      </c>
      <c r="G85" s="99" t="str">
        <f t="shared" si="1"/>
        <v>ThetfordB11</v>
      </c>
      <c r="H85" s="99" t="s">
        <v>377</v>
      </c>
      <c r="I85" s="99">
        <v>11</v>
      </c>
    </row>
    <row r="86" spans="1:9" x14ac:dyDescent="0.25">
      <c r="A86" s="68" t="s">
        <v>353</v>
      </c>
      <c r="B86" s="68" t="s">
        <v>127</v>
      </c>
      <c r="C86" s="68">
        <v>1974</v>
      </c>
      <c r="D86" s="68" t="s">
        <v>525</v>
      </c>
      <c r="E86" s="68"/>
      <c r="F86" s="68"/>
      <c r="G86" s="99" t="str">
        <f t="shared" si="1"/>
        <v>BrecilienB12</v>
      </c>
      <c r="H86" s="99" t="s">
        <v>377</v>
      </c>
      <c r="I86" s="99">
        <v>12</v>
      </c>
    </row>
    <row r="87" spans="1:9" x14ac:dyDescent="0.25">
      <c r="A87" s="68" t="s">
        <v>353</v>
      </c>
      <c r="B87" s="68" t="s">
        <v>128</v>
      </c>
      <c r="C87" s="68">
        <v>1607</v>
      </c>
      <c r="D87" s="68" t="s">
        <v>540</v>
      </c>
      <c r="E87" s="68"/>
      <c r="F87" s="68"/>
      <c r="G87" s="99" t="str">
        <f t="shared" si="1"/>
        <v>BridgewatchB12</v>
      </c>
      <c r="H87" s="99" t="s">
        <v>377</v>
      </c>
      <c r="I87" s="99">
        <v>12</v>
      </c>
    </row>
    <row r="88" spans="1:9" x14ac:dyDescent="0.25">
      <c r="A88" s="68" t="s">
        <v>353</v>
      </c>
      <c r="B88" s="68" t="s">
        <v>129</v>
      </c>
      <c r="C88" s="68">
        <v>1967</v>
      </c>
      <c r="D88" s="68" t="s">
        <v>552</v>
      </c>
      <c r="E88" s="68">
        <v>800</v>
      </c>
      <c r="F88" s="68" t="s">
        <v>463</v>
      </c>
      <c r="G88" s="99" t="str">
        <f t="shared" si="1"/>
        <v>CaerleonB12</v>
      </c>
      <c r="H88" s="99" t="s">
        <v>377</v>
      </c>
      <c r="I88" s="99">
        <v>12</v>
      </c>
    </row>
    <row r="89" spans="1:9" x14ac:dyDescent="0.25">
      <c r="A89" s="68" t="s">
        <v>353</v>
      </c>
      <c r="B89" s="68" t="s">
        <v>130</v>
      </c>
      <c r="C89" s="68">
        <v>1656</v>
      </c>
      <c r="D89" s="68" t="s">
        <v>440</v>
      </c>
      <c r="E89" s="68"/>
      <c r="F89" s="68"/>
      <c r="G89" s="99" t="str">
        <f t="shared" si="1"/>
        <v>Fort SterlingB12</v>
      </c>
      <c r="H89" s="99" t="s">
        <v>377</v>
      </c>
      <c r="I89" s="99">
        <v>12</v>
      </c>
    </row>
    <row r="90" spans="1:9" x14ac:dyDescent="0.25">
      <c r="A90" s="68" t="s">
        <v>353</v>
      </c>
      <c r="B90" s="68" t="s">
        <v>131</v>
      </c>
      <c r="C90" s="68">
        <v>1970</v>
      </c>
      <c r="D90" s="68" t="s">
        <v>505</v>
      </c>
      <c r="E90" s="68"/>
      <c r="F90" s="68"/>
      <c r="G90" s="99" t="str">
        <f t="shared" si="1"/>
        <v>LymhurstB12</v>
      </c>
      <c r="H90" s="99" t="s">
        <v>377</v>
      </c>
      <c r="I90" s="99">
        <v>12</v>
      </c>
    </row>
    <row r="91" spans="1:9" x14ac:dyDescent="0.25">
      <c r="A91" s="68" t="s">
        <v>353</v>
      </c>
      <c r="B91" s="68" t="s">
        <v>132</v>
      </c>
      <c r="C91" s="68">
        <v>1119</v>
      </c>
      <c r="D91" s="68" t="s">
        <v>438</v>
      </c>
      <c r="E91" s="68"/>
      <c r="F91" s="68"/>
      <c r="G91" s="99" t="str">
        <f t="shared" si="1"/>
        <v>MartlockB12</v>
      </c>
      <c r="H91" s="99" t="s">
        <v>377</v>
      </c>
      <c r="I91" s="99">
        <v>12</v>
      </c>
    </row>
    <row r="92" spans="1:9" x14ac:dyDescent="0.25">
      <c r="A92" s="68" t="s">
        <v>353</v>
      </c>
      <c r="B92" s="68" t="s">
        <v>133</v>
      </c>
      <c r="C92" s="68">
        <v>1298</v>
      </c>
      <c r="D92" s="68" t="s">
        <v>471</v>
      </c>
      <c r="E92" s="68"/>
      <c r="F92" s="68"/>
      <c r="G92" s="99" t="str">
        <f t="shared" si="1"/>
        <v>ThetfordB12</v>
      </c>
      <c r="H92" s="99" t="s">
        <v>377</v>
      </c>
      <c r="I92" s="99">
        <v>12</v>
      </c>
    </row>
    <row r="93" spans="1:9" x14ac:dyDescent="0.25">
      <c r="A93" s="68" t="s">
        <v>354</v>
      </c>
      <c r="B93" s="68" t="s">
        <v>127</v>
      </c>
      <c r="C93" s="68">
        <v>2047</v>
      </c>
      <c r="D93" s="68" t="s">
        <v>484</v>
      </c>
      <c r="E93" s="68"/>
      <c r="F93" s="68"/>
      <c r="G93" s="99" t="str">
        <f t="shared" si="1"/>
        <v>BrecilienB13</v>
      </c>
      <c r="H93" s="99" t="s">
        <v>377</v>
      </c>
      <c r="I93" s="99">
        <v>13</v>
      </c>
    </row>
    <row r="94" spans="1:9" x14ac:dyDescent="0.25">
      <c r="A94" s="68" t="s">
        <v>354</v>
      </c>
      <c r="B94" s="68" t="s">
        <v>128</v>
      </c>
      <c r="C94" s="68">
        <v>3936</v>
      </c>
      <c r="D94" s="68" t="s">
        <v>487</v>
      </c>
      <c r="E94" s="68">
        <v>2314</v>
      </c>
      <c r="F94" s="68" t="s">
        <v>445</v>
      </c>
      <c r="G94" s="99" t="str">
        <f t="shared" si="1"/>
        <v>BridgewatchB13</v>
      </c>
      <c r="H94" s="99" t="s">
        <v>377</v>
      </c>
      <c r="I94" s="99">
        <v>13</v>
      </c>
    </row>
    <row r="95" spans="1:9" x14ac:dyDescent="0.25">
      <c r="A95" s="68" t="s">
        <v>354</v>
      </c>
      <c r="B95" s="68" t="s">
        <v>129</v>
      </c>
      <c r="C95" s="68">
        <v>2010</v>
      </c>
      <c r="D95" s="68" t="s">
        <v>507</v>
      </c>
      <c r="E95" s="68">
        <v>1500</v>
      </c>
      <c r="F95" s="68" t="s">
        <v>450</v>
      </c>
      <c r="G95" s="99" t="str">
        <f t="shared" si="1"/>
        <v>CaerleonB13</v>
      </c>
      <c r="H95" s="99" t="s">
        <v>377</v>
      </c>
      <c r="I95" s="99">
        <v>13</v>
      </c>
    </row>
    <row r="96" spans="1:9" x14ac:dyDescent="0.25">
      <c r="A96" s="68" t="s">
        <v>354</v>
      </c>
      <c r="B96" s="68" t="s">
        <v>130</v>
      </c>
      <c r="C96" s="68">
        <v>3384</v>
      </c>
      <c r="D96" s="68" t="s">
        <v>452</v>
      </c>
      <c r="E96" s="68"/>
      <c r="F96" s="68"/>
      <c r="G96" s="99" t="str">
        <f t="shared" si="1"/>
        <v>Fort SterlingB13</v>
      </c>
      <c r="H96" s="99" t="s">
        <v>377</v>
      </c>
      <c r="I96" s="99">
        <v>13</v>
      </c>
    </row>
    <row r="97" spans="1:9" x14ac:dyDescent="0.25">
      <c r="A97" s="68" t="s">
        <v>354</v>
      </c>
      <c r="B97" s="68" t="s">
        <v>131</v>
      </c>
      <c r="C97" s="68">
        <v>3384</v>
      </c>
      <c r="D97" s="68" t="s">
        <v>487</v>
      </c>
      <c r="E97" s="68"/>
      <c r="F97" s="68"/>
      <c r="G97" s="99" t="str">
        <f t="shared" si="1"/>
        <v>LymhurstB13</v>
      </c>
      <c r="H97" s="99" t="s">
        <v>377</v>
      </c>
      <c r="I97" s="99">
        <v>13</v>
      </c>
    </row>
    <row r="98" spans="1:9" x14ac:dyDescent="0.25">
      <c r="A98" s="68" t="s">
        <v>354</v>
      </c>
      <c r="B98" s="68" t="s">
        <v>132</v>
      </c>
      <c r="C98" s="68">
        <v>2086</v>
      </c>
      <c r="D98" s="68" t="s">
        <v>534</v>
      </c>
      <c r="E98" s="68"/>
      <c r="F98" s="68"/>
      <c r="G98" s="99" t="str">
        <f t="shared" si="1"/>
        <v>MartlockB13</v>
      </c>
      <c r="H98" s="99" t="s">
        <v>377</v>
      </c>
      <c r="I98" s="99">
        <v>13</v>
      </c>
    </row>
    <row r="99" spans="1:9" x14ac:dyDescent="0.25">
      <c r="A99" s="68" t="s">
        <v>354</v>
      </c>
      <c r="B99" s="68" t="s">
        <v>133</v>
      </c>
      <c r="C99" s="68"/>
      <c r="D99" s="68"/>
      <c r="E99" s="68"/>
      <c r="F99" s="68"/>
      <c r="G99" s="99" t="str">
        <f t="shared" si="1"/>
        <v>ThetfordB13</v>
      </c>
      <c r="H99" s="99" t="s">
        <v>377</v>
      </c>
      <c r="I99" s="99">
        <v>13</v>
      </c>
    </row>
    <row r="100" spans="1:9" x14ac:dyDescent="0.25">
      <c r="A100" s="68" t="s">
        <v>355</v>
      </c>
      <c r="B100" s="68" t="s">
        <v>127</v>
      </c>
      <c r="C100" s="68">
        <v>1149</v>
      </c>
      <c r="D100" s="68" t="s">
        <v>487</v>
      </c>
      <c r="E100" s="68"/>
      <c r="F100" s="68"/>
      <c r="G100" s="99" t="str">
        <f t="shared" si="1"/>
        <v>BrecilienB14</v>
      </c>
      <c r="H100" s="99" t="s">
        <v>377</v>
      </c>
      <c r="I100" s="99">
        <v>14</v>
      </c>
    </row>
    <row r="101" spans="1:9" x14ac:dyDescent="0.25">
      <c r="A101" s="68" t="s">
        <v>355</v>
      </c>
      <c r="B101" s="68" t="s">
        <v>128</v>
      </c>
      <c r="C101" s="68">
        <v>2014</v>
      </c>
      <c r="D101" s="68" t="s">
        <v>446</v>
      </c>
      <c r="E101" s="68">
        <v>1413</v>
      </c>
      <c r="F101" s="68" t="s">
        <v>446</v>
      </c>
      <c r="G101" s="99" t="str">
        <f t="shared" si="1"/>
        <v>BridgewatchB14</v>
      </c>
      <c r="H101" s="99" t="s">
        <v>377</v>
      </c>
      <c r="I101" s="99">
        <v>14</v>
      </c>
    </row>
    <row r="102" spans="1:9" x14ac:dyDescent="0.25">
      <c r="A102" s="68" t="s">
        <v>355</v>
      </c>
      <c r="B102" s="68" t="s">
        <v>129</v>
      </c>
      <c r="C102" s="68">
        <v>1000</v>
      </c>
      <c r="D102" s="68" t="s">
        <v>503</v>
      </c>
      <c r="E102" s="68">
        <v>910</v>
      </c>
      <c r="F102" s="68" t="s">
        <v>463</v>
      </c>
      <c r="G102" s="99" t="str">
        <f t="shared" si="1"/>
        <v>CaerleonB14</v>
      </c>
      <c r="H102" s="99" t="s">
        <v>377</v>
      </c>
      <c r="I102" s="99">
        <v>14</v>
      </c>
    </row>
    <row r="103" spans="1:9" x14ac:dyDescent="0.25">
      <c r="A103" s="68" t="s">
        <v>355</v>
      </c>
      <c r="B103" s="68" t="s">
        <v>130</v>
      </c>
      <c r="C103" s="68">
        <v>1559</v>
      </c>
      <c r="D103" s="68" t="s">
        <v>448</v>
      </c>
      <c r="E103" s="68">
        <v>1112</v>
      </c>
      <c r="F103" s="68" t="s">
        <v>448</v>
      </c>
      <c r="G103" s="99" t="str">
        <f t="shared" si="1"/>
        <v>Fort SterlingB14</v>
      </c>
      <c r="H103" s="99" t="s">
        <v>377</v>
      </c>
      <c r="I103" s="99">
        <v>14</v>
      </c>
    </row>
    <row r="104" spans="1:9" x14ac:dyDescent="0.25">
      <c r="A104" s="68" t="s">
        <v>355</v>
      </c>
      <c r="B104" s="68" t="s">
        <v>131</v>
      </c>
      <c r="C104" s="68">
        <v>1611</v>
      </c>
      <c r="D104" s="68" t="s">
        <v>487</v>
      </c>
      <c r="E104" s="68">
        <v>1154</v>
      </c>
      <c r="F104" s="68" t="s">
        <v>440</v>
      </c>
      <c r="G104" s="99" t="str">
        <f t="shared" si="1"/>
        <v>LymhurstB14</v>
      </c>
      <c r="H104" s="99" t="s">
        <v>377</v>
      </c>
      <c r="I104" s="99">
        <v>14</v>
      </c>
    </row>
    <row r="105" spans="1:9" x14ac:dyDescent="0.25">
      <c r="A105" s="68" t="s">
        <v>355</v>
      </c>
      <c r="B105" s="68" t="s">
        <v>132</v>
      </c>
      <c r="C105" s="68">
        <v>1394</v>
      </c>
      <c r="D105" s="68" t="s">
        <v>455</v>
      </c>
      <c r="E105" s="68"/>
      <c r="F105" s="68"/>
      <c r="G105" s="99" t="str">
        <f t="shared" si="1"/>
        <v>MartlockB14</v>
      </c>
      <c r="H105" s="99" t="s">
        <v>377</v>
      </c>
      <c r="I105" s="99">
        <v>14</v>
      </c>
    </row>
    <row r="106" spans="1:9" x14ac:dyDescent="0.25">
      <c r="A106" s="68" t="s">
        <v>355</v>
      </c>
      <c r="B106" s="68" t="s">
        <v>133</v>
      </c>
      <c r="C106" s="68">
        <v>1291</v>
      </c>
      <c r="D106" s="68" t="s">
        <v>442</v>
      </c>
      <c r="E106" s="68"/>
      <c r="F106" s="68"/>
      <c r="G106" s="99" t="str">
        <f t="shared" si="1"/>
        <v>ThetfordB14</v>
      </c>
      <c r="H106" s="99" t="s">
        <v>377</v>
      </c>
      <c r="I106" s="99">
        <v>14</v>
      </c>
    </row>
    <row r="107" spans="1:9" x14ac:dyDescent="0.25">
      <c r="A107" s="68" t="s">
        <v>356</v>
      </c>
      <c r="B107" s="68" t="s">
        <v>127</v>
      </c>
      <c r="C107" s="68">
        <v>3509</v>
      </c>
      <c r="D107" s="68" t="s">
        <v>484</v>
      </c>
      <c r="E107" s="68"/>
      <c r="F107" s="68"/>
      <c r="G107" s="99" t="str">
        <f t="shared" si="1"/>
        <v>BrecilienB15</v>
      </c>
      <c r="H107" s="99" t="s">
        <v>377</v>
      </c>
      <c r="I107" s="99">
        <v>15</v>
      </c>
    </row>
    <row r="108" spans="1:9" x14ac:dyDescent="0.25">
      <c r="A108" s="68" t="s">
        <v>356</v>
      </c>
      <c r="B108" s="68" t="s">
        <v>128</v>
      </c>
      <c r="C108" s="68">
        <v>3698</v>
      </c>
      <c r="D108" s="68" t="s">
        <v>498</v>
      </c>
      <c r="E108" s="68">
        <v>2071</v>
      </c>
      <c r="F108" s="68" t="s">
        <v>498</v>
      </c>
      <c r="G108" s="99" t="str">
        <f t="shared" si="1"/>
        <v>BridgewatchB15</v>
      </c>
      <c r="H108" s="99" t="s">
        <v>377</v>
      </c>
      <c r="I108" s="99">
        <v>15</v>
      </c>
    </row>
    <row r="109" spans="1:9" x14ac:dyDescent="0.25">
      <c r="A109" s="68" t="s">
        <v>356</v>
      </c>
      <c r="B109" s="68" t="s">
        <v>129</v>
      </c>
      <c r="C109" s="68">
        <v>2286</v>
      </c>
      <c r="D109" s="68" t="s">
        <v>531</v>
      </c>
      <c r="E109" s="68">
        <v>1304</v>
      </c>
      <c r="F109" s="68" t="s">
        <v>471</v>
      </c>
      <c r="G109" s="99" t="str">
        <f t="shared" si="1"/>
        <v>CaerleonB15</v>
      </c>
      <c r="H109" s="99" t="s">
        <v>377</v>
      </c>
      <c r="I109" s="99">
        <v>15</v>
      </c>
    </row>
    <row r="110" spans="1:9" x14ac:dyDescent="0.25">
      <c r="A110" s="68" t="s">
        <v>356</v>
      </c>
      <c r="B110" s="68" t="s">
        <v>130</v>
      </c>
      <c r="C110" s="68"/>
      <c r="D110" s="68"/>
      <c r="E110" s="68"/>
      <c r="F110" s="68"/>
      <c r="G110" s="99" t="str">
        <f t="shared" si="1"/>
        <v>Fort SterlingB15</v>
      </c>
      <c r="H110" s="99" t="s">
        <v>377</v>
      </c>
      <c r="I110" s="99">
        <v>15</v>
      </c>
    </row>
    <row r="111" spans="1:9" x14ac:dyDescent="0.25">
      <c r="A111" s="68" t="s">
        <v>356</v>
      </c>
      <c r="B111" s="68" t="s">
        <v>131</v>
      </c>
      <c r="C111" s="68">
        <v>4893</v>
      </c>
      <c r="D111" s="68" t="s">
        <v>487</v>
      </c>
      <c r="E111" s="68">
        <v>2066</v>
      </c>
      <c r="F111" s="68" t="s">
        <v>541</v>
      </c>
      <c r="G111" s="99" t="str">
        <f t="shared" si="1"/>
        <v>LymhurstB15</v>
      </c>
      <c r="H111" s="99" t="s">
        <v>377</v>
      </c>
      <c r="I111" s="99">
        <v>15</v>
      </c>
    </row>
    <row r="112" spans="1:9" x14ac:dyDescent="0.25">
      <c r="A112" s="68" t="s">
        <v>356</v>
      </c>
      <c r="B112" s="68" t="s">
        <v>132</v>
      </c>
      <c r="C112" s="68">
        <v>2474</v>
      </c>
      <c r="D112" s="68" t="s">
        <v>455</v>
      </c>
      <c r="E112" s="68"/>
      <c r="F112" s="68"/>
      <c r="G112" s="99" t="str">
        <f t="shared" si="1"/>
        <v>MartlockB15</v>
      </c>
      <c r="H112" s="99" t="s">
        <v>377</v>
      </c>
      <c r="I112" s="99">
        <v>15</v>
      </c>
    </row>
    <row r="113" spans="1:9" x14ac:dyDescent="0.25">
      <c r="A113" s="68" t="s">
        <v>356</v>
      </c>
      <c r="B113" s="68" t="s">
        <v>133</v>
      </c>
      <c r="C113" s="68">
        <v>2398</v>
      </c>
      <c r="D113" s="68" t="s">
        <v>541</v>
      </c>
      <c r="E113" s="68"/>
      <c r="F113" s="68"/>
      <c r="G113" s="99" t="str">
        <f t="shared" si="1"/>
        <v>ThetfordB15</v>
      </c>
      <c r="H113" s="99" t="s">
        <v>377</v>
      </c>
      <c r="I113" s="99">
        <v>15</v>
      </c>
    </row>
    <row r="114" spans="1:9" x14ac:dyDescent="0.25">
      <c r="A114" s="68" t="s">
        <v>357</v>
      </c>
      <c r="B114" s="68" t="s">
        <v>127</v>
      </c>
      <c r="C114" s="68">
        <v>4749</v>
      </c>
      <c r="D114" s="68" t="s">
        <v>484</v>
      </c>
      <c r="E114" s="68"/>
      <c r="F114" s="68"/>
      <c r="G114" s="99" t="str">
        <f t="shared" si="1"/>
        <v>BrecilienB16</v>
      </c>
      <c r="H114" s="99" t="s">
        <v>377</v>
      </c>
      <c r="I114" s="99">
        <v>16</v>
      </c>
    </row>
    <row r="115" spans="1:9" x14ac:dyDescent="0.25">
      <c r="A115" s="68" t="s">
        <v>357</v>
      </c>
      <c r="B115" s="68" t="s">
        <v>128</v>
      </c>
      <c r="C115" s="68">
        <v>6299</v>
      </c>
      <c r="D115" s="68" t="s">
        <v>487</v>
      </c>
      <c r="E115" s="68"/>
      <c r="F115" s="68"/>
      <c r="G115" s="99" t="str">
        <f t="shared" si="1"/>
        <v>BridgewatchB16</v>
      </c>
      <c r="H115" s="99" t="s">
        <v>377</v>
      </c>
      <c r="I115" s="99">
        <v>16</v>
      </c>
    </row>
    <row r="116" spans="1:9" x14ac:dyDescent="0.25">
      <c r="A116" s="68" t="s">
        <v>357</v>
      </c>
      <c r="B116" s="68" t="s">
        <v>129</v>
      </c>
      <c r="C116" s="68">
        <v>5698</v>
      </c>
      <c r="D116" s="68" t="s">
        <v>503</v>
      </c>
      <c r="E116" s="68">
        <v>1662</v>
      </c>
      <c r="F116" s="68" t="s">
        <v>463</v>
      </c>
      <c r="G116" s="99" t="str">
        <f t="shared" si="1"/>
        <v>CaerleonB16</v>
      </c>
      <c r="H116" s="99" t="s">
        <v>377</v>
      </c>
      <c r="I116" s="99">
        <v>16</v>
      </c>
    </row>
    <row r="117" spans="1:9" x14ac:dyDescent="0.25">
      <c r="A117" s="68" t="s">
        <v>357</v>
      </c>
      <c r="B117" s="68" t="s">
        <v>130</v>
      </c>
      <c r="C117" s="68">
        <v>5095</v>
      </c>
      <c r="D117" s="68" t="s">
        <v>441</v>
      </c>
      <c r="E117" s="68"/>
      <c r="F117" s="68"/>
      <c r="G117" s="99" t="str">
        <f t="shared" si="1"/>
        <v>Fort SterlingB16</v>
      </c>
      <c r="H117" s="99" t="s">
        <v>377</v>
      </c>
      <c r="I117" s="99">
        <v>16</v>
      </c>
    </row>
    <row r="118" spans="1:9" x14ac:dyDescent="0.25">
      <c r="A118" s="68" t="s">
        <v>357</v>
      </c>
      <c r="B118" s="68" t="s">
        <v>131</v>
      </c>
      <c r="C118" s="68">
        <v>6458</v>
      </c>
      <c r="D118" s="68" t="s">
        <v>487</v>
      </c>
      <c r="E118" s="68"/>
      <c r="F118" s="68"/>
      <c r="G118" s="99" t="str">
        <f t="shared" si="1"/>
        <v>LymhurstB16</v>
      </c>
      <c r="H118" s="99" t="s">
        <v>377</v>
      </c>
      <c r="I118" s="99">
        <v>16</v>
      </c>
    </row>
    <row r="119" spans="1:9" x14ac:dyDescent="0.25">
      <c r="A119" s="68" t="s">
        <v>357</v>
      </c>
      <c r="B119" s="68" t="s">
        <v>132</v>
      </c>
      <c r="C119" s="68">
        <v>5350</v>
      </c>
      <c r="D119" s="68" t="s">
        <v>552</v>
      </c>
      <c r="E119" s="68"/>
      <c r="F119" s="68"/>
      <c r="G119" s="99" t="str">
        <f t="shared" si="1"/>
        <v>MartlockB16</v>
      </c>
      <c r="H119" s="99" t="s">
        <v>377</v>
      </c>
      <c r="I119" s="99">
        <v>16</v>
      </c>
    </row>
    <row r="120" spans="1:9" x14ac:dyDescent="0.25">
      <c r="A120" s="68" t="s">
        <v>357</v>
      </c>
      <c r="B120" s="68" t="s">
        <v>133</v>
      </c>
      <c r="C120" s="68"/>
      <c r="D120" s="68"/>
      <c r="E120" s="68"/>
      <c r="F120" s="68"/>
      <c r="G120" s="99" t="str">
        <f t="shared" si="1"/>
        <v>ThetfordB16</v>
      </c>
      <c r="H120" s="99" t="s">
        <v>377</v>
      </c>
      <c r="I120" s="99">
        <v>16</v>
      </c>
    </row>
    <row r="121" spans="1:9" x14ac:dyDescent="0.25">
      <c r="A121" s="68" t="s">
        <v>358</v>
      </c>
      <c r="B121" s="68" t="s">
        <v>127</v>
      </c>
      <c r="C121" s="68">
        <v>9759</v>
      </c>
      <c r="D121" s="68" t="s">
        <v>499</v>
      </c>
      <c r="E121" s="68"/>
      <c r="F121" s="68"/>
      <c r="G121" s="99" t="str">
        <f t="shared" si="1"/>
        <v>BrecilienB17</v>
      </c>
      <c r="H121" s="99" t="s">
        <v>377</v>
      </c>
      <c r="I121" s="99">
        <v>17</v>
      </c>
    </row>
    <row r="122" spans="1:9" x14ac:dyDescent="0.25">
      <c r="A122" s="68" t="s">
        <v>358</v>
      </c>
      <c r="B122" s="68" t="s">
        <v>128</v>
      </c>
      <c r="C122" s="68">
        <v>79992</v>
      </c>
      <c r="D122" s="68" t="s">
        <v>451</v>
      </c>
      <c r="E122" s="68"/>
      <c r="F122" s="68"/>
      <c r="G122" s="99" t="str">
        <f t="shared" si="1"/>
        <v>BridgewatchB17</v>
      </c>
      <c r="H122" s="99" t="s">
        <v>377</v>
      </c>
      <c r="I122" s="99">
        <v>17</v>
      </c>
    </row>
    <row r="123" spans="1:9" x14ac:dyDescent="0.25">
      <c r="A123" s="68" t="s">
        <v>358</v>
      </c>
      <c r="B123" s="68" t="s">
        <v>129</v>
      </c>
      <c r="C123" s="68">
        <v>9000</v>
      </c>
      <c r="D123" s="68" t="s">
        <v>455</v>
      </c>
      <c r="E123" s="68">
        <v>4032</v>
      </c>
      <c r="F123" s="68" t="s">
        <v>470</v>
      </c>
      <c r="G123" s="99" t="str">
        <f t="shared" si="1"/>
        <v>CaerleonB17</v>
      </c>
      <c r="H123" s="99" t="s">
        <v>377</v>
      </c>
      <c r="I123" s="99">
        <v>17</v>
      </c>
    </row>
    <row r="124" spans="1:9" x14ac:dyDescent="0.25">
      <c r="A124" s="68" t="s">
        <v>358</v>
      </c>
      <c r="B124" s="68" t="s">
        <v>130</v>
      </c>
      <c r="C124" s="68">
        <v>20992</v>
      </c>
      <c r="D124" s="68" t="s">
        <v>457</v>
      </c>
      <c r="E124" s="68"/>
      <c r="F124" s="68"/>
      <c r="G124" s="99" t="str">
        <f t="shared" si="1"/>
        <v>Fort SterlingB17</v>
      </c>
      <c r="H124" s="99" t="s">
        <v>377</v>
      </c>
      <c r="I124" s="99">
        <v>17</v>
      </c>
    </row>
    <row r="125" spans="1:9" x14ac:dyDescent="0.25">
      <c r="A125" s="68" t="s">
        <v>358</v>
      </c>
      <c r="B125" s="68" t="s">
        <v>131</v>
      </c>
      <c r="C125" s="68">
        <v>12984</v>
      </c>
      <c r="D125" s="68" t="s">
        <v>487</v>
      </c>
      <c r="E125" s="68"/>
      <c r="F125" s="68"/>
      <c r="G125" s="99" t="str">
        <f t="shared" si="1"/>
        <v>LymhurstB17</v>
      </c>
      <c r="H125" s="99" t="s">
        <v>377</v>
      </c>
      <c r="I125" s="99">
        <v>17</v>
      </c>
    </row>
    <row r="126" spans="1:9" x14ac:dyDescent="0.25">
      <c r="A126" s="68" t="s">
        <v>358</v>
      </c>
      <c r="B126" s="68" t="s">
        <v>132</v>
      </c>
      <c r="C126" s="68"/>
      <c r="D126" s="68"/>
      <c r="E126" s="68"/>
      <c r="F126" s="68"/>
      <c r="G126" s="99" t="str">
        <f t="shared" si="1"/>
        <v>MartlockB17</v>
      </c>
      <c r="H126" s="99" t="s">
        <v>377</v>
      </c>
      <c r="I126" s="99">
        <v>17</v>
      </c>
    </row>
    <row r="127" spans="1:9" x14ac:dyDescent="0.25">
      <c r="A127" s="68" t="s">
        <v>358</v>
      </c>
      <c r="B127" s="68" t="s">
        <v>133</v>
      </c>
      <c r="C127" s="68">
        <v>13980</v>
      </c>
      <c r="D127" s="68" t="s">
        <v>458</v>
      </c>
      <c r="E127" s="68"/>
      <c r="F127" s="68"/>
      <c r="G127" s="99" t="str">
        <f t="shared" si="1"/>
        <v>ThetfordB17</v>
      </c>
      <c r="H127" s="99" t="s">
        <v>377</v>
      </c>
      <c r="I127" s="99">
        <v>17</v>
      </c>
    </row>
    <row r="128" spans="1:9" x14ac:dyDescent="0.25">
      <c r="A128" s="68" t="s">
        <v>359</v>
      </c>
      <c r="B128" s="68" t="s">
        <v>127</v>
      </c>
      <c r="C128" s="68"/>
      <c r="D128" s="68"/>
      <c r="E128" s="68"/>
      <c r="F128" s="68"/>
      <c r="G128" s="99" t="str">
        <f t="shared" si="1"/>
        <v>BrecilienB18</v>
      </c>
      <c r="H128" s="99" t="s">
        <v>377</v>
      </c>
      <c r="I128" s="99">
        <v>18</v>
      </c>
    </row>
    <row r="129" spans="1:9" x14ac:dyDescent="0.25">
      <c r="A129" s="68" t="s">
        <v>359</v>
      </c>
      <c r="B129" s="68" t="s">
        <v>128</v>
      </c>
      <c r="C129" s="68">
        <v>6770</v>
      </c>
      <c r="D129" s="68" t="s">
        <v>542</v>
      </c>
      <c r="E129" s="68"/>
      <c r="F129" s="68"/>
      <c r="G129" s="99" t="str">
        <f t="shared" si="1"/>
        <v>BridgewatchB18</v>
      </c>
      <c r="H129" s="99" t="s">
        <v>377</v>
      </c>
      <c r="I129" s="99">
        <v>18</v>
      </c>
    </row>
    <row r="130" spans="1:9" x14ac:dyDescent="0.25">
      <c r="A130" s="68" t="s">
        <v>359</v>
      </c>
      <c r="B130" s="68" t="s">
        <v>129</v>
      </c>
      <c r="C130" s="68">
        <v>4642</v>
      </c>
      <c r="D130" s="68" t="s">
        <v>508</v>
      </c>
      <c r="E130" s="68">
        <v>3200</v>
      </c>
      <c r="F130" s="68" t="s">
        <v>463</v>
      </c>
      <c r="G130" s="99" t="str">
        <f t="shared" si="1"/>
        <v>CaerleonB18</v>
      </c>
      <c r="H130" s="99" t="s">
        <v>377</v>
      </c>
      <c r="I130" s="99">
        <v>18</v>
      </c>
    </row>
    <row r="131" spans="1:9" x14ac:dyDescent="0.25">
      <c r="A131" s="68" t="s">
        <v>359</v>
      </c>
      <c r="B131" s="68" t="s">
        <v>130</v>
      </c>
      <c r="C131" s="68"/>
      <c r="D131" s="68"/>
      <c r="E131" s="68"/>
      <c r="F131" s="68"/>
      <c r="G131" s="99" t="str">
        <f t="shared" ref="G131:G155" si="2">_xlfn.CONCAT(B131,H131,I131)</f>
        <v>Fort SterlingB18</v>
      </c>
      <c r="H131" s="99" t="s">
        <v>377</v>
      </c>
      <c r="I131" s="99">
        <v>18</v>
      </c>
    </row>
    <row r="132" spans="1:9" x14ac:dyDescent="0.25">
      <c r="A132" s="68" t="s">
        <v>359</v>
      </c>
      <c r="B132" s="68" t="s">
        <v>131</v>
      </c>
      <c r="C132" s="68">
        <v>5749</v>
      </c>
      <c r="D132" s="68" t="s">
        <v>487</v>
      </c>
      <c r="E132" s="68">
        <v>4639</v>
      </c>
      <c r="F132" s="68" t="s">
        <v>483</v>
      </c>
      <c r="G132" s="99" t="str">
        <f t="shared" si="2"/>
        <v>LymhurstB18</v>
      </c>
      <c r="H132" s="99" t="s">
        <v>377</v>
      </c>
      <c r="I132" s="99">
        <v>18</v>
      </c>
    </row>
    <row r="133" spans="1:9" x14ac:dyDescent="0.25">
      <c r="A133" s="68" t="s">
        <v>359</v>
      </c>
      <c r="B133" s="68" t="s">
        <v>132</v>
      </c>
      <c r="C133" s="68"/>
      <c r="D133" s="68"/>
      <c r="E133" s="68"/>
      <c r="F133" s="68"/>
      <c r="G133" s="99" t="str">
        <f t="shared" si="2"/>
        <v>MartlockB18</v>
      </c>
      <c r="H133" s="99" t="s">
        <v>377</v>
      </c>
      <c r="I133" s="99">
        <v>18</v>
      </c>
    </row>
    <row r="134" spans="1:9" x14ac:dyDescent="0.25">
      <c r="A134" s="68" t="s">
        <v>359</v>
      </c>
      <c r="B134" s="68" t="s">
        <v>133</v>
      </c>
      <c r="C134" s="68"/>
      <c r="D134" s="68"/>
      <c r="E134" s="68"/>
      <c r="F134" s="68"/>
      <c r="G134" s="99" t="str">
        <f t="shared" si="2"/>
        <v>ThetfordB18</v>
      </c>
      <c r="H134" s="99" t="s">
        <v>377</v>
      </c>
      <c r="I134" s="99">
        <v>18</v>
      </c>
    </row>
    <row r="135" spans="1:9" x14ac:dyDescent="0.25">
      <c r="A135" s="68" t="s">
        <v>360</v>
      </c>
      <c r="B135" s="68" t="s">
        <v>127</v>
      </c>
      <c r="C135" s="68">
        <v>7979</v>
      </c>
      <c r="D135" s="68" t="s">
        <v>499</v>
      </c>
      <c r="E135" s="68"/>
      <c r="F135" s="68"/>
      <c r="G135" s="99" t="str">
        <f t="shared" si="2"/>
        <v>BrecilienB19</v>
      </c>
      <c r="H135" s="99" t="s">
        <v>377</v>
      </c>
      <c r="I135" s="99">
        <v>19</v>
      </c>
    </row>
    <row r="136" spans="1:9" x14ac:dyDescent="0.25">
      <c r="A136" s="68" t="s">
        <v>360</v>
      </c>
      <c r="B136" s="68" t="s">
        <v>128</v>
      </c>
      <c r="C136" s="68"/>
      <c r="D136" s="68"/>
      <c r="E136" s="68"/>
      <c r="F136" s="68"/>
      <c r="G136" s="99" t="str">
        <f t="shared" si="2"/>
        <v>BridgewatchB19</v>
      </c>
      <c r="H136" s="99" t="s">
        <v>377</v>
      </c>
      <c r="I136" s="99">
        <v>19</v>
      </c>
    </row>
    <row r="137" spans="1:9" x14ac:dyDescent="0.25">
      <c r="A137" s="68" t="s">
        <v>360</v>
      </c>
      <c r="B137" s="68" t="s">
        <v>129</v>
      </c>
      <c r="C137" s="68">
        <v>8794</v>
      </c>
      <c r="D137" s="68" t="s">
        <v>470</v>
      </c>
      <c r="E137" s="68">
        <v>5055</v>
      </c>
      <c r="F137" s="68" t="s">
        <v>463</v>
      </c>
      <c r="G137" s="99" t="str">
        <f t="shared" si="2"/>
        <v>CaerleonB19</v>
      </c>
      <c r="H137" s="99" t="s">
        <v>377</v>
      </c>
      <c r="I137" s="99">
        <v>19</v>
      </c>
    </row>
    <row r="138" spans="1:9" x14ac:dyDescent="0.25">
      <c r="A138" s="68" t="s">
        <v>360</v>
      </c>
      <c r="B138" s="68" t="s">
        <v>130</v>
      </c>
      <c r="C138" s="68">
        <v>10869</v>
      </c>
      <c r="D138" s="68" t="s">
        <v>531</v>
      </c>
      <c r="E138" s="68"/>
      <c r="F138" s="68"/>
      <c r="G138" s="99" t="str">
        <f t="shared" si="2"/>
        <v>Fort SterlingB19</v>
      </c>
      <c r="H138" s="99" t="s">
        <v>377</v>
      </c>
      <c r="I138" s="99">
        <v>19</v>
      </c>
    </row>
    <row r="139" spans="1:9" x14ac:dyDescent="0.25">
      <c r="A139" s="68" t="s">
        <v>360</v>
      </c>
      <c r="B139" s="68" t="s">
        <v>131</v>
      </c>
      <c r="C139" s="68">
        <v>10875</v>
      </c>
      <c r="D139" s="68" t="s">
        <v>505</v>
      </c>
      <c r="E139" s="68"/>
      <c r="F139" s="68"/>
      <c r="G139" s="99" t="str">
        <f t="shared" si="2"/>
        <v>LymhurstB19</v>
      </c>
      <c r="H139" s="99" t="s">
        <v>377</v>
      </c>
      <c r="I139" s="99">
        <v>19</v>
      </c>
    </row>
    <row r="140" spans="1:9" x14ac:dyDescent="0.25">
      <c r="A140" s="68" t="s">
        <v>360</v>
      </c>
      <c r="B140" s="68" t="s">
        <v>132</v>
      </c>
      <c r="C140" s="68"/>
      <c r="D140" s="68"/>
      <c r="E140" s="68"/>
      <c r="F140" s="68"/>
      <c r="G140" s="99" t="str">
        <f t="shared" si="2"/>
        <v>MartlockB19</v>
      </c>
      <c r="H140" s="99" t="s">
        <v>377</v>
      </c>
      <c r="I140" s="99">
        <v>19</v>
      </c>
    </row>
    <row r="141" spans="1:9" x14ac:dyDescent="0.25">
      <c r="A141" s="68" t="s">
        <v>360</v>
      </c>
      <c r="B141" s="68" t="s">
        <v>133</v>
      </c>
      <c r="C141" s="68"/>
      <c r="D141" s="68"/>
      <c r="E141" s="68"/>
      <c r="F141" s="68"/>
      <c r="G141" s="99" t="str">
        <f t="shared" si="2"/>
        <v>ThetfordB19</v>
      </c>
      <c r="H141" s="99" t="s">
        <v>377</v>
      </c>
      <c r="I141" s="99">
        <v>19</v>
      </c>
    </row>
    <row r="142" spans="1:9" x14ac:dyDescent="0.25">
      <c r="A142" s="68" t="s">
        <v>361</v>
      </c>
      <c r="B142" s="68" t="s">
        <v>127</v>
      </c>
      <c r="C142" s="68">
        <v>19694</v>
      </c>
      <c r="D142" s="68" t="s">
        <v>499</v>
      </c>
      <c r="E142" s="68"/>
      <c r="F142" s="68"/>
      <c r="G142" s="99" t="str">
        <f t="shared" si="2"/>
        <v>BrecilienB20</v>
      </c>
      <c r="H142" s="99" t="s">
        <v>377</v>
      </c>
      <c r="I142" s="99">
        <v>20</v>
      </c>
    </row>
    <row r="143" spans="1:9" x14ac:dyDescent="0.25">
      <c r="A143" s="68" t="s">
        <v>361</v>
      </c>
      <c r="B143" s="68" t="s">
        <v>128</v>
      </c>
      <c r="C143" s="68">
        <v>19497</v>
      </c>
      <c r="D143" s="68" t="s">
        <v>542</v>
      </c>
      <c r="E143" s="68"/>
      <c r="F143" s="68"/>
      <c r="G143" s="99" t="str">
        <f t="shared" si="2"/>
        <v>BridgewatchB20</v>
      </c>
      <c r="H143" s="99" t="s">
        <v>377</v>
      </c>
      <c r="I143" s="99">
        <v>20</v>
      </c>
    </row>
    <row r="144" spans="1:9" x14ac:dyDescent="0.25">
      <c r="A144" s="68" t="s">
        <v>361</v>
      </c>
      <c r="B144" s="68" t="s">
        <v>129</v>
      </c>
      <c r="C144" s="68">
        <v>14988</v>
      </c>
      <c r="D144" s="68" t="s">
        <v>470</v>
      </c>
      <c r="E144" s="68">
        <v>8004</v>
      </c>
      <c r="F144" s="68" t="s">
        <v>463</v>
      </c>
      <c r="G144" s="99" t="str">
        <f t="shared" si="2"/>
        <v>CaerleonB20</v>
      </c>
      <c r="H144" s="99" t="s">
        <v>377</v>
      </c>
      <c r="I144" s="99">
        <v>20</v>
      </c>
    </row>
    <row r="145" spans="1:9" x14ac:dyDescent="0.25">
      <c r="A145" s="68" t="s">
        <v>361</v>
      </c>
      <c r="B145" s="68" t="s">
        <v>130</v>
      </c>
      <c r="C145" s="68">
        <v>16998</v>
      </c>
      <c r="D145" s="68" t="s">
        <v>543</v>
      </c>
      <c r="E145" s="68"/>
      <c r="F145" s="68"/>
      <c r="G145" s="99" t="str">
        <f t="shared" si="2"/>
        <v>Fort SterlingB20</v>
      </c>
      <c r="H145" s="99" t="s">
        <v>377</v>
      </c>
      <c r="I145" s="99">
        <v>20</v>
      </c>
    </row>
    <row r="146" spans="1:9" x14ac:dyDescent="0.25">
      <c r="A146" s="68" t="s">
        <v>361</v>
      </c>
      <c r="B146" s="68" t="s">
        <v>131</v>
      </c>
      <c r="C146" s="68">
        <v>18000</v>
      </c>
      <c r="D146" s="68" t="s">
        <v>485</v>
      </c>
      <c r="E146" s="68"/>
      <c r="F146" s="68"/>
      <c r="G146" s="99" t="str">
        <f t="shared" si="2"/>
        <v>LymhurstB20</v>
      </c>
      <c r="H146" s="99" t="s">
        <v>377</v>
      </c>
      <c r="I146" s="99">
        <v>20</v>
      </c>
    </row>
    <row r="147" spans="1:9" x14ac:dyDescent="0.25">
      <c r="A147" s="68" t="s">
        <v>361</v>
      </c>
      <c r="B147" s="68" t="s">
        <v>132</v>
      </c>
      <c r="C147" s="68"/>
      <c r="D147" s="68"/>
      <c r="E147" s="68"/>
      <c r="F147" s="68"/>
      <c r="G147" s="99" t="str">
        <f t="shared" si="2"/>
        <v>MartlockB20</v>
      </c>
      <c r="H147" s="99" t="s">
        <v>377</v>
      </c>
      <c r="I147" s="99">
        <v>20</v>
      </c>
    </row>
    <row r="148" spans="1:9" x14ac:dyDescent="0.25">
      <c r="A148" s="68" t="s">
        <v>361</v>
      </c>
      <c r="B148" s="68" t="s">
        <v>133</v>
      </c>
      <c r="C148" s="68"/>
      <c r="D148" s="68"/>
      <c r="E148" s="68"/>
      <c r="F148" s="68"/>
      <c r="G148" s="99" t="str">
        <f t="shared" si="2"/>
        <v>ThetfordB20</v>
      </c>
      <c r="H148" s="99" t="s">
        <v>377</v>
      </c>
      <c r="I148" s="99">
        <v>20</v>
      </c>
    </row>
    <row r="149" spans="1:9" x14ac:dyDescent="0.25">
      <c r="A149" s="68" t="s">
        <v>362</v>
      </c>
      <c r="B149" s="68" t="s">
        <v>127</v>
      </c>
      <c r="C149" s="68">
        <v>110000</v>
      </c>
      <c r="D149" s="68" t="s">
        <v>500</v>
      </c>
      <c r="E149" s="68"/>
      <c r="F149" s="68"/>
      <c r="G149" s="99" t="str">
        <f t="shared" si="2"/>
        <v>BrecilienB21</v>
      </c>
      <c r="H149" s="99" t="s">
        <v>377</v>
      </c>
      <c r="I149" s="99">
        <v>21</v>
      </c>
    </row>
    <row r="150" spans="1:9" x14ac:dyDescent="0.25">
      <c r="A150" s="68" t="s">
        <v>362</v>
      </c>
      <c r="B150" s="68" t="s">
        <v>128</v>
      </c>
      <c r="C150" s="68">
        <v>42185</v>
      </c>
      <c r="D150" s="68" t="s">
        <v>462</v>
      </c>
      <c r="E150" s="68"/>
      <c r="F150" s="68"/>
      <c r="G150" s="99" t="str">
        <f t="shared" si="2"/>
        <v>BridgewatchB21</v>
      </c>
      <c r="H150" s="99" t="s">
        <v>377</v>
      </c>
      <c r="I150" s="99">
        <v>21</v>
      </c>
    </row>
    <row r="151" spans="1:9" x14ac:dyDescent="0.25">
      <c r="A151" s="68" t="s">
        <v>362</v>
      </c>
      <c r="B151" s="68" t="s">
        <v>129</v>
      </c>
      <c r="C151" s="68">
        <v>41498</v>
      </c>
      <c r="D151" s="68" t="s">
        <v>507</v>
      </c>
      <c r="E151" s="68">
        <v>15251</v>
      </c>
      <c r="F151" s="68" t="s">
        <v>471</v>
      </c>
      <c r="G151" s="99" t="str">
        <f t="shared" si="2"/>
        <v>CaerleonB21</v>
      </c>
      <c r="H151" s="99" t="s">
        <v>377</v>
      </c>
      <c r="I151" s="99">
        <v>21</v>
      </c>
    </row>
    <row r="152" spans="1:9" x14ac:dyDescent="0.25">
      <c r="A152" s="68" t="s">
        <v>362</v>
      </c>
      <c r="B152" s="68" t="s">
        <v>130</v>
      </c>
      <c r="C152" s="68">
        <v>49769</v>
      </c>
      <c r="D152" s="68" t="s">
        <v>553</v>
      </c>
      <c r="E152" s="68"/>
      <c r="F152" s="68"/>
      <c r="G152" s="99" t="str">
        <f t="shared" si="2"/>
        <v>Fort SterlingB21</v>
      </c>
      <c r="H152" s="99" t="s">
        <v>377</v>
      </c>
      <c r="I152" s="99">
        <v>21</v>
      </c>
    </row>
    <row r="153" spans="1:9" x14ac:dyDescent="0.25">
      <c r="A153" s="68" t="s">
        <v>362</v>
      </c>
      <c r="B153" s="68" t="s">
        <v>131</v>
      </c>
      <c r="C153" s="68">
        <v>33200</v>
      </c>
      <c r="D153" s="68" t="s">
        <v>508</v>
      </c>
      <c r="E153" s="68"/>
      <c r="F153" s="68"/>
      <c r="G153" s="99" t="str">
        <f t="shared" si="2"/>
        <v>LymhurstB21</v>
      </c>
      <c r="H153" s="99" t="s">
        <v>377</v>
      </c>
      <c r="I153" s="99">
        <v>21</v>
      </c>
    </row>
    <row r="154" spans="1:9" x14ac:dyDescent="0.25">
      <c r="A154" s="68" t="s">
        <v>362</v>
      </c>
      <c r="B154" s="68" t="s">
        <v>132</v>
      </c>
      <c r="C154" s="68"/>
      <c r="D154" s="68"/>
      <c r="E154" s="68"/>
      <c r="F154" s="68"/>
      <c r="G154" s="99" t="str">
        <f t="shared" si="2"/>
        <v>MartlockB21</v>
      </c>
      <c r="H154" s="99" t="s">
        <v>377</v>
      </c>
      <c r="I154" s="99">
        <v>21</v>
      </c>
    </row>
    <row r="155" spans="1:9" x14ac:dyDescent="0.25">
      <c r="A155" s="68" t="s">
        <v>362</v>
      </c>
      <c r="B155" s="68" t="s">
        <v>133</v>
      </c>
      <c r="C155" s="68"/>
      <c r="D155" s="68"/>
      <c r="E155" s="68"/>
      <c r="F155" s="68"/>
      <c r="G155" s="99" t="str">
        <f t="shared" si="2"/>
        <v>ThetfordB21</v>
      </c>
      <c r="H155" s="99" t="s">
        <v>377</v>
      </c>
      <c r="I155" s="99">
        <v>21</v>
      </c>
    </row>
    <row r="156" spans="1:9" x14ac:dyDescent="0.25">
      <c r="A156" s="68"/>
      <c r="B156" s="68"/>
      <c r="C156" s="68"/>
      <c r="D156" s="68"/>
      <c r="E156" s="68"/>
      <c r="F156" s="68"/>
      <c r="G156" s="103"/>
      <c r="H156" s="104"/>
      <c r="I156" s="104"/>
    </row>
    <row r="157" spans="1:9" x14ac:dyDescent="0.25">
      <c r="A157" s="68" t="s">
        <v>544</v>
      </c>
      <c r="B157" s="68" t="s">
        <v>127</v>
      </c>
      <c r="C157" s="68"/>
      <c r="D157" s="68"/>
      <c r="E157" s="68"/>
      <c r="F157" s="68"/>
      <c r="G157" s="101" t="str">
        <f>_xlfn.CONCAT(B157,H157,I157)</f>
        <v>BrecilienR0</v>
      </c>
      <c r="H157" s="102" t="s">
        <v>380</v>
      </c>
      <c r="I157" s="102">
        <v>0</v>
      </c>
    </row>
    <row r="158" spans="1:9" x14ac:dyDescent="0.25">
      <c r="A158" s="68" t="s">
        <v>544</v>
      </c>
      <c r="B158" s="68" t="s">
        <v>128</v>
      </c>
      <c r="C158" s="68">
        <v>43</v>
      </c>
      <c r="D158" s="68" t="s">
        <v>484</v>
      </c>
      <c r="E158" s="68">
        <v>30</v>
      </c>
      <c r="F158" s="68" t="s">
        <v>516</v>
      </c>
      <c r="G158" s="101" t="str">
        <f t="shared" ref="G158:G205" si="3">_xlfn.CONCAT(B158,H158,I158)</f>
        <v>BridgewatchR0</v>
      </c>
      <c r="H158" s="102" t="s">
        <v>380</v>
      </c>
      <c r="I158" s="102">
        <v>0</v>
      </c>
    </row>
    <row r="159" spans="1:9" x14ac:dyDescent="0.25">
      <c r="A159" s="68" t="s">
        <v>544</v>
      </c>
      <c r="B159" s="68" t="s">
        <v>129</v>
      </c>
      <c r="C159" s="68">
        <v>91</v>
      </c>
      <c r="D159" s="68" t="s">
        <v>463</v>
      </c>
      <c r="E159" s="68">
        <v>33</v>
      </c>
      <c r="F159" s="68" t="s">
        <v>471</v>
      </c>
      <c r="G159" s="101" t="str">
        <f t="shared" si="3"/>
        <v>CaerleonR0</v>
      </c>
      <c r="H159" s="102" t="s">
        <v>380</v>
      </c>
      <c r="I159" s="102">
        <v>0</v>
      </c>
    </row>
    <row r="160" spans="1:9" x14ac:dyDescent="0.25">
      <c r="A160" s="68" t="s">
        <v>544</v>
      </c>
      <c r="B160" s="68" t="s">
        <v>130</v>
      </c>
      <c r="C160" s="68">
        <v>58</v>
      </c>
      <c r="D160" s="68" t="s">
        <v>531</v>
      </c>
      <c r="E160" s="68">
        <v>43</v>
      </c>
      <c r="F160" s="68" t="s">
        <v>525</v>
      </c>
      <c r="G160" s="101" t="str">
        <f t="shared" si="3"/>
        <v>Fort SterlingR0</v>
      </c>
      <c r="H160" s="102" t="s">
        <v>380</v>
      </c>
      <c r="I160" s="102">
        <v>0</v>
      </c>
    </row>
    <row r="161" spans="1:9" x14ac:dyDescent="0.25">
      <c r="A161" s="68" t="s">
        <v>544</v>
      </c>
      <c r="B161" s="68" t="s">
        <v>131</v>
      </c>
      <c r="C161" s="68">
        <v>59</v>
      </c>
      <c r="D161" s="68" t="s">
        <v>502</v>
      </c>
      <c r="E161" s="68">
        <v>1</v>
      </c>
      <c r="F161" s="68" t="s">
        <v>507</v>
      </c>
      <c r="G161" s="101" t="str">
        <f t="shared" si="3"/>
        <v>LymhurstR0</v>
      </c>
      <c r="H161" s="102" t="s">
        <v>380</v>
      </c>
      <c r="I161" s="102">
        <v>0</v>
      </c>
    </row>
    <row r="162" spans="1:9" x14ac:dyDescent="0.25">
      <c r="A162" s="68" t="s">
        <v>544</v>
      </c>
      <c r="B162" s="68" t="s">
        <v>132</v>
      </c>
      <c r="C162" s="68">
        <v>45</v>
      </c>
      <c r="D162" s="68" t="s">
        <v>459</v>
      </c>
      <c r="E162" s="68"/>
      <c r="F162" s="68"/>
      <c r="G162" s="101" t="str">
        <f t="shared" si="3"/>
        <v>MartlockR0</v>
      </c>
      <c r="H162" s="102" t="s">
        <v>380</v>
      </c>
      <c r="I162" s="102">
        <v>0</v>
      </c>
    </row>
    <row r="163" spans="1:9" x14ac:dyDescent="0.25">
      <c r="A163" s="68" t="s">
        <v>544</v>
      </c>
      <c r="B163" s="68" t="s">
        <v>133</v>
      </c>
      <c r="C163" s="68">
        <v>52</v>
      </c>
      <c r="D163" s="68" t="s">
        <v>491</v>
      </c>
      <c r="E163" s="68"/>
      <c r="F163" s="68"/>
      <c r="G163" s="101" t="str">
        <f t="shared" si="3"/>
        <v>ThetfordR0</v>
      </c>
      <c r="H163" s="102" t="s">
        <v>380</v>
      </c>
      <c r="I163" s="102">
        <v>0</v>
      </c>
    </row>
    <row r="164" spans="1:9" x14ac:dyDescent="0.25">
      <c r="A164" s="68" t="s">
        <v>366</v>
      </c>
      <c r="B164" s="68" t="s">
        <v>127</v>
      </c>
      <c r="C164" s="68"/>
      <c r="D164" s="68"/>
      <c r="E164" s="68"/>
      <c r="F164" s="68"/>
      <c r="G164" s="101" t="str">
        <f t="shared" si="3"/>
        <v>BrecilienR1</v>
      </c>
      <c r="H164" s="102" t="s">
        <v>380</v>
      </c>
      <c r="I164" s="101">
        <v>1</v>
      </c>
    </row>
    <row r="165" spans="1:9" x14ac:dyDescent="0.25">
      <c r="A165" s="68" t="s">
        <v>366</v>
      </c>
      <c r="B165" s="68" t="s">
        <v>128</v>
      </c>
      <c r="C165" s="68">
        <v>157</v>
      </c>
      <c r="D165" s="68" t="s">
        <v>468</v>
      </c>
      <c r="E165" s="68">
        <v>131</v>
      </c>
      <c r="F165" s="68" t="s">
        <v>545</v>
      </c>
      <c r="G165" s="101" t="str">
        <f t="shared" si="3"/>
        <v>BridgewatchR1</v>
      </c>
      <c r="H165" s="102" t="s">
        <v>380</v>
      </c>
      <c r="I165" s="101">
        <v>1</v>
      </c>
    </row>
    <row r="166" spans="1:9" x14ac:dyDescent="0.25">
      <c r="A166" s="68" t="s">
        <v>366</v>
      </c>
      <c r="B166" s="68" t="s">
        <v>129</v>
      </c>
      <c r="C166" s="68">
        <v>1363</v>
      </c>
      <c r="D166" s="68" t="s">
        <v>446</v>
      </c>
      <c r="E166" s="68">
        <v>142</v>
      </c>
      <c r="F166" s="68" t="s">
        <v>463</v>
      </c>
      <c r="G166" s="101" t="str">
        <f t="shared" si="3"/>
        <v>CaerleonR1</v>
      </c>
      <c r="H166" s="102" t="s">
        <v>380</v>
      </c>
      <c r="I166" s="101">
        <v>1</v>
      </c>
    </row>
    <row r="167" spans="1:9" x14ac:dyDescent="0.25">
      <c r="A167" s="68" t="s">
        <v>366</v>
      </c>
      <c r="B167" s="68" t="s">
        <v>130</v>
      </c>
      <c r="C167" s="68">
        <v>438</v>
      </c>
      <c r="D167" s="68" t="s">
        <v>504</v>
      </c>
      <c r="E167" s="68">
        <v>166</v>
      </c>
      <c r="F167" s="68" t="s">
        <v>504</v>
      </c>
      <c r="G167" s="101" t="str">
        <f t="shared" si="3"/>
        <v>Fort SterlingR1</v>
      </c>
      <c r="H167" s="102" t="s">
        <v>380</v>
      </c>
      <c r="I167" s="101">
        <v>1</v>
      </c>
    </row>
    <row r="168" spans="1:9" x14ac:dyDescent="0.25">
      <c r="A168" s="68" t="s">
        <v>366</v>
      </c>
      <c r="B168" s="68" t="s">
        <v>131</v>
      </c>
      <c r="C168" s="68">
        <v>172</v>
      </c>
      <c r="D168" s="68" t="s">
        <v>504</v>
      </c>
      <c r="E168" s="68">
        <v>113</v>
      </c>
      <c r="F168" s="68" t="s">
        <v>523</v>
      </c>
      <c r="G168" s="101" t="str">
        <f t="shared" si="3"/>
        <v>LymhurstR1</v>
      </c>
      <c r="H168" s="102" t="s">
        <v>380</v>
      </c>
      <c r="I168" s="101">
        <v>1</v>
      </c>
    </row>
    <row r="169" spans="1:9" x14ac:dyDescent="0.25">
      <c r="A169" s="68" t="s">
        <v>366</v>
      </c>
      <c r="B169" s="68" t="s">
        <v>132</v>
      </c>
      <c r="C169" s="68">
        <v>155</v>
      </c>
      <c r="D169" s="68" t="s">
        <v>546</v>
      </c>
      <c r="E169" s="68"/>
      <c r="F169" s="68"/>
      <c r="G169" s="101" t="str">
        <f t="shared" si="3"/>
        <v>MartlockR1</v>
      </c>
      <c r="H169" s="102" t="s">
        <v>380</v>
      </c>
      <c r="I169" s="101">
        <v>1</v>
      </c>
    </row>
    <row r="170" spans="1:9" x14ac:dyDescent="0.25">
      <c r="A170" s="68" t="s">
        <v>366</v>
      </c>
      <c r="B170" s="68" t="s">
        <v>133</v>
      </c>
      <c r="C170" s="68">
        <v>210</v>
      </c>
      <c r="D170" s="68" t="s">
        <v>468</v>
      </c>
      <c r="E170" s="68"/>
      <c r="F170" s="68"/>
      <c r="G170" s="101" t="str">
        <f t="shared" si="3"/>
        <v>ThetfordR1</v>
      </c>
      <c r="H170" s="102" t="s">
        <v>380</v>
      </c>
      <c r="I170" s="101">
        <v>1</v>
      </c>
    </row>
    <row r="171" spans="1:9" x14ac:dyDescent="0.25">
      <c r="A171" s="68" t="s">
        <v>367</v>
      </c>
      <c r="B171" s="68" t="s">
        <v>127</v>
      </c>
      <c r="C171" s="68"/>
      <c r="D171" s="68"/>
      <c r="E171" s="68"/>
      <c r="F171" s="68"/>
      <c r="G171" s="101" t="str">
        <f t="shared" si="3"/>
        <v>BrecilienR2</v>
      </c>
      <c r="H171" s="102" t="s">
        <v>380</v>
      </c>
      <c r="I171" s="101">
        <v>2</v>
      </c>
    </row>
    <row r="172" spans="1:9" x14ac:dyDescent="0.25">
      <c r="A172" s="68" t="s">
        <v>367</v>
      </c>
      <c r="B172" s="68" t="s">
        <v>128</v>
      </c>
      <c r="C172" s="68">
        <v>102</v>
      </c>
      <c r="D172" s="68" t="s">
        <v>465</v>
      </c>
      <c r="E172" s="68">
        <v>90</v>
      </c>
      <c r="F172" s="68" t="s">
        <v>465</v>
      </c>
      <c r="G172" s="101" t="str">
        <f t="shared" si="3"/>
        <v>BridgewatchR2</v>
      </c>
      <c r="H172" s="102" t="s">
        <v>380</v>
      </c>
      <c r="I172" s="101">
        <v>2</v>
      </c>
    </row>
    <row r="173" spans="1:9" x14ac:dyDescent="0.25">
      <c r="A173" s="68" t="s">
        <v>367</v>
      </c>
      <c r="B173" s="68" t="s">
        <v>129</v>
      </c>
      <c r="C173" s="68">
        <v>139</v>
      </c>
      <c r="D173" s="68" t="s">
        <v>470</v>
      </c>
      <c r="E173" s="68">
        <v>107</v>
      </c>
      <c r="F173" s="68" t="s">
        <v>471</v>
      </c>
      <c r="G173" s="101" t="str">
        <f t="shared" si="3"/>
        <v>CaerleonR2</v>
      </c>
      <c r="H173" s="102" t="s">
        <v>380</v>
      </c>
      <c r="I173" s="101">
        <v>2</v>
      </c>
    </row>
    <row r="174" spans="1:9" x14ac:dyDescent="0.25">
      <c r="A174" s="68" t="s">
        <v>367</v>
      </c>
      <c r="B174" s="68" t="s">
        <v>130</v>
      </c>
      <c r="C174" s="68">
        <v>135</v>
      </c>
      <c r="D174" s="68" t="s">
        <v>522</v>
      </c>
      <c r="E174" s="68">
        <v>100</v>
      </c>
      <c r="F174" s="68" t="s">
        <v>504</v>
      </c>
      <c r="G174" s="101" t="str">
        <f t="shared" si="3"/>
        <v>Fort SterlingR2</v>
      </c>
      <c r="H174" s="102" t="s">
        <v>380</v>
      </c>
      <c r="I174" s="101">
        <v>2</v>
      </c>
    </row>
    <row r="175" spans="1:9" x14ac:dyDescent="0.25">
      <c r="A175" s="68" t="s">
        <v>367</v>
      </c>
      <c r="B175" s="68" t="s">
        <v>131</v>
      </c>
      <c r="C175" s="68">
        <v>150</v>
      </c>
      <c r="D175" s="68" t="s">
        <v>522</v>
      </c>
      <c r="E175" s="68">
        <v>93</v>
      </c>
      <c r="F175" s="68" t="s">
        <v>503</v>
      </c>
      <c r="G175" s="101" t="str">
        <f t="shared" si="3"/>
        <v>LymhurstR2</v>
      </c>
      <c r="H175" s="102" t="s">
        <v>380</v>
      </c>
      <c r="I175" s="101">
        <v>2</v>
      </c>
    </row>
    <row r="176" spans="1:9" x14ac:dyDescent="0.25">
      <c r="A176" s="68" t="s">
        <v>367</v>
      </c>
      <c r="B176" s="68" t="s">
        <v>132</v>
      </c>
      <c r="C176" s="68">
        <v>106</v>
      </c>
      <c r="D176" s="68" t="s">
        <v>481</v>
      </c>
      <c r="E176" s="68"/>
      <c r="F176" s="68"/>
      <c r="G176" s="101" t="str">
        <f t="shared" si="3"/>
        <v>MartlockR2</v>
      </c>
      <c r="H176" s="102" t="s">
        <v>380</v>
      </c>
      <c r="I176" s="101">
        <v>2</v>
      </c>
    </row>
    <row r="177" spans="1:9" x14ac:dyDescent="0.25">
      <c r="A177" s="68" t="s">
        <v>367</v>
      </c>
      <c r="B177" s="68" t="s">
        <v>133</v>
      </c>
      <c r="C177" s="68"/>
      <c r="D177" s="68"/>
      <c r="E177" s="68"/>
      <c r="F177" s="68"/>
      <c r="G177" s="101" t="str">
        <f t="shared" si="3"/>
        <v>ThetfordR2</v>
      </c>
      <c r="H177" s="102" t="s">
        <v>380</v>
      </c>
      <c r="I177" s="101">
        <v>2</v>
      </c>
    </row>
    <row r="178" spans="1:9" x14ac:dyDescent="0.25">
      <c r="A178" s="68" t="s">
        <v>368</v>
      </c>
      <c r="B178" s="68" t="s">
        <v>127</v>
      </c>
      <c r="C178" s="68"/>
      <c r="D178" s="68"/>
      <c r="E178" s="68"/>
      <c r="F178" s="68"/>
      <c r="G178" s="101" t="str">
        <f t="shared" si="3"/>
        <v>BrecilienR3</v>
      </c>
      <c r="H178" s="102" t="s">
        <v>380</v>
      </c>
      <c r="I178" s="101">
        <v>3</v>
      </c>
    </row>
    <row r="179" spans="1:9" x14ac:dyDescent="0.25">
      <c r="A179" s="68" t="s">
        <v>368</v>
      </c>
      <c r="B179" s="68" t="s">
        <v>128</v>
      </c>
      <c r="C179" s="68">
        <v>270</v>
      </c>
      <c r="D179" s="68" t="s">
        <v>498</v>
      </c>
      <c r="E179" s="68">
        <v>241</v>
      </c>
      <c r="F179" s="68" t="s">
        <v>498</v>
      </c>
      <c r="G179" s="101" t="str">
        <f t="shared" si="3"/>
        <v>BridgewatchR3</v>
      </c>
      <c r="H179" s="102" t="s">
        <v>380</v>
      </c>
      <c r="I179" s="101">
        <v>3</v>
      </c>
    </row>
    <row r="180" spans="1:9" x14ac:dyDescent="0.25">
      <c r="A180" s="68" t="s">
        <v>368</v>
      </c>
      <c r="B180" s="68" t="s">
        <v>129</v>
      </c>
      <c r="C180" s="68">
        <v>238</v>
      </c>
      <c r="D180" s="68" t="s">
        <v>508</v>
      </c>
      <c r="E180" s="68">
        <v>218</v>
      </c>
      <c r="F180" s="68" t="s">
        <v>471</v>
      </c>
      <c r="G180" s="101" t="str">
        <f t="shared" si="3"/>
        <v>CaerleonR3</v>
      </c>
      <c r="H180" s="102" t="s">
        <v>380</v>
      </c>
      <c r="I180" s="101">
        <v>3</v>
      </c>
    </row>
    <row r="181" spans="1:9" x14ac:dyDescent="0.25">
      <c r="A181" s="68" t="s">
        <v>368</v>
      </c>
      <c r="B181" s="68" t="s">
        <v>130</v>
      </c>
      <c r="C181" s="68">
        <v>304</v>
      </c>
      <c r="D181" s="68" t="s">
        <v>522</v>
      </c>
      <c r="E181" s="68">
        <v>185</v>
      </c>
      <c r="F181" s="68" t="s">
        <v>504</v>
      </c>
      <c r="G181" s="101" t="str">
        <f t="shared" si="3"/>
        <v>Fort SterlingR3</v>
      </c>
      <c r="H181" s="102" t="s">
        <v>380</v>
      </c>
      <c r="I181" s="101">
        <v>3</v>
      </c>
    </row>
    <row r="182" spans="1:9" x14ac:dyDescent="0.25">
      <c r="A182" s="68" t="s">
        <v>368</v>
      </c>
      <c r="B182" s="68" t="s">
        <v>131</v>
      </c>
      <c r="C182" s="68">
        <v>337</v>
      </c>
      <c r="D182" s="68" t="s">
        <v>547</v>
      </c>
      <c r="E182" s="68">
        <v>264</v>
      </c>
      <c r="F182" s="68" t="s">
        <v>547</v>
      </c>
      <c r="G182" s="101" t="str">
        <f t="shared" si="3"/>
        <v>LymhurstR3</v>
      </c>
      <c r="H182" s="102" t="s">
        <v>380</v>
      </c>
      <c r="I182" s="101">
        <v>3</v>
      </c>
    </row>
    <row r="183" spans="1:9" x14ac:dyDescent="0.25">
      <c r="A183" s="68" t="s">
        <v>368</v>
      </c>
      <c r="B183" s="68" t="s">
        <v>132</v>
      </c>
      <c r="C183" s="68">
        <v>320</v>
      </c>
      <c r="D183" s="68" t="s">
        <v>548</v>
      </c>
      <c r="E183" s="68"/>
      <c r="F183" s="68"/>
      <c r="G183" s="101" t="str">
        <f t="shared" si="3"/>
        <v>MartlockR3</v>
      </c>
      <c r="H183" s="102" t="s">
        <v>380</v>
      </c>
      <c r="I183" s="101">
        <v>3</v>
      </c>
    </row>
    <row r="184" spans="1:9" x14ac:dyDescent="0.25">
      <c r="A184" s="68" t="s">
        <v>368</v>
      </c>
      <c r="B184" s="68" t="s">
        <v>133</v>
      </c>
      <c r="C184" s="68"/>
      <c r="D184" s="68"/>
      <c r="E184" s="68"/>
      <c r="F184" s="68"/>
      <c r="G184" s="101" t="str">
        <f t="shared" si="3"/>
        <v>ThetfordR3</v>
      </c>
      <c r="H184" s="102" t="s">
        <v>380</v>
      </c>
      <c r="I184" s="101">
        <v>3</v>
      </c>
    </row>
    <row r="185" spans="1:9" x14ac:dyDescent="0.25">
      <c r="A185" s="68" t="s">
        <v>369</v>
      </c>
      <c r="B185" s="68" t="s">
        <v>127</v>
      </c>
      <c r="C185" s="68"/>
      <c r="D185" s="68"/>
      <c r="E185" s="68"/>
      <c r="F185" s="68"/>
      <c r="G185" s="101" t="str">
        <f t="shared" si="3"/>
        <v>BrecilienR4</v>
      </c>
      <c r="H185" s="102" t="s">
        <v>380</v>
      </c>
      <c r="I185" s="101">
        <v>4</v>
      </c>
    </row>
    <row r="186" spans="1:9" x14ac:dyDescent="0.25">
      <c r="A186" s="68" t="s">
        <v>369</v>
      </c>
      <c r="B186" s="68" t="s">
        <v>128</v>
      </c>
      <c r="C186" s="68">
        <v>1199</v>
      </c>
      <c r="D186" s="68" t="s">
        <v>549</v>
      </c>
      <c r="E186" s="68">
        <v>992</v>
      </c>
      <c r="F186" s="68" t="s">
        <v>549</v>
      </c>
      <c r="G186" s="101" t="str">
        <f t="shared" si="3"/>
        <v>BridgewatchR4</v>
      </c>
      <c r="H186" s="102" t="s">
        <v>380</v>
      </c>
      <c r="I186" s="101">
        <v>4</v>
      </c>
    </row>
    <row r="187" spans="1:9" x14ac:dyDescent="0.25">
      <c r="A187" s="68" t="s">
        <v>369</v>
      </c>
      <c r="B187" s="68" t="s">
        <v>129</v>
      </c>
      <c r="C187" s="68">
        <v>1395</v>
      </c>
      <c r="D187" s="68" t="s">
        <v>503</v>
      </c>
      <c r="E187" s="68">
        <v>1104</v>
      </c>
      <c r="F187" s="68" t="s">
        <v>503</v>
      </c>
      <c r="G187" s="101" t="str">
        <f t="shared" si="3"/>
        <v>CaerleonR4</v>
      </c>
      <c r="H187" s="102" t="s">
        <v>380</v>
      </c>
      <c r="I187" s="101">
        <v>4</v>
      </c>
    </row>
    <row r="188" spans="1:9" x14ac:dyDescent="0.25">
      <c r="A188" s="68" t="s">
        <v>369</v>
      </c>
      <c r="B188" s="68" t="s">
        <v>130</v>
      </c>
      <c r="C188" s="68">
        <v>1216</v>
      </c>
      <c r="D188" s="68" t="s">
        <v>522</v>
      </c>
      <c r="E188" s="68">
        <v>579</v>
      </c>
      <c r="F188" s="68" t="s">
        <v>522</v>
      </c>
      <c r="G188" s="101" t="str">
        <f t="shared" si="3"/>
        <v>Fort SterlingR4</v>
      </c>
      <c r="H188" s="102" t="s">
        <v>380</v>
      </c>
      <c r="I188" s="101">
        <v>4</v>
      </c>
    </row>
    <row r="189" spans="1:9" x14ac:dyDescent="0.25">
      <c r="A189" s="68" t="s">
        <v>369</v>
      </c>
      <c r="B189" s="68" t="s">
        <v>131</v>
      </c>
      <c r="C189" s="68">
        <v>1185</v>
      </c>
      <c r="D189" s="68" t="s">
        <v>449</v>
      </c>
      <c r="E189" s="68"/>
      <c r="F189" s="68"/>
      <c r="G189" s="101" t="str">
        <f t="shared" si="3"/>
        <v>LymhurstR4</v>
      </c>
      <c r="H189" s="102" t="s">
        <v>380</v>
      </c>
      <c r="I189" s="101">
        <v>4</v>
      </c>
    </row>
    <row r="190" spans="1:9" x14ac:dyDescent="0.25">
      <c r="A190" s="68" t="s">
        <v>369</v>
      </c>
      <c r="B190" s="68" t="s">
        <v>132</v>
      </c>
      <c r="C190" s="68">
        <v>1220</v>
      </c>
      <c r="D190" s="68" t="s">
        <v>473</v>
      </c>
      <c r="E190" s="68"/>
      <c r="F190" s="68"/>
      <c r="G190" s="101" t="str">
        <f t="shared" si="3"/>
        <v>MartlockR4</v>
      </c>
      <c r="H190" s="102" t="s">
        <v>380</v>
      </c>
      <c r="I190" s="101">
        <v>4</v>
      </c>
    </row>
    <row r="191" spans="1:9" x14ac:dyDescent="0.25">
      <c r="A191" s="68" t="s">
        <v>369</v>
      </c>
      <c r="B191" s="68" t="s">
        <v>133</v>
      </c>
      <c r="C191" s="68"/>
      <c r="D191" s="68"/>
      <c r="E191" s="68"/>
      <c r="F191" s="68"/>
      <c r="G191" s="101" t="str">
        <f t="shared" si="3"/>
        <v>ThetfordR4</v>
      </c>
      <c r="H191" s="102" t="s">
        <v>380</v>
      </c>
      <c r="I191" s="101">
        <v>4</v>
      </c>
    </row>
    <row r="192" spans="1:9" x14ac:dyDescent="0.25">
      <c r="A192" s="68" t="s">
        <v>370</v>
      </c>
      <c r="B192" s="68" t="s">
        <v>127</v>
      </c>
      <c r="C192" s="68">
        <v>7400</v>
      </c>
      <c r="D192" s="68" t="s">
        <v>475</v>
      </c>
      <c r="E192" s="68">
        <v>4301</v>
      </c>
      <c r="F192" s="68" t="s">
        <v>475</v>
      </c>
      <c r="G192" s="101" t="str">
        <f t="shared" si="3"/>
        <v>BrecilienR5</v>
      </c>
      <c r="H192" s="102" t="s">
        <v>380</v>
      </c>
      <c r="I192" s="101">
        <v>5</v>
      </c>
    </row>
    <row r="193" spans="1:9" x14ac:dyDescent="0.25">
      <c r="A193" s="81" t="s">
        <v>370</v>
      </c>
      <c r="B193" s="81" t="s">
        <v>128</v>
      </c>
      <c r="C193" s="81">
        <v>5803</v>
      </c>
      <c r="D193" s="81" t="s">
        <v>454</v>
      </c>
      <c r="E193" s="81">
        <v>5000</v>
      </c>
      <c r="F193" s="81" t="s">
        <v>549</v>
      </c>
      <c r="G193" s="101" t="str">
        <f t="shared" si="3"/>
        <v>BridgewatchR5</v>
      </c>
      <c r="H193" s="102" t="s">
        <v>380</v>
      </c>
      <c r="I193" s="101">
        <v>5</v>
      </c>
    </row>
    <row r="194" spans="1:9" x14ac:dyDescent="0.25">
      <c r="A194" s="81" t="s">
        <v>370</v>
      </c>
      <c r="B194" s="81" t="s">
        <v>129</v>
      </c>
      <c r="C194" s="81">
        <v>7850</v>
      </c>
      <c r="D194" s="81" t="s">
        <v>508</v>
      </c>
      <c r="E194" s="81">
        <v>5605</v>
      </c>
      <c r="F194" s="81" t="s">
        <v>503</v>
      </c>
      <c r="G194" s="101" t="str">
        <f t="shared" si="3"/>
        <v>CaerleonR5</v>
      </c>
      <c r="H194" s="102" t="s">
        <v>380</v>
      </c>
      <c r="I194" s="101">
        <v>5</v>
      </c>
    </row>
    <row r="195" spans="1:9" x14ac:dyDescent="0.25">
      <c r="A195" s="81" t="s">
        <v>370</v>
      </c>
      <c r="B195" s="81" t="s">
        <v>130</v>
      </c>
      <c r="C195" s="81">
        <v>6996</v>
      </c>
      <c r="D195" s="81" t="s">
        <v>522</v>
      </c>
      <c r="E195" s="81">
        <v>4615</v>
      </c>
      <c r="F195" s="81" t="s">
        <v>522</v>
      </c>
      <c r="G195" s="101" t="str">
        <f t="shared" si="3"/>
        <v>Fort SterlingR5</v>
      </c>
      <c r="H195" s="102" t="s">
        <v>380</v>
      </c>
      <c r="I195" s="101">
        <v>5</v>
      </c>
    </row>
    <row r="196" spans="1:9" x14ac:dyDescent="0.25">
      <c r="A196" s="81" t="s">
        <v>370</v>
      </c>
      <c r="B196" s="81" t="s">
        <v>131</v>
      </c>
      <c r="C196" s="81">
        <v>6396</v>
      </c>
      <c r="D196" s="81" t="s">
        <v>487</v>
      </c>
      <c r="E196" s="81">
        <v>5000</v>
      </c>
      <c r="F196" s="81" t="s">
        <v>488</v>
      </c>
      <c r="G196" s="101" t="str">
        <f t="shared" si="3"/>
        <v>LymhurstR5</v>
      </c>
      <c r="H196" s="102" t="s">
        <v>380</v>
      </c>
      <c r="I196" s="101">
        <v>5</v>
      </c>
    </row>
    <row r="197" spans="1:9" x14ac:dyDescent="0.25">
      <c r="A197" s="81" t="s">
        <v>370</v>
      </c>
      <c r="B197" s="81" t="s">
        <v>132</v>
      </c>
      <c r="C197" s="81">
        <v>5894</v>
      </c>
      <c r="D197" s="81" t="s">
        <v>455</v>
      </c>
      <c r="E197" s="81">
        <v>4455</v>
      </c>
      <c r="F197" s="81" t="s">
        <v>455</v>
      </c>
      <c r="G197" s="101" t="str">
        <f t="shared" si="3"/>
        <v>MartlockR5</v>
      </c>
      <c r="H197" s="102" t="s">
        <v>380</v>
      </c>
      <c r="I197" s="101">
        <v>5</v>
      </c>
    </row>
    <row r="198" spans="1:9" x14ac:dyDescent="0.25">
      <c r="A198" s="81" t="s">
        <v>370</v>
      </c>
      <c r="B198" s="81" t="s">
        <v>133</v>
      </c>
      <c r="C198" s="81"/>
      <c r="D198" s="81"/>
      <c r="E198" s="81"/>
      <c r="F198" s="81"/>
      <c r="G198" s="101" t="str">
        <f t="shared" si="3"/>
        <v>ThetfordR5</v>
      </c>
      <c r="H198" s="102" t="s">
        <v>380</v>
      </c>
      <c r="I198" s="101">
        <v>5</v>
      </c>
    </row>
    <row r="199" spans="1:9" x14ac:dyDescent="0.25">
      <c r="A199" s="81" t="s">
        <v>371</v>
      </c>
      <c r="B199" s="81" t="s">
        <v>127</v>
      </c>
      <c r="C199" s="81">
        <v>24475</v>
      </c>
      <c r="D199" s="81" t="s">
        <v>475</v>
      </c>
      <c r="E199" s="81">
        <v>13008</v>
      </c>
      <c r="F199" s="81" t="s">
        <v>475</v>
      </c>
      <c r="G199" s="101" t="str">
        <f t="shared" si="3"/>
        <v>BrecilienR6</v>
      </c>
      <c r="H199" s="102" t="s">
        <v>380</v>
      </c>
      <c r="I199" s="101">
        <v>6</v>
      </c>
    </row>
    <row r="200" spans="1:9" x14ac:dyDescent="0.25">
      <c r="A200" s="81" t="s">
        <v>371</v>
      </c>
      <c r="B200" s="81" t="s">
        <v>128</v>
      </c>
      <c r="C200" s="81">
        <v>18490</v>
      </c>
      <c r="D200" s="81" t="s">
        <v>444</v>
      </c>
      <c r="E200" s="81">
        <v>17500</v>
      </c>
      <c r="F200" s="81" t="s">
        <v>444</v>
      </c>
      <c r="G200" s="101" t="str">
        <f t="shared" si="3"/>
        <v>BridgewatchR6</v>
      </c>
      <c r="H200" s="102" t="s">
        <v>380</v>
      </c>
      <c r="I200" s="101">
        <v>6</v>
      </c>
    </row>
    <row r="201" spans="1:9" x14ac:dyDescent="0.25">
      <c r="A201" s="81" t="s">
        <v>371</v>
      </c>
      <c r="B201" s="81" t="s">
        <v>129</v>
      </c>
      <c r="C201" s="81">
        <v>21090</v>
      </c>
      <c r="D201" s="81" t="s">
        <v>502</v>
      </c>
      <c r="E201" s="81">
        <v>17031</v>
      </c>
      <c r="F201" s="81" t="s">
        <v>471</v>
      </c>
      <c r="G201" s="101" t="str">
        <f t="shared" si="3"/>
        <v>CaerleonR6</v>
      </c>
      <c r="H201" s="102" t="s">
        <v>380</v>
      </c>
      <c r="I201" s="101">
        <v>6</v>
      </c>
    </row>
    <row r="202" spans="1:9" x14ac:dyDescent="0.25">
      <c r="A202" s="81" t="s">
        <v>371</v>
      </c>
      <c r="B202" s="81" t="s">
        <v>130</v>
      </c>
      <c r="C202" s="81"/>
      <c r="D202" s="81"/>
      <c r="E202" s="81"/>
      <c r="F202" s="81"/>
      <c r="G202" s="101" t="str">
        <f t="shared" si="3"/>
        <v>Fort SterlingR6</v>
      </c>
      <c r="H202" s="102" t="s">
        <v>380</v>
      </c>
      <c r="I202" s="101">
        <v>6</v>
      </c>
    </row>
    <row r="203" spans="1:9" x14ac:dyDescent="0.25">
      <c r="A203" s="81" t="s">
        <v>371</v>
      </c>
      <c r="B203" s="81" t="s">
        <v>131</v>
      </c>
      <c r="C203" s="81"/>
      <c r="D203" s="81"/>
      <c r="E203" s="81"/>
      <c r="F203" s="81"/>
      <c r="G203" s="101" t="str">
        <f t="shared" si="3"/>
        <v>LymhurstR6</v>
      </c>
      <c r="H203" s="102" t="s">
        <v>380</v>
      </c>
      <c r="I203" s="101">
        <v>6</v>
      </c>
    </row>
    <row r="204" spans="1:9" x14ac:dyDescent="0.25">
      <c r="A204" s="81" t="s">
        <v>371</v>
      </c>
      <c r="B204" s="81" t="s">
        <v>132</v>
      </c>
      <c r="C204" s="81">
        <v>19995</v>
      </c>
      <c r="D204" s="81" t="s">
        <v>481</v>
      </c>
      <c r="E204" s="81">
        <v>17556</v>
      </c>
      <c r="F204" s="81" t="s">
        <v>461</v>
      </c>
      <c r="G204" s="101" t="str">
        <f t="shared" si="3"/>
        <v>MartlockR6</v>
      </c>
      <c r="H204" s="102" t="s">
        <v>380</v>
      </c>
      <c r="I204" s="101">
        <v>6</v>
      </c>
    </row>
    <row r="205" spans="1:9" x14ac:dyDescent="0.25">
      <c r="A205" s="81" t="s">
        <v>371</v>
      </c>
      <c r="B205" s="81" t="s">
        <v>133</v>
      </c>
      <c r="C205" s="81">
        <v>24799</v>
      </c>
      <c r="D205" s="81" t="s">
        <v>554</v>
      </c>
      <c r="E205" s="81">
        <v>17025</v>
      </c>
      <c r="F205" s="81" t="s">
        <v>554</v>
      </c>
      <c r="G205" s="101" t="str">
        <f t="shared" si="3"/>
        <v>ThetfordR6</v>
      </c>
      <c r="H205" s="102" t="s">
        <v>380</v>
      </c>
      <c r="I205" s="101">
        <v>6</v>
      </c>
    </row>
  </sheetData>
  <sheetProtection selectLockedCells="1"/>
  <phoneticPr fontId="2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20</vt:i4>
      </vt:variant>
    </vt:vector>
  </HeadingPairs>
  <TitlesOfParts>
    <vt:vector size="31" baseType="lpstr">
      <vt:lpstr>INÍCIO</vt:lpstr>
      <vt:lpstr>Pelego</vt:lpstr>
      <vt:lpstr>Fibras</vt:lpstr>
      <vt:lpstr>Minério</vt:lpstr>
      <vt:lpstr>Madeira</vt:lpstr>
      <vt:lpstr>Rochas</vt:lpstr>
      <vt:lpstr>espec</vt:lpstr>
      <vt:lpstr>Configurações</vt:lpstr>
      <vt:lpstr>valoresAlbion</vt:lpstr>
      <vt:lpstr>API</vt:lpstr>
      <vt:lpstr>API2</vt:lpstr>
      <vt:lpstr>BARRA</vt:lpstr>
      <vt:lpstr>BLOCO</vt:lpstr>
      <vt:lpstr>codigo1</vt:lpstr>
      <vt:lpstr>codigo10</vt:lpstr>
      <vt:lpstr>codigo2</vt:lpstr>
      <vt:lpstr>codigo3</vt:lpstr>
      <vt:lpstr>codigo4</vt:lpstr>
      <vt:lpstr>codigo5</vt:lpstr>
      <vt:lpstr>codigo6</vt:lpstr>
      <vt:lpstr>codigo7</vt:lpstr>
      <vt:lpstr>codigo8</vt:lpstr>
      <vt:lpstr>codigo9</vt:lpstr>
      <vt:lpstr>COURO</vt:lpstr>
      <vt:lpstr>FIBRA</vt:lpstr>
      <vt:lpstr>MADEIRA</vt:lpstr>
      <vt:lpstr>MINERIO</vt:lpstr>
      <vt:lpstr>PELEGO</vt:lpstr>
      <vt:lpstr>ROCHA</vt:lpstr>
      <vt:lpstr>TABUA</vt:lpstr>
      <vt:lpstr>TECIDO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PIX</cp:lastModifiedBy>
  <dcterms:created xsi:type="dcterms:W3CDTF">2024-06-22T14:04:13Z</dcterms:created>
  <dcterms:modified xsi:type="dcterms:W3CDTF">2025-01-09T19:06:13Z</dcterms:modified>
</cp:coreProperties>
</file>