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9"/>
  <workbookPr codeName="ThisWorkbook"/>
  <mc:AlternateContent xmlns:mc="http://schemas.openxmlformats.org/markup-compatibility/2006">
    <mc:Choice Requires="x15">
      <x15ac:absPath xmlns:x15ac="http://schemas.microsoft.com/office/spreadsheetml/2010/11/ac" url="https://d.docs.live.net/E7998EFCCE2559F2/Documents/"/>
    </mc:Choice>
  </mc:AlternateContent>
  <xr:revisionPtr revIDLastSave="0" documentId="8_{8F364BEE-2F54-4C22-AA04-4C2F063F5CF7}" xr6:coauthVersionLast="47" xr6:coauthVersionMax="47" xr10:uidLastSave="{00000000-0000-0000-0000-000000000000}"/>
  <bookViews>
    <workbookView xWindow="-110" yWindow="-110" windowWidth="19420" windowHeight="10300" tabRatio="772" firstSheet="8" activeTab="8" xr2:uid="{00000000-000D-0000-FFFF-FFFF00000000}"/>
  </bookViews>
  <sheets>
    <sheet name="Final Case" sheetId="11" r:id="rId1"/>
    <sheet name="In-Class instructions" sheetId="12" state="veryHidden" r:id="rId2"/>
    <sheet name="Iterative Data" sheetId="9" state="veryHidden" r:id="rId3"/>
    <sheet name="Original Financial Statements" sheetId="1" r:id="rId4"/>
    <sheet name="Other Tables and Figures" sheetId="2" r:id="rId5"/>
    <sheet name="Ratio Analysis (Q1 &amp; Q4)" sheetId="3" r:id="rId6"/>
    <sheet name="Updated Fin. Statements (Q3)" sheetId="5" r:id="rId7"/>
    <sheet name="Correcting Entries (Q2)" sheetId="4" r:id="rId8"/>
    <sheet name="Critical Thinking (Q5 &amp; Q6)" sheetId="6" r:id="rId9"/>
    <sheet name="Accts and Trial Balance" sheetId="7" state="veryHidden" r:id="rId10"/>
    <sheet name="Percentages" sheetId="8" state="veryHidden" r:id="rId11"/>
    <sheet name="Fall 12 Responses" sheetId="10" state="veryHidden"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3" i="3" l="1"/>
  <c r="I24" i="3"/>
  <c r="K19" i="3"/>
  <c r="I20" i="3"/>
  <c r="K15" i="3"/>
  <c r="K11" i="3"/>
  <c r="K7" i="3"/>
  <c r="K3" i="3"/>
  <c r="B26" i="5"/>
  <c r="F30" i="5"/>
  <c r="M28" i="4"/>
  <c r="L28" i="4"/>
  <c r="E11" i="3"/>
  <c r="E19" i="3"/>
  <c r="C20" i="3"/>
  <c r="E7" i="3"/>
  <c r="E15" i="3"/>
  <c r="E23" i="3"/>
  <c r="E3" i="3"/>
  <c r="G20" i="9"/>
  <c r="E4" i="1" l="1"/>
  <c r="F4" i="1" s="1"/>
  <c r="A3" i="1"/>
  <c r="A14" i="12"/>
  <c r="A21" i="12"/>
  <c r="A17" i="12"/>
  <c r="B37" i="12"/>
  <c r="B36" i="12"/>
  <c r="B35" i="12"/>
  <c r="B34" i="12"/>
  <c r="B33" i="12"/>
  <c r="B32" i="12"/>
  <c r="AS25" i="11"/>
  <c r="AS23" i="11"/>
  <c r="AS22" i="11"/>
  <c r="AS21" i="11"/>
  <c r="AS20" i="11"/>
  <c r="AS24" i="11"/>
  <c r="Q1" i="6"/>
  <c r="AC35" i="6"/>
  <c r="AC36" i="6"/>
  <c r="V40" i="6"/>
  <c r="X1" i="6"/>
  <c r="AB26" i="6" l="1"/>
  <c r="AB18" i="6"/>
  <c r="AB34" i="6"/>
  <c r="Z34" i="6" l="1"/>
  <c r="AA34" i="6"/>
  <c r="AA26" i="6"/>
  <c r="Z26" i="6"/>
  <c r="Z18" i="6"/>
  <c r="AA18" i="6"/>
  <c r="AB10" i="6"/>
  <c r="Z10" i="6" l="1"/>
  <c r="AA10" i="6"/>
  <c r="R22" i="5" l="1"/>
  <c r="O34" i="5"/>
  <c r="P22" i="4" l="1"/>
  <c r="V20" i="3"/>
  <c r="V41" i="6" s="1"/>
  <c r="B3" i="9" l="1" a="1"/>
  <c r="B3" i="9" s="1"/>
  <c r="B50" i="9" s="1"/>
  <c r="R47" i="11"/>
  <c r="B8" i="9" l="1"/>
  <c r="B4" i="9" l="1"/>
  <c r="B5" i="9"/>
  <c r="B56" i="9"/>
  <c r="B57" i="9" s="1"/>
  <c r="H17" i="2" s="1"/>
  <c r="B11" i="9"/>
  <c r="B10" i="9"/>
  <c r="B48" i="9" s="1"/>
  <c r="H6" i="2" s="1"/>
  <c r="B9" i="9"/>
  <c r="B6" i="9"/>
  <c r="G28" i="1"/>
  <c r="G27" i="1"/>
  <c r="D3" i="1"/>
  <c r="G3" i="1"/>
  <c r="D2" i="11" l="1"/>
  <c r="L12" i="12"/>
  <c r="A28" i="12"/>
  <c r="L15" i="12"/>
  <c r="A6" i="12"/>
  <c r="A1" i="1"/>
  <c r="D1" i="1" s="1"/>
  <c r="G1" i="1" s="1"/>
  <c r="G1" i="2" s="1"/>
  <c r="AH27" i="11"/>
  <c r="H16" i="2"/>
  <c r="B17" i="1"/>
  <c r="B20" i="5" s="1"/>
  <c r="F35" i="1"/>
  <c r="F24" i="1"/>
  <c r="F15" i="1"/>
  <c r="F9" i="1"/>
  <c r="F7" i="1"/>
  <c r="F27" i="1"/>
  <c r="E35" i="1"/>
  <c r="E24" i="1"/>
  <c r="E15" i="1"/>
  <c r="F16" i="5" s="1"/>
  <c r="E9" i="1"/>
  <c r="F22" i="1"/>
  <c r="H23" i="1"/>
  <c r="F14" i="1"/>
  <c r="F8" i="1"/>
  <c r="F23" i="1"/>
  <c r="E14" i="1"/>
  <c r="E8" i="1"/>
  <c r="F13" i="1"/>
  <c r="E28" i="1"/>
  <c r="E13" i="1"/>
  <c r="F28" i="1"/>
  <c r="E27" i="1"/>
  <c r="E16" i="1"/>
  <c r="F17" i="5" s="1"/>
  <c r="E10" i="1"/>
  <c r="E23" i="1"/>
  <c r="F24" i="5" s="1"/>
  <c r="E7" i="1"/>
  <c r="F7" i="5" s="1"/>
  <c r="F16" i="1"/>
  <c r="F10" i="1"/>
  <c r="B18" i="1"/>
  <c r="B21" i="5" s="1"/>
  <c r="B5" i="1"/>
  <c r="B6" i="1"/>
  <c r="B11" i="1"/>
  <c r="B22" i="1"/>
  <c r="B12" i="1"/>
  <c r="B28" i="1"/>
  <c r="B33" i="5" s="1"/>
  <c r="B14" i="1"/>
  <c r="B20" i="1"/>
  <c r="B21" i="1"/>
  <c r="B47" i="9" s="1"/>
  <c r="B27" i="1"/>
  <c r="B13" i="1"/>
  <c r="X21" i="11"/>
  <c r="X2" i="11"/>
  <c r="N32" i="11"/>
  <c r="N26" i="11"/>
  <c r="N17" i="11"/>
  <c r="B44" i="9"/>
  <c r="B25" i="9"/>
  <c r="J13" i="9"/>
  <c r="J12" i="9"/>
  <c r="J11" i="9"/>
  <c r="J10" i="9"/>
  <c r="J9" i="9"/>
  <c r="J8" i="9"/>
  <c r="J7" i="9"/>
  <c r="J6" i="9"/>
  <c r="M5" i="9"/>
  <c r="M6" i="9" s="1"/>
  <c r="J5" i="9"/>
  <c r="J4" i="9"/>
  <c r="N3" i="9"/>
  <c r="N2" i="9"/>
  <c r="N4" i="9" s="1"/>
  <c r="B55" i="9" l="1"/>
  <c r="H15" i="2" s="1"/>
  <c r="B6" i="5"/>
  <c r="H17" i="1"/>
  <c r="J18" i="5" s="1"/>
  <c r="B19" i="1"/>
  <c r="G17" i="5"/>
  <c r="H8" i="1"/>
  <c r="E17" i="1"/>
  <c r="H11" i="1"/>
  <c r="H7" i="2"/>
  <c r="B52" i="9"/>
  <c r="H12" i="2" s="1"/>
  <c r="H21" i="1"/>
  <c r="H22" i="1"/>
  <c r="F25" i="1"/>
  <c r="H7" i="1"/>
  <c r="C7" i="1"/>
  <c r="F29" i="1"/>
  <c r="B23" i="1"/>
  <c r="F17" i="1"/>
  <c r="C28" i="1"/>
  <c r="F11" i="1"/>
  <c r="I27" i="1"/>
  <c r="E11" i="1"/>
  <c r="H12" i="1"/>
  <c r="J12" i="5" s="1"/>
  <c r="H16" i="1"/>
  <c r="I18" i="1" s="1"/>
  <c r="B53" i="9"/>
  <c r="E29" i="1"/>
  <c r="B15" i="1"/>
  <c r="N6" i="9"/>
  <c r="H9" i="1" l="1"/>
  <c r="B22" i="5"/>
  <c r="E18" i="1"/>
  <c r="E38" i="1" s="1"/>
  <c r="I24" i="1"/>
  <c r="F30" i="1"/>
  <c r="C23" i="1"/>
  <c r="C24" i="1" s="1"/>
  <c r="C29" i="1" s="1"/>
  <c r="C30" i="1" s="1"/>
  <c r="C31" i="1" s="1"/>
  <c r="B46" i="9"/>
  <c r="H5" i="2" s="1"/>
  <c r="F18" i="1"/>
  <c r="F38" i="1" s="1"/>
  <c r="F37" i="1" l="1"/>
  <c r="I5" i="1"/>
  <c r="B51" i="9" l="1"/>
  <c r="H8" i="2" s="1"/>
  <c r="B7" i="9"/>
  <c r="C33" i="1" l="1"/>
  <c r="D34" i="1"/>
  <c r="F33" i="1"/>
  <c r="E33" i="1" l="1"/>
  <c r="F36" i="1"/>
  <c r="E36" i="1" s="1"/>
  <c r="E37" i="1" l="1"/>
  <c r="E30" i="1" s="1"/>
  <c r="E25" i="1" s="1"/>
  <c r="E22" i="1" s="1"/>
  <c r="H10" i="1" s="1"/>
  <c r="I12" i="1" s="1"/>
  <c r="I13" i="1" s="1"/>
  <c r="I26" i="1" s="1"/>
  <c r="I28" i="1" s="1"/>
  <c r="B54" i="9" l="1"/>
  <c r="H11" i="2"/>
  <c r="B14" i="12"/>
  <c r="Y33" i="11"/>
  <c r="B17" i="12" l="1"/>
  <c r="Y36" i="11"/>
  <c r="K15" i="12" l="1"/>
  <c r="K12" i="12"/>
  <c r="K8" i="12"/>
  <c r="K6" i="12"/>
  <c r="K3" i="12"/>
  <c r="B4" i="11" l="1"/>
  <c r="A3" i="12" s="1"/>
  <c r="G47" i="10" l="1"/>
  <c r="F47" i="10"/>
  <c r="E47" i="10"/>
  <c r="C47" i="10"/>
  <c r="G45" i="10"/>
  <c r="F45" i="10"/>
  <c r="E45" i="10"/>
  <c r="D45" i="10"/>
  <c r="C45" i="10"/>
  <c r="G43" i="10"/>
  <c r="F41" i="10"/>
  <c r="E41" i="10"/>
  <c r="D41" i="10"/>
  <c r="F39" i="10"/>
  <c r="E39" i="10"/>
  <c r="C39" i="10"/>
  <c r="E35" i="10"/>
  <c r="C35" i="10"/>
  <c r="G31" i="10"/>
  <c r="F31" i="10"/>
  <c r="E31" i="10"/>
  <c r="C31" i="10"/>
  <c r="G29" i="10"/>
  <c r="F29" i="10"/>
  <c r="E29" i="10"/>
  <c r="D29" i="10"/>
  <c r="C29" i="10"/>
  <c r="H24" i="10"/>
  <c r="G50" i="10" s="1"/>
  <c r="H21" i="10"/>
  <c r="D47" i="10" s="1"/>
  <c r="H19" i="10"/>
  <c r="H17" i="10"/>
  <c r="F43" i="10" s="1"/>
  <c r="H15" i="10"/>
  <c r="C41" i="10" s="1"/>
  <c r="H13" i="10"/>
  <c r="G39" i="10" s="1"/>
  <c r="H11" i="10"/>
  <c r="E37" i="10" s="1"/>
  <c r="H9" i="10"/>
  <c r="G35" i="10" s="1"/>
  <c r="H7" i="10"/>
  <c r="G33" i="10" s="1"/>
  <c r="H5" i="10"/>
  <c r="D31" i="10" s="1"/>
  <c r="H3" i="10"/>
  <c r="P39" i="8"/>
  <c r="P37" i="8"/>
  <c r="P30" i="8" s="1"/>
  <c r="P25" i="8" s="1"/>
  <c r="P36" i="8"/>
  <c r="Q29" i="8"/>
  <c r="P29" i="8"/>
  <c r="Q25" i="8"/>
  <c r="Q30" i="8" s="1"/>
  <c r="Q18" i="8"/>
  <c r="Q37" i="8" s="1"/>
  <c r="Q36" i="8" s="1"/>
  <c r="P18" i="8"/>
  <c r="Q17" i="8"/>
  <c r="P17" i="8"/>
  <c r="Q11" i="8"/>
  <c r="P11" i="8"/>
  <c r="A30" i="7"/>
  <c r="A29" i="7"/>
  <c r="A28" i="7"/>
  <c r="A27" i="7"/>
  <c r="A26" i="7"/>
  <c r="I16" i="7"/>
  <c r="R21" i="5"/>
  <c r="E3" i="5"/>
  <c r="A3" i="5"/>
  <c r="I3" i="5" s="1"/>
  <c r="P21" i="4"/>
  <c r="B11" i="11" s="1"/>
  <c r="V19" i="3"/>
  <c r="B12" i="11" s="1"/>
  <c r="I31" i="5"/>
  <c r="I30" i="5"/>
  <c r="O8" i="4" l="1"/>
  <c r="O14" i="4"/>
  <c r="F4" i="5"/>
  <c r="G4" i="5"/>
  <c r="A1" i="5"/>
  <c r="E1" i="5" s="1"/>
  <c r="I1" i="5" s="1"/>
  <c r="F37" i="10"/>
  <c r="D35" i="10"/>
  <c r="G37" i="10"/>
  <c r="C33" i="10"/>
  <c r="F35" i="10"/>
  <c r="D39" i="10"/>
  <c r="G41" i="10"/>
  <c r="C50" i="10"/>
  <c r="D33" i="10"/>
  <c r="C43" i="10"/>
  <c r="D50" i="10"/>
  <c r="E33" i="10"/>
  <c r="C37" i="10"/>
  <c r="D43" i="10"/>
  <c r="E50" i="10"/>
  <c r="F33" i="10"/>
  <c r="D37" i="10"/>
  <c r="E43" i="10"/>
  <c r="F50" i="10"/>
  <c r="U39" i="6"/>
  <c r="T39" i="6" s="1"/>
  <c r="B21" i="12" l="1"/>
  <c r="Y40" i="11"/>
  <c r="U20" i="6"/>
  <c r="S20" i="6" s="1"/>
  <c r="U32" i="6"/>
  <c r="S32" i="6" s="1"/>
  <c r="S39" i="6"/>
  <c r="U26" i="6"/>
  <c r="O20" i="4"/>
  <c r="N20" i="4" s="1"/>
  <c r="J24" i="5"/>
  <c r="B31" i="7"/>
  <c r="H32" i="7" s="1"/>
  <c r="B30" i="7"/>
  <c r="H31" i="7" s="1"/>
  <c r="C21" i="7"/>
  <c r="I22" i="7" s="1"/>
  <c r="G15" i="5"/>
  <c r="B31" i="5"/>
  <c r="G24" i="5"/>
  <c r="B27" i="7"/>
  <c r="H28" i="7" s="1"/>
  <c r="B12" i="7"/>
  <c r="H12" i="7" s="1"/>
  <c r="B11" i="7"/>
  <c r="H11" i="7" s="1"/>
  <c r="C16" i="7"/>
  <c r="I17" i="7" s="1"/>
  <c r="B26" i="7"/>
  <c r="H27" i="7" s="1"/>
  <c r="G8" i="5"/>
  <c r="B15" i="5"/>
  <c r="B23" i="7"/>
  <c r="H24" i="7" s="1"/>
  <c r="F8" i="5"/>
  <c r="C24" i="7"/>
  <c r="I25" i="7" s="1"/>
  <c r="G29" i="5"/>
  <c r="G9" i="5"/>
  <c r="G25" i="5"/>
  <c r="G38" i="5"/>
  <c r="G23" i="5"/>
  <c r="C18" i="7"/>
  <c r="I19" i="7" s="1"/>
  <c r="F31" i="5"/>
  <c r="N14" i="4"/>
  <c r="M14" i="4"/>
  <c r="N8" i="4"/>
  <c r="M8" i="4"/>
  <c r="U12" i="6" l="1"/>
  <c r="S12" i="6" s="1"/>
  <c r="T20" i="6"/>
  <c r="B24" i="5"/>
  <c r="B37" i="7"/>
  <c r="H38" i="7" s="1"/>
  <c r="B29" i="7"/>
  <c r="H30" i="7" s="1"/>
  <c r="G31" i="5"/>
  <c r="G32" i="5" s="1"/>
  <c r="T32" i="6"/>
  <c r="M20" i="4"/>
  <c r="S26" i="6"/>
  <c r="T26" i="6"/>
  <c r="B13" i="5"/>
  <c r="F38" i="5"/>
  <c r="J11" i="5"/>
  <c r="C33" i="5"/>
  <c r="C36" i="7"/>
  <c r="I37" i="7" s="1"/>
  <c r="B16" i="5"/>
  <c r="B14" i="5"/>
  <c r="B34" i="7"/>
  <c r="H35" i="7" s="1"/>
  <c r="F25" i="5"/>
  <c r="J25" i="5"/>
  <c r="G27" i="5"/>
  <c r="F15" i="5"/>
  <c r="B7" i="7"/>
  <c r="H7" i="7" s="1"/>
  <c r="C8" i="7"/>
  <c r="I8" i="7" s="1"/>
  <c r="F9" i="5"/>
  <c r="J7" i="5"/>
  <c r="B32" i="7"/>
  <c r="H33" i="7" s="1"/>
  <c r="G7" i="5"/>
  <c r="C13" i="7"/>
  <c r="I13" i="7" s="1"/>
  <c r="B10" i="7"/>
  <c r="H10" i="7" s="1"/>
  <c r="F14" i="5"/>
  <c r="G16" i="5"/>
  <c r="F29" i="5"/>
  <c r="F32" i="5" s="1"/>
  <c r="C17" i="7"/>
  <c r="I18" i="7" s="1"/>
  <c r="B25" i="7"/>
  <c r="H26" i="7" s="1"/>
  <c r="B7" i="5"/>
  <c r="C15" i="7"/>
  <c r="I15" i="7" s="1"/>
  <c r="J8" i="5"/>
  <c r="G10" i="5"/>
  <c r="B6" i="7"/>
  <c r="H6" i="7" s="1"/>
  <c r="B33" i="7"/>
  <c r="H34" i="7" s="1"/>
  <c r="B23" i="5"/>
  <c r="B35" i="7"/>
  <c r="H36" i="7" s="1"/>
  <c r="B25" i="5"/>
  <c r="B9" i="7"/>
  <c r="H9" i="7" s="1"/>
  <c r="F10" i="5"/>
  <c r="G14" i="5"/>
  <c r="P8" i="5"/>
  <c r="S18" i="3"/>
  <c r="P14" i="5"/>
  <c r="S10" i="3"/>
  <c r="T12" i="6" l="1"/>
  <c r="C8" i="5"/>
  <c r="G33" i="5"/>
  <c r="B18" i="5"/>
  <c r="I40" i="7"/>
  <c r="F18" i="5"/>
  <c r="F12" i="5"/>
  <c r="J23" i="5"/>
  <c r="K27" i="5" s="1"/>
  <c r="J17" i="5"/>
  <c r="K20" i="5" s="1"/>
  <c r="E37" i="5"/>
  <c r="M33" i="8"/>
  <c r="G12" i="5"/>
  <c r="K30" i="5"/>
  <c r="B28" i="7"/>
  <c r="H29" i="7" s="1"/>
  <c r="H40" i="7" s="1"/>
  <c r="J9" i="5"/>
  <c r="B27" i="5"/>
  <c r="G18" i="5"/>
  <c r="G36" i="5"/>
  <c r="O20" i="5"/>
  <c r="C27" i="5" l="1"/>
  <c r="C28" i="5" s="1"/>
  <c r="C34" i="5" s="1"/>
  <c r="G39" i="5"/>
  <c r="G40" i="5" s="1"/>
  <c r="G41" i="5" s="1"/>
  <c r="F19" i="5"/>
  <c r="G19" i="5"/>
  <c r="C19" i="7"/>
  <c r="I20" i="7" s="1"/>
  <c r="F36" i="5"/>
  <c r="C22" i="7" l="1"/>
  <c r="I23" i="7" s="1"/>
  <c r="B38" i="7"/>
  <c r="C35" i="5"/>
  <c r="C36" i="5" s="1"/>
  <c r="C38" i="5" s="1"/>
  <c r="B39" i="7" l="1"/>
  <c r="E78" i="7"/>
  <c r="H39" i="7"/>
  <c r="F39" i="5"/>
  <c r="F40" i="5" s="1"/>
  <c r="K5" i="5"/>
  <c r="C14" i="7" l="1"/>
  <c r="F23" i="5"/>
  <c r="F27" i="5" s="1"/>
  <c r="F33" i="5" s="1"/>
  <c r="F41" i="5" s="1"/>
  <c r="J10" i="5" l="1"/>
  <c r="K13" i="5" s="1"/>
  <c r="K14" i="5" s="1"/>
  <c r="K29" i="5" s="1"/>
  <c r="K31" i="5" s="1"/>
  <c r="C39" i="7"/>
  <c r="I14"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<sst xmlns="http://schemas.openxmlformats.org/spreadsheetml/2006/main" count="826" uniqueCount="441">
  <si>
    <t>BUS1 121B</t>
  </si>
  <si>
    <t>Instructions</t>
  </si>
  <si>
    <t>Original analysis (two weeks ago)</t>
  </si>
  <si>
    <t>“I just hired a new accounting manager, and I assumed that he knew what he was doing.  I guess I was wrong,” Jim admitted.  “I’m not sure if I’m going to replace him, but I assure you that we will be much more careful in the future.”</t>
  </si>
  <si>
    <t>“I can see your point, but why should we stop them from getting the loan?  We could increase the interest rate on the loan to compensate for the additional risk.  That would give us an additional loan on the books, which the BNB’s board will like, and lead to increased revenues, which the board will like even more.”</t>
  </si>
  <si>
    <t>6.</t>
  </si>
  <si>
    <r>
      <t xml:space="preserve">Sam wants to approve the PCI’s application, while Judy feels that the risk is too great based on the updated numbers. Using your knowledge of GAAP, BNB’s business goals, the principles of business ethics, and your answers to questions 1-5, answer each of the following questions. Please write your answers in the boxes provided starting in Column I of the </t>
    </r>
    <r>
      <rPr>
        <sz val="12"/>
        <color theme="1"/>
        <rFont val="Times New Roman"/>
        <family val="1"/>
      </rPr>
      <t>Critical Thinking (Q5 &amp; Q6) tab of the template.</t>
    </r>
  </si>
  <si>
    <t>Project2</t>
  </si>
  <si>
    <t>Semester:</t>
  </si>
  <si>
    <t>Later in the afternoon, Judy sighs as she considers the conversation with Jim. As promised, Jim sent her the corrected financial statements as soon as they were completed.  She doesn’t believe that Jim intentionally tried to trick her or lie to her.  If so, she thinks he certainly would not have volunteered the information about the changes from the auditor so quickly.  He could have waited until the loan was fully processed.  At that point, there wouldn’t have been anything she could do about it.  Still, even if he wasn’t lying, PCI’s financial position is completely different now.  She glances again at the updated financial statements (see requirement 2).</t>
  </si>
  <si>
    <t xml:space="preserve">Name: </t>
  </si>
  <si>
    <t>Group</t>
  </si>
  <si>
    <t>“But,” Judy considers. “They now appear too risky for us, and I don’t think the board wants us to increase our loan base with risky loans or to increase interest revenue using risky loans.  They want us to grow safely.”</t>
  </si>
  <si>
    <t>Your group number:</t>
  </si>
  <si>
    <t>As a final note, you are welcome (even encouraged) to use your course notes and textbook as you work on the case. Other than that, this project should be your group work. You should NOT work with past students or colleagues in the class, visit with other faculty members, or discuss it with anyone else.</t>
  </si>
  <si>
    <t>a.</t>
  </si>
  <si>
    <t>What ethical issues did you see in this scenario? Think outside the box and list as many as you can.</t>
  </si>
  <si>
    <t>Class Discussion?</t>
  </si>
  <si>
    <t>No</t>
  </si>
  <si>
    <t>Total Points Possible:</t>
  </si>
  <si>
    <t>“But, slowly,” Sam interrupts.  “Look, Judy, I appreciate your concerns.  I really do, and I want to see the new ratio analysis.  However, I also really want to see our numbers get better. Don’t you?” He raises his hand before Judy can say anything. “Just run the numbers. Then we can talk about it.”</t>
  </si>
  <si>
    <t>b.</t>
  </si>
  <si>
    <t>Who will be affected to the decisions Sam and Judy are making? How will they be affected?</t>
  </si>
  <si>
    <t xml:space="preserve">Final Score: </t>
  </si>
  <si>
    <t>Final Percentage:</t>
  </si>
  <si>
    <t>None of the elements of this case are designed to be 'tricky,' so please do not read more into any of the problems than is intended.  The elements of the case will push you to use your working knowledge of the material we have covered throughout intermediate accounting, so you may see some items in new ways.  You should be able to apply the concepts learned in one chapter in conjunction with general accounting concepts and the concepts taught in other chapters covered throughout intermediate accounting.</t>
  </si>
  <si>
    <t>Good luck!</t>
  </si>
  <si>
    <t>The changes would most certainly affect the ratios she had calculated as well as the financial statements.  Since the loan documents were already making their way through underwriting, she decides it would be best to involve her manager in the discussion on how to proceed with the loan application.  She sighs and heads toward Sam’s office.</t>
  </si>
  <si>
    <t>c.</t>
  </si>
  <si>
    <t>Assume that you are Judy. What arguments can you make in your next meeting with Sam to convince him to reject the loan application?</t>
  </si>
  <si>
    <t xml:space="preserve">On each tab of this spreadsheet you will find instructions to help you complete the work on that tab. These instructions, along with the formal set of instructions available in Canvas, should be followed carefully to ensure that you successfully complete the case. Please note that the Excel instructions will all appear in boxes such as this one. If you don't see a pink box, then you don't need to do any work on that spreadsheet; it's just information that you should consider.
Please make sure that your submission opens to THIS TAB to avoid losing points. To ensure that your file opens on this tab, save your file while on this tab before submitting your assignment. Also, we will grade the work in the GREEN cells. Anything not in a green cell will not be considered.
Please note that some of the Excel tables are locked, which will keep you from selecting certain cells and working in others. This is not a mistake. It was done to make sure that you don't accidentally delete information that you will need later. </t>
  </si>
  <si>
    <t>Background Information</t>
  </si>
  <si>
    <t>Case Requirements</t>
  </si>
  <si>
    <t>d.</t>
  </si>
  <si>
    <t>Assume you agree with Judy’s assessment that the loan should not be made. Should Judy make the arguments you provided in response to part c? If Sam ignores her argument, what other options are available to Judy? Defend your answer.</t>
  </si>
  <si>
    <t>1.</t>
  </si>
  <si>
    <t>In the Ratio Analysis (Q1 &amp; Q4) tab, calculate the following financial ratios for the manufacturing company using their original financial statements.</t>
  </si>
  <si>
    <r>
      <t xml:space="preserve">This project is different from other projects and assignments. Your version of the case will be unique to your group. While you will have the same basic topics within your case as the other groups in the class, your group will have unique numbers and/or situations. </t>
    </r>
    <r>
      <rPr>
        <b/>
        <sz val="11"/>
        <color theme="1"/>
        <rFont val="Calibri"/>
        <family val="2"/>
        <scheme val="minor"/>
      </rPr>
      <t>Second, your I will not be able to check your calculations or financial adjustments. That said, I will still be happy to answer any conceptual questions you may have.</t>
    </r>
  </si>
  <si>
    <t>Meeting between Judy Intersan and Sam Oliver</t>
  </si>
  <si>
    <t>Conversation with Jim Terrle this morning</t>
  </si>
  <si>
    <t>“Judy.  How are you doing?” Sam asks as he waves Judy into his office.</t>
  </si>
  <si>
    <t>“I’m concerned,” Judy answers as she sits.</t>
  </si>
  <si>
    <t>“What’s the problem?’ Sam asks.</t>
  </si>
  <si>
    <t>You will find the numeric information for the case in this Excel template. In cell B6 of this spreadsheet you will enter your group member to populate the spreadsheet. Your case will not have any numbers until you type group number. Once you have filled out the two green boxes, the spreadsheet will populate your case and you can get started.</t>
  </si>
  <si>
    <t xml:space="preserve">During the meeting, Jim nervously explains to Judy that the financial information he provided with his loan application is unaudited, but that he had assumed that the information was accurate.  Previous audits had never raised any significant concerns.  This year, however, the audit uncovered several issues that need to be addressed. The following list summarizes the issues, and the details, including the amounts, are available in the Other Tables and Figures tab of this file.  </t>
  </si>
  <si>
    <t>“I just got through talking with Jim Terrle.”</t>
  </si>
  <si>
    <t>2.</t>
  </si>
  <si>
    <r>
      <t xml:space="preserve">Using the data provided in the Summary of Audit Issues (found in the Other Tables and Figures tab), make the necessary journal entries to correct the mistakes identified in the audit. </t>
    </r>
    <r>
      <rPr>
        <b/>
        <sz val="11"/>
        <color rgb="FFFF0000"/>
        <rFont val="Calibri (Body)"/>
      </rPr>
      <t xml:space="preserve">Please add all accrued compensations to salaries payable and all other accrued expenses to accounts payable. </t>
    </r>
  </si>
  <si>
    <t>Judy nods.  “I felt the same way, until I talked with Jim today.  It turns out the financial statements they gave us were unaudited.”</t>
  </si>
  <si>
    <t>3.</t>
  </si>
  <si>
    <r>
      <t xml:space="preserve">Update the manufacturing company’s financial statements in the Updated Fin. Statement (Q3) tab to include the correcting entries you created in response to Requirement 2. You can insert new accounts names in the fields provided. </t>
    </r>
    <r>
      <rPr>
        <b/>
        <sz val="11"/>
        <color rgb="FFFF0000"/>
        <rFont val="Calibri (Body)"/>
      </rPr>
      <t>Please igonre the effects of correcting entries on income tax expense.</t>
    </r>
  </si>
  <si>
    <t>You must submit ALL of your work on this case in this Excel spreadsheet. Please follow the directions on each tab carefully to make sure that your information is presented as required. You do not want to lose points for formatting or for putting your answers in the wrong place. If your final answers do not appear in the correct places, they will not be graded.</t>
  </si>
  <si>
    <t>“I don’t see that as a problem, as long as there weren’t any surprises after the audit.”</t>
  </si>
  <si>
    <t>“Unfortunately, there were a few issues raised by the audit.  The auditor found some transactions that they had not handled properly.”</t>
  </si>
  <si>
    <t>4.</t>
  </si>
  <si>
    <t>In the Ratio Analysis (Q1 &amp; Q4) tab of the template, recalculate all six (6) of the financial ratios list in Requirement 1 using the updated financial statements you just completed.</t>
  </si>
  <si>
    <t>Remember, you MUST turn in the actual Excel template you downloaded from Canvas with all of your work. Please DO NOT create another version or do any work in Google Sheets! The template contains several links and equations that were not designed to be copied into new files or converted into Google Sheets. If you attempt to make a new version or upload your work to Google Sheets and those important links are broken, there will be no way to recover the data and you will lose points. If you submit your work in any format other than Excel, we will not grade it and you will receive 0 points on the project.</t>
  </si>
  <si>
    <t>Sam frowns.  “That’s never a good sign.  Was it fraud?”</t>
  </si>
  <si>
    <t>5.</t>
  </si>
  <si>
    <r>
      <t xml:space="preserve">Based on your ratio analysis </t>
    </r>
    <r>
      <rPr>
        <b/>
        <sz val="11"/>
        <color theme="1"/>
        <rFont val="Calibri"/>
        <family val="2"/>
        <scheme val="minor"/>
      </rPr>
      <t>and</t>
    </r>
    <r>
      <rPr>
        <sz val="11"/>
        <color theme="1"/>
        <rFont val="Calibri"/>
        <family val="2"/>
        <scheme val="minor"/>
      </rPr>
      <t xml:space="preserve"> the updated financial statements, do you think that BNB should approve the loan application? Defend your answer. Please type your answer into the green box provided on the far left of the Critical Thinking (Q5 &amp; Q6) tab.</t>
    </r>
  </si>
  <si>
    <t>Judy shakes her head.  “I don’t think so.  I think they were honest mistakes, but I’m still a little concerned that they weren’t more careful before applying for such a large loan. I’m also concerned about some of the ratios given the corrected financial statements.  Remember, they were borderline in my original risk analysis.  They only met four of the six required thresholds, and I’m afraid they will look even worse now.  Honestly, we may not want to approve the loan.”</t>
  </si>
  <si>
    <t>BUS1 121B: Final Case</t>
  </si>
  <si>
    <t>Assignment:</t>
  </si>
  <si>
    <t>Calculations</t>
  </si>
  <si>
    <t>Make the appropriate journal entries, if any, to correct the mistakes listed above. Please ignore the effects of income taxes for this assignment.</t>
  </si>
  <si>
    <t>Information:</t>
  </si>
  <si>
    <t>Make any necessary changes to the financial statements.</t>
  </si>
  <si>
    <t>Calculate each of the required ratios using the original values (before any changes) and the updated values (after your changes).</t>
  </si>
  <si>
    <t>Critical Thinking</t>
  </si>
  <si>
    <t>After careful review, you have determined the following issues need to be corrected:</t>
  </si>
  <si>
    <t>•</t>
  </si>
  <si>
    <t>Date of Change (Choose a date in the semester when the activity will be given)</t>
  </si>
  <si>
    <t>Weighting</t>
  </si>
  <si>
    <t>Normal</t>
  </si>
  <si>
    <t>In-class Presentations</t>
  </si>
  <si>
    <t>Ratio Analysis</t>
  </si>
  <si>
    <t>Version Chosen</t>
  </si>
  <si>
    <t>Xlookup</t>
  </si>
  <si>
    <t>Company Name</t>
  </si>
  <si>
    <t>Bank</t>
  </si>
  <si>
    <t>Tax Rate</t>
  </si>
  <si>
    <t>Growth Factor</t>
  </si>
  <si>
    <t>Lessor Interest Rate</t>
  </si>
  <si>
    <t>Sales Percentage</t>
  </si>
  <si>
    <t>Shuffle</t>
  </si>
  <si>
    <t>Correcting Entries</t>
  </si>
  <si>
    <t>Wote</t>
  </si>
  <si>
    <t>Diani</t>
  </si>
  <si>
    <t>Updated Financial Statements</t>
  </si>
  <si>
    <t>Credit Unition Name</t>
  </si>
  <si>
    <t>Watamu</t>
  </si>
  <si>
    <t>Andre</t>
  </si>
  <si>
    <t>Revenue</t>
  </si>
  <si>
    <t>Litein</t>
  </si>
  <si>
    <t>Preto</t>
  </si>
  <si>
    <t>Shares of Common Stock Outstanding</t>
  </si>
  <si>
    <t>Keroka</t>
  </si>
  <si>
    <t>Fora</t>
  </si>
  <si>
    <t>Par Value</t>
  </si>
  <si>
    <t>Busia</t>
  </si>
  <si>
    <t>Serra</t>
  </si>
  <si>
    <t>Marginal Tax Rate</t>
  </si>
  <si>
    <t>Kitui</t>
  </si>
  <si>
    <t>Aalst</t>
  </si>
  <si>
    <t>Ruiru</t>
  </si>
  <si>
    <t>Ath</t>
  </si>
  <si>
    <t>Sales % from July to December</t>
  </si>
  <si>
    <t>Wajir</t>
  </si>
  <si>
    <t>Arion</t>
  </si>
  <si>
    <t>Webuye</t>
  </si>
  <si>
    <t>Ciney</t>
  </si>
  <si>
    <t>Moyale</t>
  </si>
  <si>
    <t>Chiny</t>
  </si>
  <si>
    <t>Financial Statement Values</t>
  </si>
  <si>
    <t>COGS</t>
  </si>
  <si>
    <t>Advertising</t>
  </si>
  <si>
    <t>Bad Debt</t>
  </si>
  <si>
    <t>Sales for Salaraies</t>
  </si>
  <si>
    <t>Shipping</t>
  </si>
  <si>
    <t>Executive Salaries</t>
  </si>
  <si>
    <t>Insurance</t>
  </si>
  <si>
    <t>Depreciation</t>
  </si>
  <si>
    <t>Misc.</t>
  </si>
  <si>
    <t>Rent</t>
  </si>
  <si>
    <t>Utilities</t>
  </si>
  <si>
    <t>Rent Revenue</t>
  </si>
  <si>
    <t>Interest</t>
  </si>
  <si>
    <t>Income Tax</t>
  </si>
  <si>
    <t>Cash</t>
  </si>
  <si>
    <t>A/R</t>
  </si>
  <si>
    <t>Allowance for Bad Debts</t>
  </si>
  <si>
    <t>Inventory</t>
  </si>
  <si>
    <t>Land</t>
  </si>
  <si>
    <t>Building</t>
  </si>
  <si>
    <t>Equipment</t>
  </si>
  <si>
    <t>Accumulated Depreciation</t>
  </si>
  <si>
    <t>Accounts Payable</t>
  </si>
  <si>
    <t>Income Tax Payable</t>
  </si>
  <si>
    <t>Unearned Revenue</t>
  </si>
  <si>
    <t>Loan Payable</t>
  </si>
  <si>
    <t>Notes Payable</t>
  </si>
  <si>
    <t>Additional Paid-In capital</t>
  </si>
  <si>
    <t>Dividends</t>
  </si>
  <si>
    <t>Correction Values</t>
  </si>
  <si>
    <t>Bond value</t>
  </si>
  <si>
    <t>Lease Payments</t>
  </si>
  <si>
    <t>Marginal Borrowing Rate</t>
  </si>
  <si>
    <t>Number of periods</t>
  </si>
  <si>
    <t>Number of years</t>
  </si>
  <si>
    <t>Initial Direct Costs</t>
  </si>
  <si>
    <t>Useful life</t>
  </si>
  <si>
    <t>Cash Received</t>
  </si>
  <si>
    <t>BV of Inventory</t>
  </si>
  <si>
    <t>Sales from the Last Half of the Year</t>
  </si>
  <si>
    <t>Commission Rate</t>
  </si>
  <si>
    <t>Portion of Sales Subject to Commission</t>
  </si>
  <si>
    <t>Multi-Step Income Statement</t>
  </si>
  <si>
    <t>Balance Sheet</t>
  </si>
  <si>
    <t>Statement of Cash Flows</t>
  </si>
  <si>
    <t>Cash Flow from Operations</t>
  </si>
  <si>
    <t>Sales Revenue</t>
  </si>
  <si>
    <t>Assets</t>
  </si>
  <si>
    <t>Net Income</t>
  </si>
  <si>
    <t>Cost of Goods Sold</t>
  </si>
  <si>
    <t>Current Assets</t>
  </si>
  <si>
    <t>Adjustments:</t>
  </si>
  <si>
    <t>Gross Profit</t>
  </si>
  <si>
    <t>Change in A/R</t>
  </si>
  <si>
    <t>Change in Inventory</t>
  </si>
  <si>
    <t>Operating Activities</t>
  </si>
  <si>
    <t>Selling Expenses</t>
  </si>
  <si>
    <t>Change in A/P</t>
  </si>
  <si>
    <t>Advertising Expense</t>
  </si>
  <si>
    <t>Total Current Assets</t>
  </si>
  <si>
    <t>Change in Salaries Payable</t>
  </si>
  <si>
    <t>Bad Debt Expense</t>
  </si>
  <si>
    <t>PPE</t>
  </si>
  <si>
    <t>Change in Unearned Revenue</t>
  </si>
  <si>
    <t>Sales Force Salaries Expense</t>
  </si>
  <si>
    <t>Net Cash Flow from Operations</t>
  </si>
  <si>
    <t>Shipping Expense</t>
  </si>
  <si>
    <t>Total Selling Expenses</t>
  </si>
  <si>
    <t>Cash Flow from Investments</t>
  </si>
  <si>
    <t>Administrative Expenses</t>
  </si>
  <si>
    <t>Purchase of Land</t>
  </si>
  <si>
    <t>Executive Salaries Expense</t>
  </si>
  <si>
    <t>Total PPE</t>
  </si>
  <si>
    <t>Purchase of Equipment</t>
  </si>
  <si>
    <t>Insurance Expense</t>
  </si>
  <si>
    <t>Total Assets</t>
  </si>
  <si>
    <t>Net Cash Flow from Investments</t>
  </si>
  <si>
    <t>Depreciation Expense</t>
  </si>
  <si>
    <t>Miscellaneous Admin. Expenses</t>
  </si>
  <si>
    <t>Liabilities and Stockholders' Equity</t>
  </si>
  <si>
    <t>Cash Flow from Financing</t>
  </si>
  <si>
    <t>Rent Expense</t>
  </si>
  <si>
    <t>Current Liabilities</t>
  </si>
  <si>
    <t>Repayment of Loans</t>
  </si>
  <si>
    <t>Utilities Expense</t>
  </si>
  <si>
    <t>Issuance of Notes Payable</t>
  </si>
  <si>
    <t>Total Administrative Expenses</t>
  </si>
  <si>
    <t>Salaries Payable</t>
  </si>
  <si>
    <t>Payments of Dividends</t>
  </si>
  <si>
    <t>Income from Operations</t>
  </si>
  <si>
    <t>Net Cash Flow from Financing</t>
  </si>
  <si>
    <t>Total Current Liabilities</t>
  </si>
  <si>
    <t>Other Gains and Losses</t>
  </si>
  <si>
    <t>Long-term Debt</t>
  </si>
  <si>
    <t>Net Increase (Decrease) in Cash</t>
  </si>
  <si>
    <t>Interest Expense</t>
  </si>
  <si>
    <t>Income from Continuing Operations before Taxes</t>
  </si>
  <si>
    <t>Total Long-term Debt</t>
  </si>
  <si>
    <t>Income Tax Expense</t>
  </si>
  <si>
    <t>Total Liabilities</t>
  </si>
  <si>
    <t>Stockholders' Equity</t>
  </si>
  <si>
    <t>EPS</t>
  </si>
  <si>
    <t xml:space="preserve">Common stock </t>
  </si>
  <si>
    <t>Retained Earnings</t>
  </si>
  <si>
    <t>Total Stockholders' Equity</t>
  </si>
  <si>
    <t>Total Liabilities and Stockholder's Equity</t>
  </si>
  <si>
    <t>BNB Credit Union</t>
  </si>
  <si>
    <t>Ratio Threshold Table</t>
  </si>
  <si>
    <t>Summary of Audit Issues</t>
  </si>
  <si>
    <t>Small Manufacturing Firms</t>
  </si>
  <si>
    <t>Issue 1: Issuing a Bond</t>
  </si>
  <si>
    <t>Ratio Amounts</t>
  </si>
  <si>
    <t>Bond Value</t>
  </si>
  <si>
    <t>Thresholds</t>
  </si>
  <si>
    <t>Stated Interest Rate</t>
  </si>
  <si>
    <t>Ratio</t>
  </si>
  <si>
    <t>Excellent</t>
  </si>
  <si>
    <t>Good</t>
  </si>
  <si>
    <t>Acceptable</t>
  </si>
  <si>
    <t>Poor</t>
  </si>
  <si>
    <t>Years Until Repayment</t>
  </si>
  <si>
    <t>Current Ratio</t>
  </si>
  <si>
    <t>2.2 - 2.8</t>
  </si>
  <si>
    <t>1.7 - 2.2</t>
  </si>
  <si>
    <t>1.1 - 1.7</t>
  </si>
  <si>
    <t>&lt; 1.7 or &gt; 2.8</t>
  </si>
  <si>
    <t>Yield Rate</t>
  </si>
  <si>
    <t>Quick Ratio</t>
  </si>
  <si>
    <t>&gt; 0.5</t>
  </si>
  <si>
    <t>0.3 - 0.5</t>
  </si>
  <si>
    <t>0.1 - 0.3</t>
  </si>
  <si>
    <t>&lt; 0.1</t>
  </si>
  <si>
    <t>ROA</t>
  </si>
  <si>
    <t>&gt; 0.25</t>
  </si>
  <si>
    <t>0.15 - 0.25</t>
  </si>
  <si>
    <t>0.05 - 0.15</t>
  </si>
  <si>
    <t>&lt; 0.05</t>
  </si>
  <si>
    <t>Issue 2: Accounting for PPE</t>
  </si>
  <si>
    <t>ROE</t>
  </si>
  <si>
    <t>&gt; 0.34</t>
  </si>
  <si>
    <t>0.22 - 0.34</t>
  </si>
  <si>
    <t>0.10 - 0.22</t>
  </si>
  <si>
    <t xml:space="preserve"> &lt; 0.1</t>
  </si>
  <si>
    <t>Acquistion Price</t>
  </si>
  <si>
    <t>Debt-to-Equity</t>
  </si>
  <si>
    <t>&lt; 1.0</t>
  </si>
  <si>
    <t>1.0 - 1.6</t>
  </si>
  <si>
    <t>1.6 - 2.2</t>
  </si>
  <si>
    <t>&gt; 2.2</t>
  </si>
  <si>
    <t>Estimated Useful Life</t>
  </si>
  <si>
    <t>Profit Margin</t>
  </si>
  <si>
    <t>&gt; 0.11</t>
  </si>
  <si>
    <t>0.07 - 0.11</t>
  </si>
  <si>
    <t>.03 - 0.07</t>
  </si>
  <si>
    <t>&lt; 0.03</t>
  </si>
  <si>
    <t>Asset turnover</t>
  </si>
  <si>
    <t>&gt;2.27</t>
  </si>
  <si>
    <t>2.14 - 2.27</t>
  </si>
  <si>
    <t>1.67 - 2.14</t>
  </si>
  <si>
    <t>&lt; 1.67</t>
  </si>
  <si>
    <t>Issue 3: Recording Sales Commissions</t>
  </si>
  <si>
    <t>Sales from the Last Week of the Year</t>
  </si>
  <si>
    <t>Original Ratios (Q1)</t>
  </si>
  <si>
    <t>Updated Ratios (Q4)</t>
  </si>
  <si>
    <t>Because we have locked some of the cells (on purpose, remember, to avoid losing data you will need later), you will need to manually type in the inputs for your ratio calculations from the financial statements initially submitted to the bank. However, we encourage you to link the inputs for your "updated ratios"  to your updated financial statements. Doing this will ensure that any updates or changes you make to the financial statements will automatically flow into your ratios.
Please carefully read through the grading rubric for this tab so that you know what the grader will be looking for.</t>
  </si>
  <si>
    <t>Grading Rubric</t>
  </si>
  <si>
    <t>Notes</t>
  </si>
  <si>
    <t>Component</t>
  </si>
  <si>
    <t>Unsatisfactory</t>
  </si>
  <si>
    <t>Needs Improvement</t>
  </si>
  <si>
    <t>Proficient</t>
  </si>
  <si>
    <t>Superior</t>
  </si>
  <si>
    <t>Earned</t>
  </si>
  <si>
    <t>=</t>
  </si>
  <si>
    <t xml:space="preserve">good </t>
  </si>
  <si>
    <t>Original Ratios</t>
  </si>
  <si>
    <t>The ratios have been calculated incorrectly or not included.</t>
  </si>
  <si>
    <t>One or two of the ratios are correct, but the rest have been calculated incorrectly.</t>
  </si>
  <si>
    <t>The ratios are all basically correct. One or two might be off slightly.</t>
  </si>
  <si>
    <t>The ratios are correct (i.e. all of the inputs are listed in column C and the values in column E are all correct or substantially correct to at least three decimal places.)</t>
  </si>
  <si>
    <t>Average Total Assets</t>
  </si>
  <si>
    <t xml:space="preserve">excellent </t>
  </si>
  <si>
    <t>Updated Ratios</t>
  </si>
  <si>
    <t>The updated ratios have been calculated incorrectly or not included.</t>
  </si>
  <si>
    <t>One or two of the updated ratios are correct, but the rest have been calculated incorrectly.</t>
  </si>
  <si>
    <t>The updated ratios are all basically correct. One or two might be off slightly.</t>
  </si>
  <si>
    <t>The updated ratios are correct (i.e. all of the inputs are listed in column C and the values in column E are all correct or substantially correct to at least three decimal places.)</t>
  </si>
  <si>
    <t>Average Total Equity</t>
  </si>
  <si>
    <t>Debt to Equity Ratio</t>
  </si>
  <si>
    <t xml:space="preserve">acceptable </t>
  </si>
  <si>
    <t>Total Equity</t>
  </si>
  <si>
    <t>Asset Turnover</t>
  </si>
  <si>
    <t>Total Points Earned</t>
  </si>
  <si>
    <t>Total Points Possible</t>
  </si>
  <si>
    <t>Income Statement Adjustments</t>
  </si>
  <si>
    <t>The line items are completely wrong or no changes were made to the income statement.</t>
  </si>
  <si>
    <t>The line items show effort even though several mistakes have been made in amount or sign.</t>
  </si>
  <si>
    <t>The line items are basically correct with only a few minor errors in column or amount.</t>
  </si>
  <si>
    <t>The line items are correct. The income statement has been appropriately updated based on the correcting entries made.</t>
  </si>
  <si>
    <t>Balance Sheet Adjustments</t>
  </si>
  <si>
    <t>The line items are completely wrong or no changes were made to the balance sheet.</t>
  </si>
  <si>
    <t>The line items are correct. The balance sheet has been appropriately updated based on the correcting entries made.</t>
  </si>
  <si>
    <t>Statement of Cash Flows Adjustments</t>
  </si>
  <si>
    <t>The line items are completely wrong or no changes were made to the statement of cash flows.</t>
  </si>
  <si>
    <t>The line items are correct. The statement pf cash flows has been appropriately updated based on the correcting entries made.</t>
  </si>
  <si>
    <t>Accumulated depreciation</t>
  </si>
  <si>
    <t>If you need to add new line items to the financial statements you will need to insert a full row. Inserting cells is not allowed in a locked spreadsheet. Don't worry, though, we won't take off points for strange formatting due to adding new rows.</t>
  </si>
  <si>
    <t xml:space="preserve">Comission Expense </t>
  </si>
  <si>
    <t xml:space="preserve">Issuance of Bonds </t>
  </si>
  <si>
    <t>Please carefully read through the grading rubric for this tab so that you know what the grader will be looking for.</t>
  </si>
  <si>
    <t>Bonds Payable</t>
  </si>
  <si>
    <t>Significant Non-cash Investing and Financing Activities</t>
  </si>
  <si>
    <t>For this question, you should adjust the account balances highlighted in green to include the effects of your correcting entries. Since the original financial statements are locked (on purpose, remember, to avoid losing data you need throughout the project), we have already linked these statements to those original values. You can adjust these values by either adding or subtracting directly from the line items in the financial statement OR by creating t-accounts in the cells below. Whichever method you choose, we recommend that you link your work to your correcting entries so that your statements will automatically update if you make any changes.</t>
  </si>
  <si>
    <t xml:space="preserve">Please note that the unhighlighted cells in these financial statements are equations that will update automatically as you change the account balances in the financial statements in this sheet. </t>
  </si>
  <si>
    <t>To speed up the grading process, please ensure that ALL of the necessary journal entries are included in the appropriate boxes. You can increase the size of the boxes by right clicking (or double tapping on a Mac) on a row number, then selecting the Insert command. Please do NOT include your calculations in these boxes. If you want to show your work for potential partial credit, please use the unlocked cells below this box and the grading rubric to show your work.
Please carefully read through the grading rubric for this tab so that you know what the grader will be looking for.</t>
  </si>
  <si>
    <t>March 1, 2024:</t>
  </si>
  <si>
    <t xml:space="preserve">Cash </t>
  </si>
  <si>
    <t>Issue 1</t>
  </si>
  <si>
    <t>The entry is completely wrong or not included.</t>
  </si>
  <si>
    <t>The entry shows an effort towards getting the correct answer, but several parts are incorrect.</t>
  </si>
  <si>
    <t>The entry is basically correct. One of the three parts might be wrong.</t>
  </si>
  <si>
    <t>The entry is correct (i.e. account names, amounts, and description are all correct or substantially correct.)</t>
  </si>
  <si>
    <t xml:space="preserve">Discount </t>
  </si>
  <si>
    <t xml:space="preserve">Bonds Payable </t>
  </si>
  <si>
    <t>August 31, 2024:</t>
  </si>
  <si>
    <t xml:space="preserve">Interest Expense </t>
  </si>
  <si>
    <t>Issue 2</t>
  </si>
  <si>
    <t>Discount on bonds payable</t>
  </si>
  <si>
    <t xml:space="preserve">December 31, 2024: </t>
  </si>
  <si>
    <t xml:space="preserve">Interest Payable </t>
  </si>
  <si>
    <t>Issue 3</t>
  </si>
  <si>
    <t>April 1, 2024:</t>
  </si>
  <si>
    <t xml:space="preserve">Equipment </t>
  </si>
  <si>
    <t>In this box please provide you calculations:</t>
  </si>
  <si>
    <t>Issue 1: Bond</t>
  </si>
  <si>
    <t>19000*3.5%=665</t>
  </si>
  <si>
    <t>19000*PV(N=12,I-4%)</t>
  </si>
  <si>
    <t>665*PVA(N=12,I=4%)</t>
  </si>
  <si>
    <t>19000*0.62460= 11867</t>
  </si>
  <si>
    <t>665*9.38507=6241</t>
  </si>
  <si>
    <t>11867+6241=18108</t>
  </si>
  <si>
    <t>Issue 2: PPE</t>
  </si>
  <si>
    <t>9000/4=2250</t>
  </si>
  <si>
    <t>Issue 3: Recording sales commissions</t>
  </si>
  <si>
    <t>2250*9/12= 1688</t>
  </si>
  <si>
    <t xml:space="preserve">Commission Expense </t>
  </si>
  <si>
    <t xml:space="preserve">Salaries Payable </t>
  </si>
  <si>
    <t xml:space="preserve">Issue 3: </t>
  </si>
  <si>
    <t>159200*25%=39800</t>
  </si>
  <si>
    <t>39800*4.4%=1751</t>
  </si>
  <si>
    <t>Do you think the BNB should approve the loan application? Defend your answer.</t>
  </si>
  <si>
    <t>What ethical issues do you see in the scenario?</t>
  </si>
  <si>
    <t>Opinion after ratio recalculation 
After recalculating the ratios, the results are that the current ratio showed improvement, going from 1.88 to 2.01 showing that Keroka Inc is more liquid than in quarter. This is good for BNB as it also entails that they able to pay immediate liabilities due to their capital management. However, due to the adjusting entries, their profitability ratio (ROA) has decreased from .151 to .119 as well as their return on equity which is down from .357 to .294. This dip is due to the issuance of the new bonds that the company recorded semi-annual interest increasing the expanse account. Secondly the purchase of equipment added more in depreciation expense. The debit to equity spiked a bit from 1.50 to 1.71 due to the liabilities of the bond issuance.  Lastly the asset turnover rise to 2.17 can be explained with investment in PPE that the company could be looking to future for potential growth. 
Overall Opinion and recommendation 
Given the newly obtain information on the audited financial statements of Keroka Inc and the Flora Credit Union’s risk threshold guidelines provided, BNB should cautiously approve Keroka’ Inc.’s loan of $100,000,000.  Although the audit findings form the audit did give us pause when deciding to approve the loan Keroka still met all the required barriers for the loan. Keroka had rating of excellent for the current ratio, acceptable for ROA, acceptable for ROE, excellent for debit to equity, acceptable for asset turnover, and acceptable for profit margin. No of Keroka’s ration fall into the category of poor and would seem to show that the company is financially capable after the correction had been made to financial statements. fall into the “Poor” range, which suggests the business remains financially stable even after correcting previously unreported items.
The audit reveal did give cause for concern regarding the financial management of Keroka but the, but they do not seem to be in are judgement fraud. Jim Terrel’s honesty and integrity to come forth and reveal the audit findings to us personally when he could have kept quiet and acquired the loan with our knowledge shows that that the company is doing its best and he also promised to take personal care of the accounting issues that happened during this year so they would not happen again. With the growth potential of Keroka Inc and plans to expand their product line it aligns with the end goal of BNB development in the local economy.</t>
  </si>
  <si>
    <t xml:space="preserve">In this scenario, several important ethical issues are present that warrant careful consideration. First, the fact that PCI’s financial statements required significant corrections raises concerns about financial misrepresentation or a lack of transparency. Whether intentional or due to poor accounting practices, presenting inaccurate financial information misleads lenders and undermines the integrity of the decision-making process. Second, there is clear disagreement between Sam, who wants to approve the loan, and Judy, who believes the financial risks are too high based on the revised data. This conflict suggests possible pressure to approve the loan despite red flags, which could stem from internal performance goals, personal bias, or a lack of ethical judgment. Third, BNB, as a credit union, has a fiduciary duty to act in the best interest of its members. Approving a risky loan without proper due diligence would violate that responsibility and could result in financial harm to its stakeholders. Additionally, the presence of correcting entries and the need for updated financial statements point to a breakdown in internal controls, both on PCI’s part and possibly within BNB’s loan review process. Finally, the outcome of this decision impacts a range of stakeholders—not only PCI’s management and employees but also BNB’s member-owners and the broader community. Ethical decision-making requires a balanced, transparent evaluation that prioritizes accuracy, fairness, and accountability over short-term convenience or personal interests.
</t>
  </si>
  <si>
    <t>Critical Thinking - Interpreting Ratios (Q5)</t>
  </si>
  <si>
    <t>They have made no effort to interpret the changes in the ratio values.</t>
  </si>
  <si>
    <t xml:space="preserve">The interpretation presented doesn't make sense. </t>
  </si>
  <si>
    <t>The interpretation is adequate, but not completely consistent. The answer is either 1) logical and well supported but isn't based on the changes made; or 2) the essential argument is incorrect but does include all of the adjustments made.</t>
  </si>
  <si>
    <t>The interpretation of the ratios is correct and they have explained how the changes in ratio values should affect investor perceptions</t>
  </si>
  <si>
    <t>Critical Thinking Group Discussion (Q5)</t>
  </si>
  <si>
    <t>Did not participate in the group discussion. Gave only the briefest of responses when address by the group and was obviously not paying attention to the group discussion.</t>
  </si>
  <si>
    <t>Occassionally participated in the group discussions. Responsed only when asked a direct question and was obviously distracted for larger portion of the group discussion.</t>
  </si>
  <si>
    <t>Participated in the group discussions, but not actively. Responses were limited and/or the student was not fully engaged during the entire group discussion.</t>
  </si>
  <si>
    <t>Actively participated in the group discussions, sharing ideas and insights and responding to comments from other group members.</t>
  </si>
  <si>
    <t>Critical Thinking Class Discussion (Q5)</t>
  </si>
  <si>
    <t>Did not participate in the class discussion. Gave only the briefest of responses when address by the class and was obviously not paying attention to the class discussion.</t>
  </si>
  <si>
    <t>Occassionally participated in the class discussions. Responsed only when asked a direct question and was obviously distracted for larger portion of the class discussion.</t>
  </si>
  <si>
    <t>Participated in the class discussions, but not actively. Responses were limited and/or the student was not fully engaged during the entire class discussion.</t>
  </si>
  <si>
    <t>Actively participated in the class discussions, sharing ideas and insights and responding to comments from other class members.</t>
  </si>
  <si>
    <t>Critical Thinking - Making a Recommendation (Q5)</t>
  </si>
  <si>
    <t>They have not come to a conclusion or did not defend that conclusion based on the changes made to the financial statements and ratios.</t>
  </si>
  <si>
    <t>The conclusion presented doesn't make sense. Either the logic is inconsistent with the changes made or only minimal effort was made to justify the conclusion.</t>
  </si>
  <si>
    <t>The conclusion is adequate, but not completely consistent. The answer is either 1) logical but not well supported; or 2) the answer is not logical but has been well supported.</t>
  </si>
  <si>
    <t>The conclusion is well thought out and logically defended. It is also consistent with the adjustments made to the financial statements.</t>
  </si>
  <si>
    <t>Ethical Reasoning Group Discussion (Q6)</t>
  </si>
  <si>
    <t>Ethical Reasoning - Identifying Ethical Issues (Q6)</t>
  </si>
  <si>
    <t>They have made no effort to identify the ethical issues.</t>
  </si>
  <si>
    <t>Has no idea of what the dilemma is or about what decision needs to be made.</t>
  </si>
  <si>
    <t>Has a vague idea of what the dilemma is. Is uncertain about what decision needs to be made.</t>
  </si>
  <si>
    <t>Correctly identifies the dilemma, including some pertinent facts. Identifies the decision that needs to be made.</t>
  </si>
  <si>
    <t>Who will be affected by the decisions Sam and Judy are making?</t>
  </si>
  <si>
    <t xml:space="preserve">Overall, the decisions made by both Judy and Sam would affect multiple parties of which would include other businesses, shareholders/stakeholders, employees, and other customers. The reality is that while we have been able to view the upsides of taking the loan, it still remains true that the situation was unethical. It is an extremely careless thing to do, which could have risked many of those customers and employees. The fact is that Keroka was able to expand only due to the loan, and if the loan was significantly different after the audit, that would have put its investors, customers, and employees at serious risk. From a future perspective, if news were to get out, this could severely damage Keroka's reputation and may lead to a loss of investors in the future. BNB could also have been at risk, as if there were significant changes, they would need to deny the loan due to the issues. Once again, if the information were to get out, this could also lead to other companies exploiting BNB, as if they did accept the loan, then other companies may send in unaudited information with the hopes of getting away with fraud. So while there are upsides to accepting the loan, the reality is that both companies could now bear a risk from a reputation standpoint, which could then eventually lead to negative effects on the companies' employees, customers, and their shareholders. </t>
  </si>
  <si>
    <t>Ethical Reasoning - Considering Stakeholders (Q6)</t>
  </si>
  <si>
    <t>They have made no effort to identify the stakeholder affected by the decision.</t>
  </si>
  <si>
    <t>Is unsure who will be affected by the decision.</t>
  </si>
  <si>
    <t>Correctly identifies a few of the individuals and groups who will be affected by the decision.</t>
  </si>
  <si>
    <t>Correctly identifies several of the individuals and groups who will be affected by the decision.</t>
  </si>
  <si>
    <t>Ethical Reasoning Class Discussion (Q6)</t>
  </si>
  <si>
    <t>Ethical Reasoning - Identifying Consequences (Making Logical Arguments) (Q6)</t>
  </si>
  <si>
    <t>Fails to identify implications and/or consequences of the choices being made to argue against the inappropriate behavior.</t>
  </si>
  <si>
    <t>Is unsure of what the implications and/or consequences of the choices might be and only vaguely uses them to argue against the inappropriate behavior.</t>
  </si>
  <si>
    <t>Identifies and discusses some implications and/or consequences of the choices being made to argue against the inappropriate behavior.</t>
  </si>
  <si>
    <t>Identifies and discusses several implications and/or consequences of the choices being made to argue against the inappropriate behavior.</t>
  </si>
  <si>
    <t>These questions do not have formal answers, meaning we aren't looking for a specific right or wrong result. Instead, we want you to show us that you are thinking critically about what the changes to the financial statements mean and how they should affect the final decision.
We also want to see that you are thinking about the ethical issues and their implications, both for this business and for you. Dealing with ethical issues will be a part of your career, so it is worth some time now to learn how to most effectively address them.
Please carefully read through the grading rubric for this tab so that you know what the graded will be looking for.</t>
  </si>
  <si>
    <t>What arguments could Judy make to convince Sam to reject the loan application?</t>
  </si>
  <si>
    <t xml:space="preserve">Judy can convince Sam to reject the loan application by mentioning the financial oversight, which revealed some audit issues. During the meeting, Jim nervously acknowledged several unrecorded financials which included a $19,000 bond issuance, a $9,000 equipment purchase , and a commission expense of $159,200 in sales for the second half of 2024. The lack of reliable financial documentation indicates a breakdown in the company's financial management practices. Approving the loan under these circumstances can lead to future defaults. While Judy trusts that Jim Terrle is being honest about their accounting manager's reporting issues, she remains skeptical of Keroka's financial position. The company only met four of the six required financial threholds, and recent findings by the auditor revealed mishandled transactions. Given the concerns, Fora Credit Union should reject the loan as the company's committment is repsonsible growth, not risk driven revenue from interest. </t>
  </si>
  <si>
    <t>Should Judy make the arguments you just listed to Sam? What options does she have is Sam ignores her arguments?</t>
  </si>
  <si>
    <t xml:space="preserve">As a group, we agree that Judy should present the arguments we have listed. The concerns she raised are based on substantial financial discrepancies, and making the wrong decision could significantly impact multiple stakeholders including shareholders, employees, customers, and the community. If Sam ignores Judy’s recommendation to reject the loan application, she has several options. First, Judy can escalate the matter to a higher authority within the organization, such as a senior credit committee or compliance department, to ensure her concerns are reviewed thoroughly. Second, she can formally document her objections in writing to protect her professional integrity and ensure accountability. Third, she could request a delay in the loan approval process until Keroka provides audited, complete, and accurate financial statements. Finally, if the loan is approved despite her concerns, and if permitted, Judy could recommend that an audit team and relevant experts conduct a thorough investigation of the company’s financials. This would involve examining records, statements, and any material that could reveal further issues or undisclosed risks. It is critical that both Judy and BNB manage this matter with caution. One careless decision could lead to serious long-term consequences, such as financial losses, reputational damage, or regulatory complications. Ensuring transparency and       accountability should be a top priority in making a responsible lending decision.                                                                                                                                                                    </t>
  </si>
  <si>
    <t>DSO Inc.</t>
  </si>
  <si>
    <t>Adjusted Trial Balance</t>
  </si>
  <si>
    <t>As of 12/31/Year 2</t>
  </si>
  <si>
    <t>DR</t>
  </si>
  <si>
    <t>CR</t>
  </si>
  <si>
    <t xml:space="preserve">  ($1 par, 1,000,000 authorized, 400,000 outstanding)</t>
  </si>
  <si>
    <t>Check with Net Income</t>
  </si>
  <si>
    <t>For the Year Ended December 31, Year 2</t>
  </si>
  <si>
    <t>Year 2</t>
  </si>
  <si>
    <t>Year 1</t>
  </si>
  <si>
    <t>Miscellaneous Expenses</t>
  </si>
  <si>
    <t>Strongly</t>
  </si>
  <si>
    <t>Neither Agree</t>
  </si>
  <si>
    <t>Question</t>
  </si>
  <si>
    <t>Agree</t>
  </si>
  <si>
    <t>nor Disagree</t>
  </si>
  <si>
    <t>Disagree</t>
  </si>
  <si>
    <t>Total</t>
  </si>
  <si>
    <t>The case increased my understanding of how transactions affect the Adjusted Trial Balance</t>
  </si>
  <si>
    <t>The case increased my understanding of how to make adjusting entries</t>
  </si>
  <si>
    <t>The case increased my understanding of the importance of the adjustment process</t>
  </si>
  <si>
    <t>The case increased my understanding of how transactions affect the financial statements</t>
  </si>
  <si>
    <t>The case increased my understanding of how transactions affect the financial ratios</t>
  </si>
  <si>
    <t>The case increased my understanding of how the financial statements affect business decisions</t>
  </si>
  <si>
    <t>The case increased my understanding of the types of ethical situations that can occur in business</t>
  </si>
  <si>
    <t>The case made me consider the difficulties involved in identifying ethical situations</t>
  </si>
  <si>
    <t>The case made me consider the difficulties involved in deciding how to resolve ethical dilemmas</t>
  </si>
  <si>
    <t>The ethical discussion in the case and the write-up helped me to think about what types of situations I might face and how I will deal with them.</t>
  </si>
  <si>
    <t>Overall, I felt the case was helpful.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</si>
</sst>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5" formatCode="&quot;$&quot;#,##0_);\(&quot;$&quot;#,##0\)"/>
    <numFmt numFmtId="6" formatCode="&quot;$&quot;#,##0_);[Red]\(&quot;$&quot;#,##0\)"/>
    <numFmt numFmtId="7" formatCode="&quot;$&quot;#,##0.00_);\(&quot;$&quot;#,##0.00\)"/>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quot;$&quot;#,##0"/>
    <numFmt numFmtId="168" formatCode="&quot;$&quot;#,##0.00"/>
    <numFmt numFmtId="169" formatCode="0.000"/>
    <numFmt numFmtId="170" formatCode="0.000_);\(0.000\)"/>
    <numFmt numFmtId="171" formatCode="0.0000"/>
  </numFmts>
  <fonts count="45">
    <font>
      <sz val="11"/>
      <color theme="1"/>
      <name val="Calibri"/>
      <family val="2"/>
      <scheme val="minor"/>
    </font>
    <font>
      <sz val="12"/>
      <color theme="1"/>
      <name val="Calibri"/>
      <family val="2"/>
      <scheme val="minor"/>
    </font>
    <font>
      <sz val="11"/>
      <color theme="1"/>
      <name val="Calibri"/>
      <family val="2"/>
      <scheme val="minor"/>
    </font>
    <font>
      <sz val="10"/>
      <name val="Arial"/>
      <family val="2"/>
    </font>
    <font>
      <b/>
      <sz val="11"/>
      <name val="Arial"/>
      <family val="2"/>
    </font>
    <font>
      <u/>
      <sz val="10"/>
      <name val="Arial"/>
      <family val="2"/>
    </font>
    <font>
      <b/>
      <sz val="10"/>
      <name val="Arial"/>
      <family val="2"/>
    </font>
    <font>
      <i/>
      <sz val="11"/>
      <color theme="1"/>
      <name val="Calibri"/>
      <family val="2"/>
      <scheme val="minor"/>
    </font>
    <font>
      <sz val="9"/>
      <color theme="1"/>
      <name val="Calibri"/>
      <family val="2"/>
      <scheme val="minor"/>
    </font>
    <font>
      <i/>
      <sz val="9"/>
      <color theme="1"/>
      <name val="Calibri"/>
      <family val="2"/>
      <scheme val="minor"/>
    </font>
    <font>
      <b/>
      <sz val="12"/>
      <name val="Arial"/>
      <family val="2"/>
    </font>
    <font>
      <sz val="10"/>
      <color theme="1"/>
      <name val="Arial"/>
      <family val="2"/>
    </font>
    <font>
      <sz val="11"/>
      <color theme="1"/>
      <name val="Arial"/>
      <family val="2"/>
    </font>
    <font>
      <b/>
      <sz val="14"/>
      <name val="Arial"/>
      <family val="2"/>
    </font>
    <font>
      <b/>
      <sz val="10"/>
      <color theme="1"/>
      <name val="Arial"/>
      <family val="2"/>
    </font>
    <font>
      <sz val="11"/>
      <color rgb="FF000000"/>
      <name val="Calibri"/>
      <family val="2"/>
      <scheme val="minor"/>
    </font>
    <font>
      <sz val="10"/>
      <color theme="1"/>
      <name val="Calibri"/>
      <family val="2"/>
      <scheme val="minor"/>
    </font>
    <font>
      <sz val="20"/>
      <color theme="1"/>
      <name val="Georgia"/>
      <family val="1"/>
    </font>
    <font>
      <sz val="11"/>
      <color theme="1"/>
      <name val="Georgia"/>
      <family val="1"/>
    </font>
    <font>
      <sz val="10"/>
      <color theme="1"/>
      <name val="Georgia"/>
      <family val="1"/>
    </font>
    <font>
      <sz val="14"/>
      <color theme="1"/>
      <name val="Georgia"/>
      <family val="1"/>
    </font>
    <font>
      <sz val="16"/>
      <color theme="1"/>
      <name val="Georgia"/>
      <family val="1"/>
    </font>
    <font>
      <sz val="9"/>
      <color theme="1"/>
      <name val="Georgia"/>
      <family val="1"/>
    </font>
    <font>
      <u/>
      <sz val="11"/>
      <color theme="1"/>
      <name val="Calibri"/>
      <family val="2"/>
      <scheme val="minor"/>
    </font>
    <font>
      <b/>
      <sz val="12"/>
      <color theme="1"/>
      <name val="Georgia"/>
      <family val="1"/>
    </font>
    <font>
      <b/>
      <sz val="9"/>
      <color theme="1"/>
      <name val="Georgia"/>
      <family val="1"/>
    </font>
    <font>
      <u/>
      <sz val="11"/>
      <color theme="1"/>
      <name val="Arial"/>
      <family val="2"/>
    </font>
    <font>
      <b/>
      <u/>
      <sz val="11"/>
      <color theme="1"/>
      <name val="Arial"/>
      <family val="2"/>
    </font>
    <font>
      <sz val="11"/>
      <color rgb="FFFF0000"/>
      <name val="Calibri"/>
      <family val="2"/>
      <scheme val="minor"/>
    </font>
    <font>
      <sz val="10"/>
      <color theme="1"/>
      <name val="Ariel"/>
    </font>
    <font>
      <u/>
      <sz val="11"/>
      <color theme="1"/>
      <name val="Arie"/>
    </font>
    <font>
      <b/>
      <sz val="12"/>
      <color theme="1"/>
      <name val="Calibri"/>
      <family val="2"/>
      <scheme val="minor"/>
    </font>
    <font>
      <sz val="11"/>
      <color theme="1"/>
      <name val="Calibri"/>
      <family val="2"/>
    </font>
    <font>
      <b/>
      <sz val="14"/>
      <color rgb="FF365F91"/>
      <name val="Cambria"/>
      <family val="1"/>
    </font>
    <font>
      <b/>
      <sz val="13"/>
      <color rgb="FF4F81BD"/>
      <name val="Cambria"/>
      <family val="1"/>
    </font>
    <font>
      <sz val="12"/>
      <color theme="1"/>
      <name val="Times New Roman"/>
      <family val="1"/>
    </font>
    <font>
      <b/>
      <sz val="11"/>
      <color theme="1"/>
      <name val="Calibri"/>
      <family val="2"/>
      <scheme val="minor"/>
    </font>
    <font>
      <sz val="8"/>
      <color theme="1"/>
      <name val="Calibri"/>
      <family val="2"/>
      <scheme val="minor"/>
    </font>
    <font>
      <b/>
      <sz val="16"/>
      <color rgb="FF365F91"/>
      <name val="Cambria"/>
      <family val="1"/>
    </font>
    <font>
      <b/>
      <sz val="12"/>
      <color rgb="FF002060"/>
      <name val="Georgia"/>
      <family val="1"/>
    </font>
    <font>
      <b/>
      <sz val="11"/>
      <name val="Georgia"/>
      <family val="1"/>
    </font>
    <font>
      <b/>
      <sz val="12"/>
      <color rgb="FF365F91"/>
      <name val="Cambria"/>
      <family val="1"/>
    </font>
    <font>
      <sz val="11"/>
      <name val="Georgia"/>
      <family val="1"/>
    </font>
    <font>
      <sz val="10"/>
      <name val="Georgia"/>
      <family val="1"/>
    </font>
    <font>
      <b/>
      <sz val="11"/>
      <color rgb="FFFF0000"/>
      <name val="Calibri (Body)"/>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6"/>
        <bgColor indexed="64"/>
      </patternFill>
    </fill>
  </fills>
  <borders count="20">
    <border>
      <left/>
      <right/>
      <top/>
      <bottom/>
      <diagonal/>
    </border>
    <border>
      <left/>
      <right/>
      <top/>
      <bottom style="medium">
        <color indexed="64"/>
      </bottom>
      <diagonal/>
    </border>
    <border>
      <left/>
      <right/>
      <top/>
      <bottom style="thin">
        <color indexed="64"/>
      </bottom>
      <diagonal/>
    </border>
    <border>
      <left/>
      <right/>
      <top style="thin">
        <color indexed="64"/>
      </top>
      <bottom style="double">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5">
    <xf numFmtId="0" fontId="0" fillId="0" borderId="0"/>
    <xf numFmtId="44" fontId="2" fillId="0" borderId="0"/>
    <xf numFmtId="9" fontId="2" fillId="0" borderId="0"/>
    <xf numFmtId="44" fontId="3" fillId="0" borderId="0"/>
    <xf numFmtId="43" fontId="2" fillId="0" borderId="0"/>
  </cellStyleXfs>
  <cellXfs count="281">
    <xf numFmtId="0" fontId="0" fillId="0" borderId="0" xfId="0"/>
    <xf numFmtId="0" fontId="5" fillId="0" borderId="0" xfId="0" applyFont="1"/>
    <xf numFmtId="44" fontId="0" fillId="0" borderId="0" xfId="0" applyNumberFormat="1"/>
    <xf numFmtId="0" fontId="3" fillId="0" borderId="0" xfId="0" applyFont="1"/>
    <xf numFmtId="164" fontId="0" fillId="0" borderId="0" xfId="1" applyNumberFormat="1" applyFont="1"/>
    <xf numFmtId="164" fontId="3" fillId="0" borderId="0" xfId="1" applyNumberFormat="1" applyFont="1"/>
    <xf numFmtId="165" fontId="0" fillId="0" borderId="0" xfId="2" applyNumberFormat="1" applyFont="1"/>
    <xf numFmtId="165" fontId="0" fillId="0" borderId="2" xfId="2" applyNumberFormat="1" applyFont="1" applyBorder="1"/>
    <xf numFmtId="165" fontId="0" fillId="0" borderId="3" xfId="2" applyNumberFormat="1" applyFont="1" applyBorder="1"/>
    <xf numFmtId="165" fontId="3" fillId="0" borderId="4" xfId="2" applyNumberFormat="1" applyFont="1" applyBorder="1" applyAlignment="1">
      <alignment horizontal="center"/>
    </xf>
    <xf numFmtId="165" fontId="3" fillId="0" borderId="5" xfId="2" applyNumberFormat="1" applyFont="1" applyBorder="1"/>
    <xf numFmtId="165" fontId="0" fillId="3" borderId="0" xfId="2" applyNumberFormat="1" applyFont="1" applyFill="1"/>
    <xf numFmtId="165" fontId="0" fillId="2" borderId="0" xfId="2" applyNumberFormat="1" applyFont="1" applyFill="1"/>
    <xf numFmtId="165" fontId="0" fillId="2" borderId="2" xfId="2" applyNumberFormat="1" applyFont="1" applyFill="1" applyBorder="1"/>
    <xf numFmtId="165" fontId="0" fillId="3" borderId="2" xfId="2" applyNumberFormat="1" applyFont="1" applyFill="1" applyBorder="1"/>
    <xf numFmtId="166" fontId="0" fillId="0" borderId="0" xfId="0" applyNumberFormat="1"/>
    <xf numFmtId="0" fontId="0" fillId="0" borderId="0" xfId="0" applyAlignment="1">
      <alignment horizontal="center"/>
    </xf>
    <xf numFmtId="0" fontId="0" fillId="0" borderId="2" xfId="0" applyBorder="1" applyAlignment="1">
      <alignment horizontal="center"/>
    </xf>
    <xf numFmtId="0" fontId="7" fillId="0" borderId="0" xfId="0" applyFont="1"/>
    <xf numFmtId="165" fontId="0" fillId="0" borderId="6" xfId="2" applyNumberFormat="1" applyFont="1" applyBorder="1"/>
    <xf numFmtId="167" fontId="0" fillId="0" borderId="0" xfId="0" applyNumberFormat="1"/>
    <xf numFmtId="0" fontId="11" fillId="0" borderId="0" xfId="0" applyFont="1"/>
    <xf numFmtId="44" fontId="11" fillId="0" borderId="0" xfId="0" applyNumberFormat="1" applyFont="1"/>
    <xf numFmtId="5" fontId="11" fillId="0" borderId="0" xfId="1" applyNumberFormat="1" applyFont="1" applyAlignment="1">
      <alignment horizontal="right"/>
    </xf>
    <xf numFmtId="0" fontId="9" fillId="0" borderId="0" xfId="0" applyFont="1"/>
    <xf numFmtId="0" fontId="8" fillId="0" borderId="0" xfId="0" applyFont="1"/>
    <xf numFmtId="167" fontId="0" fillId="0" borderId="2" xfId="0" applyNumberFormat="1" applyBorder="1"/>
    <xf numFmtId="167" fontId="0" fillId="0" borderId="3" xfId="0" applyNumberFormat="1" applyBorder="1"/>
    <xf numFmtId="0" fontId="12" fillId="0" borderId="0" xfId="0" applyFont="1"/>
    <xf numFmtId="0" fontId="11" fillId="0" borderId="0" xfId="0" applyFont="1" applyAlignment="1">
      <alignment horizontal="center" vertical="center"/>
    </xf>
    <xf numFmtId="0" fontId="11" fillId="0" borderId="2" xfId="0" applyFont="1" applyBorder="1"/>
    <xf numFmtId="167" fontId="0" fillId="2" borderId="0" xfId="0" applyNumberFormat="1" applyFill="1"/>
    <xf numFmtId="166" fontId="0" fillId="2" borderId="0" xfId="0" applyNumberFormat="1" applyFill="1"/>
    <xf numFmtId="167" fontId="0" fillId="2" borderId="3" xfId="0" applyNumberFormat="1" applyFill="1" applyBorder="1"/>
    <xf numFmtId="9" fontId="0" fillId="0" borderId="0" xfId="2" applyFont="1" applyAlignment="1">
      <alignment horizontal="center"/>
    </xf>
    <xf numFmtId="0" fontId="15" fillId="0" borderId="0" xfId="0" applyFont="1"/>
    <xf numFmtId="0" fontId="11" fillId="0" borderId="0" xfId="0" applyFont="1" applyAlignment="1">
      <alignment horizontal="left"/>
    </xf>
    <xf numFmtId="0" fontId="16" fillId="0" borderId="0" xfId="0" applyFont="1"/>
    <xf numFmtId="6" fontId="11" fillId="0" borderId="0" xfId="0" applyNumberFormat="1" applyFont="1"/>
    <xf numFmtId="0" fontId="18" fillId="5" borderId="8" xfId="0" applyFont="1" applyFill="1" applyBorder="1" applyProtection="1">
      <protection locked="0"/>
    </xf>
    <xf numFmtId="165" fontId="11" fillId="0" borderId="0" xfId="2" applyNumberFormat="1" applyFont="1"/>
    <xf numFmtId="49" fontId="6" fillId="0" borderId="0" xfId="0" applyNumberFormat="1" applyFont="1"/>
    <xf numFmtId="0" fontId="24" fillId="0" borderId="0" xfId="0" applyFont="1" applyProtection="1">
      <protection locked="0"/>
    </xf>
    <xf numFmtId="0" fontId="19" fillId="5" borderId="2" xfId="0" applyFont="1" applyFill="1" applyBorder="1" applyAlignment="1" applyProtection="1">
      <alignment horizontal="center"/>
      <protection locked="0"/>
    </xf>
    <xf numFmtId="0" fontId="18" fillId="5" borderId="0" xfId="0" applyFont="1" applyFill="1" applyProtection="1">
      <protection locked="0"/>
    </xf>
    <xf numFmtId="0" fontId="19" fillId="5" borderId="8" xfId="0" applyFont="1" applyFill="1" applyBorder="1" applyProtection="1">
      <protection locked="0"/>
    </xf>
    <xf numFmtId="3" fontId="11" fillId="0" borderId="0" xfId="1" applyNumberFormat="1" applyFont="1"/>
    <xf numFmtId="166" fontId="11" fillId="0" borderId="0" xfId="4" applyNumberFormat="1" applyFont="1"/>
    <xf numFmtId="9" fontId="0" fillId="0" borderId="0" xfId="1" applyNumberFormat="1" applyFont="1"/>
    <xf numFmtId="0" fontId="12" fillId="0" borderId="2" xfId="0" applyFont="1" applyBorder="1" applyAlignment="1">
      <alignment horizontal="center"/>
    </xf>
    <xf numFmtId="0" fontId="12" fillId="0" borderId="0" xfId="0" applyFont="1" applyAlignment="1">
      <alignment horizontal="left"/>
    </xf>
    <xf numFmtId="9" fontId="12" fillId="0" borderId="0" xfId="2" applyFont="1"/>
    <xf numFmtId="9" fontId="12" fillId="0" borderId="6" xfId="0" applyNumberFormat="1" applyFont="1" applyBorder="1"/>
    <xf numFmtId="9" fontId="12" fillId="8" borderId="0" xfId="2" applyFont="1" applyFill="1"/>
    <xf numFmtId="0" fontId="18" fillId="4" borderId="7" xfId="0" applyFont="1" applyFill="1" applyBorder="1" applyAlignment="1" applyProtection="1">
      <alignment horizontal="center" vertical="top"/>
      <protection locked="0"/>
    </xf>
    <xf numFmtId="0" fontId="19" fillId="0" borderId="0" xfId="0" applyFont="1"/>
    <xf numFmtId="0" fontId="19" fillId="0" borderId="0" xfId="0" applyFont="1" applyAlignment="1">
      <alignment horizontal="left"/>
    </xf>
    <xf numFmtId="44" fontId="11" fillId="0" borderId="0" xfId="1" applyFont="1"/>
    <xf numFmtId="0" fontId="3" fillId="0" borderId="4" xfId="0" applyFont="1" applyBorder="1" applyAlignment="1">
      <alignment horizontal="center"/>
    </xf>
    <xf numFmtId="49" fontId="5" fillId="0" borderId="0" xfId="0" applyNumberFormat="1" applyFont="1"/>
    <xf numFmtId="164" fontId="11" fillId="0" borderId="0" xfId="1" applyNumberFormat="1" applyFont="1"/>
    <xf numFmtId="0" fontId="28" fillId="0" borderId="0" xfId="0" applyFont="1"/>
    <xf numFmtId="5" fontId="11" fillId="0" borderId="0" xfId="0" applyNumberFormat="1" applyFont="1"/>
    <xf numFmtId="5" fontId="11" fillId="0" borderId="0" xfId="1" applyNumberFormat="1" applyFont="1"/>
    <xf numFmtId="0" fontId="3" fillId="0" borderId="0" xfId="0" applyFont="1" applyAlignment="1">
      <alignment horizontal="left" indent="2"/>
    </xf>
    <xf numFmtId="5" fontId="11" fillId="0" borderId="6" xfId="1" applyNumberFormat="1" applyFont="1" applyBorder="1" applyAlignment="1">
      <alignment horizontal="right"/>
    </xf>
    <xf numFmtId="0" fontId="3" fillId="0" borderId="0" xfId="0" applyFont="1" applyAlignment="1">
      <alignment horizontal="left" indent="1"/>
    </xf>
    <xf numFmtId="0" fontId="18" fillId="0" borderId="0" xfId="0" applyFont="1"/>
    <xf numFmtId="0" fontId="18" fillId="0" borderId="0" xfId="0" applyFont="1" applyAlignment="1">
      <alignment horizontal="left" vertical="center"/>
    </xf>
    <xf numFmtId="0" fontId="18" fillId="5" borderId="7" xfId="0" applyFont="1" applyFill="1" applyBorder="1" applyAlignment="1">
      <alignment horizontal="center" vertical="top"/>
    </xf>
    <xf numFmtId="2" fontId="11" fillId="0" borderId="0" xfId="0" applyNumberFormat="1" applyFont="1" applyAlignment="1">
      <alignment horizontal="left" indent="1"/>
    </xf>
    <xf numFmtId="5" fontId="11" fillId="0" borderId="6" xfId="1" applyNumberFormat="1" applyFont="1" applyBorder="1"/>
    <xf numFmtId="165" fontId="18" fillId="5" borderId="7" xfId="2" applyNumberFormat="1" applyFont="1" applyFill="1" applyBorder="1" applyAlignment="1">
      <alignment horizontal="center" vertical="top"/>
    </xf>
    <xf numFmtId="5" fontId="11" fillId="0" borderId="2" xfId="1" applyNumberFormat="1" applyFont="1" applyBorder="1"/>
    <xf numFmtId="5" fontId="11" fillId="0" borderId="3" xfId="1" applyNumberFormat="1" applyFont="1" applyBorder="1"/>
    <xf numFmtId="5" fontId="11" fillId="0" borderId="2" xfId="1" applyNumberFormat="1" applyFont="1" applyBorder="1" applyAlignment="1">
      <alignment horizontal="right"/>
    </xf>
    <xf numFmtId="5" fontId="11" fillId="0" borderId="5" xfId="1" applyNumberFormat="1" applyFont="1" applyBorder="1"/>
    <xf numFmtId="2" fontId="11" fillId="0" borderId="0" xfId="0" applyNumberFormat="1" applyFont="1"/>
    <xf numFmtId="5" fontId="11" fillId="0" borderId="3" xfId="1" applyNumberFormat="1" applyFont="1" applyBorder="1" applyAlignment="1">
      <alignment horizontal="right"/>
    </xf>
    <xf numFmtId="164" fontId="11" fillId="0" borderId="0" xfId="0" applyNumberFormat="1" applyFont="1" applyAlignment="1">
      <alignment horizontal="right"/>
    </xf>
    <xf numFmtId="0" fontId="11" fillId="0" borderId="0" xfId="0" applyFont="1" applyAlignment="1">
      <alignment horizontal="right"/>
    </xf>
    <xf numFmtId="168" fontId="11" fillId="0" borderId="0" xfId="0" applyNumberFormat="1" applyFont="1" applyAlignment="1">
      <alignment horizontal="right"/>
    </xf>
    <xf numFmtId="5" fontId="3" fillId="0" borderId="5" xfId="1" applyNumberFormat="1" applyFont="1" applyBorder="1"/>
    <xf numFmtId="0" fontId="11" fillId="0" borderId="0" xfId="0" applyFont="1" applyProtection="1">
      <protection locked="0"/>
    </xf>
    <xf numFmtId="0" fontId="0" fillId="0" borderId="0" xfId="0" applyProtection="1">
      <protection locked="0"/>
    </xf>
    <xf numFmtId="167" fontId="11" fillId="0" borderId="0" xfId="0" applyNumberFormat="1" applyFont="1" applyAlignment="1" applyProtection="1">
      <alignment horizontal="center"/>
      <protection locked="0"/>
    </xf>
    <xf numFmtId="169" fontId="11" fillId="0" borderId="0" xfId="0" applyNumberFormat="1" applyFont="1" applyProtection="1">
      <protection locked="0"/>
    </xf>
    <xf numFmtId="167" fontId="11" fillId="8" borderId="2" xfId="0" applyNumberFormat="1" applyFont="1" applyFill="1" applyBorder="1" applyAlignment="1" applyProtection="1">
      <alignment horizontal="center"/>
      <protection locked="0"/>
    </xf>
    <xf numFmtId="167" fontId="11" fillId="8" borderId="0" xfId="0" applyNumberFormat="1" applyFont="1" applyFill="1" applyAlignment="1" applyProtection="1">
      <alignment horizontal="center"/>
      <protection locked="0"/>
    </xf>
    <xf numFmtId="0" fontId="11" fillId="0" borderId="0" xfId="0" applyFont="1" applyAlignment="1" applyProtection="1">
      <alignment horizontal="center" vertical="center"/>
      <protection locked="0"/>
    </xf>
    <xf numFmtId="170" fontId="11" fillId="0" borderId="0" xfId="0" applyNumberFormat="1" applyFont="1" applyAlignment="1" applyProtection="1">
      <alignment horizontal="center" vertical="center"/>
      <protection locked="0"/>
    </xf>
    <xf numFmtId="167" fontId="0" fillId="0" borderId="0" xfId="0" applyNumberFormat="1" applyProtection="1">
      <protection locked="0"/>
    </xf>
    <xf numFmtId="0" fontId="3" fillId="0" borderId="2" xfId="0" applyFont="1" applyBorder="1" applyAlignment="1">
      <alignment horizontal="center"/>
    </xf>
    <xf numFmtId="0" fontId="3" fillId="0" borderId="0" xfId="0" applyFont="1" applyAlignment="1">
      <alignment horizontal="center"/>
    </xf>
    <xf numFmtId="0" fontId="19" fillId="0" borderId="2" xfId="0" applyFont="1" applyBorder="1" applyAlignment="1">
      <alignment horizontal="center"/>
    </xf>
    <xf numFmtId="0" fontId="19" fillId="0" borderId="2" xfId="0" applyFont="1" applyBorder="1" applyAlignment="1">
      <alignment horizontal="center" wrapText="1"/>
    </xf>
    <xf numFmtId="0" fontId="19" fillId="0" borderId="8" xfId="0" applyFont="1" applyBorder="1"/>
    <xf numFmtId="3" fontId="18" fillId="0" borderId="8" xfId="0" applyNumberFormat="1" applyFont="1" applyBorder="1"/>
    <xf numFmtId="0" fontId="19" fillId="7" borderId="8" xfId="0" applyFont="1" applyFill="1" applyBorder="1"/>
    <xf numFmtId="3" fontId="18" fillId="7" borderId="8" xfId="0" applyNumberFormat="1" applyFont="1" applyFill="1" applyBorder="1"/>
    <xf numFmtId="0" fontId="19" fillId="0" borderId="0" xfId="0" applyFont="1" applyAlignment="1">
      <alignment horizontal="right"/>
    </xf>
    <xf numFmtId="0" fontId="18" fillId="0" borderId="0" xfId="0" applyFont="1" applyAlignment="1">
      <alignment horizontal="right"/>
    </xf>
    <xf numFmtId="0" fontId="19" fillId="5" borderId="7" xfId="0" applyFont="1" applyFill="1" applyBorder="1"/>
    <xf numFmtId="0" fontId="19" fillId="4" borderId="7" xfId="0" applyFont="1" applyFill="1" applyBorder="1"/>
    <xf numFmtId="0" fontId="12" fillId="8" borderId="11" xfId="0" applyFont="1" applyFill="1" applyBorder="1" applyProtection="1">
      <protection locked="0"/>
    </xf>
    <xf numFmtId="167" fontId="0" fillId="8" borderId="12" xfId="0" applyNumberFormat="1" applyFill="1" applyBorder="1" applyProtection="1">
      <protection locked="0"/>
    </xf>
    <xf numFmtId="167" fontId="0" fillId="8" borderId="13" xfId="0" applyNumberFormat="1" applyFill="1" applyBorder="1" applyProtection="1">
      <protection locked="0"/>
    </xf>
    <xf numFmtId="0" fontId="0" fillId="8" borderId="14" xfId="0" applyFill="1" applyBorder="1" applyProtection="1">
      <protection locked="0"/>
    </xf>
    <xf numFmtId="167" fontId="0" fillId="8" borderId="0" xfId="0" applyNumberFormat="1" applyFill="1" applyProtection="1">
      <protection locked="0"/>
    </xf>
    <xf numFmtId="167" fontId="0" fillId="8" borderId="15" xfId="0" applyNumberFormat="1" applyFill="1" applyBorder="1" applyProtection="1">
      <protection locked="0"/>
    </xf>
    <xf numFmtId="0" fontId="0" fillId="8" borderId="16" xfId="0" applyFill="1" applyBorder="1" applyProtection="1">
      <protection locked="0"/>
    </xf>
    <xf numFmtId="167" fontId="0" fillId="8" borderId="1" xfId="0" applyNumberFormat="1" applyFill="1" applyBorder="1" applyProtection="1">
      <protection locked="0"/>
    </xf>
    <xf numFmtId="167" fontId="0" fillId="8" borderId="17" xfId="0" applyNumberFormat="1" applyFill="1" applyBorder="1" applyProtection="1">
      <protection locked="0"/>
    </xf>
    <xf numFmtId="0" fontId="3" fillId="0" borderId="0" xfId="0" applyFont="1" applyAlignment="1" applyProtection="1">
      <alignment vertical="center" wrapText="1"/>
      <protection locked="0"/>
    </xf>
    <xf numFmtId="0" fontId="27" fillId="8" borderId="0" xfId="0" applyFont="1" applyFill="1" applyProtection="1">
      <protection locked="0"/>
    </xf>
    <xf numFmtId="0" fontId="0" fillId="8" borderId="0" xfId="0" applyFill="1" applyProtection="1">
      <protection locked="0"/>
    </xf>
    <xf numFmtId="5" fontId="11" fillId="0" borderId="0" xfId="1" applyNumberFormat="1" applyFont="1" applyProtection="1">
      <protection locked="0"/>
    </xf>
    <xf numFmtId="5" fontId="11" fillId="8" borderId="0" xfId="1" applyNumberFormat="1" applyFont="1" applyFill="1" applyAlignment="1" applyProtection="1">
      <alignment horizontal="right"/>
      <protection locked="0"/>
    </xf>
    <xf numFmtId="5" fontId="11" fillId="8" borderId="0" xfId="1" applyNumberFormat="1" applyFont="1" applyFill="1" applyProtection="1">
      <protection locked="0"/>
    </xf>
    <xf numFmtId="5" fontId="11" fillId="0" borderId="0" xfId="1" applyNumberFormat="1" applyFont="1" applyAlignment="1" applyProtection="1">
      <alignment horizontal="right"/>
      <protection locked="0"/>
    </xf>
    <xf numFmtId="5" fontId="11" fillId="0" borderId="6" xfId="1" applyNumberFormat="1" applyFont="1" applyBorder="1" applyProtection="1">
      <protection locked="0"/>
    </xf>
    <xf numFmtId="44" fontId="11" fillId="0" borderId="0" xfId="0" applyNumberFormat="1" applyFont="1" applyProtection="1">
      <protection locked="0"/>
    </xf>
    <xf numFmtId="0" fontId="11" fillId="0" borderId="0" xfId="0" applyFont="1" applyAlignment="1" applyProtection="1">
      <alignment horizontal="left" indent="2"/>
      <protection locked="0"/>
    </xf>
    <xf numFmtId="0" fontId="11" fillId="0" borderId="0" xfId="0" applyFont="1" applyAlignment="1" applyProtection="1">
      <alignment horizontal="left"/>
      <protection locked="0"/>
    </xf>
    <xf numFmtId="0" fontId="11" fillId="0" borderId="0" xfId="0" applyFont="1" applyAlignment="1">
      <alignment vertical="top" wrapText="1"/>
    </xf>
    <xf numFmtId="0" fontId="26" fillId="0" borderId="11" xfId="0" applyFont="1" applyBorder="1" applyAlignment="1">
      <alignment vertical="top"/>
    </xf>
    <xf numFmtId="0" fontId="0" fillId="0" borderId="12" xfId="0" applyBorder="1" applyAlignment="1">
      <alignment vertical="top" wrapText="1"/>
    </xf>
    <xf numFmtId="0" fontId="0" fillId="0" borderId="13" xfId="0" applyBorder="1" applyAlignment="1">
      <alignment vertical="top" wrapText="1"/>
    </xf>
    <xf numFmtId="0" fontId="24" fillId="0" borderId="0" xfId="0" applyFont="1"/>
    <xf numFmtId="0" fontId="19" fillId="5" borderId="2" xfId="0" applyFont="1" applyFill="1" applyBorder="1" applyAlignment="1">
      <alignment horizontal="center"/>
    </xf>
    <xf numFmtId="0" fontId="18" fillId="5" borderId="0" xfId="0" applyFont="1" applyFill="1"/>
    <xf numFmtId="0" fontId="14" fillId="0" borderId="0" xfId="0" applyFont="1"/>
    <xf numFmtId="0" fontId="11" fillId="0" borderId="0" xfId="0" applyFont="1" applyAlignment="1">
      <alignment wrapText="1"/>
    </xf>
    <xf numFmtId="0" fontId="11" fillId="0" borderId="0" xfId="0" applyFont="1" applyAlignment="1">
      <alignment horizontal="center"/>
    </xf>
    <xf numFmtId="0" fontId="29" fillId="0" borderId="2" xfId="0" applyFont="1" applyBorder="1" applyAlignment="1" applyProtection="1">
      <alignment horizontal="center"/>
      <protection locked="0"/>
    </xf>
    <xf numFmtId="0" fontId="30" fillId="0" borderId="11" xfId="0" applyFont="1" applyBorder="1" applyAlignment="1">
      <alignment vertical="top"/>
    </xf>
    <xf numFmtId="0" fontId="0" fillId="0" borderId="0" xfId="0" quotePrefix="1" applyAlignment="1">
      <alignment horizontal="right" vertical="top"/>
    </xf>
    <xf numFmtId="0" fontId="0" fillId="0" borderId="0" xfId="0" applyAlignment="1">
      <alignment horizontal="left" vertical="center"/>
    </xf>
    <xf numFmtId="0" fontId="0" fillId="0" borderId="0" xfId="0" quotePrefix="1" applyAlignment="1">
      <alignment horizontal="right"/>
    </xf>
    <xf numFmtId="0" fontId="0" fillId="0" borderId="0" xfId="0" applyAlignment="1">
      <alignment vertical="center"/>
    </xf>
    <xf numFmtId="0" fontId="0" fillId="0" borderId="0" xfId="0" applyAlignment="1">
      <alignment vertical="top" wrapText="1"/>
    </xf>
    <xf numFmtId="0" fontId="0" fillId="0" borderId="0" xfId="0" applyAlignment="1">
      <alignment horizontal="left" vertical="center" indent="7"/>
    </xf>
    <xf numFmtId="0" fontId="0" fillId="0" borderId="0" xfId="0" applyAlignment="1">
      <alignment horizontal="left" vertical="center" indent="2"/>
    </xf>
    <xf numFmtId="0" fontId="32" fillId="0" borderId="0" xfId="0" applyFont="1" applyAlignment="1">
      <alignment horizontal="left" vertical="center" indent="2"/>
    </xf>
    <xf numFmtId="0" fontId="37" fillId="0" borderId="0" xfId="0" applyFont="1" applyAlignment="1">
      <alignment vertical="center"/>
    </xf>
    <xf numFmtId="0" fontId="16" fillId="0" borderId="0" xfId="0" applyFont="1" applyAlignment="1">
      <alignment vertical="center"/>
    </xf>
    <xf numFmtId="0" fontId="39" fillId="0" borderId="0" xfId="0" applyFont="1"/>
    <xf numFmtId="0" fontId="40" fillId="0" borderId="0" xfId="0" applyFont="1"/>
    <xf numFmtId="0" fontId="42" fillId="0" borderId="0" xfId="0" applyFont="1" applyAlignment="1">
      <alignment horizontal="right"/>
    </xf>
    <xf numFmtId="0" fontId="43" fillId="0" borderId="0" xfId="0" applyFont="1"/>
    <xf numFmtId="0" fontId="43" fillId="0" borderId="0" xfId="0" applyFont="1" applyAlignment="1">
      <alignment horizontal="right"/>
    </xf>
    <xf numFmtId="0" fontId="42" fillId="0" borderId="0" xfId="0" applyFont="1" applyAlignment="1">
      <alignment vertical="top" wrapText="1"/>
    </xf>
    <xf numFmtId="0" fontId="42" fillId="0" borderId="0" xfId="0" applyFont="1" applyAlignment="1">
      <alignment horizontal="left" vertical="top"/>
    </xf>
    <xf numFmtId="0" fontId="42" fillId="0" borderId="0" xfId="0" applyFont="1" applyAlignment="1">
      <alignment horizontal="right" vertical="top" wrapText="1"/>
    </xf>
    <xf numFmtId="0" fontId="11" fillId="0" borderId="14" xfId="0" applyFont="1" applyBorder="1"/>
    <xf numFmtId="164" fontId="0" fillId="0" borderId="14" xfId="1" applyNumberFormat="1" applyFont="1" applyBorder="1"/>
    <xf numFmtId="165" fontId="0" fillId="0" borderId="15" xfId="2" applyNumberFormat="1" applyFont="1" applyBorder="1"/>
    <xf numFmtId="164" fontId="0" fillId="0" borderId="16" xfId="1" applyNumberFormat="1" applyFont="1" applyBorder="1"/>
    <xf numFmtId="165" fontId="0" fillId="0" borderId="1" xfId="2" applyNumberFormat="1" applyFont="1" applyBorder="1"/>
    <xf numFmtId="0" fontId="0" fillId="0" borderId="17" xfId="0" applyBorder="1"/>
    <xf numFmtId="0" fontId="3" fillId="0" borderId="14" xfId="0" applyFont="1" applyBorder="1"/>
    <xf numFmtId="6" fontId="3" fillId="0" borderId="15" xfId="0" applyNumberFormat="1" applyFont="1" applyBorder="1"/>
    <xf numFmtId="5" fontId="3" fillId="0" borderId="15" xfId="0" applyNumberFormat="1" applyFont="1" applyBorder="1"/>
    <xf numFmtId="165" fontId="3" fillId="0" borderId="15" xfId="2" applyNumberFormat="1" applyFont="1" applyBorder="1"/>
    <xf numFmtId="0" fontId="3" fillId="0" borderId="15" xfId="0" applyFont="1" applyBorder="1" applyAlignment="1">
      <alignment horizontal="right"/>
    </xf>
    <xf numFmtId="9" fontId="3" fillId="0" borderId="15" xfId="0" applyNumberFormat="1" applyFont="1" applyBorder="1"/>
    <xf numFmtId="9" fontId="3" fillId="0" borderId="15" xfId="2" applyFont="1" applyBorder="1"/>
    <xf numFmtId="0" fontId="3" fillId="0" borderId="16" xfId="0" applyFont="1" applyBorder="1"/>
    <xf numFmtId="9" fontId="3" fillId="0" borderId="17" xfId="2" applyFont="1" applyBorder="1"/>
    <xf numFmtId="0" fontId="0" fillId="9" borderId="0" xfId="0" applyFill="1"/>
    <xf numFmtId="7" fontId="0" fillId="0" borderId="0" xfId="0" applyNumberFormat="1"/>
    <xf numFmtId="5" fontId="0" fillId="0" borderId="0" xfId="0" applyNumberFormat="1"/>
    <xf numFmtId="1" fontId="3" fillId="0" borderId="15" xfId="0" applyNumberFormat="1" applyFont="1" applyBorder="1"/>
    <xf numFmtId="0" fontId="3" fillId="8" borderId="0" xfId="0" applyFont="1" applyFill="1" applyAlignment="1" applyProtection="1">
      <alignment horizontal="left" indent="1"/>
      <protection locked="0"/>
    </xf>
    <xf numFmtId="2" fontId="11" fillId="8" borderId="0" xfId="0" applyNumberFormat="1" applyFont="1" applyFill="1" applyAlignment="1" applyProtection="1">
      <alignment horizontal="left" indent="1"/>
      <protection locked="0"/>
    </xf>
    <xf numFmtId="2" fontId="11" fillId="8" borderId="0" xfId="0" applyNumberFormat="1" applyFont="1" applyFill="1" applyProtection="1">
      <protection locked="0"/>
    </xf>
    <xf numFmtId="0" fontId="18" fillId="4" borderId="7" xfId="0" applyFont="1" applyFill="1" applyBorder="1" applyAlignment="1">
      <alignment horizontal="center" vertical="top"/>
    </xf>
    <xf numFmtId="0" fontId="21" fillId="8" borderId="7" xfId="0" applyFont="1" applyFill="1" applyBorder="1" applyAlignment="1">
      <alignment horizontal="center" vertical="top"/>
    </xf>
    <xf numFmtId="14" fontId="0" fillId="0" borderId="0" xfId="0" applyNumberFormat="1"/>
    <xf numFmtId="15" fontId="0" fillId="9" borderId="0" xfId="0" applyNumberFormat="1" applyFill="1"/>
    <xf numFmtId="171" fontId="0" fillId="0" borderId="0" xfId="0" applyNumberFormat="1" applyProtection="1">
      <protection locked="0"/>
    </xf>
    <xf numFmtId="14" fontId="0" fillId="8" borderId="0" xfId="0" applyNumberFormat="1" applyFill="1" applyProtection="1">
      <protection locked="0"/>
    </xf>
    <xf numFmtId="0" fontId="12" fillId="0" borderId="0" xfId="0" applyFont="1"/>
    <xf numFmtId="0" fontId="0" fillId="0" borderId="0" xfId="0" applyProtection="1">
      <protection locked="0"/>
    </xf>
    <xf numFmtId="0" fontId="11" fillId="0" borderId="0" xfId="0" applyFont="1" applyProtection="1">
      <protection locked="0"/>
    </xf>
    <xf numFmtId="0" fontId="0" fillId="0" borderId="0" xfId="0"/>
    <xf numFmtId="0" fontId="0" fillId="0" borderId="15" xfId="0" applyBorder="1"/>
    <xf numFmtId="165" fontId="0" fillId="0" borderId="0" xfId="2" applyNumberFormat="1" applyFont="1"/>
    <xf numFmtId="0" fontId="0" fillId="0" borderId="0" xfId="0" applyAlignment="1">
      <alignment horizontal="left" vertical="center" wrapText="1"/>
    </xf>
    <xf numFmtId="0" fontId="36" fillId="0" borderId="0" xfId="0" applyFont="1" applyAlignment="1">
      <alignment horizontal="center" vertical="center"/>
    </xf>
    <xf numFmtId="0" fontId="42" fillId="0" borderId="0" xfId="0" applyFont="1" applyAlignment="1">
      <alignment horizontal="left" vertical="top" wrapText="1"/>
    </xf>
    <xf numFmtId="0" fontId="10" fillId="0" borderId="1" xfId="0" applyFont="1" applyBorder="1" applyAlignment="1">
      <alignment horizontal="center"/>
    </xf>
    <xf numFmtId="49" fontId="6" fillId="0" borderId="0" xfId="0" applyNumberFormat="1" applyFont="1" applyAlignment="1">
      <alignment horizontal="center"/>
    </xf>
    <xf numFmtId="0" fontId="11" fillId="0" borderId="2" xfId="0" applyFont="1" applyBorder="1" applyAlignment="1">
      <alignment horizont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top" wrapText="1"/>
    </xf>
    <xf numFmtId="0" fontId="32" fillId="0" borderId="0" xfId="0" applyFont="1" applyAlignment="1">
      <alignment horizontal="left" vertical="top" wrapText="1"/>
    </xf>
    <xf numFmtId="0" fontId="20" fillId="0" borderId="0" xfId="0" applyFont="1" applyAlignment="1">
      <alignment horizontal="center"/>
    </xf>
    <xf numFmtId="0" fontId="19" fillId="0" borderId="0" xfId="0" applyFont="1" applyAlignment="1">
      <alignment horizontal="left" vertical="center" wrapText="1"/>
    </xf>
    <xf numFmtId="0" fontId="21" fillId="8" borderId="9" xfId="0" applyFont="1" applyFill="1" applyBorder="1" applyAlignment="1" applyProtection="1">
      <alignment horizontal="center" vertical="center"/>
      <protection locked="0"/>
    </xf>
    <xf numFmtId="0" fontId="21" fillId="8" borderId="10" xfId="0" applyFont="1" applyFill="1" applyBorder="1" applyAlignment="1" applyProtection="1">
      <alignment horizontal="center" vertical="center"/>
      <protection locked="0"/>
    </xf>
    <xf numFmtId="0" fontId="17" fillId="0" borderId="0" xfId="0" applyFont="1" applyAlignment="1">
      <alignment horizontal="center"/>
    </xf>
    <xf numFmtId="0" fontId="33" fillId="0" borderId="0" xfId="0" applyFont="1" applyAlignment="1">
      <alignment horizontal="center" vertical="center"/>
    </xf>
    <xf numFmtId="0" fontId="36" fillId="0" borderId="0" xfId="0" applyFont="1" applyAlignment="1">
      <alignment horizontal="left" vertical="center" wrapText="1"/>
    </xf>
    <xf numFmtId="0" fontId="34" fillId="0" borderId="0" xfId="0" applyFont="1" applyAlignment="1">
      <alignment horizontal="center" vertical="center"/>
    </xf>
    <xf numFmtId="0" fontId="31" fillId="0" borderId="0" xfId="0" applyFont="1" applyAlignment="1">
      <alignment horizontal="left" vertical="center" wrapText="1"/>
    </xf>
    <xf numFmtId="0" fontId="3" fillId="6" borderId="0" xfId="0" applyFont="1" applyFill="1" applyAlignment="1">
      <alignment horizontal="center" vertical="center" wrapText="1"/>
    </xf>
    <xf numFmtId="0" fontId="1" fillId="0" borderId="0" xfId="0" applyFont="1" applyAlignment="1">
      <alignment horizontal="left" vertical="center" wrapText="1"/>
    </xf>
    <xf numFmtId="0" fontId="36" fillId="0" borderId="0" xfId="0" applyFont="1" applyAlignment="1">
      <alignment horizontal="center" vertical="center"/>
    </xf>
    <xf numFmtId="0" fontId="0" fillId="2" borderId="0" xfId="0" applyFill="1" applyAlignment="1">
      <alignment horizontal="left" vertical="center" wrapText="1"/>
    </xf>
    <xf numFmtId="0" fontId="42" fillId="0" borderId="0" xfId="0" applyFont="1" applyAlignment="1">
      <alignment horizontal="left" vertical="top" wrapText="1"/>
    </xf>
    <xf numFmtId="0" fontId="38" fillId="0" borderId="0" xfId="0" applyFont="1" applyAlignment="1">
      <alignment horizontal="center" vertical="center"/>
    </xf>
    <xf numFmtId="0" fontId="41" fillId="0" borderId="0" xfId="0" applyFont="1" applyAlignment="1">
      <alignment horizontal="center"/>
    </xf>
    <xf numFmtId="0" fontId="11" fillId="0" borderId="18" xfId="0" applyFont="1" applyBorder="1" applyAlignment="1">
      <alignment horizontal="center"/>
    </xf>
    <xf numFmtId="0" fontId="11" fillId="0" borderId="4" xfId="0" applyFont="1" applyBorder="1" applyAlignment="1">
      <alignment horizontal="center"/>
    </xf>
    <xf numFmtId="0" fontId="11" fillId="0" borderId="19" xfId="0" applyFont="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6" fillId="0" borderId="0" xfId="0" applyFont="1" applyAlignment="1">
      <alignment horizontal="center"/>
    </xf>
    <xf numFmtId="164" fontId="3" fillId="0" borderId="0" xfId="1" applyNumberFormat="1" applyFont="1" applyAlignment="1">
      <alignment horizontal="center"/>
    </xf>
    <xf numFmtId="164" fontId="10" fillId="0" borderId="0" xfId="0" applyNumberFormat="1" applyFont="1" applyAlignment="1">
      <alignment horizontal="center"/>
    </xf>
    <xf numFmtId="0" fontId="10" fillId="0" borderId="0" xfId="0" applyFont="1" applyAlignment="1">
      <alignment horizontal="center"/>
    </xf>
    <xf numFmtId="164" fontId="10" fillId="0" borderId="0" xfId="1" applyNumberFormat="1" applyFont="1" applyAlignment="1">
      <alignment horizontal="center"/>
    </xf>
    <xf numFmtId="0" fontId="10" fillId="0" borderId="1" xfId="0" applyFont="1" applyBorder="1" applyAlignment="1">
      <alignment horizontal="center"/>
    </xf>
    <xf numFmtId="164" fontId="13" fillId="0" borderId="0" xfId="1" applyNumberFormat="1" applyFont="1" applyAlignment="1">
      <alignment horizontal="center"/>
    </xf>
    <xf numFmtId="49" fontId="6" fillId="0" borderId="0" xfId="0" applyNumberFormat="1" applyFont="1" applyAlignment="1">
      <alignment horizontal="center"/>
    </xf>
    <xf numFmtId="0" fontId="12" fillId="0" borderId="0" xfId="0" applyFont="1" applyAlignment="1"/>
    <xf numFmtId="0" fontId="14" fillId="0" borderId="0" xfId="0" applyFont="1" applyAlignment="1">
      <alignment horizontal="center"/>
    </xf>
    <xf numFmtId="0" fontId="11" fillId="0" borderId="2" xfId="0" applyFont="1" applyBorder="1" applyAlignment="1">
      <alignment horizontal="center"/>
    </xf>
    <xf numFmtId="0" fontId="0" fillId="0" borderId="2" xfId="0" applyBorder="1" applyAlignment="1"/>
    <xf numFmtId="0" fontId="3" fillId="0" borderId="0" xfId="0" applyFont="1" applyAlignment="1" applyProtection="1">
      <alignment horizontal="center" vertical="center"/>
      <protection locked="0"/>
    </xf>
    <xf numFmtId="0" fontId="0" fillId="0" borderId="0" xfId="0" applyAlignment="1" applyProtection="1">
      <protection locked="0"/>
    </xf>
    <xf numFmtId="170" fontId="3" fillId="8" borderId="7" xfId="0" applyNumberFormat="1" applyFont="1" applyFill="1" applyBorder="1" applyAlignment="1" applyProtection="1">
      <alignment horizontal="center" vertical="center"/>
      <protection locked="0"/>
    </xf>
    <xf numFmtId="0" fontId="0" fillId="0" borderId="10" xfId="0" applyBorder="1" applyAlignment="1" applyProtection="1">
      <protection locked="0"/>
    </xf>
    <xf numFmtId="0" fontId="10" fillId="0" borderId="0" xfId="0" applyFont="1" applyAlignment="1" applyProtection="1">
      <alignment horizontal="center"/>
      <protection locked="0"/>
    </xf>
    <xf numFmtId="0" fontId="22" fillId="7" borderId="5" xfId="0" applyFont="1" applyFill="1" applyBorder="1" applyAlignment="1">
      <alignment horizontal="left" vertical="top" wrapText="1"/>
    </xf>
    <xf numFmtId="0" fontId="24" fillId="0" borderId="0" xfId="0" applyFont="1" applyAlignment="1" applyProtection="1">
      <alignment horizontal="center"/>
      <protection locked="0"/>
    </xf>
    <xf numFmtId="0" fontId="25" fillId="0" borderId="5" xfId="0" applyFont="1" applyBorder="1" applyAlignment="1">
      <alignment horizontal="center" vertical="center" wrapText="1"/>
    </xf>
    <xf numFmtId="0" fontId="22" fillId="0" borderId="5" xfId="0" applyFont="1" applyBorder="1" applyAlignment="1">
      <alignment horizontal="left" vertical="top" wrapText="1"/>
    </xf>
    <xf numFmtId="0" fontId="25" fillId="7" borderId="5" xfId="0" applyFont="1" applyFill="1" applyBorder="1" applyAlignment="1">
      <alignment horizontal="center" vertical="center" wrapText="1"/>
    </xf>
    <xf numFmtId="0" fontId="3" fillId="8" borderId="0" xfId="0" applyFont="1" applyFill="1" applyAlignment="1" applyProtection="1">
      <alignment horizontal="left" vertical="top" wrapText="1"/>
      <protection locked="0"/>
    </xf>
    <xf numFmtId="0" fontId="11" fillId="0" borderId="0" xfId="0" applyFont="1" applyAlignment="1" applyProtection="1">
      <protection locked="0"/>
    </xf>
    <xf numFmtId="0" fontId="3" fillId="6" borderId="0" xfId="0" applyFont="1" applyFill="1" applyAlignment="1">
      <alignment horizontal="left" vertical="center" wrapText="1"/>
    </xf>
    <xf numFmtId="0" fontId="24" fillId="0" borderId="0" xfId="0" applyFont="1" applyAlignment="1">
      <alignment horizontal="center"/>
    </xf>
    <xf numFmtId="0" fontId="0" fillId="0" borderId="1" xfId="0" applyBorder="1" applyAlignment="1"/>
    <xf numFmtId="0" fontId="0" fillId="8" borderId="14" xfId="0" applyFill="1" applyBorder="1" applyAlignment="1" applyProtection="1">
      <alignment horizontal="center" vertical="top" wrapText="1"/>
      <protection locked="0"/>
    </xf>
    <xf numFmtId="0" fontId="0" fillId="0" borderId="15" xfId="0" applyBorder="1" applyAlignment="1" applyProtection="1">
      <protection locked="0"/>
    </xf>
    <xf numFmtId="0" fontId="0" fillId="0" borderId="14" xfId="0" applyBorder="1" applyAlignment="1" applyProtection="1">
      <protection locked="0"/>
    </xf>
    <xf numFmtId="0" fontId="0" fillId="0" borderId="16" xfId="0" applyBorder="1" applyAlignment="1" applyProtection="1">
      <protection locked="0"/>
    </xf>
    <xf numFmtId="0" fontId="0" fillId="0" borderId="1" xfId="0" applyBorder="1" applyAlignment="1" applyProtection="1">
      <protection locked="0"/>
    </xf>
    <xf numFmtId="0" fontId="0" fillId="0" borderId="17" xfId="0" applyBorder="1" applyAlignment="1" applyProtection="1">
      <protection locked="0"/>
    </xf>
    <xf numFmtId="0" fontId="23" fillId="0" borderId="9" xfId="0" applyFont="1" applyBorder="1" applyAlignment="1">
      <alignment horizontal="left" vertical="top" wrapText="1"/>
    </xf>
    <xf numFmtId="0" fontId="0" fillId="0" borderId="12" xfId="0" applyBorder="1" applyAlignment="1"/>
    <xf numFmtId="0" fontId="0" fillId="0" borderId="13" xfId="0" applyBorder="1" applyAlignment="1"/>
    <xf numFmtId="0" fontId="0" fillId="0" borderId="14" xfId="0" applyBorder="1" applyAlignment="1"/>
    <xf numFmtId="0" fontId="0" fillId="0" borderId="0" xfId="0" applyAlignment="1"/>
    <xf numFmtId="0" fontId="0" fillId="0" borderId="15" xfId="0" applyBorder="1" applyAlignment="1"/>
    <xf numFmtId="0" fontId="0" fillId="8" borderId="10" xfId="0" applyFill="1" applyBorder="1" applyAlignment="1" applyProtection="1">
      <alignment horizontal="center" vertical="top" wrapText="1"/>
      <protection locked="0"/>
    </xf>
    <xf numFmtId="0" fontId="25" fillId="0" borderId="6" xfId="0" applyFont="1" applyBorder="1" applyAlignment="1">
      <alignment horizontal="center" vertical="center" wrapText="1"/>
    </xf>
    <xf numFmtId="0" fontId="25" fillId="0" borderId="0" xfId="0" applyFont="1" applyAlignment="1">
      <alignment horizontal="center" vertical="center" wrapText="1"/>
    </xf>
    <xf numFmtId="0" fontId="25" fillId="0" borderId="2" xfId="0" applyFont="1" applyBorder="1" applyAlignment="1">
      <alignment horizontal="center" vertical="center" wrapText="1"/>
    </xf>
    <xf numFmtId="0" fontId="22" fillId="0" borderId="6" xfId="0" applyFont="1" applyBorder="1" applyAlignment="1">
      <alignment horizontal="left" vertical="top" wrapText="1"/>
    </xf>
    <xf numFmtId="0" fontId="22" fillId="0" borderId="0" xfId="0" applyFont="1" applyAlignment="1">
      <alignment horizontal="left" vertical="top" wrapText="1"/>
    </xf>
    <xf numFmtId="0" fontId="22" fillId="0" borderId="2" xfId="0" applyFont="1" applyBorder="1" applyAlignment="1">
      <alignment horizontal="left" vertical="top" wrapText="1"/>
    </xf>
    <xf numFmtId="0" fontId="25" fillId="7" borderId="6" xfId="0" applyFont="1" applyFill="1" applyBorder="1" applyAlignment="1">
      <alignment horizontal="center" vertical="center" wrapText="1"/>
    </xf>
    <xf numFmtId="0" fontId="25" fillId="7" borderId="0" xfId="0" applyFont="1" applyFill="1" applyAlignment="1">
      <alignment horizontal="center" vertical="center" wrapText="1"/>
    </xf>
    <xf numFmtId="0" fontId="25" fillId="7" borderId="2" xfId="0" applyFont="1" applyFill="1" applyBorder="1" applyAlignment="1">
      <alignment horizontal="center" vertical="center" wrapText="1"/>
    </xf>
    <xf numFmtId="0" fontId="22" fillId="7" borderId="6" xfId="0" applyFont="1" applyFill="1" applyBorder="1" applyAlignment="1">
      <alignment horizontal="left" vertical="top" wrapText="1"/>
    </xf>
    <xf numFmtId="0" fontId="22" fillId="7" borderId="0" xfId="0" applyFont="1" applyFill="1" applyAlignment="1">
      <alignment horizontal="left" vertical="top" wrapText="1"/>
    </xf>
    <xf numFmtId="0" fontId="22" fillId="7" borderId="2" xfId="0" applyFont="1" applyFill="1" applyBorder="1" applyAlignment="1">
      <alignment horizontal="left" vertical="top" wrapText="1"/>
    </xf>
    <xf numFmtId="0" fontId="4" fillId="0" borderId="0" xfId="0" applyFont="1" applyAlignment="1">
      <alignment horizontal="center"/>
    </xf>
    <xf numFmtId="165" fontId="0" fillId="0" borderId="0" xfId="2" applyNumberFormat="1" applyFont="1" applyAlignment="1"/>
    <xf numFmtId="164" fontId="4" fillId="0" borderId="0" xfId="1" applyNumberFormat="1" applyFont="1" applyAlignment="1">
      <alignment horizontal="center"/>
    </xf>
    <xf numFmtId="49" fontId="4" fillId="0" borderId="1" xfId="0" applyNumberFormat="1" applyFont="1" applyBorder="1" applyAlignment="1">
      <alignment horizontal="center"/>
    </xf>
    <xf numFmtId="0" fontId="4" fillId="0" borderId="1" xfId="0" applyFont="1" applyBorder="1" applyAlignment="1">
      <alignment horizontal="center"/>
    </xf>
    <xf numFmtId="9" fontId="0" fillId="0" borderId="0" xfId="2"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9" fontId="0" fillId="0" borderId="6" xfId="2" applyFont="1" applyBorder="1" applyAlignment="1">
      <alignment horizontal="center" vertical="center"/>
    </xf>
    <xf numFmtId="0" fontId="0" fillId="0" borderId="6" xfId="0" applyBorder="1" applyAlignment="1">
      <alignment horizontal="center" vertical="center"/>
    </xf>
  </cellXfs>
  <cellStyles count="5">
    <cellStyle name="Comma" xfId="4" builtinId="3"/>
    <cellStyle name="Currency" xfId="1" builtinId="4"/>
    <cellStyle name="Currency 4" xfId="3" xr:uid="{00000000-0005-0000-0000-000003000000}"/>
    <cellStyle name="Normal" xfId="0" builtinId="0"/>
    <cellStyle name="Percent" xfId="2" builtinId="5"/>
  </cellStyles>
  <dxfs count="4">
    <dxf>
      <font>
        <color theme="0"/>
      </font>
    </dxf>
    <dxf>
      <font>
        <color theme="0"/>
      </font>
    </dxf>
    <dxf>
      <numFmt numFmtId="0" formatCode="General"/>
    </dxf>
    <dxf>
      <font>
        <color theme="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2947EF0-AF9E-6546-868F-9CA7E5FF9F4E}" name="Table13" displayName="Table13" ref="D3:J13" totalsRowShown="0">
  <autoFilter ref="D3:J13" xr:uid="{A2947EF0-AF9E-6546-868F-9CA7E5FF9F4E}"/>
  <sortState xmlns:xlrd2="http://schemas.microsoft.com/office/spreadsheetml/2017/richdata2" ref="D4:J13">
    <sortCondition ref="J3:J13"/>
  </sortState>
  <tableColumns count="7">
    <tableColumn id="2" xr3:uid="{4E93E5D4-FEAA-BE4D-91E5-C5BB48100D13}" name="Company Name"/>
    <tableColumn id="1" xr3:uid="{3903DD17-0669-034A-B9E8-091039A0C414}" name="Bank"/>
    <tableColumn id="3" xr3:uid="{1F38DEE8-CF7B-6249-AD6E-27C7528E2B66}" name="Tax Rate"/>
    <tableColumn id="5" xr3:uid="{A668C94D-EC54-DE44-97C2-BF27E07B0E4A}" name="Growth Factor"/>
    <tableColumn id="6" xr3:uid="{FBBF39B7-F45B-1B44-AE55-6DABECF3FD91}" name="Lessor Interest Rate"/>
    <tableColumn id="7" xr3:uid="{085BCE72-7D63-F74A-90FE-397A72903B29}" name="Sales Percentage"/>
    <tableColumn id="4" xr3:uid="{3258BDFF-2F57-CE42-A12A-C9CC8680C07F}" name="Shuffle" dataDxfId="2">
      <calculatedColumnFormula>RANDBETWEEN(1,100)</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4EBD8-B7B9-504A-A5B4-08852924A0E3}">
  <sheetPr codeName="Sheet7"/>
  <dimension ref="A1:BK63"/>
  <sheetViews>
    <sheetView topLeftCell="AN1" zoomScale="111" workbookViewId="0">
      <selection activeCell="B6" sqref="B6:B7"/>
    </sheetView>
  </sheetViews>
  <sheetFormatPr defaultColWidth="8.85546875" defaultRowHeight="15"/>
  <cols>
    <col min="1" max="1" width="22.5703125" style="67" customWidth="1"/>
    <col min="2" max="2" width="31.5703125" style="67" customWidth="1"/>
    <col min="3" max="3" width="3.42578125" customWidth="1"/>
    <col min="8" max="8" width="9" customWidth="1"/>
    <col min="55" max="55" width="4.42578125" customWidth="1"/>
    <col min="63" max="63" width="14.5703125" customWidth="1"/>
  </cols>
  <sheetData>
    <row r="1" spans="1:63" ht="25.5" customHeight="1">
      <c r="A1" s="202" t="s">
        <v>0</v>
      </c>
      <c r="B1" s="202"/>
      <c r="C1" s="185"/>
      <c r="D1" s="203" t="s">
        <v>1</v>
      </c>
      <c r="E1" s="203"/>
      <c r="F1" s="203"/>
      <c r="G1" s="203"/>
      <c r="H1" s="203"/>
      <c r="I1" s="203"/>
      <c r="J1" s="203"/>
      <c r="K1" s="203"/>
      <c r="L1" s="203"/>
      <c r="M1" s="203"/>
      <c r="N1" s="204"/>
      <c r="O1" s="204"/>
      <c r="P1" s="204"/>
      <c r="Q1" s="204"/>
      <c r="R1" s="204"/>
      <c r="S1" s="204"/>
      <c r="T1" s="204"/>
      <c r="U1" s="204"/>
      <c r="V1" s="204"/>
      <c r="W1" s="204"/>
      <c r="X1" s="205" t="s">
        <v>2</v>
      </c>
      <c r="Y1" s="205"/>
      <c r="Z1" s="205"/>
      <c r="AA1" s="205"/>
      <c r="AB1" s="205"/>
      <c r="AC1" s="205"/>
      <c r="AD1" s="205"/>
      <c r="AE1" s="205"/>
      <c r="AF1" s="205"/>
      <c r="AG1" s="205"/>
      <c r="AH1" s="195" t="s">
        <v>3</v>
      </c>
      <c r="AI1" s="195"/>
      <c r="AJ1" s="195"/>
      <c r="AK1" s="195"/>
      <c r="AL1" s="195"/>
      <c r="AM1" s="195"/>
      <c r="AN1" s="195"/>
      <c r="AO1" s="195"/>
      <c r="AP1" s="195"/>
      <c r="AQ1" s="195"/>
      <c r="AR1" s="195" t="s">
        <v>4</v>
      </c>
      <c r="AS1" s="195"/>
      <c r="AT1" s="195"/>
      <c r="AU1" s="195"/>
      <c r="AV1" s="195"/>
      <c r="AW1" s="195"/>
      <c r="AX1" s="195"/>
      <c r="AY1" s="195"/>
      <c r="AZ1" s="195"/>
      <c r="BA1" s="195"/>
      <c r="BB1" s="136" t="s">
        <v>5</v>
      </c>
      <c r="BC1" s="197" t="s">
        <v>6</v>
      </c>
      <c r="BD1" s="197"/>
      <c r="BE1" s="197"/>
      <c r="BF1" s="197"/>
      <c r="BG1" s="197"/>
      <c r="BH1" s="197"/>
      <c r="BI1" s="197"/>
      <c r="BJ1" s="197"/>
      <c r="BK1" s="197"/>
    </row>
    <row r="2" spans="1:63" ht="18" customHeight="1">
      <c r="A2" s="198" t="s">
        <v>7</v>
      </c>
      <c r="B2" s="198"/>
      <c r="C2" s="185"/>
      <c r="D2" s="195" t="str">
        <f>"The goal of this case is for you to demonstrate your understanding of the accounting cycle and how information flows from decisions to journal entries, from journal entries to the financial statements, "&amp;"and from the financial statements to financial ratios and investor reactions. "&amp;"In this Excel workbook you will find the financial information for a small, publicly held company being examined by "&amp;'Iterative Data'!B5&amp;" Credit Union for a potential loan. You need to read through the case about "&amp;'Iterative Data'!B5&amp;" and its client, make any necessary correcting entries, update the financial statements (please use the Updated Financial Statement tab for your adjustments), and rerun the ratio analysis needed by "&amp;'Iterative Data'!B5&amp;". You will also need to answer the other questions presented in the case."</f>
        <v>The goal of this case is for you to demonstrate your understanding of the accounting cycle and how information flows from decisions to journal entries, from journal entries to the financial statements, and from the financial statements to financial ratios and investor reactions. In this Excel workbook you will find the financial information for a small, publicly held company being examined by Fora Credit Union for a potential loan. You need to read through the case about Fora and its client, make any necessary correcting entries, update the financial statements (please use the Updated Financial Statement tab for your adjustments), and rerun the ratio analysis needed by Fora. You will also need to answer the other questions presented in the case.</v>
      </c>
      <c r="E2" s="195"/>
      <c r="F2" s="195"/>
      <c r="G2" s="195"/>
      <c r="H2" s="195"/>
      <c r="I2" s="195"/>
      <c r="J2" s="195"/>
      <c r="K2" s="195"/>
      <c r="L2" s="195"/>
      <c r="M2" s="195"/>
      <c r="N2" s="204"/>
      <c r="O2" s="204"/>
      <c r="P2" s="204"/>
      <c r="Q2" s="204"/>
      <c r="R2" s="204"/>
      <c r="S2" s="204"/>
      <c r="T2" s="204"/>
      <c r="U2" s="204"/>
      <c r="V2" s="204"/>
      <c r="W2" s="204"/>
      <c r="X2" s="195" t="str">
        <f>'Iterative Data'!B4&amp;", Inc., a  local manufacturing firm, approached Judy Intersan, one of BNB’s loan officers, for a $1,000,000 loan to expand its facilities.  "&amp;'Iterative Data'!B4&amp;" needs funds to expand production of its most successful line, which has experienced record growth in the past six months.  Following "&amp;'Iterative Data'!B5&amp;"’s credit policies, Judy requested "&amp;'Iterative Data'!B4&amp;"’s financial statements (see the Original Financial Statements tab, provided in the Excel template).  To assess the company’s overall risk and credit worthiness, she computed the financial ratios required by the credit union’s loan department.  "&amp;"The financial ratios reveal that the company largely meets the targets required in "&amp;'Iterative Data'!B5&amp;"’s risk analysis (see the Other Tables and Figures tab in the Excel template).  When, as in "&amp;'Iterative Data'!B5&amp;"’s case, a loan application is right on the border of risk acceptability, "&amp;'Iterative Data'!B5&amp;"’s loan officers often recommend that the underwriters approve a loan for a company with good prospects as a future bank client. "&amp;"The recommendations of the loan officers are typically approved by the underwriters. Judy feels that the company has a sound business model, good governance practices, "&amp;"and a product line that shows continued potential for growth, especially with current global shortages. "&amp;" Based on this special consideration, Judy recommends approval of the loan. Her boss, Sam, agrees, and the underwriters indicated that they would accept the recommendation."</f>
        <v>Keroka, Inc., a  local manufacturing firm, approached Judy Intersan, one of BNB’s loan officers, for a $1,000,000 loan to expand its facilities.  Keroka needs funds to expand production of its most successful line, which has experienced record growth in the past six months.  Following Fora’s credit policies, Judy requested Keroka’s financial statements (see the Original Financial Statements tab, provided in the Excel template).  To assess the company’s overall risk and credit worthiness, she computed the financial ratios required by the credit union’s loan department.  The financial ratios reveal that the company largely meets the targets required in Fora’s risk analysis (see the Other Tables and Figures tab in the Excel template).  When, as in Fora’s case, a loan application is right on the border of risk acceptability, Fora’s loan officers often recommend that the underwriters approve a loan for a company with good prospects as a future bank client. The recommendations of the loan officers are typically approved by the underwriters. Judy feels that the company has a sound business model, good governance practices, and a product line that shows continued potential for growth, especially with current global shortages.  Based on this special consideration, Judy recommends approval of the loan. Her boss, Sam, agrees, and the underwriters indicated that they would accept the recommendation.</v>
      </c>
      <c r="Y2" s="195"/>
      <c r="Z2" s="195"/>
      <c r="AA2" s="195"/>
      <c r="AB2" s="195"/>
      <c r="AC2" s="195"/>
      <c r="AD2" s="195"/>
      <c r="AE2" s="195"/>
      <c r="AF2" s="195"/>
      <c r="AG2" s="195"/>
      <c r="AH2" s="195"/>
      <c r="AI2" s="195"/>
      <c r="AJ2" s="195"/>
      <c r="AK2" s="195"/>
      <c r="AL2" s="195"/>
      <c r="AM2" s="195"/>
      <c r="AN2" s="195"/>
      <c r="AO2" s="195"/>
      <c r="AP2" s="195"/>
      <c r="AQ2" s="195"/>
      <c r="AR2" s="195"/>
      <c r="AS2" s="195"/>
      <c r="AT2" s="195"/>
      <c r="AU2" s="195"/>
      <c r="AV2" s="195"/>
      <c r="AW2" s="195"/>
      <c r="AX2" s="195"/>
      <c r="AY2" s="195"/>
      <c r="AZ2" s="195"/>
      <c r="BA2" s="195"/>
      <c r="BB2" s="185"/>
      <c r="BC2" s="197"/>
      <c r="BD2" s="197"/>
      <c r="BE2" s="197"/>
      <c r="BF2" s="197"/>
      <c r="BG2" s="197"/>
      <c r="BH2" s="197"/>
      <c r="BI2" s="197"/>
      <c r="BJ2" s="197"/>
      <c r="BK2" s="197"/>
    </row>
    <row r="3" spans="1:63">
      <c r="A3" s="55"/>
      <c r="B3" s="55"/>
      <c r="C3" s="185"/>
      <c r="D3" s="195"/>
      <c r="E3" s="195"/>
      <c r="F3" s="195"/>
      <c r="G3" s="195"/>
      <c r="H3" s="195"/>
      <c r="I3" s="195"/>
      <c r="J3" s="195"/>
      <c r="K3" s="195"/>
      <c r="L3" s="195"/>
      <c r="M3" s="195"/>
      <c r="N3" s="204"/>
      <c r="O3" s="204"/>
      <c r="P3" s="204"/>
      <c r="Q3" s="204"/>
      <c r="R3" s="204"/>
      <c r="S3" s="204"/>
      <c r="T3" s="204"/>
      <c r="U3" s="204"/>
      <c r="V3" s="204"/>
      <c r="W3" s="204"/>
      <c r="X3" s="195"/>
      <c r="Y3" s="195"/>
      <c r="Z3" s="195"/>
      <c r="AA3" s="195"/>
      <c r="AB3" s="195"/>
      <c r="AC3" s="195"/>
      <c r="AD3" s="195"/>
      <c r="AE3" s="195"/>
      <c r="AF3" s="195"/>
      <c r="AG3" s="195"/>
      <c r="AH3" s="195"/>
      <c r="AI3" s="195"/>
      <c r="AJ3" s="195"/>
      <c r="AK3" s="195"/>
      <c r="AL3" s="195"/>
      <c r="AM3" s="195"/>
      <c r="AN3" s="195"/>
      <c r="AO3" s="195"/>
      <c r="AP3" s="195"/>
      <c r="AQ3" s="195"/>
      <c r="AR3" s="195"/>
      <c r="AS3" s="195"/>
      <c r="AT3" s="195"/>
      <c r="AU3" s="195"/>
      <c r="AV3" s="195"/>
      <c r="AW3" s="195"/>
      <c r="AX3" s="195"/>
      <c r="AY3" s="195"/>
      <c r="AZ3" s="195"/>
      <c r="BA3" s="195"/>
      <c r="BB3" s="185"/>
      <c r="BC3" s="197"/>
      <c r="BD3" s="197"/>
      <c r="BE3" s="197"/>
      <c r="BF3" s="197"/>
      <c r="BG3" s="197"/>
      <c r="BH3" s="197"/>
      <c r="BI3" s="197"/>
      <c r="BJ3" s="197"/>
      <c r="BK3" s="197"/>
    </row>
    <row r="4" spans="1:63" ht="15.75" customHeight="1" thickBot="1">
      <c r="A4" s="56" t="s">
        <v>8</v>
      </c>
      <c r="B4" s="55" t="str">
        <f ca="1">IF(MONTH(TODAY())&gt;6,"Fall","Spring")&amp;" "&amp;YEAR(TODAY())</f>
        <v>Spring 2025</v>
      </c>
      <c r="C4" s="185"/>
      <c r="D4" s="195"/>
      <c r="E4" s="195"/>
      <c r="F4" s="195"/>
      <c r="G4" s="195"/>
      <c r="H4" s="195"/>
      <c r="I4" s="195"/>
      <c r="J4" s="195"/>
      <c r="K4" s="195"/>
      <c r="L4" s="195"/>
      <c r="M4" s="195"/>
      <c r="N4" s="204"/>
      <c r="O4" s="204"/>
      <c r="P4" s="204"/>
      <c r="Q4" s="204"/>
      <c r="R4" s="204"/>
      <c r="S4" s="204"/>
      <c r="T4" s="204"/>
      <c r="U4" s="204"/>
      <c r="V4" s="204"/>
      <c r="W4" s="204"/>
      <c r="X4" s="195"/>
      <c r="Y4" s="195"/>
      <c r="Z4" s="195"/>
      <c r="AA4" s="195"/>
      <c r="AB4" s="195"/>
      <c r="AC4" s="195"/>
      <c r="AD4" s="195"/>
      <c r="AE4" s="195"/>
      <c r="AF4" s="195"/>
      <c r="AG4" s="195"/>
      <c r="AH4" s="195" t="s">
        <v>9</v>
      </c>
      <c r="AI4" s="195"/>
      <c r="AJ4" s="195"/>
      <c r="AK4" s="195"/>
      <c r="AL4" s="195"/>
      <c r="AM4" s="195"/>
      <c r="AN4" s="195"/>
      <c r="AO4" s="195"/>
      <c r="AP4" s="195"/>
      <c r="AQ4" s="195"/>
      <c r="AR4" s="195"/>
      <c r="AS4" s="195"/>
      <c r="AT4" s="195"/>
      <c r="AU4" s="195"/>
      <c r="AV4" s="195"/>
      <c r="AW4" s="195"/>
      <c r="AX4" s="195"/>
      <c r="AY4" s="195"/>
      <c r="AZ4" s="195"/>
      <c r="BA4" s="195"/>
      <c r="BB4" s="185"/>
      <c r="BC4" s="197"/>
      <c r="BD4" s="197"/>
      <c r="BE4" s="197"/>
      <c r="BF4" s="197"/>
      <c r="BG4" s="197"/>
      <c r="BH4" s="197"/>
      <c r="BI4" s="197"/>
      <c r="BJ4" s="197"/>
      <c r="BK4" s="197"/>
    </row>
    <row r="5" spans="1:63" ht="21" thickBot="1">
      <c r="A5" s="55" t="s">
        <v>10</v>
      </c>
      <c r="B5" s="177" t="s">
        <v>11</v>
      </c>
      <c r="C5" s="185"/>
      <c r="D5" s="195"/>
      <c r="E5" s="195"/>
      <c r="F5" s="195"/>
      <c r="G5" s="195"/>
      <c r="H5" s="195"/>
      <c r="I5" s="195"/>
      <c r="J5" s="195"/>
      <c r="K5" s="195"/>
      <c r="L5" s="195"/>
      <c r="M5" s="195"/>
      <c r="N5" s="204"/>
      <c r="O5" s="204"/>
      <c r="P5" s="204"/>
      <c r="Q5" s="204"/>
      <c r="R5" s="204"/>
      <c r="S5" s="204"/>
      <c r="T5" s="204"/>
      <c r="U5" s="204"/>
      <c r="V5" s="204"/>
      <c r="W5" s="204"/>
      <c r="X5" s="195"/>
      <c r="Y5" s="195"/>
      <c r="Z5" s="195"/>
      <c r="AA5" s="195"/>
      <c r="AB5" s="195"/>
      <c r="AC5" s="195"/>
      <c r="AD5" s="195"/>
      <c r="AE5" s="195"/>
      <c r="AF5" s="195"/>
      <c r="AG5" s="195"/>
      <c r="AH5" s="195"/>
      <c r="AI5" s="195"/>
      <c r="AJ5" s="195"/>
      <c r="AK5" s="195"/>
      <c r="AL5" s="195"/>
      <c r="AM5" s="195"/>
      <c r="AN5" s="195"/>
      <c r="AO5" s="195"/>
      <c r="AP5" s="195"/>
      <c r="AQ5" s="195"/>
      <c r="AR5" s="195" t="s">
        <v>12</v>
      </c>
      <c r="AS5" s="195"/>
      <c r="AT5" s="195"/>
      <c r="AU5" s="195"/>
      <c r="AV5" s="195"/>
      <c r="AW5" s="195"/>
      <c r="AX5" s="195"/>
      <c r="AY5" s="195"/>
      <c r="AZ5" s="195"/>
      <c r="BA5" s="195"/>
      <c r="BB5" s="185"/>
      <c r="BC5" s="197"/>
      <c r="BD5" s="197"/>
      <c r="BE5" s="197"/>
      <c r="BF5" s="197"/>
      <c r="BG5" s="197"/>
      <c r="BH5" s="197"/>
      <c r="BI5" s="197"/>
      <c r="BJ5" s="197"/>
      <c r="BK5" s="197"/>
    </row>
    <row r="6" spans="1:63">
      <c r="A6" s="199" t="s">
        <v>13</v>
      </c>
      <c r="B6" s="200">
        <v>4</v>
      </c>
      <c r="C6" s="185"/>
      <c r="D6" s="195"/>
      <c r="E6" s="195"/>
      <c r="F6" s="195"/>
      <c r="G6" s="195"/>
      <c r="H6" s="195"/>
      <c r="I6" s="195"/>
      <c r="J6" s="195"/>
      <c r="K6" s="195"/>
      <c r="L6" s="195"/>
      <c r="M6" s="195"/>
      <c r="N6" s="195" t="s">
        <v>14</v>
      </c>
      <c r="O6" s="195"/>
      <c r="P6" s="195"/>
      <c r="Q6" s="195"/>
      <c r="R6" s="195"/>
      <c r="S6" s="195"/>
      <c r="T6" s="195"/>
      <c r="U6" s="195"/>
      <c r="V6" s="195"/>
      <c r="W6" s="195"/>
      <c r="X6" s="195"/>
      <c r="Y6" s="195"/>
      <c r="Z6" s="195"/>
      <c r="AA6" s="195"/>
      <c r="AB6" s="195"/>
      <c r="AC6" s="195"/>
      <c r="AD6" s="195"/>
      <c r="AE6" s="195"/>
      <c r="AF6" s="195"/>
      <c r="AG6" s="195"/>
      <c r="AH6" s="195"/>
      <c r="AI6" s="195"/>
      <c r="AJ6" s="195"/>
      <c r="AK6" s="195"/>
      <c r="AL6" s="195"/>
      <c r="AM6" s="195"/>
      <c r="AN6" s="195"/>
      <c r="AO6" s="195"/>
      <c r="AP6" s="195"/>
      <c r="AQ6" s="195"/>
      <c r="AR6" s="195"/>
      <c r="AS6" s="195"/>
      <c r="AT6" s="195"/>
      <c r="AU6" s="195"/>
      <c r="AV6" s="195"/>
      <c r="AW6" s="195"/>
      <c r="AX6" s="195"/>
      <c r="AY6" s="195"/>
      <c r="AZ6" s="195"/>
      <c r="BA6" s="195"/>
      <c r="BB6" s="185"/>
      <c r="BC6" s="185" t="s">
        <v>15</v>
      </c>
      <c r="BD6" s="196" t="s">
        <v>16</v>
      </c>
      <c r="BE6" s="196"/>
      <c r="BF6" s="196"/>
      <c r="BG6" s="196"/>
      <c r="BH6" s="196"/>
      <c r="BI6" s="196"/>
      <c r="BJ6" s="196"/>
      <c r="BK6" s="196"/>
    </row>
    <row r="7" spans="1:63" ht="15.75" customHeight="1" thickBot="1">
      <c r="A7" s="199"/>
      <c r="B7" s="201"/>
      <c r="C7" s="185"/>
      <c r="D7" s="195"/>
      <c r="E7" s="195"/>
      <c r="F7" s="195"/>
      <c r="G7" s="195"/>
      <c r="H7" s="195"/>
      <c r="I7" s="195"/>
      <c r="J7" s="195"/>
      <c r="K7" s="195"/>
      <c r="L7" s="195"/>
      <c r="M7" s="195"/>
      <c r="N7" s="195"/>
      <c r="O7" s="195"/>
      <c r="P7" s="195"/>
      <c r="Q7" s="195"/>
      <c r="R7" s="195"/>
      <c r="S7" s="195"/>
      <c r="T7" s="195"/>
      <c r="U7" s="195"/>
      <c r="V7" s="195"/>
      <c r="W7" s="195"/>
      <c r="X7" s="195"/>
      <c r="Y7" s="195"/>
      <c r="Z7" s="195"/>
      <c r="AA7" s="195"/>
      <c r="AB7" s="195"/>
      <c r="AC7" s="195"/>
      <c r="AD7" s="195"/>
      <c r="AE7" s="195"/>
      <c r="AF7" s="195"/>
      <c r="AG7" s="195"/>
      <c r="AH7" s="195"/>
      <c r="AI7" s="195"/>
      <c r="AJ7" s="195"/>
      <c r="AK7" s="195"/>
      <c r="AL7" s="195"/>
      <c r="AM7" s="195"/>
      <c r="AN7" s="195"/>
      <c r="AO7" s="195"/>
      <c r="AP7" s="195"/>
      <c r="AQ7" s="195"/>
      <c r="AR7" s="195"/>
      <c r="AS7" s="195"/>
      <c r="AT7" s="195"/>
      <c r="AU7" s="195"/>
      <c r="AV7" s="195"/>
      <c r="AW7" s="195"/>
      <c r="AX7" s="195"/>
      <c r="AY7" s="195"/>
      <c r="AZ7" s="195"/>
      <c r="BA7" s="195"/>
      <c r="BB7" s="185"/>
      <c r="BC7" s="185"/>
      <c r="BD7" s="196"/>
      <c r="BE7" s="196"/>
      <c r="BF7" s="196"/>
      <c r="BG7" s="196"/>
      <c r="BH7" s="196"/>
      <c r="BI7" s="196"/>
      <c r="BJ7" s="196"/>
      <c r="BK7" s="196"/>
    </row>
    <row r="8" spans="1:63" ht="15" customHeight="1" thickBot="1">
      <c r="B8" s="185"/>
      <c r="C8" s="185"/>
      <c r="D8" s="195"/>
      <c r="E8" s="195"/>
      <c r="F8" s="195"/>
      <c r="G8" s="195"/>
      <c r="H8" s="195"/>
      <c r="I8" s="195"/>
      <c r="J8" s="195"/>
      <c r="K8" s="195"/>
      <c r="L8" s="195"/>
      <c r="M8" s="195"/>
      <c r="N8" s="195"/>
      <c r="O8" s="195"/>
      <c r="P8" s="195"/>
      <c r="Q8" s="195"/>
      <c r="R8" s="195"/>
      <c r="S8" s="195"/>
      <c r="T8" s="195"/>
      <c r="U8" s="195"/>
      <c r="V8" s="195"/>
      <c r="W8" s="195"/>
      <c r="X8" s="195"/>
      <c r="Y8" s="195"/>
      <c r="Z8" s="195"/>
      <c r="AA8" s="195"/>
      <c r="AB8" s="195"/>
      <c r="AC8" s="195"/>
      <c r="AD8" s="195"/>
      <c r="AE8" s="195"/>
      <c r="AF8" s="195"/>
      <c r="AG8" s="195"/>
      <c r="AH8" s="195"/>
      <c r="AI8" s="195"/>
      <c r="AJ8" s="195"/>
      <c r="AK8" s="195"/>
      <c r="AL8" s="195"/>
      <c r="AM8" s="195"/>
      <c r="AN8" s="195"/>
      <c r="AO8" s="195"/>
      <c r="AP8" s="195"/>
      <c r="AQ8" s="195"/>
      <c r="AR8" s="195"/>
      <c r="AS8" s="195"/>
      <c r="AT8" s="195"/>
      <c r="AU8" s="195"/>
      <c r="AV8" s="195"/>
      <c r="AW8" s="195"/>
      <c r="AX8" s="195"/>
      <c r="AY8" s="195"/>
      <c r="AZ8" s="195"/>
      <c r="BA8" s="195"/>
      <c r="BB8" s="185"/>
      <c r="BC8" s="185"/>
      <c r="BD8" s="196"/>
      <c r="BE8" s="196"/>
      <c r="BF8" s="196"/>
      <c r="BG8" s="196"/>
      <c r="BH8" s="196"/>
      <c r="BI8" s="196"/>
      <c r="BJ8" s="196"/>
      <c r="BK8" s="196"/>
    </row>
    <row r="9" spans="1:63" ht="29.1" hidden="1" customHeight="1" thickBot="1">
      <c r="A9" s="67" t="s">
        <v>17</v>
      </c>
      <c r="B9" s="54" t="s">
        <v>18</v>
      </c>
      <c r="C9" s="185"/>
      <c r="D9" s="195"/>
      <c r="E9" s="195"/>
      <c r="F9" s="195"/>
      <c r="G9" s="195"/>
      <c r="H9" s="195"/>
      <c r="I9" s="195"/>
      <c r="J9" s="195"/>
      <c r="K9" s="195"/>
      <c r="L9" s="195"/>
      <c r="M9" s="195"/>
      <c r="N9" s="195"/>
      <c r="O9" s="195"/>
      <c r="P9" s="195"/>
      <c r="Q9" s="195"/>
      <c r="R9" s="195"/>
      <c r="S9" s="195"/>
      <c r="T9" s="195"/>
      <c r="U9" s="195"/>
      <c r="V9" s="195"/>
      <c r="W9" s="195"/>
      <c r="X9" s="195"/>
      <c r="Y9" s="195"/>
      <c r="Z9" s="195"/>
      <c r="AA9" s="195"/>
      <c r="AB9" s="195"/>
      <c r="AC9" s="195"/>
      <c r="AD9" s="195"/>
      <c r="AE9" s="195"/>
      <c r="AF9" s="195"/>
      <c r="AG9" s="195"/>
      <c r="AH9" s="195"/>
      <c r="AI9" s="195"/>
      <c r="AJ9" s="195"/>
      <c r="AK9" s="195"/>
      <c r="AL9" s="195"/>
      <c r="AM9" s="195"/>
      <c r="AN9" s="195"/>
      <c r="AO9" s="195"/>
      <c r="AP9" s="195"/>
      <c r="AQ9" s="195"/>
      <c r="AR9" s="188"/>
      <c r="AS9" s="188"/>
      <c r="AT9" s="188"/>
      <c r="AU9" s="188"/>
      <c r="AV9" s="188"/>
      <c r="AW9" s="188"/>
      <c r="AX9" s="188"/>
      <c r="AY9" s="188"/>
      <c r="AZ9" s="188"/>
      <c r="BA9" s="188"/>
      <c r="BB9" s="185"/>
      <c r="BC9" s="185"/>
      <c r="BD9" s="196"/>
      <c r="BE9" s="196"/>
      <c r="BF9" s="196"/>
      <c r="BG9" s="196"/>
      <c r="BH9" s="196"/>
      <c r="BI9" s="196"/>
      <c r="BJ9" s="196"/>
      <c r="BK9" s="196"/>
    </row>
    <row r="10" spans="1:63" ht="15.75" thickBot="1">
      <c r="A10" s="68" t="s">
        <v>19</v>
      </c>
      <c r="B10" s="176">
        <v>75</v>
      </c>
      <c r="C10" s="185"/>
      <c r="D10" s="195"/>
      <c r="E10" s="195"/>
      <c r="F10" s="195"/>
      <c r="G10" s="195"/>
      <c r="H10" s="195"/>
      <c r="I10" s="195"/>
      <c r="J10" s="195"/>
      <c r="K10" s="195"/>
      <c r="L10" s="195"/>
      <c r="M10" s="195"/>
      <c r="N10" s="195"/>
      <c r="O10" s="195"/>
      <c r="P10" s="195"/>
      <c r="Q10" s="195"/>
      <c r="R10" s="195"/>
      <c r="S10" s="195"/>
      <c r="T10" s="195"/>
      <c r="U10" s="195"/>
      <c r="V10" s="195"/>
      <c r="W10" s="195"/>
      <c r="X10" s="195"/>
      <c r="Y10" s="195"/>
      <c r="Z10" s="195"/>
      <c r="AA10" s="195"/>
      <c r="AB10" s="195"/>
      <c r="AC10" s="195"/>
      <c r="AD10" s="195"/>
      <c r="AE10" s="195"/>
      <c r="AF10" s="195"/>
      <c r="AG10" s="195"/>
      <c r="AH10" s="195"/>
      <c r="AI10" s="195"/>
      <c r="AJ10" s="195"/>
      <c r="AK10" s="195"/>
      <c r="AL10" s="195"/>
      <c r="AM10" s="195"/>
      <c r="AN10" s="195"/>
      <c r="AO10" s="195"/>
      <c r="AP10" s="195"/>
      <c r="AQ10" s="195"/>
      <c r="AR10" s="195" t="s">
        <v>20</v>
      </c>
      <c r="AS10" s="195"/>
      <c r="AT10" s="195"/>
      <c r="AU10" s="195"/>
      <c r="AV10" s="195"/>
      <c r="AW10" s="195"/>
      <c r="AX10" s="195"/>
      <c r="AY10" s="195"/>
      <c r="AZ10" s="195"/>
      <c r="BA10" s="195"/>
      <c r="BB10" s="185"/>
      <c r="BC10" s="185" t="s">
        <v>21</v>
      </c>
      <c r="BD10" s="196" t="s">
        <v>22</v>
      </c>
      <c r="BE10" s="196"/>
      <c r="BF10" s="196"/>
      <c r="BG10" s="196"/>
      <c r="BH10" s="196"/>
      <c r="BI10" s="196"/>
      <c r="BJ10" s="196"/>
      <c r="BK10" s="196"/>
    </row>
    <row r="11" spans="1:63" ht="15.75" thickBot="1">
      <c r="A11" s="68" t="s">
        <v>23</v>
      </c>
      <c r="B11" s="69" t="str">
        <f>IF(SUM('Ratio Analysis (Q1 &amp; Q4)'!V19,'Correcting Entries (Q2)'!P21,'Updated Fin. Statements (Q3)'!R21,'Critical Thinking (Q5 &amp; Q6)'!V40,'Critical Thinking (Q5 &amp; Q6)'!V40,'Critical Thinking (Q5 &amp; Q6)'!AC35)=0,"",SUM('Ratio Analysis (Q1 &amp; Q4)'!V19,'Correcting Entries (Q2)'!P21,'Updated Fin. Statements (Q3)'!R21,'Critical Thinking (Q5 &amp; Q6)'!V40,'Critical Thinking (Q5 &amp; Q6)'!AC35))</f>
        <v/>
      </c>
      <c r="C11" s="185"/>
      <c r="D11" s="195"/>
      <c r="E11" s="195"/>
      <c r="F11" s="195"/>
      <c r="G11" s="195"/>
      <c r="H11" s="195"/>
      <c r="I11" s="195"/>
      <c r="J11" s="195"/>
      <c r="K11" s="195"/>
      <c r="L11" s="195"/>
      <c r="M11" s="195"/>
      <c r="N11" s="195"/>
      <c r="O11" s="195"/>
      <c r="P11" s="195"/>
      <c r="Q11" s="195"/>
      <c r="R11" s="195"/>
      <c r="S11" s="195"/>
      <c r="T11" s="195"/>
      <c r="U11" s="195"/>
      <c r="V11" s="195"/>
      <c r="W11" s="195"/>
      <c r="X11" s="195"/>
      <c r="Y11" s="195"/>
      <c r="Z11" s="195"/>
      <c r="AA11" s="195"/>
      <c r="AB11" s="195"/>
      <c r="AC11" s="195"/>
      <c r="AD11" s="195"/>
      <c r="AE11" s="195"/>
      <c r="AF11" s="195"/>
      <c r="AG11" s="195"/>
      <c r="AH11" s="195"/>
      <c r="AI11" s="195"/>
      <c r="AJ11" s="195"/>
      <c r="AK11" s="195"/>
      <c r="AL11" s="195"/>
      <c r="AM11" s="195"/>
      <c r="AN11" s="195"/>
      <c r="AO11" s="195"/>
      <c r="AP11" s="195"/>
      <c r="AQ11" s="195"/>
      <c r="AR11" s="195"/>
      <c r="AS11" s="195"/>
      <c r="AT11" s="195"/>
      <c r="AU11" s="195"/>
      <c r="AV11" s="195"/>
      <c r="AW11" s="195"/>
      <c r="AX11" s="195"/>
      <c r="AY11" s="195"/>
      <c r="AZ11" s="195"/>
      <c r="BA11" s="195"/>
      <c r="BB11" s="185"/>
      <c r="BC11" s="185"/>
      <c r="BD11" s="196"/>
      <c r="BE11" s="196"/>
      <c r="BF11" s="196"/>
      <c r="BG11" s="196"/>
      <c r="BH11" s="196"/>
      <c r="BI11" s="196"/>
      <c r="BJ11" s="196"/>
      <c r="BK11" s="196"/>
    </row>
    <row r="12" spans="1:63" ht="15.75" customHeight="1" thickBot="1">
      <c r="A12" s="68" t="s">
        <v>24</v>
      </c>
      <c r="B12" s="72" t="str">
        <f>IF(B11=0,"",IFERROR(B11/B10,""))</f>
        <v/>
      </c>
      <c r="C12" s="185"/>
      <c r="D12" s="195" t="s">
        <v>25</v>
      </c>
      <c r="E12" s="195"/>
      <c r="F12" s="195"/>
      <c r="G12" s="195"/>
      <c r="H12" s="195"/>
      <c r="I12" s="195"/>
      <c r="J12" s="195"/>
      <c r="K12" s="195"/>
      <c r="L12" s="195"/>
      <c r="M12" s="195"/>
      <c r="N12" s="209" t="s">
        <v>26</v>
      </c>
      <c r="O12" s="209"/>
      <c r="P12" s="209"/>
      <c r="Q12" s="209"/>
      <c r="R12" s="209"/>
      <c r="S12" s="209"/>
      <c r="T12" s="209"/>
      <c r="U12" s="209"/>
      <c r="V12" s="209"/>
      <c r="W12" s="209"/>
      <c r="X12" s="195"/>
      <c r="Y12" s="195"/>
      <c r="Z12" s="195"/>
      <c r="AA12" s="195"/>
      <c r="AB12" s="195"/>
      <c r="AC12" s="195"/>
      <c r="AD12" s="195"/>
      <c r="AE12" s="195"/>
      <c r="AF12" s="195"/>
      <c r="AG12" s="195"/>
      <c r="AH12" s="195"/>
      <c r="AI12" s="195"/>
      <c r="AJ12" s="195"/>
      <c r="AK12" s="195"/>
      <c r="AL12" s="195"/>
      <c r="AM12" s="195"/>
      <c r="AN12" s="195"/>
      <c r="AO12" s="195"/>
      <c r="AP12" s="195"/>
      <c r="AQ12" s="195"/>
      <c r="AR12" s="195"/>
      <c r="AS12" s="195"/>
      <c r="AT12" s="195"/>
      <c r="AU12" s="195"/>
      <c r="AV12" s="195"/>
      <c r="AW12" s="195"/>
      <c r="AX12" s="195"/>
      <c r="AY12" s="195"/>
      <c r="AZ12" s="195"/>
      <c r="BA12" s="195"/>
      <c r="BB12" s="185"/>
      <c r="BC12" s="185"/>
      <c r="BD12" s="196"/>
      <c r="BE12" s="196"/>
      <c r="BF12" s="196"/>
      <c r="BG12" s="196"/>
      <c r="BH12" s="196"/>
      <c r="BI12" s="196"/>
      <c r="BJ12" s="196"/>
      <c r="BK12" s="196"/>
    </row>
    <row r="13" spans="1:63" ht="14.45" customHeight="1">
      <c r="A13" s="185"/>
      <c r="B13" s="185"/>
      <c r="C13" s="185"/>
      <c r="D13" s="195"/>
      <c r="E13" s="195"/>
      <c r="F13" s="195"/>
      <c r="G13" s="195"/>
      <c r="H13" s="195"/>
      <c r="I13" s="195"/>
      <c r="J13" s="195"/>
      <c r="K13" s="195"/>
      <c r="L13" s="195"/>
      <c r="M13" s="195"/>
      <c r="N13" s="188"/>
      <c r="O13" s="188"/>
      <c r="P13" s="188"/>
      <c r="Q13" s="188"/>
      <c r="R13" s="188"/>
      <c r="S13" s="188"/>
      <c r="T13" s="188"/>
      <c r="U13" s="188"/>
      <c r="V13" s="188"/>
      <c r="W13" s="188"/>
      <c r="X13" s="195"/>
      <c r="Y13" s="195"/>
      <c r="Z13" s="195"/>
      <c r="AA13" s="195"/>
      <c r="AB13" s="195"/>
      <c r="AC13" s="195"/>
      <c r="AD13" s="195"/>
      <c r="AE13" s="195"/>
      <c r="AF13" s="195"/>
      <c r="AG13" s="195"/>
      <c r="AH13" s="196" t="s">
        <v>27</v>
      </c>
      <c r="AI13" s="196"/>
      <c r="AJ13" s="196"/>
      <c r="AK13" s="196"/>
      <c r="AL13" s="196"/>
      <c r="AM13" s="196"/>
      <c r="AN13" s="196"/>
      <c r="AO13" s="196"/>
      <c r="AP13" s="196"/>
      <c r="AQ13" s="196"/>
      <c r="AR13" s="195"/>
      <c r="AS13" s="195"/>
      <c r="AT13" s="195"/>
      <c r="AU13" s="195"/>
      <c r="AV13" s="195"/>
      <c r="AW13" s="195"/>
      <c r="AX13" s="195"/>
      <c r="AY13" s="195"/>
      <c r="AZ13" s="195"/>
      <c r="BA13" s="195"/>
      <c r="BB13" s="185"/>
      <c r="BC13" s="137" t="s">
        <v>28</v>
      </c>
      <c r="BD13" s="196" t="s">
        <v>29</v>
      </c>
      <c r="BE13" s="196"/>
      <c r="BF13" s="196"/>
      <c r="BG13" s="196"/>
      <c r="BH13" s="196"/>
      <c r="BI13" s="196"/>
      <c r="BJ13" s="196"/>
      <c r="BK13" s="196"/>
    </row>
    <row r="14" spans="1:63" ht="14.45" customHeight="1">
      <c r="A14" s="207" t="s">
        <v>30</v>
      </c>
      <c r="B14" s="207"/>
      <c r="C14" s="185"/>
      <c r="D14" s="195"/>
      <c r="E14" s="195"/>
      <c r="F14" s="195"/>
      <c r="G14" s="195"/>
      <c r="H14" s="195"/>
      <c r="I14" s="195"/>
      <c r="J14" s="195"/>
      <c r="K14" s="195"/>
      <c r="L14" s="195"/>
      <c r="M14" s="195"/>
      <c r="N14" s="188"/>
      <c r="O14" s="188"/>
      <c r="P14" s="188"/>
      <c r="Q14" s="188"/>
      <c r="R14" s="188"/>
      <c r="S14" s="188"/>
      <c r="T14" s="188"/>
      <c r="U14" s="188"/>
      <c r="V14" s="188"/>
      <c r="W14" s="188"/>
      <c r="X14" s="195"/>
      <c r="Y14" s="195"/>
      <c r="Z14" s="195"/>
      <c r="AA14" s="195"/>
      <c r="AB14" s="195"/>
      <c r="AC14" s="195"/>
      <c r="AD14" s="195"/>
      <c r="AE14" s="195"/>
      <c r="AF14" s="195"/>
      <c r="AG14" s="195"/>
      <c r="AH14" s="196"/>
      <c r="AI14" s="196"/>
      <c r="AJ14" s="196"/>
      <c r="AK14" s="196"/>
      <c r="AL14" s="196"/>
      <c r="AM14" s="196"/>
      <c r="AN14" s="196"/>
      <c r="AO14" s="196"/>
      <c r="AP14" s="196"/>
      <c r="AQ14" s="196"/>
      <c r="AR14" s="195"/>
      <c r="AS14" s="195"/>
      <c r="AT14" s="195"/>
      <c r="AU14" s="195"/>
      <c r="AV14" s="195"/>
      <c r="AW14" s="195"/>
      <c r="AX14" s="195"/>
      <c r="AY14" s="195"/>
      <c r="AZ14" s="195"/>
      <c r="BA14" s="195"/>
      <c r="BB14" s="185"/>
      <c r="BC14" s="137"/>
      <c r="BD14" s="196"/>
      <c r="BE14" s="196"/>
      <c r="BF14" s="196"/>
      <c r="BG14" s="196"/>
      <c r="BH14" s="196"/>
      <c r="BI14" s="196"/>
      <c r="BJ14" s="196"/>
      <c r="BK14" s="196"/>
    </row>
    <row r="15" spans="1:63">
      <c r="A15" s="207"/>
      <c r="B15" s="207"/>
      <c r="C15" s="185"/>
      <c r="D15" s="195"/>
      <c r="E15" s="195"/>
      <c r="F15" s="195"/>
      <c r="G15" s="195"/>
      <c r="H15" s="195"/>
      <c r="I15" s="195"/>
      <c r="J15" s="195"/>
      <c r="K15" s="195"/>
      <c r="L15" s="195"/>
      <c r="M15" s="195"/>
      <c r="N15" s="188"/>
      <c r="O15" s="188"/>
      <c r="P15" s="188"/>
      <c r="Q15" s="188"/>
      <c r="R15" s="188"/>
      <c r="S15" s="188"/>
      <c r="T15" s="188"/>
      <c r="U15" s="188"/>
      <c r="V15" s="188"/>
      <c r="W15" s="188"/>
      <c r="X15" s="195"/>
      <c r="Y15" s="195"/>
      <c r="Z15" s="195"/>
      <c r="AA15" s="195"/>
      <c r="AB15" s="195"/>
      <c r="AC15" s="195"/>
      <c r="AD15" s="195"/>
      <c r="AE15" s="195"/>
      <c r="AF15" s="195"/>
      <c r="AG15" s="195"/>
      <c r="AH15" s="196"/>
      <c r="AI15" s="196"/>
      <c r="AJ15" s="196"/>
      <c r="AK15" s="196"/>
      <c r="AL15" s="196"/>
      <c r="AM15" s="196"/>
      <c r="AN15" s="196"/>
      <c r="AO15" s="196"/>
      <c r="AP15" s="196"/>
      <c r="AQ15" s="196"/>
      <c r="AR15" s="185"/>
      <c r="AS15" s="185"/>
      <c r="AT15" s="185"/>
      <c r="AU15" s="185"/>
      <c r="AV15" s="185"/>
      <c r="AW15" s="185"/>
      <c r="AX15" s="185"/>
      <c r="AY15" s="185"/>
      <c r="AZ15" s="185"/>
      <c r="BA15" s="185"/>
      <c r="BB15" s="185"/>
      <c r="BC15" s="185"/>
      <c r="BD15" s="196"/>
      <c r="BE15" s="196"/>
      <c r="BF15" s="196"/>
      <c r="BG15" s="196"/>
      <c r="BH15" s="196"/>
      <c r="BI15" s="196"/>
      <c r="BJ15" s="196"/>
      <c r="BK15" s="196"/>
    </row>
    <row r="16" spans="1:63" ht="16.5" customHeight="1">
      <c r="A16" s="207"/>
      <c r="B16" s="207"/>
      <c r="C16" s="185"/>
      <c r="D16" s="195"/>
      <c r="E16" s="195"/>
      <c r="F16" s="195"/>
      <c r="G16" s="195"/>
      <c r="H16" s="195"/>
      <c r="I16" s="195"/>
      <c r="J16" s="195"/>
      <c r="K16" s="195"/>
      <c r="L16" s="195"/>
      <c r="M16" s="195"/>
      <c r="N16" s="205" t="s">
        <v>31</v>
      </c>
      <c r="O16" s="205"/>
      <c r="P16" s="205"/>
      <c r="Q16" s="205"/>
      <c r="R16" s="205"/>
      <c r="S16" s="205"/>
      <c r="T16" s="205"/>
      <c r="U16" s="205"/>
      <c r="V16" s="205"/>
      <c r="W16" s="205"/>
      <c r="X16" s="195"/>
      <c r="Y16" s="195"/>
      <c r="Z16" s="195"/>
      <c r="AA16" s="195"/>
      <c r="AB16" s="195"/>
      <c r="AC16" s="195"/>
      <c r="AD16" s="195"/>
      <c r="AE16" s="195"/>
      <c r="AF16" s="195"/>
      <c r="AG16" s="195"/>
      <c r="AH16" s="196"/>
      <c r="AI16" s="196"/>
      <c r="AJ16" s="196"/>
      <c r="AK16" s="196"/>
      <c r="AL16" s="196"/>
      <c r="AM16" s="196"/>
      <c r="AN16" s="196"/>
      <c r="AO16" s="196"/>
      <c r="AP16" s="196"/>
      <c r="AQ16" s="196"/>
      <c r="AR16" s="205" t="s">
        <v>32</v>
      </c>
      <c r="AS16" s="205"/>
      <c r="AT16" s="205"/>
      <c r="AU16" s="205"/>
      <c r="AV16" s="205"/>
      <c r="AW16" s="205"/>
      <c r="AX16" s="205"/>
      <c r="AY16" s="205"/>
      <c r="AZ16" s="205"/>
      <c r="BA16" s="205"/>
      <c r="BB16" s="185"/>
      <c r="BC16" s="185" t="s">
        <v>33</v>
      </c>
      <c r="BD16" s="196" t="s">
        <v>34</v>
      </c>
      <c r="BE16" s="196"/>
      <c r="BF16" s="196"/>
      <c r="BG16" s="196"/>
      <c r="BH16" s="196"/>
      <c r="BI16" s="196"/>
      <c r="BJ16" s="196"/>
      <c r="BK16" s="196"/>
    </row>
    <row r="17" spans="1:63">
      <c r="A17" s="207"/>
      <c r="B17" s="207"/>
      <c r="C17" s="185"/>
      <c r="D17" s="195"/>
      <c r="E17" s="195"/>
      <c r="F17" s="195"/>
      <c r="G17" s="195"/>
      <c r="H17" s="195"/>
      <c r="I17" s="195"/>
      <c r="J17" s="195"/>
      <c r="K17" s="195"/>
      <c r="L17" s="195"/>
      <c r="M17" s="195"/>
      <c r="N17" s="195" t="str">
        <f>'Iterative Data'!B5&amp;" Credit Union was founded by the Beiterman family over 100 years ago in the small town of West Klirk, GA.  Since its founding, "&amp;'Iterative Data'!B5&amp;" has served the local population with mortgage, auto, and small business loans, as well as other banking services.  Because of West Klirk’s remote location, "&amp;'Iterative Data'!B5&amp;" was the only bank used by most of the community.  In the last twenty years, "&amp;'Iterative Data'!B5&amp;" has struggled to maintain its position as the primary bank of the local community.  "&amp;"Online banking services, heavy marketing by large banks in nearby cities, and a small branch office opened in West Klirk by a national banking chain have all served to reduce "&amp;'Iterative Data'!B5&amp;"’s market share and profits."</f>
        <v>Fora Credit Union was founded by the Beiterman family over 100 years ago in the small town of West Klirk, GA.  Since its founding, Fora has served the local population with mortgage, auto, and small business loans, as well as other banking services.  Because of West Klirk’s remote location, Fora was the only bank used by most of the community.  In the last twenty years, Fora has struggled to maintain its position as the primary bank of the local community.  Online banking services, heavy marketing by large banks in nearby cities, and a small branch office opened in West Klirk by a national banking chain have all served to reduce Fora’s market share and profits.</v>
      </c>
      <c r="O17" s="195"/>
      <c r="P17" s="195"/>
      <c r="Q17" s="195"/>
      <c r="R17" s="195"/>
      <c r="S17" s="195"/>
      <c r="T17" s="195"/>
      <c r="U17" s="195"/>
      <c r="V17" s="195"/>
      <c r="W17" s="195"/>
      <c r="X17" s="195"/>
      <c r="Y17" s="195"/>
      <c r="Z17" s="195"/>
      <c r="AA17" s="195"/>
      <c r="AB17" s="195"/>
      <c r="AC17" s="195"/>
      <c r="AD17" s="195"/>
      <c r="AE17" s="195"/>
      <c r="AF17" s="195"/>
      <c r="AG17" s="195"/>
      <c r="AH17" s="196"/>
      <c r="AI17" s="196"/>
      <c r="AJ17" s="196"/>
      <c r="AK17" s="196"/>
      <c r="AL17" s="196"/>
      <c r="AM17" s="196"/>
      <c r="AN17" s="196"/>
      <c r="AO17" s="196"/>
      <c r="AP17" s="196"/>
      <c r="AQ17" s="196"/>
      <c r="AR17" s="138" t="s">
        <v>35</v>
      </c>
      <c r="AS17" s="196" t="s">
        <v>36</v>
      </c>
      <c r="AT17" s="196"/>
      <c r="AU17" s="196"/>
      <c r="AV17" s="196"/>
      <c r="AW17" s="196"/>
      <c r="AX17" s="196"/>
      <c r="AY17" s="196"/>
      <c r="AZ17" s="196"/>
      <c r="BA17" s="196"/>
      <c r="BB17" s="185"/>
      <c r="BC17" s="185"/>
      <c r="BD17" s="196"/>
      <c r="BE17" s="196"/>
      <c r="BF17" s="196"/>
      <c r="BG17" s="196"/>
      <c r="BH17" s="196"/>
      <c r="BI17" s="196"/>
      <c r="BJ17" s="196"/>
      <c r="BK17" s="196"/>
    </row>
    <row r="18" spans="1:63">
      <c r="A18" s="207"/>
      <c r="B18" s="207"/>
      <c r="C18" s="185"/>
      <c r="D18" s="195"/>
      <c r="E18" s="195"/>
      <c r="F18" s="195"/>
      <c r="G18" s="195"/>
      <c r="H18" s="195"/>
      <c r="I18" s="195"/>
      <c r="J18" s="195"/>
      <c r="K18" s="195"/>
      <c r="L18" s="195"/>
      <c r="M18" s="195"/>
      <c r="N18" s="195"/>
      <c r="O18" s="195"/>
      <c r="P18" s="195"/>
      <c r="Q18" s="195"/>
      <c r="R18" s="195"/>
      <c r="S18" s="195"/>
      <c r="T18" s="195"/>
      <c r="U18" s="195"/>
      <c r="V18" s="195"/>
      <c r="W18" s="195"/>
      <c r="X18" s="195"/>
      <c r="Y18" s="195"/>
      <c r="Z18" s="195"/>
      <c r="AA18" s="195"/>
      <c r="AB18" s="195"/>
      <c r="AC18" s="195"/>
      <c r="AD18" s="195"/>
      <c r="AE18" s="195"/>
      <c r="AF18" s="195"/>
      <c r="AG18" s="195"/>
      <c r="AH18" s="185"/>
      <c r="AI18" s="185"/>
      <c r="AJ18" s="185"/>
      <c r="AK18" s="185"/>
      <c r="AL18" s="185"/>
      <c r="AM18" s="185"/>
      <c r="AN18" s="185"/>
      <c r="AO18" s="185"/>
      <c r="AP18" s="185"/>
      <c r="AQ18" s="185"/>
      <c r="AR18" s="138"/>
      <c r="AS18" s="196"/>
      <c r="AT18" s="196"/>
      <c r="AU18" s="196"/>
      <c r="AV18" s="196"/>
      <c r="AW18" s="196"/>
      <c r="AX18" s="196"/>
      <c r="AY18" s="196"/>
      <c r="AZ18" s="196"/>
      <c r="BA18" s="196"/>
      <c r="BB18" s="185"/>
      <c r="BC18" s="185"/>
      <c r="BD18" s="196"/>
      <c r="BE18" s="196"/>
      <c r="BF18" s="196"/>
      <c r="BG18" s="196"/>
      <c r="BH18" s="196"/>
      <c r="BI18" s="196"/>
      <c r="BJ18" s="196"/>
      <c r="BK18" s="196"/>
    </row>
    <row r="19" spans="1:63" ht="14.45" customHeight="1">
      <c r="A19" s="207"/>
      <c r="B19" s="207"/>
      <c r="C19" s="185"/>
      <c r="D19" s="210" t="s">
        <v>37</v>
      </c>
      <c r="E19" s="210"/>
      <c r="F19" s="210"/>
      <c r="G19" s="210"/>
      <c r="H19" s="210"/>
      <c r="I19" s="210"/>
      <c r="J19" s="210"/>
      <c r="K19" s="210"/>
      <c r="L19" s="210"/>
      <c r="M19" s="210"/>
      <c r="N19" s="195"/>
      <c r="O19" s="195"/>
      <c r="P19" s="195"/>
      <c r="Q19" s="195"/>
      <c r="R19" s="195"/>
      <c r="S19" s="195"/>
      <c r="T19" s="195"/>
      <c r="U19" s="195"/>
      <c r="V19" s="195"/>
      <c r="W19" s="195"/>
      <c r="X19" s="185"/>
      <c r="Y19" s="185"/>
      <c r="Z19" s="185"/>
      <c r="AA19" s="185"/>
      <c r="AB19" s="185"/>
      <c r="AC19" s="185"/>
      <c r="AD19" s="185"/>
      <c r="AE19" s="185"/>
      <c r="AF19" s="185"/>
      <c r="AG19" s="185"/>
      <c r="AH19" s="205" t="s">
        <v>38</v>
      </c>
      <c r="AI19" s="205"/>
      <c r="AJ19" s="205"/>
      <c r="AK19" s="205"/>
      <c r="AL19" s="205"/>
      <c r="AM19" s="205"/>
      <c r="AN19" s="205"/>
      <c r="AO19" s="205"/>
      <c r="AP19" s="205"/>
      <c r="AQ19" s="205"/>
      <c r="AR19" s="138"/>
      <c r="AS19" s="196"/>
      <c r="AT19" s="196"/>
      <c r="AU19" s="196"/>
      <c r="AV19" s="196"/>
      <c r="AW19" s="196"/>
      <c r="AX19" s="196"/>
      <c r="AY19" s="196"/>
      <c r="AZ19" s="196"/>
      <c r="BA19" s="196"/>
      <c r="BB19" s="185"/>
      <c r="BC19" s="185"/>
      <c r="BD19" s="196"/>
      <c r="BE19" s="196"/>
      <c r="BF19" s="196"/>
      <c r="BG19" s="196"/>
      <c r="BH19" s="196"/>
      <c r="BI19" s="196"/>
      <c r="BJ19" s="196"/>
      <c r="BK19" s="196"/>
    </row>
    <row r="20" spans="1:63" ht="16.5">
      <c r="A20" s="207"/>
      <c r="B20" s="207"/>
      <c r="C20" s="185"/>
      <c r="D20" s="210"/>
      <c r="E20" s="210"/>
      <c r="F20" s="210"/>
      <c r="G20" s="210"/>
      <c r="H20" s="210"/>
      <c r="I20" s="210"/>
      <c r="J20" s="210"/>
      <c r="K20" s="210"/>
      <c r="L20" s="210"/>
      <c r="M20" s="210"/>
      <c r="N20" s="195"/>
      <c r="O20" s="195"/>
      <c r="P20" s="195"/>
      <c r="Q20" s="195"/>
      <c r="R20" s="195"/>
      <c r="S20" s="195"/>
      <c r="T20" s="195"/>
      <c r="U20" s="195"/>
      <c r="V20" s="195"/>
      <c r="W20" s="195"/>
      <c r="X20" s="205" t="s">
        <v>39</v>
      </c>
      <c r="Y20" s="205"/>
      <c r="Z20" s="205"/>
      <c r="AA20" s="205"/>
      <c r="AB20" s="205"/>
      <c r="AC20" s="205"/>
      <c r="AD20" s="205"/>
      <c r="AE20" s="205"/>
      <c r="AF20" s="205"/>
      <c r="AG20" s="205"/>
      <c r="AH20" s="139" t="s">
        <v>40</v>
      </c>
      <c r="AI20" s="185"/>
      <c r="AJ20" s="185"/>
      <c r="AK20" s="185"/>
      <c r="AL20" s="185"/>
      <c r="AM20" s="185"/>
      <c r="AN20" s="185"/>
      <c r="AO20" s="185"/>
      <c r="AP20" s="185"/>
      <c r="AQ20" s="185"/>
      <c r="AR20" s="185"/>
      <c r="AS20" s="137" t="str">
        <f>'Ratio Analysis (Q1 &amp; Q4)'!A2</f>
        <v>Current Ratio</v>
      </c>
      <c r="AT20" s="185"/>
      <c r="AU20" s="185"/>
      <c r="AV20" s="185"/>
      <c r="AW20" s="185"/>
      <c r="AX20" s="185"/>
      <c r="AY20" s="185"/>
      <c r="AZ20" s="185"/>
      <c r="BA20" s="185"/>
      <c r="BB20" s="185"/>
      <c r="BC20" s="185"/>
      <c r="BD20" s="140"/>
      <c r="BE20" s="140"/>
      <c r="BF20" s="140"/>
      <c r="BG20" s="140"/>
      <c r="BH20" s="140"/>
      <c r="BI20" s="140"/>
      <c r="BJ20" s="140"/>
      <c r="BK20" s="140"/>
    </row>
    <row r="21" spans="1:63" ht="15" customHeight="1">
      <c r="A21" s="207"/>
      <c r="B21" s="207"/>
      <c r="C21" s="185"/>
      <c r="D21" s="210"/>
      <c r="E21" s="210"/>
      <c r="F21" s="210"/>
      <c r="G21" s="210"/>
      <c r="H21" s="210"/>
      <c r="I21" s="210"/>
      <c r="J21" s="210"/>
      <c r="K21" s="210"/>
      <c r="L21" s="210"/>
      <c r="M21" s="210"/>
      <c r="N21" s="195"/>
      <c r="O21" s="195"/>
      <c r="P21" s="195"/>
      <c r="Q21" s="195"/>
      <c r="R21" s="195"/>
      <c r="S21" s="195"/>
      <c r="T21" s="195"/>
      <c r="U21" s="195"/>
      <c r="V21" s="195"/>
      <c r="W21" s="195"/>
      <c r="X21" s="195" t="str">
        <f>"Upon arriving at work, Judy finds a message from Jim Terrle, the owner of "&amp;'Iterative Data'!B4&amp;", requesting a meeting about the loan.  Given the size of the potential loan and her recommendation to approve the loan with special consideration, Judy immediately rearranges her schedule to accommodate Jim’s request. "</f>
        <v xml:space="preserve">Upon arriving at work, Judy finds a message from Jim Terrle, the owner of Keroka, requesting a meeting about the loan.  Given the size of the potential loan and her recommendation to approve the loan with special consideration, Judy immediately rearranges her schedule to accommodate Jim’s request. </v>
      </c>
      <c r="Y21" s="195"/>
      <c r="Z21" s="195"/>
      <c r="AA21" s="195"/>
      <c r="AB21" s="195"/>
      <c r="AC21" s="195"/>
      <c r="AD21" s="195"/>
      <c r="AE21" s="195"/>
      <c r="AF21" s="195"/>
      <c r="AG21" s="195"/>
      <c r="AH21" s="185"/>
      <c r="AI21" s="185"/>
      <c r="AJ21" s="185"/>
      <c r="AK21" s="185"/>
      <c r="AL21" s="185"/>
      <c r="AM21" s="185"/>
      <c r="AN21" s="185"/>
      <c r="AO21" s="185"/>
      <c r="AP21" s="185"/>
      <c r="AQ21" s="185"/>
      <c r="AR21" s="185"/>
      <c r="AS21" s="137" t="str">
        <f>'Ratio Analysis (Q1 &amp; Q4)'!A6</f>
        <v>ROA</v>
      </c>
      <c r="AT21" s="185"/>
      <c r="AU21" s="185"/>
      <c r="AV21" s="185"/>
      <c r="AW21" s="185"/>
      <c r="AX21" s="185"/>
      <c r="AY21" s="185"/>
      <c r="AZ21" s="185"/>
      <c r="BA21" s="185"/>
      <c r="BB21" s="185"/>
      <c r="BC21" s="185"/>
      <c r="BD21" s="185"/>
      <c r="BE21" s="185"/>
      <c r="BF21" s="185"/>
      <c r="BG21" s="185"/>
      <c r="BH21" s="185"/>
      <c r="BI21" s="185"/>
      <c r="BJ21" s="185"/>
      <c r="BK21" s="185"/>
    </row>
    <row r="22" spans="1:63" ht="14.45" customHeight="1">
      <c r="A22" s="207"/>
      <c r="B22" s="207"/>
      <c r="C22" s="185"/>
      <c r="D22" s="210"/>
      <c r="E22" s="210"/>
      <c r="F22" s="210"/>
      <c r="G22" s="210"/>
      <c r="H22" s="210"/>
      <c r="I22" s="210"/>
      <c r="J22" s="210"/>
      <c r="K22" s="210"/>
      <c r="L22" s="210"/>
      <c r="M22" s="210"/>
      <c r="N22" s="195"/>
      <c r="O22" s="195"/>
      <c r="P22" s="195"/>
      <c r="Q22" s="195"/>
      <c r="R22" s="195"/>
      <c r="S22" s="195"/>
      <c r="T22" s="195"/>
      <c r="U22" s="195"/>
      <c r="V22" s="195"/>
      <c r="W22" s="195"/>
      <c r="X22" s="195"/>
      <c r="Y22" s="195"/>
      <c r="Z22" s="195"/>
      <c r="AA22" s="195"/>
      <c r="AB22" s="195"/>
      <c r="AC22" s="195"/>
      <c r="AD22" s="195"/>
      <c r="AE22" s="195"/>
      <c r="AF22" s="195"/>
      <c r="AG22" s="195"/>
      <c r="AH22" s="139" t="s">
        <v>41</v>
      </c>
      <c r="AI22" s="185"/>
      <c r="AJ22" s="185"/>
      <c r="AK22" s="185"/>
      <c r="AL22" s="185"/>
      <c r="AM22" s="185"/>
      <c r="AN22" s="185"/>
      <c r="AO22" s="185"/>
      <c r="AP22" s="185"/>
      <c r="AQ22" s="185"/>
      <c r="AR22" s="185"/>
      <c r="AS22" s="137" t="str">
        <f>'Ratio Analysis (Q1 &amp; Q4)'!A10</f>
        <v>ROE</v>
      </c>
      <c r="AT22" s="185"/>
      <c r="AU22" s="185"/>
      <c r="AV22" s="185"/>
      <c r="AW22" s="185"/>
      <c r="AX22" s="185"/>
      <c r="AY22" s="185"/>
      <c r="AZ22" s="185"/>
      <c r="BA22" s="185"/>
      <c r="BB22" s="185"/>
      <c r="BC22" s="137"/>
      <c r="BD22" s="185"/>
      <c r="BE22" s="185"/>
      <c r="BF22" s="185"/>
      <c r="BG22" s="185"/>
      <c r="BH22" s="185"/>
      <c r="BI22" s="185"/>
      <c r="BJ22" s="185"/>
      <c r="BK22" s="185"/>
    </row>
    <row r="23" spans="1:63">
      <c r="A23" s="207"/>
      <c r="B23" s="207"/>
      <c r="C23" s="185"/>
      <c r="D23" s="210"/>
      <c r="E23" s="210"/>
      <c r="F23" s="210"/>
      <c r="G23" s="210"/>
      <c r="H23" s="210"/>
      <c r="I23" s="210"/>
      <c r="J23" s="210"/>
      <c r="K23" s="210"/>
      <c r="L23" s="210"/>
      <c r="M23" s="210"/>
      <c r="N23" s="195"/>
      <c r="O23" s="195"/>
      <c r="P23" s="195"/>
      <c r="Q23" s="195"/>
      <c r="R23" s="195"/>
      <c r="S23" s="195"/>
      <c r="T23" s="195"/>
      <c r="U23" s="195"/>
      <c r="V23" s="195"/>
      <c r="W23" s="195"/>
      <c r="X23" s="195"/>
      <c r="Y23" s="195"/>
      <c r="Z23" s="195"/>
      <c r="AA23" s="195"/>
      <c r="AB23" s="195"/>
      <c r="AC23" s="195"/>
      <c r="AD23" s="195"/>
      <c r="AE23" s="195"/>
      <c r="AF23" s="195"/>
      <c r="AG23" s="195"/>
      <c r="AH23" s="185"/>
      <c r="AI23" s="185"/>
      <c r="AJ23" s="185"/>
      <c r="AK23" s="185"/>
      <c r="AL23" s="185"/>
      <c r="AM23" s="185"/>
      <c r="AN23" s="185"/>
      <c r="AO23" s="185"/>
      <c r="AP23" s="185"/>
      <c r="AQ23" s="185"/>
      <c r="AR23" s="185"/>
      <c r="AS23" s="137" t="str">
        <f>'Ratio Analysis (Q1 &amp; Q4)'!A14</f>
        <v>Debt to Equity Ratio</v>
      </c>
      <c r="AT23" s="185"/>
      <c r="AU23" s="185"/>
      <c r="AV23" s="185"/>
      <c r="AW23" s="185"/>
      <c r="AX23" s="185"/>
      <c r="AY23" s="185"/>
      <c r="AZ23" s="185"/>
      <c r="BA23" s="185"/>
      <c r="BB23" s="185"/>
      <c r="BC23" s="137"/>
      <c r="BD23" s="185"/>
      <c r="BE23" s="185"/>
      <c r="BF23" s="185"/>
      <c r="BG23" s="185"/>
      <c r="BH23" s="185"/>
      <c r="BI23" s="185"/>
      <c r="BJ23" s="185"/>
      <c r="BK23" s="185"/>
    </row>
    <row r="24" spans="1:63">
      <c r="A24" s="207"/>
      <c r="B24" s="207"/>
      <c r="C24" s="185"/>
      <c r="D24" s="210"/>
      <c r="E24" s="210"/>
      <c r="F24" s="210"/>
      <c r="G24" s="210"/>
      <c r="H24" s="210"/>
      <c r="I24" s="210"/>
      <c r="J24" s="210"/>
      <c r="K24" s="210"/>
      <c r="L24" s="210"/>
      <c r="M24" s="210"/>
      <c r="N24" s="195"/>
      <c r="O24" s="195"/>
      <c r="P24" s="195"/>
      <c r="Q24" s="195"/>
      <c r="R24" s="195"/>
      <c r="S24" s="195"/>
      <c r="T24" s="195"/>
      <c r="U24" s="195"/>
      <c r="V24" s="195"/>
      <c r="W24" s="195"/>
      <c r="X24" s="195"/>
      <c r="Y24" s="195"/>
      <c r="Z24" s="195"/>
      <c r="AA24" s="195"/>
      <c r="AB24" s="195"/>
      <c r="AC24" s="195"/>
      <c r="AD24" s="195"/>
      <c r="AE24" s="195"/>
      <c r="AF24" s="195"/>
      <c r="AG24" s="195"/>
      <c r="AH24" s="139" t="s">
        <v>42</v>
      </c>
      <c r="AI24" s="185"/>
      <c r="AJ24" s="185"/>
      <c r="AK24" s="185"/>
      <c r="AL24" s="185"/>
      <c r="AM24" s="185"/>
      <c r="AN24" s="185"/>
      <c r="AO24" s="185"/>
      <c r="AP24" s="185"/>
      <c r="AQ24" s="185"/>
      <c r="AR24" s="185"/>
      <c r="AS24" s="137" t="str">
        <f>'Ratio Analysis (Q1 &amp; Q4)'!A18</f>
        <v>Asset Turnover</v>
      </c>
      <c r="AT24" s="185"/>
      <c r="AU24" s="185"/>
      <c r="AV24" s="185"/>
      <c r="AW24" s="185"/>
      <c r="AX24" s="185"/>
      <c r="AY24" s="185"/>
      <c r="AZ24" s="185"/>
      <c r="BA24" s="185"/>
      <c r="BB24" s="185"/>
      <c r="BC24" s="185"/>
      <c r="BD24" s="185"/>
      <c r="BE24" s="185"/>
      <c r="BF24" s="185"/>
      <c r="BG24" s="185"/>
      <c r="BH24" s="185"/>
      <c r="BI24" s="185"/>
      <c r="BJ24" s="185"/>
      <c r="BK24" s="185"/>
    </row>
    <row r="25" spans="1:63">
      <c r="A25" s="207"/>
      <c r="B25" s="207"/>
      <c r="C25" s="185"/>
      <c r="D25" s="210"/>
      <c r="E25" s="210"/>
      <c r="F25" s="210"/>
      <c r="G25" s="210"/>
      <c r="H25" s="210"/>
      <c r="I25" s="210"/>
      <c r="J25" s="210"/>
      <c r="K25" s="210"/>
      <c r="L25" s="210"/>
      <c r="M25" s="210"/>
      <c r="N25" s="195"/>
      <c r="O25" s="195"/>
      <c r="P25" s="195"/>
      <c r="Q25" s="195"/>
      <c r="R25" s="195"/>
      <c r="S25" s="195"/>
      <c r="T25" s="195"/>
      <c r="U25" s="195"/>
      <c r="V25" s="195"/>
      <c r="W25" s="195"/>
      <c r="X25" s="195"/>
      <c r="Y25" s="195"/>
      <c r="Z25" s="195"/>
      <c r="AA25" s="195"/>
      <c r="AB25" s="195"/>
      <c r="AC25" s="195"/>
      <c r="AD25" s="195"/>
      <c r="AE25" s="195"/>
      <c r="AF25" s="195"/>
      <c r="AG25" s="195"/>
      <c r="AH25" s="185"/>
      <c r="AI25" s="185"/>
      <c r="AJ25" s="185"/>
      <c r="AK25" s="185"/>
      <c r="AL25" s="185"/>
      <c r="AM25" s="185"/>
      <c r="AN25" s="185"/>
      <c r="AO25" s="185"/>
      <c r="AP25" s="185"/>
      <c r="AQ25" s="185"/>
      <c r="AR25" s="185"/>
      <c r="AS25" s="137" t="str">
        <f>'Ratio Analysis (Q1 &amp; Q4)'!A22</f>
        <v>Profit Margin</v>
      </c>
      <c r="AT25" s="185"/>
      <c r="AU25" s="185"/>
      <c r="AV25" s="141"/>
      <c r="AW25" s="185"/>
      <c r="AX25" s="185"/>
      <c r="AY25" s="185"/>
      <c r="AZ25" s="185"/>
      <c r="BA25" s="185"/>
      <c r="BB25" s="185"/>
      <c r="BC25" s="185"/>
      <c r="BD25" s="185"/>
      <c r="BE25" s="185"/>
      <c r="BF25" s="185"/>
      <c r="BG25" s="185"/>
      <c r="BH25" s="185"/>
      <c r="BI25" s="185"/>
      <c r="BJ25" s="185"/>
      <c r="BK25" s="185"/>
    </row>
    <row r="26" spans="1:63" ht="15" customHeight="1">
      <c r="A26" s="207"/>
      <c r="B26" s="207"/>
      <c r="C26" s="185"/>
      <c r="D26" s="208" t="s">
        <v>43</v>
      </c>
      <c r="E26" s="208"/>
      <c r="F26" s="208"/>
      <c r="G26" s="208"/>
      <c r="H26" s="208"/>
      <c r="I26" s="208"/>
      <c r="J26" s="208"/>
      <c r="K26" s="208"/>
      <c r="L26" s="208"/>
      <c r="M26" s="208"/>
      <c r="N26" s="195" t="str">
        <f>"To improve their shrinking deposits and loan portfolio, "&amp;'Iterative Data'!B5&amp;"’s management increased the interest rate paid on savings accounts and reduced interest rates charged on several types of loans.  These measures further dipped into "&amp;'Iterative Data'!B5&amp;"’s profit margin but allowed the credit union to retain most of its customer base.  Friendly customer service and less stringent regulations for credit unions also helped."</f>
        <v>To improve their shrinking deposits and loan portfolio, Fora’s management increased the interest rate paid on savings accounts and reduced interest rates charged on several types of loans.  These measures further dipped into Fora’s profit margin but allowed the credit union to retain most of its customer base.  Friendly customer service and less stringent regulations for credit unions also helped.</v>
      </c>
      <c r="O26" s="195"/>
      <c r="P26" s="195"/>
      <c r="Q26" s="195"/>
      <c r="R26" s="195"/>
      <c r="S26" s="195"/>
      <c r="T26" s="195"/>
      <c r="U26" s="195"/>
      <c r="V26" s="195"/>
      <c r="W26" s="195"/>
      <c r="X26" s="195" t="s">
        <v>44</v>
      </c>
      <c r="Y26" s="195"/>
      <c r="Z26" s="195"/>
      <c r="AA26" s="195"/>
      <c r="AB26" s="195"/>
      <c r="AC26" s="195"/>
      <c r="AD26" s="195"/>
      <c r="AE26" s="195"/>
      <c r="AF26" s="195"/>
      <c r="AG26" s="195"/>
      <c r="AH26" s="139" t="s">
        <v>45</v>
      </c>
      <c r="AI26" s="185"/>
      <c r="AJ26" s="185"/>
      <c r="AK26" s="185"/>
      <c r="AL26" s="185"/>
      <c r="AM26" s="185"/>
      <c r="AN26" s="185"/>
      <c r="AO26" s="185"/>
      <c r="AP26" s="185"/>
      <c r="AQ26" s="185"/>
      <c r="AR26" s="185"/>
      <c r="AS26" s="137"/>
      <c r="AT26" s="185"/>
      <c r="AU26" s="185"/>
      <c r="AV26" s="142"/>
      <c r="AW26" s="185"/>
      <c r="AX26" s="185"/>
      <c r="AY26" s="185"/>
      <c r="AZ26" s="185"/>
      <c r="BA26" s="185"/>
      <c r="BB26" s="185"/>
      <c r="BC26" s="185"/>
      <c r="BD26" s="185"/>
      <c r="BE26" s="185"/>
      <c r="BF26" s="185"/>
      <c r="BG26" s="185"/>
      <c r="BH26" s="185"/>
      <c r="BI26" s="185"/>
      <c r="BJ26" s="185"/>
      <c r="BK26" s="185"/>
    </row>
    <row r="27" spans="1:63" ht="14.45" customHeight="1">
      <c r="A27" s="207"/>
      <c r="B27" s="207"/>
      <c r="C27" s="185"/>
      <c r="D27" s="208"/>
      <c r="E27" s="208"/>
      <c r="F27" s="208"/>
      <c r="G27" s="208"/>
      <c r="H27" s="208"/>
      <c r="I27" s="208"/>
      <c r="J27" s="208"/>
      <c r="K27" s="208"/>
      <c r="L27" s="208"/>
      <c r="M27" s="208"/>
      <c r="N27" s="195"/>
      <c r="O27" s="195"/>
      <c r="P27" s="195"/>
      <c r="Q27" s="195"/>
      <c r="R27" s="195"/>
      <c r="S27" s="195"/>
      <c r="T27" s="195"/>
      <c r="U27" s="195"/>
      <c r="V27" s="195"/>
      <c r="W27" s="195"/>
      <c r="X27" s="195"/>
      <c r="Y27" s="195"/>
      <c r="Z27" s="195"/>
      <c r="AA27" s="195"/>
      <c r="AB27" s="195"/>
      <c r="AC27" s="195"/>
      <c r="AD27" s="195"/>
      <c r="AE27" s="195"/>
      <c r="AF27" s="195"/>
      <c r="AG27" s="195"/>
      <c r="AH27" s="195" t="str">
        <f>"“Jim?  Isn’t he the owner of that the company, "&amp;'Iterative Data'!B4&amp;", Inc., that just applied for a $1M loan to expand its business?  I looked over their financial statements.  It looks like a decent investment for the bank.”"</f>
        <v>“Jim?  Isn’t he the owner of that the company, Keroka, Inc., that just applied for a $1M loan to expand its business?  I looked over their financial statements.  It looks like a decent investment for the bank.”</v>
      </c>
      <c r="AI27" s="195"/>
      <c r="AJ27" s="195"/>
      <c r="AK27" s="195"/>
      <c r="AL27" s="195"/>
      <c r="AM27" s="195"/>
      <c r="AN27" s="195"/>
      <c r="AO27" s="195"/>
      <c r="AP27" s="195"/>
      <c r="AQ27" s="195"/>
      <c r="AR27" s="138" t="s">
        <v>46</v>
      </c>
      <c r="AS27" s="196" t="s">
        <v>47</v>
      </c>
      <c r="AT27" s="196"/>
      <c r="AU27" s="196"/>
      <c r="AV27" s="196"/>
      <c r="AW27" s="196"/>
      <c r="AX27" s="196"/>
      <c r="AY27" s="196"/>
      <c r="AZ27" s="196"/>
      <c r="BA27" s="196"/>
      <c r="BB27" s="143"/>
      <c r="BC27" s="185"/>
      <c r="BD27" s="185"/>
      <c r="BE27" s="185"/>
      <c r="BF27" s="185"/>
      <c r="BG27" s="185"/>
      <c r="BH27" s="185"/>
      <c r="BI27" s="185"/>
      <c r="BJ27" s="185"/>
      <c r="BK27" s="185"/>
    </row>
    <row r="28" spans="1:63" ht="15" customHeight="1">
      <c r="A28" s="207"/>
      <c r="B28" s="207"/>
      <c r="C28" s="185"/>
      <c r="D28" s="208"/>
      <c r="E28" s="208"/>
      <c r="F28" s="208"/>
      <c r="G28" s="208"/>
      <c r="H28" s="208"/>
      <c r="I28" s="208"/>
      <c r="J28" s="208"/>
      <c r="K28" s="208"/>
      <c r="L28" s="208"/>
      <c r="M28" s="208"/>
      <c r="N28" s="195"/>
      <c r="O28" s="195"/>
      <c r="P28" s="195"/>
      <c r="Q28" s="195"/>
      <c r="R28" s="195"/>
      <c r="S28" s="195"/>
      <c r="T28" s="195"/>
      <c r="U28" s="195"/>
      <c r="V28" s="195"/>
      <c r="W28" s="195"/>
      <c r="X28" s="195"/>
      <c r="Y28" s="195"/>
      <c r="Z28" s="195"/>
      <c r="AA28" s="195"/>
      <c r="AB28" s="195"/>
      <c r="AC28" s="195"/>
      <c r="AD28" s="195"/>
      <c r="AE28" s="195"/>
      <c r="AF28" s="195"/>
      <c r="AG28" s="195"/>
      <c r="AH28" s="195"/>
      <c r="AI28" s="195"/>
      <c r="AJ28" s="195"/>
      <c r="AK28" s="195"/>
      <c r="AL28" s="195"/>
      <c r="AM28" s="195"/>
      <c r="AN28" s="195"/>
      <c r="AO28" s="195"/>
      <c r="AP28" s="195"/>
      <c r="AQ28" s="195"/>
      <c r="AR28" s="185"/>
      <c r="AS28" s="196"/>
      <c r="AT28" s="196"/>
      <c r="AU28" s="196"/>
      <c r="AV28" s="196"/>
      <c r="AW28" s="196"/>
      <c r="AX28" s="196"/>
      <c r="AY28" s="196"/>
      <c r="AZ28" s="196"/>
      <c r="BA28" s="196"/>
      <c r="BB28" s="185"/>
      <c r="BC28" s="185"/>
      <c r="BD28" s="185"/>
      <c r="BE28" s="185"/>
      <c r="BF28" s="185"/>
      <c r="BG28" s="185"/>
      <c r="BH28" s="185"/>
      <c r="BI28" s="185"/>
      <c r="BJ28" s="185"/>
      <c r="BK28" s="185"/>
    </row>
    <row r="29" spans="1:63">
      <c r="A29" s="207"/>
      <c r="B29" s="207"/>
      <c r="C29" s="185"/>
      <c r="D29" s="208"/>
      <c r="E29" s="208"/>
      <c r="F29" s="208"/>
      <c r="G29" s="208"/>
      <c r="H29" s="208"/>
      <c r="I29" s="208"/>
      <c r="J29" s="208"/>
      <c r="K29" s="208"/>
      <c r="L29" s="208"/>
      <c r="M29" s="208"/>
      <c r="N29" s="195"/>
      <c r="O29" s="195"/>
      <c r="P29" s="195"/>
      <c r="Q29" s="195"/>
      <c r="R29" s="195"/>
      <c r="S29" s="195"/>
      <c r="T29" s="195"/>
      <c r="U29" s="195"/>
      <c r="V29" s="195"/>
      <c r="W29" s="195"/>
      <c r="X29" s="195"/>
      <c r="Y29" s="195"/>
      <c r="Z29" s="195"/>
      <c r="AA29" s="195"/>
      <c r="AB29" s="195"/>
      <c r="AC29" s="195"/>
      <c r="AD29" s="195"/>
      <c r="AE29" s="195"/>
      <c r="AF29" s="195"/>
      <c r="AG29" s="195"/>
      <c r="AH29" s="195"/>
      <c r="AI29" s="195"/>
      <c r="AJ29" s="195"/>
      <c r="AK29" s="195"/>
      <c r="AL29" s="195"/>
      <c r="AM29" s="195"/>
      <c r="AN29" s="195"/>
      <c r="AO29" s="195"/>
      <c r="AP29" s="195"/>
      <c r="AQ29" s="195"/>
      <c r="AR29" s="185"/>
      <c r="AS29" s="196"/>
      <c r="AT29" s="196"/>
      <c r="AU29" s="196"/>
      <c r="AV29" s="196"/>
      <c r="AW29" s="196"/>
      <c r="AX29" s="196"/>
      <c r="AY29" s="196"/>
      <c r="AZ29" s="196"/>
      <c r="BA29" s="196"/>
      <c r="BB29" s="185"/>
      <c r="BC29" s="185"/>
      <c r="BD29" s="185"/>
      <c r="BE29" s="185"/>
      <c r="BF29" s="185"/>
      <c r="BG29" s="185"/>
      <c r="BH29" s="185"/>
      <c r="BI29" s="185"/>
      <c r="BJ29" s="185"/>
      <c r="BK29" s="185"/>
    </row>
    <row r="30" spans="1:63">
      <c r="A30" s="207"/>
      <c r="B30" s="207"/>
      <c r="C30" s="185"/>
      <c r="D30" s="208"/>
      <c r="E30" s="208"/>
      <c r="F30" s="208"/>
      <c r="G30" s="208"/>
      <c r="H30" s="208"/>
      <c r="I30" s="208"/>
      <c r="J30" s="208"/>
      <c r="K30" s="208"/>
      <c r="L30" s="208"/>
      <c r="M30" s="208"/>
      <c r="N30" s="195"/>
      <c r="O30" s="195"/>
      <c r="P30" s="195"/>
      <c r="Q30" s="195"/>
      <c r="R30" s="195"/>
      <c r="S30" s="195"/>
      <c r="T30" s="195"/>
      <c r="U30" s="195"/>
      <c r="V30" s="195"/>
      <c r="W30" s="195"/>
      <c r="X30" s="195"/>
      <c r="Y30" s="195"/>
      <c r="Z30" s="195"/>
      <c r="AA30" s="195"/>
      <c r="AB30" s="195"/>
      <c r="AC30" s="195"/>
      <c r="AD30" s="195"/>
      <c r="AE30" s="195"/>
      <c r="AF30" s="195"/>
      <c r="AG30" s="195"/>
      <c r="AH30" s="195"/>
      <c r="AI30" s="195"/>
      <c r="AJ30" s="195"/>
      <c r="AK30" s="195"/>
      <c r="AL30" s="195"/>
      <c r="AM30" s="195"/>
      <c r="AN30" s="195"/>
      <c r="AO30" s="195"/>
      <c r="AP30" s="195"/>
      <c r="AQ30" s="195"/>
      <c r="AR30" s="185"/>
      <c r="AS30" s="196"/>
      <c r="AT30" s="196"/>
      <c r="AU30" s="196"/>
      <c r="AV30" s="196"/>
      <c r="AW30" s="196"/>
      <c r="AX30" s="196"/>
      <c r="AY30" s="196"/>
      <c r="AZ30" s="196"/>
      <c r="BA30" s="196"/>
      <c r="BB30" s="185"/>
      <c r="BC30" s="185"/>
      <c r="BD30" s="185"/>
      <c r="BE30" s="185"/>
      <c r="BF30" s="185"/>
      <c r="BG30" s="185"/>
      <c r="BH30" s="185"/>
      <c r="BI30" s="185"/>
      <c r="BJ30" s="185"/>
      <c r="BK30" s="185"/>
    </row>
    <row r="31" spans="1:63" ht="17.100000000000001" customHeight="1">
      <c r="A31" s="207"/>
      <c r="B31" s="207"/>
      <c r="C31" s="185"/>
      <c r="D31" s="208"/>
      <c r="E31" s="208"/>
      <c r="F31" s="208"/>
      <c r="G31" s="208"/>
      <c r="H31" s="208"/>
      <c r="I31" s="208"/>
      <c r="J31" s="208"/>
      <c r="K31" s="208"/>
      <c r="L31" s="208"/>
      <c r="M31" s="208"/>
      <c r="N31" s="195"/>
      <c r="O31" s="195"/>
      <c r="P31" s="195"/>
      <c r="Q31" s="195"/>
      <c r="R31" s="195"/>
      <c r="S31" s="195"/>
      <c r="T31" s="195"/>
      <c r="U31" s="195"/>
      <c r="V31" s="195"/>
      <c r="W31" s="195"/>
      <c r="X31" s="195"/>
      <c r="Y31" s="195"/>
      <c r="Z31" s="195"/>
      <c r="AA31" s="195"/>
      <c r="AB31" s="195"/>
      <c r="AC31" s="195"/>
      <c r="AD31" s="195"/>
      <c r="AE31" s="195"/>
      <c r="AF31" s="195"/>
      <c r="AG31" s="195"/>
      <c r="AH31" s="195" t="s">
        <v>48</v>
      </c>
      <c r="AI31" s="195"/>
      <c r="AJ31" s="195"/>
      <c r="AK31" s="195"/>
      <c r="AL31" s="195"/>
      <c r="AM31" s="195"/>
      <c r="AN31" s="195"/>
      <c r="AO31" s="195"/>
      <c r="AP31" s="195"/>
      <c r="AQ31" s="195"/>
      <c r="AR31" s="138" t="s">
        <v>49</v>
      </c>
      <c r="AS31" s="196" t="s">
        <v>50</v>
      </c>
      <c r="AT31" s="196"/>
      <c r="AU31" s="196"/>
      <c r="AV31" s="196"/>
      <c r="AW31" s="196"/>
      <c r="AX31" s="196"/>
      <c r="AY31" s="196"/>
      <c r="AZ31" s="196"/>
      <c r="BA31" s="196"/>
      <c r="BB31" s="185"/>
      <c r="BC31" s="185"/>
      <c r="BD31" s="185"/>
      <c r="BE31" s="185"/>
      <c r="BF31" s="185"/>
      <c r="BG31" s="185"/>
      <c r="BH31" s="185"/>
      <c r="BI31" s="185"/>
      <c r="BJ31" s="185"/>
      <c r="BK31" s="185"/>
    </row>
    <row r="32" spans="1:63" ht="15" customHeight="1">
      <c r="A32" s="207"/>
      <c r="B32" s="207"/>
      <c r="C32" s="185"/>
      <c r="D32" s="206" t="s">
        <v>51</v>
      </c>
      <c r="E32" s="206"/>
      <c r="F32" s="206"/>
      <c r="G32" s="206"/>
      <c r="H32" s="206"/>
      <c r="I32" s="206"/>
      <c r="J32" s="206"/>
      <c r="K32" s="206"/>
      <c r="L32" s="206"/>
      <c r="M32" s="206"/>
      <c r="N32" s="195" t="str">
        <f>"The situation changed when the local branch of the national bank closed in early 2020 due to challenges with staffing. New regulations and the challenges of implementing the new Current Expected Credit Loss (CECL) requirements imposed on many of "&amp;'Iterative Data'!B5&amp;"’s competitors allowed "&amp;'Iterative Data'!B5&amp;" to slowly improve profit margins.  However, "&amp;'Iterative Data'!B5&amp;" still hasn’t fully recovered.  The Beiterman family recently offered the management team significant bonuses if they can improve profits in the new few months without exposing the credit union to too much risk. "&amp;" The current manager, Sam Oliver, is pushing his team to do just that."</f>
        <v>The situation changed when the local branch of the national bank closed in early 2020 due to challenges with staffing. New regulations and the challenges of implementing the new Current Expected Credit Loss (CECL) requirements imposed on many of Fora’s competitors allowed Fora to slowly improve profit margins.  However, Fora still hasn’t fully recovered.  The Beiterman family recently offered the management team significant bonuses if they can improve profits in the new few months without exposing the credit union to too much risk.  The current manager, Sam Oliver, is pushing his team to do just that.</v>
      </c>
      <c r="O32" s="195"/>
      <c r="P32" s="195"/>
      <c r="Q32" s="195"/>
      <c r="R32" s="195"/>
      <c r="S32" s="195"/>
      <c r="T32" s="195"/>
      <c r="U32" s="195"/>
      <c r="V32" s="195"/>
      <c r="W32" s="195"/>
      <c r="X32" s="195"/>
      <c r="Y32" s="195"/>
      <c r="Z32" s="195"/>
      <c r="AA32" s="195"/>
      <c r="AB32" s="195"/>
      <c r="AC32" s="195"/>
      <c r="AD32" s="195"/>
      <c r="AE32" s="195"/>
      <c r="AF32" s="195"/>
      <c r="AG32" s="195"/>
      <c r="AH32" s="195"/>
      <c r="AI32" s="195"/>
      <c r="AJ32" s="195"/>
      <c r="AK32" s="195"/>
      <c r="AL32" s="195"/>
      <c r="AM32" s="195"/>
      <c r="AN32" s="195"/>
      <c r="AO32" s="195"/>
      <c r="AP32" s="195"/>
      <c r="AQ32" s="195"/>
      <c r="AR32" s="185"/>
      <c r="AS32" s="196"/>
      <c r="AT32" s="196"/>
      <c r="AU32" s="196"/>
      <c r="AV32" s="196"/>
      <c r="AW32" s="196"/>
      <c r="AX32" s="196"/>
      <c r="AY32" s="196"/>
      <c r="AZ32" s="196"/>
      <c r="BA32" s="196"/>
      <c r="BB32" s="185"/>
      <c r="BC32" s="185"/>
      <c r="BD32" s="185"/>
      <c r="BE32" s="185"/>
      <c r="BF32" s="185"/>
      <c r="BG32" s="185"/>
      <c r="BH32" s="185"/>
      <c r="BI32" s="185"/>
      <c r="BJ32" s="185"/>
      <c r="BK32" s="185"/>
    </row>
    <row r="33" spans="1:53" ht="15" customHeight="1">
      <c r="A33" s="207"/>
      <c r="B33" s="207"/>
      <c r="C33" s="185"/>
      <c r="D33" s="206"/>
      <c r="E33" s="206"/>
      <c r="F33" s="206"/>
      <c r="G33" s="206"/>
      <c r="H33" s="206"/>
      <c r="I33" s="206"/>
      <c r="J33" s="206"/>
      <c r="K33" s="206"/>
      <c r="L33" s="206"/>
      <c r="M33" s="206"/>
      <c r="N33" s="195"/>
      <c r="O33" s="195"/>
      <c r="P33" s="195"/>
      <c r="Q33" s="195"/>
      <c r="R33" s="195"/>
      <c r="S33" s="195"/>
      <c r="T33" s="195"/>
      <c r="U33" s="195"/>
      <c r="V33" s="195"/>
      <c r="W33" s="195"/>
      <c r="X33" s="138" t="s">
        <v>35</v>
      </c>
      <c r="Y33" s="196" t="str">
        <f>"The company issued a "&amp;DOLLAR('Iterative Data'!B46,0)&amp;", "&amp;TEXT('Iterative Data'!B48,"#%")&amp;", "&amp;FIXED('Iterative Data'!B50,0)&amp;" year, semi-annual bond on "&amp;TEXT(DATE('Original Financial Statements'!E4,'Iterative Data'!B49+1,1),"MMMM D, YYYY")&amp;". No entries have been made for the bond or its interest. The bond was issued to yield "&amp;TEXT('Iterative Data'!B51,"#%")&amp;"."</f>
        <v>The company issued a $19,000, 7%, 6 year, semi-annual bond on March 1, 2024. No entries have been made for the bond or its interest. The bond was issued to yield 8%.</v>
      </c>
      <c r="Z33" s="196"/>
      <c r="AA33" s="196"/>
      <c r="AB33" s="196"/>
      <c r="AC33" s="196"/>
      <c r="AD33" s="196"/>
      <c r="AE33" s="196"/>
      <c r="AF33" s="196"/>
      <c r="AG33" s="196"/>
      <c r="AH33" s="195"/>
      <c r="AI33" s="195"/>
      <c r="AJ33" s="195"/>
      <c r="AK33" s="195"/>
      <c r="AL33" s="195"/>
      <c r="AM33" s="195"/>
      <c r="AN33" s="195"/>
      <c r="AO33" s="195"/>
      <c r="AP33" s="195"/>
      <c r="AQ33" s="195"/>
      <c r="AR33" s="185"/>
      <c r="AS33" s="196"/>
      <c r="AT33" s="196"/>
      <c r="AU33" s="196"/>
      <c r="AV33" s="196"/>
      <c r="AW33" s="196"/>
      <c r="AX33" s="196"/>
      <c r="AY33" s="196"/>
      <c r="AZ33" s="196"/>
      <c r="BA33" s="196"/>
    </row>
    <row r="34" spans="1:53">
      <c r="A34" s="185"/>
      <c r="B34" s="185"/>
      <c r="C34" s="185"/>
      <c r="D34" s="206"/>
      <c r="E34" s="206"/>
      <c r="F34" s="206"/>
      <c r="G34" s="206"/>
      <c r="H34" s="206"/>
      <c r="I34" s="206"/>
      <c r="J34" s="206"/>
      <c r="K34" s="206"/>
      <c r="L34" s="206"/>
      <c r="M34" s="206"/>
      <c r="N34" s="195"/>
      <c r="O34" s="195"/>
      <c r="P34" s="195"/>
      <c r="Q34" s="195"/>
      <c r="R34" s="195"/>
      <c r="S34" s="195"/>
      <c r="T34" s="195"/>
      <c r="U34" s="195"/>
      <c r="V34" s="195"/>
      <c r="W34" s="195"/>
      <c r="X34" s="185"/>
      <c r="Y34" s="196"/>
      <c r="Z34" s="196"/>
      <c r="AA34" s="196"/>
      <c r="AB34" s="196"/>
      <c r="AC34" s="196"/>
      <c r="AD34" s="196"/>
      <c r="AE34" s="196"/>
      <c r="AF34" s="196"/>
      <c r="AG34" s="196"/>
      <c r="AH34" s="139" t="s">
        <v>52</v>
      </c>
      <c r="AI34" s="185"/>
      <c r="AJ34" s="185"/>
      <c r="AK34" s="185"/>
      <c r="AL34" s="185"/>
      <c r="AM34" s="185"/>
      <c r="AN34" s="185"/>
      <c r="AO34" s="185"/>
      <c r="AP34" s="185"/>
      <c r="AQ34" s="185"/>
      <c r="AR34" s="185"/>
      <c r="AS34" s="196"/>
      <c r="AT34" s="196"/>
      <c r="AU34" s="196"/>
      <c r="AV34" s="196"/>
      <c r="AW34" s="196"/>
      <c r="AX34" s="196"/>
      <c r="AY34" s="196"/>
      <c r="AZ34" s="196"/>
      <c r="BA34" s="196"/>
    </row>
    <row r="35" spans="1:53">
      <c r="A35" s="185"/>
      <c r="B35" s="185"/>
      <c r="C35" s="185"/>
      <c r="D35" s="206"/>
      <c r="E35" s="206"/>
      <c r="F35" s="206"/>
      <c r="G35" s="206"/>
      <c r="H35" s="206"/>
      <c r="I35" s="206"/>
      <c r="J35" s="206"/>
      <c r="K35" s="206"/>
      <c r="L35" s="206"/>
      <c r="M35" s="206"/>
      <c r="N35" s="195"/>
      <c r="O35" s="195"/>
      <c r="P35" s="195"/>
      <c r="Q35" s="195"/>
      <c r="R35" s="195"/>
      <c r="S35" s="195"/>
      <c r="T35" s="195"/>
      <c r="U35" s="195"/>
      <c r="V35" s="195"/>
      <c r="W35" s="195"/>
      <c r="X35" s="185"/>
      <c r="Y35" s="196"/>
      <c r="Z35" s="196"/>
      <c r="AA35" s="196"/>
      <c r="AB35" s="196"/>
      <c r="AC35" s="196"/>
      <c r="AD35" s="196"/>
      <c r="AE35" s="196"/>
      <c r="AF35" s="196"/>
      <c r="AG35" s="196"/>
      <c r="AH35" s="195" t="s">
        <v>53</v>
      </c>
      <c r="AI35" s="195"/>
      <c r="AJ35" s="195"/>
      <c r="AK35" s="195"/>
      <c r="AL35" s="195"/>
      <c r="AM35" s="195"/>
      <c r="AN35" s="195"/>
      <c r="AO35" s="195"/>
      <c r="AP35" s="195"/>
      <c r="AQ35" s="195"/>
      <c r="AR35" s="138" t="s">
        <v>54</v>
      </c>
      <c r="AS35" s="196" t="s">
        <v>55</v>
      </c>
      <c r="AT35" s="196"/>
      <c r="AU35" s="196"/>
      <c r="AV35" s="196"/>
      <c r="AW35" s="196"/>
      <c r="AX35" s="196"/>
      <c r="AY35" s="196"/>
      <c r="AZ35" s="196"/>
      <c r="BA35" s="196"/>
    </row>
    <row r="36" spans="1:53" ht="15.75" customHeight="1">
      <c r="A36" s="185"/>
      <c r="B36" s="185"/>
      <c r="C36" s="185"/>
      <c r="D36" s="206"/>
      <c r="E36" s="206"/>
      <c r="F36" s="206"/>
      <c r="G36" s="206"/>
      <c r="H36" s="206"/>
      <c r="I36" s="206"/>
      <c r="J36" s="206"/>
      <c r="K36" s="206"/>
      <c r="L36" s="206"/>
      <c r="M36" s="206"/>
      <c r="N36" s="195"/>
      <c r="O36" s="195"/>
      <c r="P36" s="195"/>
      <c r="Q36" s="195"/>
      <c r="R36" s="195"/>
      <c r="S36" s="195"/>
      <c r="T36" s="195"/>
      <c r="U36" s="195"/>
      <c r="V36" s="195"/>
      <c r="W36" s="195"/>
      <c r="X36" s="138" t="s">
        <v>46</v>
      </c>
      <c r="Y36" s="196" t="str">
        <f>"The company purchased a new piece of equipment for "&amp;DOLLAR('Other Tables and Figures'!H11,0)&amp;" on "&amp;TEXT(DATE('Original Financial Statements'!E4,'Iterative Data'!B3+1,1),"MMMM D, YYYY")&amp;". No entries have been made for this cash purchase, which has an estimated useful life of "&amp;FIXED('Iterative Data'!B52,0)&amp;" years. The company uses straight-line depreciation with no salvage value and always adjusts for partial year depreciation."</f>
        <v>The company purchased a new piece of equipment for $9,000 on April 1, 2024. No entries have been made for this cash purchase, which has an estimated useful life of 4 years. The company uses straight-line depreciation with no salvage value and always adjusts for partial year depreciation.</v>
      </c>
      <c r="Z36" s="196"/>
      <c r="AA36" s="196"/>
      <c r="AB36" s="196"/>
      <c r="AC36" s="196"/>
      <c r="AD36" s="196"/>
      <c r="AE36" s="196"/>
      <c r="AF36" s="196"/>
      <c r="AG36" s="196"/>
      <c r="AH36" s="195"/>
      <c r="AI36" s="195"/>
      <c r="AJ36" s="195"/>
      <c r="AK36" s="195"/>
      <c r="AL36" s="195"/>
      <c r="AM36" s="195"/>
      <c r="AN36" s="195"/>
      <c r="AO36" s="195"/>
      <c r="AP36" s="195"/>
      <c r="AQ36" s="195"/>
      <c r="AR36" s="185"/>
      <c r="AS36" s="196"/>
      <c r="AT36" s="196"/>
      <c r="AU36" s="196"/>
      <c r="AV36" s="196"/>
      <c r="AW36" s="196"/>
      <c r="AX36" s="196"/>
      <c r="AY36" s="196"/>
      <c r="AZ36" s="196"/>
      <c r="BA36" s="196"/>
    </row>
    <row r="37" spans="1:53" ht="15" customHeight="1">
      <c r="A37" s="185"/>
      <c r="B37" s="185"/>
      <c r="C37" s="185"/>
      <c r="D37" s="195" t="s">
        <v>56</v>
      </c>
      <c r="E37" s="195"/>
      <c r="F37" s="195"/>
      <c r="G37" s="195"/>
      <c r="H37" s="195"/>
      <c r="I37" s="195"/>
      <c r="J37" s="195"/>
      <c r="K37" s="195"/>
      <c r="L37" s="195"/>
      <c r="M37" s="195"/>
      <c r="N37" s="195"/>
      <c r="O37" s="195"/>
      <c r="P37" s="195"/>
      <c r="Q37" s="195"/>
      <c r="R37" s="195"/>
      <c r="S37" s="195"/>
      <c r="T37" s="195"/>
      <c r="U37" s="195"/>
      <c r="V37" s="195"/>
      <c r="W37" s="195"/>
      <c r="X37" s="185"/>
      <c r="Y37" s="196"/>
      <c r="Z37" s="196"/>
      <c r="AA37" s="196"/>
      <c r="AB37" s="196"/>
      <c r="AC37" s="196"/>
      <c r="AD37" s="196"/>
      <c r="AE37" s="196"/>
      <c r="AF37" s="196"/>
      <c r="AG37" s="196"/>
      <c r="AH37" s="195"/>
      <c r="AI37" s="195"/>
      <c r="AJ37" s="195"/>
      <c r="AK37" s="195"/>
      <c r="AL37" s="195"/>
      <c r="AM37" s="195"/>
      <c r="AN37" s="195"/>
      <c r="AO37" s="195"/>
      <c r="AP37" s="195"/>
      <c r="AQ37" s="195"/>
      <c r="AR37" s="185"/>
      <c r="AS37" s="196"/>
      <c r="AT37" s="196"/>
      <c r="AU37" s="196"/>
      <c r="AV37" s="196"/>
      <c r="AW37" s="196"/>
      <c r="AX37" s="196"/>
      <c r="AY37" s="196"/>
      <c r="AZ37" s="196"/>
      <c r="BA37" s="196"/>
    </row>
    <row r="38" spans="1:53" ht="14.45" customHeight="1">
      <c r="A38" s="185"/>
      <c r="B38" s="185"/>
      <c r="C38" s="185"/>
      <c r="D38" s="195"/>
      <c r="E38" s="195"/>
      <c r="F38" s="195"/>
      <c r="G38" s="195"/>
      <c r="H38" s="195"/>
      <c r="I38" s="195"/>
      <c r="J38" s="195"/>
      <c r="K38" s="195"/>
      <c r="L38" s="195"/>
      <c r="M38" s="195"/>
      <c r="N38" s="195"/>
      <c r="O38" s="195"/>
      <c r="P38" s="195"/>
      <c r="Q38" s="195"/>
      <c r="R38" s="195"/>
      <c r="S38" s="195"/>
      <c r="T38" s="195"/>
      <c r="U38" s="195"/>
      <c r="V38" s="195"/>
      <c r="W38" s="195"/>
      <c r="X38" s="185"/>
      <c r="Y38" s="196"/>
      <c r="Z38" s="196"/>
      <c r="AA38" s="196"/>
      <c r="AB38" s="196"/>
      <c r="AC38" s="196"/>
      <c r="AD38" s="196"/>
      <c r="AE38" s="196"/>
      <c r="AF38" s="196"/>
      <c r="AG38" s="196"/>
      <c r="AH38" s="185"/>
      <c r="AI38" s="185"/>
      <c r="AJ38" s="185"/>
      <c r="AK38" s="185"/>
      <c r="AL38" s="185"/>
      <c r="AM38" s="185"/>
      <c r="AN38" s="185"/>
      <c r="AO38" s="185"/>
      <c r="AP38" s="185"/>
      <c r="AQ38" s="185"/>
      <c r="AR38" s="185"/>
      <c r="AS38" s="196"/>
      <c r="AT38" s="196"/>
      <c r="AU38" s="196"/>
      <c r="AV38" s="196"/>
      <c r="AW38" s="196"/>
      <c r="AX38" s="196"/>
      <c r="AY38" s="196"/>
      <c r="AZ38" s="196"/>
      <c r="BA38" s="196"/>
    </row>
    <row r="39" spans="1:53">
      <c r="A39" s="185"/>
      <c r="B39" s="185"/>
      <c r="C39" s="185"/>
      <c r="D39" s="195"/>
      <c r="E39" s="195"/>
      <c r="F39" s="195"/>
      <c r="G39" s="195"/>
      <c r="H39" s="195"/>
      <c r="I39" s="195"/>
      <c r="J39" s="195"/>
      <c r="K39" s="195"/>
      <c r="L39" s="195"/>
      <c r="M39" s="195"/>
      <c r="N39" s="195"/>
      <c r="O39" s="195"/>
      <c r="P39" s="195"/>
      <c r="Q39" s="195"/>
      <c r="R39" s="195"/>
      <c r="S39" s="195"/>
      <c r="T39" s="195"/>
      <c r="U39" s="195"/>
      <c r="V39" s="195"/>
      <c r="W39" s="195"/>
      <c r="X39" s="185"/>
      <c r="Y39" s="196"/>
      <c r="Z39" s="196"/>
      <c r="AA39" s="196"/>
      <c r="AB39" s="196"/>
      <c r="AC39" s="196"/>
      <c r="AD39" s="196"/>
      <c r="AE39" s="196"/>
      <c r="AF39" s="196"/>
      <c r="AG39" s="196"/>
      <c r="AH39" s="139" t="s">
        <v>57</v>
      </c>
      <c r="AI39" s="185"/>
      <c r="AJ39" s="185"/>
      <c r="AK39" s="185"/>
      <c r="AL39" s="185"/>
      <c r="AM39" s="185"/>
      <c r="AN39" s="185"/>
      <c r="AO39" s="185"/>
      <c r="AP39" s="185"/>
      <c r="AQ39" s="185"/>
      <c r="AR39" s="138" t="s">
        <v>58</v>
      </c>
      <c r="AS39" s="196" t="s">
        <v>59</v>
      </c>
      <c r="AT39" s="196"/>
      <c r="AU39" s="196"/>
      <c r="AV39" s="196"/>
      <c r="AW39" s="196"/>
      <c r="AX39" s="196"/>
      <c r="AY39" s="196"/>
      <c r="AZ39" s="196"/>
      <c r="BA39" s="196"/>
    </row>
    <row r="40" spans="1:53" ht="14.45" customHeight="1">
      <c r="A40" s="185"/>
      <c r="B40" s="185"/>
      <c r="C40" s="185"/>
      <c r="D40" s="195"/>
      <c r="E40" s="195"/>
      <c r="F40" s="195"/>
      <c r="G40" s="195"/>
      <c r="H40" s="195"/>
      <c r="I40" s="195"/>
      <c r="J40" s="195"/>
      <c r="K40" s="195"/>
      <c r="L40" s="195"/>
      <c r="M40" s="195"/>
      <c r="N40" s="188"/>
      <c r="O40" s="188"/>
      <c r="P40" s="188"/>
      <c r="Q40" s="188"/>
      <c r="R40" s="188"/>
      <c r="S40" s="188"/>
      <c r="T40" s="188"/>
      <c r="U40" s="188"/>
      <c r="V40" s="188"/>
      <c r="W40" s="188"/>
      <c r="X40" s="138" t="s">
        <v>49</v>
      </c>
      <c r="Y40" s="196" t="str">
        <f>"Members of the sales force are paid commissions twice a year. Commissions on sales from January - June are paid on July 10th and commissions from July - December are paid on January 10th."&amp;" No entry has been made for the commissions earned during the last half of "&amp;'Updated Fin. Statements (Q3)'!F4&amp;". Total sales from July to December were "&amp;DOLLAR('Other Tables and Figures'!H15,0)&amp;", but only "&amp;TEXT('Other Tables and Figures'!H17,"#.#%")&amp;" of those sales were subject to the "&amp;TEXT('Other Tables and Figures'!H16,"#.#%")&amp;" commission. Commissions are reported with Sales Force Salaries."</f>
        <v>Members of the sales force are paid commissions twice a year. Commissions on sales from January - June are paid on July 10th and commissions from July - December are paid on January 10th. No entry has been made for the commissions earned during the last half of 2024. Total sales from July to December were $159,200, but only 25.% of those sales were subject to the 4.4% commission. Commissions are reported with Sales Force Salaries.</v>
      </c>
      <c r="Z40" s="196"/>
      <c r="AA40" s="196"/>
      <c r="AB40" s="196"/>
      <c r="AC40" s="196"/>
      <c r="AD40" s="196"/>
      <c r="AE40" s="196"/>
      <c r="AF40" s="196"/>
      <c r="AG40" s="196"/>
      <c r="AH40" s="195" t="s">
        <v>60</v>
      </c>
      <c r="AI40" s="195"/>
      <c r="AJ40" s="195"/>
      <c r="AK40" s="195"/>
      <c r="AL40" s="195"/>
      <c r="AM40" s="195"/>
      <c r="AN40" s="195"/>
      <c r="AO40" s="195"/>
      <c r="AP40" s="195"/>
      <c r="AQ40" s="195"/>
      <c r="AR40" s="185"/>
      <c r="AS40" s="196"/>
      <c r="AT40" s="196"/>
      <c r="AU40" s="196"/>
      <c r="AV40" s="196"/>
      <c r="AW40" s="196"/>
      <c r="AX40" s="196"/>
      <c r="AY40" s="196"/>
      <c r="AZ40" s="196"/>
      <c r="BA40" s="196"/>
    </row>
    <row r="41" spans="1:53" ht="15" customHeight="1">
      <c r="A41" s="185"/>
      <c r="B41" s="185"/>
      <c r="C41" s="185"/>
      <c r="D41" s="195"/>
      <c r="E41" s="195"/>
      <c r="F41" s="195"/>
      <c r="G41" s="195"/>
      <c r="H41" s="195"/>
      <c r="I41" s="195"/>
      <c r="J41" s="195"/>
      <c r="K41" s="195"/>
      <c r="L41" s="195"/>
      <c r="M41" s="195"/>
      <c r="N41" s="188"/>
      <c r="O41" s="188"/>
      <c r="P41" s="188"/>
      <c r="Q41" s="188"/>
      <c r="R41" s="188"/>
      <c r="S41" s="188"/>
      <c r="T41" s="188"/>
      <c r="U41" s="188"/>
      <c r="V41" s="188"/>
      <c r="W41" s="188"/>
      <c r="X41" s="185"/>
      <c r="Y41" s="196"/>
      <c r="Z41" s="196"/>
      <c r="AA41" s="196"/>
      <c r="AB41" s="196"/>
      <c r="AC41" s="196"/>
      <c r="AD41" s="196"/>
      <c r="AE41" s="196"/>
      <c r="AF41" s="196"/>
      <c r="AG41" s="196"/>
      <c r="AH41" s="195"/>
      <c r="AI41" s="195"/>
      <c r="AJ41" s="195"/>
      <c r="AK41" s="195"/>
      <c r="AL41" s="195"/>
      <c r="AM41" s="195"/>
      <c r="AN41" s="195"/>
      <c r="AO41" s="195"/>
      <c r="AP41" s="195"/>
      <c r="AQ41" s="195"/>
      <c r="AR41" s="185"/>
      <c r="AS41" s="196"/>
      <c r="AT41" s="196"/>
      <c r="AU41" s="196"/>
      <c r="AV41" s="196"/>
      <c r="AW41" s="196"/>
      <c r="AX41" s="196"/>
      <c r="AY41" s="196"/>
      <c r="AZ41" s="196"/>
      <c r="BA41" s="196"/>
    </row>
    <row r="42" spans="1:53">
      <c r="A42" s="185"/>
      <c r="B42" s="185"/>
      <c r="C42" s="185"/>
      <c r="D42" s="195"/>
      <c r="E42" s="195"/>
      <c r="F42" s="195"/>
      <c r="G42" s="195"/>
      <c r="H42" s="195"/>
      <c r="I42" s="195"/>
      <c r="J42" s="195"/>
      <c r="K42" s="195"/>
      <c r="L42" s="195"/>
      <c r="M42" s="195"/>
      <c r="N42" s="188"/>
      <c r="O42" s="188"/>
      <c r="P42" s="188"/>
      <c r="Q42" s="188"/>
      <c r="R42" s="188"/>
      <c r="S42" s="188"/>
      <c r="T42" s="188"/>
      <c r="U42" s="188"/>
      <c r="V42" s="188"/>
      <c r="W42" s="188"/>
      <c r="X42" s="185"/>
      <c r="Y42" s="196"/>
      <c r="Z42" s="196"/>
      <c r="AA42" s="196"/>
      <c r="AB42" s="196"/>
      <c r="AC42" s="196"/>
      <c r="AD42" s="196"/>
      <c r="AE42" s="196"/>
      <c r="AF42" s="196"/>
      <c r="AG42" s="196"/>
      <c r="AH42" s="195"/>
      <c r="AI42" s="195"/>
      <c r="AJ42" s="195"/>
      <c r="AK42" s="195"/>
      <c r="AL42" s="195"/>
      <c r="AM42" s="195"/>
      <c r="AN42" s="195"/>
      <c r="AO42" s="195"/>
      <c r="AP42" s="195"/>
      <c r="AQ42" s="195"/>
      <c r="AR42" s="185"/>
      <c r="AS42" s="196"/>
      <c r="AT42" s="196"/>
      <c r="AU42" s="196"/>
      <c r="AV42" s="196"/>
      <c r="AW42" s="196"/>
      <c r="AX42" s="196"/>
      <c r="AY42" s="196"/>
      <c r="AZ42" s="196"/>
      <c r="BA42" s="196"/>
    </row>
    <row r="43" spans="1:53" ht="14.45" customHeight="1">
      <c r="A43" s="185"/>
      <c r="B43" s="185"/>
      <c r="C43" s="185"/>
      <c r="D43" s="195"/>
      <c r="E43" s="195"/>
      <c r="F43" s="195"/>
      <c r="G43" s="195"/>
      <c r="H43" s="195"/>
      <c r="I43" s="195"/>
      <c r="J43" s="195"/>
      <c r="K43" s="195"/>
      <c r="L43" s="195"/>
      <c r="M43" s="195"/>
      <c r="N43" s="188"/>
      <c r="O43" s="188"/>
      <c r="P43" s="188"/>
      <c r="Q43" s="188"/>
      <c r="R43" s="188"/>
      <c r="S43" s="188"/>
      <c r="T43" s="188"/>
      <c r="U43" s="188"/>
      <c r="V43" s="188"/>
      <c r="W43" s="188"/>
      <c r="X43" s="185"/>
      <c r="Y43" s="196"/>
      <c r="Z43" s="196"/>
      <c r="AA43" s="196"/>
      <c r="AB43" s="196"/>
      <c r="AC43" s="196"/>
      <c r="AD43" s="196"/>
      <c r="AE43" s="196"/>
      <c r="AF43" s="196"/>
      <c r="AG43" s="196"/>
      <c r="AH43" s="195"/>
      <c r="AI43" s="195"/>
      <c r="AJ43" s="195"/>
      <c r="AK43" s="195"/>
      <c r="AL43" s="195"/>
      <c r="AM43" s="195"/>
      <c r="AN43" s="195"/>
      <c r="AO43" s="195"/>
      <c r="AP43" s="195"/>
      <c r="AQ43" s="195"/>
      <c r="AR43" s="185"/>
      <c r="AS43" s="196"/>
      <c r="AT43" s="196"/>
      <c r="AU43" s="196"/>
      <c r="AV43" s="196"/>
      <c r="AW43" s="196"/>
      <c r="AX43" s="196"/>
      <c r="AY43" s="196"/>
      <c r="AZ43" s="196"/>
      <c r="BA43" s="196"/>
    </row>
    <row r="44" spans="1:53">
      <c r="A44" s="185"/>
      <c r="B44" s="185"/>
      <c r="C44" s="185"/>
      <c r="D44" s="195"/>
      <c r="E44" s="195"/>
      <c r="F44" s="195"/>
      <c r="G44" s="195"/>
      <c r="H44" s="195"/>
      <c r="I44" s="195"/>
      <c r="J44" s="195"/>
      <c r="K44" s="195"/>
      <c r="L44" s="195"/>
      <c r="M44" s="195"/>
      <c r="N44" s="188"/>
      <c r="O44" s="188"/>
      <c r="P44" s="188"/>
      <c r="Q44" s="188"/>
      <c r="R44" s="188"/>
      <c r="S44" s="188"/>
      <c r="T44" s="188"/>
      <c r="U44" s="188"/>
      <c r="V44" s="188"/>
      <c r="W44" s="188"/>
      <c r="X44" s="185"/>
      <c r="Y44" s="196"/>
      <c r="Z44" s="196"/>
      <c r="AA44" s="196"/>
      <c r="AB44" s="196"/>
      <c r="AC44" s="196"/>
      <c r="AD44" s="196"/>
      <c r="AE44" s="196"/>
      <c r="AF44" s="196"/>
      <c r="AG44" s="196"/>
      <c r="AH44" s="195"/>
      <c r="AI44" s="195"/>
      <c r="AJ44" s="195"/>
      <c r="AK44" s="195"/>
      <c r="AL44" s="195"/>
      <c r="AM44" s="195"/>
      <c r="AN44" s="195"/>
      <c r="AO44" s="195"/>
      <c r="AP44" s="195"/>
      <c r="AQ44" s="195"/>
      <c r="AR44" s="185"/>
      <c r="AS44" s="185"/>
      <c r="AT44" s="185"/>
      <c r="AU44" s="185"/>
      <c r="AV44" s="185"/>
      <c r="AW44" s="185"/>
      <c r="AX44" s="185"/>
      <c r="AY44" s="185"/>
      <c r="AZ44" s="185"/>
      <c r="BA44" s="185"/>
    </row>
    <row r="45" spans="1:53">
      <c r="A45" s="185"/>
      <c r="B45" s="185"/>
      <c r="C45" s="185"/>
      <c r="D45" s="185"/>
      <c r="E45" s="185"/>
      <c r="F45" s="185"/>
      <c r="G45" s="185"/>
      <c r="H45" s="185"/>
      <c r="I45" s="185"/>
      <c r="J45" s="185"/>
      <c r="K45" s="185"/>
      <c r="L45" s="185"/>
      <c r="M45" s="185"/>
      <c r="N45" s="185"/>
      <c r="O45" s="185"/>
      <c r="P45" s="185"/>
      <c r="Q45" s="185"/>
      <c r="R45" s="185"/>
      <c r="S45" s="185"/>
      <c r="T45" s="185"/>
      <c r="U45" s="185"/>
      <c r="V45" s="185"/>
      <c r="W45" s="185"/>
      <c r="X45" s="185"/>
      <c r="Y45" s="185"/>
      <c r="Z45" s="185"/>
      <c r="AA45" s="185"/>
      <c r="AB45" s="185"/>
      <c r="AC45" s="185"/>
      <c r="AD45" s="185"/>
      <c r="AE45" s="185"/>
      <c r="AF45" s="185"/>
      <c r="AG45" s="185"/>
      <c r="AH45" s="195"/>
      <c r="AI45" s="195"/>
      <c r="AJ45" s="195"/>
      <c r="AK45" s="195"/>
      <c r="AL45" s="195"/>
      <c r="AM45" s="195"/>
      <c r="AN45" s="195"/>
      <c r="AO45" s="195"/>
      <c r="AP45" s="195"/>
      <c r="AQ45" s="195"/>
      <c r="AR45" s="185"/>
      <c r="AS45" s="185"/>
      <c r="AT45" s="185"/>
      <c r="AU45" s="185"/>
      <c r="AV45" s="185"/>
      <c r="AW45" s="185"/>
      <c r="AX45" s="185"/>
      <c r="AY45" s="185"/>
      <c r="AZ45" s="185"/>
      <c r="BA45" s="185"/>
    </row>
    <row r="46" spans="1:53">
      <c r="A46" s="185"/>
      <c r="B46" s="185"/>
      <c r="C46" s="185"/>
      <c r="D46" s="185"/>
      <c r="E46" s="185"/>
      <c r="F46" s="185"/>
      <c r="G46" s="185"/>
      <c r="H46" s="185"/>
      <c r="I46" s="185"/>
      <c r="J46" s="185"/>
      <c r="K46" s="185"/>
      <c r="L46" s="185"/>
      <c r="M46" s="185"/>
      <c r="N46" s="185"/>
      <c r="O46" s="185"/>
      <c r="P46" s="185"/>
      <c r="Q46" s="185"/>
      <c r="R46" s="185"/>
      <c r="S46" s="185"/>
      <c r="T46" s="185"/>
      <c r="U46" s="185"/>
      <c r="V46" s="185"/>
      <c r="W46" s="185"/>
      <c r="X46" s="185"/>
      <c r="Y46" s="185"/>
      <c r="Z46" s="185"/>
      <c r="AA46" s="185"/>
      <c r="AB46" s="185"/>
      <c r="AC46" s="185"/>
      <c r="AD46" s="185"/>
      <c r="AE46" s="185"/>
      <c r="AF46" s="185"/>
      <c r="AG46" s="185"/>
      <c r="AH46" s="195"/>
      <c r="AI46" s="195"/>
      <c r="AJ46" s="195"/>
      <c r="AK46" s="195"/>
      <c r="AL46" s="195"/>
      <c r="AM46" s="195"/>
      <c r="AN46" s="195"/>
      <c r="AO46" s="195"/>
      <c r="AP46" s="195"/>
      <c r="AQ46" s="195"/>
      <c r="AR46" s="185"/>
      <c r="AS46" s="185"/>
      <c r="AT46" s="185"/>
      <c r="AU46" s="185"/>
      <c r="AV46" s="185"/>
      <c r="AW46" s="185"/>
      <c r="AX46" s="185"/>
      <c r="AY46" s="185"/>
      <c r="AZ46" s="185"/>
      <c r="BA46" s="185"/>
    </row>
    <row r="47" spans="1:53">
      <c r="A47" s="185"/>
      <c r="B47" s="185"/>
      <c r="C47" s="185"/>
      <c r="D47" s="185"/>
      <c r="E47" s="185"/>
      <c r="F47" s="185"/>
      <c r="G47" s="185"/>
      <c r="H47" s="185"/>
      <c r="I47" s="185"/>
      <c r="J47" s="185"/>
      <c r="K47" s="185"/>
      <c r="L47" s="185"/>
      <c r="M47" s="185"/>
      <c r="N47" s="185"/>
      <c r="O47" s="185"/>
      <c r="P47" s="185"/>
      <c r="Q47" s="185"/>
      <c r="R47" s="185">
        <f>28000/7</f>
        <v>4000</v>
      </c>
      <c r="S47" s="185"/>
      <c r="T47" s="185"/>
      <c r="U47" s="185"/>
      <c r="V47" s="185"/>
      <c r="W47" s="185"/>
      <c r="X47" s="185"/>
      <c r="Y47" s="185"/>
      <c r="Z47" s="185"/>
      <c r="AA47" s="185"/>
      <c r="AB47" s="185"/>
      <c r="AC47" s="185"/>
      <c r="AD47" s="185"/>
      <c r="AE47" s="185"/>
      <c r="AF47" s="185"/>
      <c r="AG47" s="185"/>
      <c r="AH47" s="185"/>
      <c r="AI47" s="185"/>
      <c r="AJ47" s="185"/>
      <c r="AK47" s="185"/>
      <c r="AL47" s="185"/>
      <c r="AM47" s="185"/>
      <c r="AN47" s="185"/>
      <c r="AO47" s="185"/>
      <c r="AP47" s="185"/>
      <c r="AQ47" s="185"/>
      <c r="AR47" s="185"/>
      <c r="AS47" s="185"/>
      <c r="AT47" s="185"/>
      <c r="AU47" s="185"/>
      <c r="AV47" s="185"/>
      <c r="AW47" s="185"/>
      <c r="AX47" s="185"/>
      <c r="AY47" s="185"/>
      <c r="AZ47" s="185"/>
      <c r="BA47" s="185"/>
    </row>
    <row r="48" spans="1:53">
      <c r="A48" s="185"/>
      <c r="B48" s="185"/>
      <c r="C48" s="185"/>
      <c r="D48" s="185"/>
      <c r="E48" s="185"/>
      <c r="F48" s="185"/>
      <c r="G48" s="185"/>
      <c r="H48" s="185"/>
      <c r="I48" s="185"/>
      <c r="J48" s="185"/>
      <c r="K48" s="185"/>
      <c r="L48" s="185"/>
      <c r="M48" s="185"/>
      <c r="N48" s="185"/>
      <c r="O48" s="185"/>
      <c r="P48" s="185"/>
      <c r="Q48" s="185"/>
      <c r="R48" s="185"/>
      <c r="S48" s="185"/>
      <c r="T48" s="185"/>
      <c r="U48" s="185"/>
      <c r="V48" s="185"/>
      <c r="W48" s="185"/>
      <c r="X48" s="185"/>
      <c r="Y48" s="185"/>
      <c r="Z48" s="185"/>
      <c r="AA48" s="185"/>
      <c r="AB48" s="185"/>
      <c r="AC48" s="185"/>
      <c r="AD48" s="185"/>
      <c r="AE48" s="185"/>
      <c r="AF48" s="185"/>
      <c r="AG48" s="185"/>
      <c r="AH48" s="185"/>
      <c r="AI48" s="185"/>
      <c r="AJ48" s="185"/>
      <c r="AK48" s="185"/>
      <c r="AL48" s="185"/>
      <c r="AM48" s="185"/>
      <c r="AN48" s="185"/>
      <c r="AO48" s="185"/>
      <c r="AP48" s="185"/>
      <c r="AQ48" s="185"/>
      <c r="AR48" s="185"/>
      <c r="AS48" s="185"/>
      <c r="AT48" s="185"/>
      <c r="AU48" s="185"/>
      <c r="AV48" s="185"/>
      <c r="AW48" s="185"/>
      <c r="AX48" s="185"/>
      <c r="AY48" s="185"/>
      <c r="AZ48" s="185"/>
      <c r="BA48" s="185"/>
    </row>
    <row r="49" spans="1:34">
      <c r="A49" s="185"/>
      <c r="B49" s="185"/>
      <c r="C49" s="185"/>
      <c r="D49" s="185"/>
      <c r="E49" s="185"/>
      <c r="F49" s="185"/>
      <c r="G49" s="185"/>
      <c r="H49" s="185"/>
      <c r="I49" s="185"/>
      <c r="J49" s="185"/>
      <c r="K49" s="185"/>
      <c r="L49" s="185"/>
      <c r="M49" s="185"/>
      <c r="N49" s="185"/>
      <c r="O49" s="185"/>
      <c r="P49" s="185"/>
      <c r="Q49" s="185"/>
      <c r="R49" s="185"/>
      <c r="S49" s="185"/>
      <c r="T49" s="185"/>
      <c r="U49" s="185"/>
      <c r="V49" s="185"/>
      <c r="W49" s="185"/>
      <c r="X49" s="185"/>
      <c r="Y49" s="185"/>
      <c r="Z49" s="185"/>
      <c r="AA49" s="185"/>
      <c r="AB49" s="185"/>
      <c r="AC49" s="185"/>
      <c r="AD49" s="185"/>
      <c r="AE49" s="185"/>
      <c r="AF49" s="185"/>
      <c r="AG49" s="185"/>
      <c r="AH49" s="185"/>
    </row>
    <row r="50" spans="1:34">
      <c r="A50" s="185"/>
      <c r="B50" s="185"/>
      <c r="C50" s="185"/>
      <c r="D50" s="185"/>
      <c r="E50" s="185"/>
      <c r="F50" s="185"/>
      <c r="G50" s="185"/>
      <c r="H50" s="185"/>
      <c r="I50" s="185"/>
      <c r="J50" s="185"/>
      <c r="K50" s="185"/>
      <c r="L50" s="185"/>
      <c r="M50" s="185"/>
      <c r="N50" s="185"/>
      <c r="O50" s="185"/>
      <c r="P50" s="185"/>
      <c r="Q50" s="185"/>
      <c r="R50" s="185"/>
      <c r="S50" s="185"/>
      <c r="T50" s="185"/>
      <c r="U50" s="185"/>
      <c r="V50" s="185"/>
      <c r="W50" s="185"/>
      <c r="X50" s="185"/>
      <c r="Y50" s="185"/>
      <c r="Z50" s="185"/>
      <c r="AA50" s="185"/>
      <c r="AB50" s="185"/>
      <c r="AC50" s="185"/>
      <c r="AD50" s="185"/>
      <c r="AE50" s="185"/>
      <c r="AF50" s="185"/>
      <c r="AG50" s="185"/>
      <c r="AH50" s="185"/>
    </row>
    <row r="51" spans="1:34">
      <c r="A51" s="185"/>
      <c r="B51" s="185"/>
      <c r="C51" s="185"/>
      <c r="D51" s="185"/>
      <c r="E51" s="185"/>
      <c r="F51" s="185"/>
      <c r="G51" s="185"/>
      <c r="H51" s="185"/>
      <c r="I51" s="185"/>
      <c r="J51" s="185"/>
      <c r="K51" s="185"/>
      <c r="L51" s="185"/>
      <c r="M51" s="185"/>
      <c r="N51" s="188"/>
      <c r="O51" s="188"/>
      <c r="P51" s="188"/>
      <c r="Q51" s="188"/>
      <c r="R51" s="188"/>
      <c r="S51" s="188"/>
      <c r="T51" s="188"/>
      <c r="U51" s="188"/>
      <c r="V51" s="188"/>
      <c r="W51" s="188"/>
      <c r="X51" s="185"/>
      <c r="Y51" s="185"/>
      <c r="Z51" s="185"/>
      <c r="AA51" s="185"/>
      <c r="AB51" s="185"/>
      <c r="AC51" s="185"/>
      <c r="AD51" s="185"/>
      <c r="AE51" s="185"/>
      <c r="AF51" s="185"/>
      <c r="AG51" s="185"/>
      <c r="AH51" s="185"/>
    </row>
    <row r="52" spans="1:34">
      <c r="A52" s="185"/>
      <c r="B52" s="185"/>
      <c r="C52" s="185"/>
      <c r="D52" s="185"/>
      <c r="E52" s="185"/>
      <c r="F52" s="185"/>
      <c r="G52" s="185"/>
      <c r="H52" s="185"/>
      <c r="I52" s="185"/>
      <c r="J52" s="185"/>
      <c r="K52" s="185"/>
      <c r="L52" s="185"/>
      <c r="M52" s="185"/>
      <c r="N52" s="188"/>
      <c r="O52" s="188"/>
      <c r="P52" s="188"/>
      <c r="Q52" s="188"/>
      <c r="R52" s="188"/>
      <c r="S52" s="188"/>
      <c r="T52" s="188"/>
      <c r="U52" s="188"/>
      <c r="V52" s="188"/>
      <c r="W52" s="188"/>
      <c r="X52" s="185"/>
      <c r="Y52" s="185"/>
      <c r="Z52" s="185"/>
      <c r="AA52" s="185"/>
      <c r="AB52" s="185"/>
      <c r="AC52" s="185"/>
      <c r="AD52" s="185"/>
      <c r="AE52" s="185"/>
      <c r="AF52" s="185"/>
      <c r="AG52" s="185"/>
      <c r="AH52" s="144"/>
    </row>
    <row r="53" spans="1:34">
      <c r="A53" s="185"/>
      <c r="B53" s="185"/>
      <c r="C53" s="185"/>
      <c r="D53" s="185"/>
      <c r="E53" s="185"/>
      <c r="F53" s="185"/>
      <c r="G53" s="185"/>
      <c r="H53" s="185"/>
      <c r="I53" s="185"/>
      <c r="J53" s="185"/>
      <c r="K53" s="185"/>
      <c r="L53" s="185"/>
      <c r="M53" s="185"/>
      <c r="N53" s="188"/>
      <c r="O53" s="188"/>
      <c r="P53" s="188"/>
      <c r="Q53" s="188"/>
      <c r="R53" s="188"/>
      <c r="S53" s="188"/>
      <c r="T53" s="188"/>
      <c r="U53" s="188"/>
      <c r="V53" s="188"/>
      <c r="W53" s="188"/>
      <c r="X53" s="185"/>
      <c r="Y53" s="185"/>
      <c r="Z53" s="185"/>
      <c r="AA53" s="185"/>
      <c r="AB53" s="185"/>
      <c r="AC53" s="185"/>
      <c r="AD53" s="185"/>
      <c r="AE53" s="185"/>
      <c r="AF53" s="185"/>
      <c r="AG53" s="185"/>
      <c r="AH53" s="144"/>
    </row>
    <row r="54" spans="1:34">
      <c r="A54" s="185"/>
      <c r="B54" s="185"/>
      <c r="C54" s="185"/>
      <c r="D54" s="185"/>
      <c r="E54" s="185"/>
      <c r="F54" s="185"/>
      <c r="G54" s="185"/>
      <c r="H54" s="185"/>
      <c r="I54" s="185"/>
      <c r="J54" s="185"/>
      <c r="K54" s="185"/>
      <c r="L54" s="185"/>
      <c r="M54" s="185"/>
      <c r="N54" s="188"/>
      <c r="O54" s="188"/>
      <c r="P54" s="188"/>
      <c r="Q54" s="188"/>
      <c r="R54" s="188"/>
      <c r="S54" s="188"/>
      <c r="T54" s="188"/>
      <c r="U54" s="188"/>
      <c r="V54" s="188"/>
      <c r="W54" s="188"/>
      <c r="X54" s="185"/>
      <c r="Y54" s="185"/>
      <c r="Z54" s="185"/>
      <c r="AA54" s="185"/>
      <c r="AB54" s="185"/>
      <c r="AC54" s="185"/>
      <c r="AD54" s="185"/>
      <c r="AE54" s="185"/>
      <c r="AF54" s="185"/>
      <c r="AG54" s="185"/>
      <c r="AH54" s="145"/>
    </row>
    <row r="55" spans="1:34">
      <c r="A55" s="185"/>
      <c r="B55" s="185"/>
      <c r="C55" s="185"/>
      <c r="D55" s="185"/>
      <c r="E55" s="185"/>
      <c r="F55" s="185"/>
      <c r="G55" s="185"/>
      <c r="H55" s="185"/>
      <c r="I55" s="185"/>
      <c r="J55" s="185"/>
      <c r="K55" s="185"/>
      <c r="L55" s="185"/>
      <c r="M55" s="185"/>
      <c r="N55" s="188"/>
      <c r="O55" s="188"/>
      <c r="P55" s="188"/>
      <c r="Q55" s="188"/>
      <c r="R55" s="188"/>
      <c r="S55" s="188"/>
      <c r="T55" s="188"/>
      <c r="U55" s="188"/>
      <c r="V55" s="188"/>
      <c r="W55" s="188"/>
      <c r="X55" s="185"/>
      <c r="Y55" s="185"/>
      <c r="Z55" s="185"/>
      <c r="AA55" s="185"/>
      <c r="AB55" s="185"/>
      <c r="AC55" s="185"/>
      <c r="AD55" s="185"/>
      <c r="AE55" s="185"/>
      <c r="AF55" s="185"/>
      <c r="AG55" s="185"/>
      <c r="AH55" s="145"/>
    </row>
    <row r="56" spans="1:34">
      <c r="A56" s="185"/>
      <c r="B56" s="185"/>
      <c r="C56" s="185"/>
      <c r="D56" s="185"/>
      <c r="E56" s="185"/>
      <c r="F56" s="185"/>
      <c r="G56" s="185"/>
      <c r="H56" s="185"/>
      <c r="I56" s="185"/>
      <c r="J56" s="185"/>
      <c r="K56" s="185"/>
      <c r="L56" s="185"/>
      <c r="M56" s="185"/>
      <c r="N56" s="188"/>
      <c r="O56" s="188"/>
      <c r="P56" s="188"/>
      <c r="Q56" s="188"/>
      <c r="R56" s="188"/>
      <c r="S56" s="188"/>
      <c r="T56" s="188"/>
      <c r="U56" s="188"/>
      <c r="V56" s="188"/>
      <c r="W56" s="188"/>
      <c r="X56" s="185"/>
      <c r="Y56" s="185"/>
      <c r="Z56" s="185"/>
      <c r="AA56" s="185"/>
      <c r="AB56" s="185"/>
      <c r="AC56" s="185"/>
      <c r="AD56" s="185"/>
      <c r="AE56" s="185"/>
      <c r="AF56" s="185"/>
      <c r="AG56" s="185"/>
      <c r="AH56" s="185"/>
    </row>
    <row r="57" spans="1:34">
      <c r="A57" s="185"/>
      <c r="B57" s="185"/>
      <c r="C57" s="185"/>
      <c r="D57" s="185"/>
      <c r="E57" s="185"/>
      <c r="F57" s="185"/>
      <c r="G57" s="185"/>
      <c r="H57" s="185"/>
      <c r="I57" s="185"/>
      <c r="J57" s="185"/>
      <c r="K57" s="185"/>
      <c r="L57" s="185"/>
      <c r="M57" s="185"/>
      <c r="N57" s="188"/>
      <c r="O57" s="188"/>
      <c r="P57" s="188"/>
      <c r="Q57" s="188"/>
      <c r="R57" s="188"/>
      <c r="S57" s="188"/>
      <c r="T57" s="188"/>
      <c r="U57" s="188"/>
      <c r="V57" s="188"/>
      <c r="W57" s="188"/>
      <c r="X57" s="185"/>
      <c r="Y57" s="185"/>
      <c r="Z57" s="185"/>
      <c r="AA57" s="185"/>
      <c r="AB57" s="185"/>
      <c r="AC57" s="185"/>
      <c r="AD57" s="185"/>
      <c r="AE57" s="185"/>
      <c r="AF57" s="185"/>
      <c r="AG57" s="185"/>
      <c r="AH57" s="185"/>
    </row>
    <row r="58" spans="1:34">
      <c r="A58" s="185"/>
      <c r="B58" s="185"/>
      <c r="C58" s="185"/>
      <c r="D58" s="185"/>
      <c r="E58" s="185"/>
      <c r="F58" s="185"/>
      <c r="G58" s="185"/>
      <c r="H58" s="185"/>
      <c r="I58" s="185"/>
      <c r="J58" s="185"/>
      <c r="K58" s="185"/>
      <c r="L58" s="185"/>
      <c r="M58" s="185"/>
      <c r="N58" s="188"/>
      <c r="O58" s="188"/>
      <c r="P58" s="188"/>
      <c r="Q58" s="188"/>
      <c r="R58" s="188"/>
      <c r="S58" s="188"/>
      <c r="T58" s="188"/>
      <c r="U58" s="188"/>
      <c r="V58" s="188"/>
      <c r="W58" s="188"/>
      <c r="X58" s="185"/>
      <c r="Y58" s="185"/>
      <c r="Z58" s="185"/>
      <c r="AA58" s="185"/>
      <c r="AB58" s="185"/>
      <c r="AC58" s="185"/>
      <c r="AD58" s="185"/>
      <c r="AE58" s="185"/>
      <c r="AF58" s="185"/>
      <c r="AG58" s="185"/>
      <c r="AH58" s="185"/>
    </row>
    <row r="59" spans="1:34">
      <c r="A59" s="185"/>
      <c r="B59" s="185"/>
      <c r="C59" s="185"/>
      <c r="D59" s="185"/>
      <c r="E59" s="185"/>
      <c r="F59" s="185"/>
      <c r="G59" s="185"/>
      <c r="H59" s="185"/>
      <c r="I59" s="185"/>
      <c r="J59" s="185"/>
      <c r="K59" s="185"/>
      <c r="L59" s="185"/>
      <c r="M59" s="185"/>
      <c r="N59" s="188"/>
      <c r="O59" s="188"/>
      <c r="P59" s="188"/>
      <c r="Q59" s="188"/>
      <c r="R59" s="188"/>
      <c r="S59" s="188"/>
      <c r="T59" s="188"/>
      <c r="U59" s="188"/>
      <c r="V59" s="188"/>
      <c r="W59" s="188"/>
      <c r="X59" s="185"/>
      <c r="Y59" s="185"/>
      <c r="Z59" s="185"/>
      <c r="AA59" s="185"/>
      <c r="AB59" s="185"/>
      <c r="AC59" s="185"/>
      <c r="AD59" s="185"/>
      <c r="AE59" s="185"/>
      <c r="AF59" s="185"/>
      <c r="AG59" s="185"/>
      <c r="AH59" s="185"/>
    </row>
    <row r="60" spans="1:34">
      <c r="A60" s="185"/>
      <c r="B60" s="185"/>
      <c r="C60" s="185"/>
      <c r="D60" s="185"/>
      <c r="E60" s="185"/>
      <c r="F60" s="185"/>
      <c r="G60" s="185"/>
      <c r="H60" s="185"/>
      <c r="I60" s="185"/>
      <c r="J60" s="185"/>
      <c r="K60" s="185"/>
      <c r="L60" s="185"/>
      <c r="M60" s="185"/>
      <c r="N60" s="189"/>
      <c r="O60" s="189"/>
      <c r="P60" s="189"/>
      <c r="Q60" s="189"/>
      <c r="R60" s="189"/>
      <c r="S60" s="189"/>
      <c r="T60" s="189"/>
      <c r="U60" s="189"/>
      <c r="V60" s="189"/>
      <c r="W60" s="189"/>
      <c r="X60" s="185"/>
      <c r="Y60" s="185"/>
      <c r="Z60" s="185"/>
      <c r="AA60" s="185"/>
      <c r="AB60" s="185"/>
      <c r="AC60" s="185"/>
      <c r="AD60" s="185"/>
      <c r="AE60" s="185"/>
      <c r="AF60" s="185"/>
      <c r="AG60" s="185"/>
      <c r="AH60" s="185"/>
    </row>
    <row r="61" spans="1:34">
      <c r="A61" s="185"/>
      <c r="B61" s="185"/>
      <c r="C61" s="185"/>
      <c r="D61" s="185"/>
      <c r="E61" s="185"/>
      <c r="F61" s="185"/>
      <c r="G61" s="185"/>
      <c r="H61" s="185"/>
      <c r="I61" s="185"/>
      <c r="J61" s="185"/>
      <c r="K61" s="185"/>
      <c r="L61" s="185"/>
      <c r="M61" s="185"/>
      <c r="N61" s="185"/>
      <c r="O61" s="185"/>
      <c r="P61" s="185"/>
      <c r="Q61" s="185"/>
      <c r="R61" s="185"/>
      <c r="S61" s="185"/>
      <c r="T61" s="185"/>
      <c r="U61" s="185"/>
      <c r="V61" s="185"/>
      <c r="W61" s="185"/>
      <c r="X61" s="185"/>
      <c r="Y61" s="185"/>
      <c r="Z61" s="185"/>
      <c r="AA61" s="185"/>
      <c r="AB61" s="185"/>
      <c r="AC61" s="185"/>
      <c r="AD61" s="185"/>
      <c r="AE61" s="185"/>
      <c r="AF61" s="185"/>
      <c r="AG61" s="185"/>
      <c r="AH61" s="185"/>
    </row>
    <row r="62" spans="1:34">
      <c r="A62" s="185"/>
      <c r="B62" s="185"/>
      <c r="C62" s="185"/>
      <c r="D62" s="185"/>
      <c r="E62" s="185"/>
      <c r="F62" s="185"/>
      <c r="G62" s="185"/>
      <c r="H62" s="185"/>
      <c r="I62" s="185"/>
      <c r="J62" s="185"/>
      <c r="K62" s="185"/>
      <c r="L62" s="185"/>
      <c r="M62" s="185"/>
      <c r="N62" s="185"/>
      <c r="O62" s="185"/>
      <c r="P62" s="185"/>
      <c r="Q62" s="185"/>
      <c r="R62" s="185"/>
      <c r="S62" s="185"/>
      <c r="T62" s="185"/>
      <c r="U62" s="185"/>
      <c r="V62" s="185"/>
      <c r="W62" s="185"/>
      <c r="X62" s="185"/>
      <c r="Y62" s="185"/>
      <c r="Z62" s="185"/>
      <c r="AA62" s="185"/>
      <c r="AB62" s="185"/>
      <c r="AC62" s="185"/>
      <c r="AD62" s="185"/>
      <c r="AE62" s="185"/>
      <c r="AF62" s="185"/>
      <c r="AG62" s="185"/>
      <c r="AH62" s="185"/>
    </row>
    <row r="63" spans="1:34">
      <c r="A63" s="185"/>
      <c r="B63" s="185"/>
      <c r="C63" s="185"/>
      <c r="D63" s="185"/>
      <c r="E63" s="185"/>
      <c r="F63" s="185"/>
      <c r="G63" s="185"/>
      <c r="H63" s="185"/>
      <c r="I63" s="185"/>
      <c r="J63" s="185"/>
      <c r="K63" s="185"/>
      <c r="L63" s="185"/>
      <c r="M63" s="185"/>
      <c r="N63" s="185"/>
      <c r="O63" s="185"/>
      <c r="P63" s="185"/>
      <c r="Q63" s="185"/>
      <c r="R63" s="185"/>
      <c r="S63" s="185"/>
      <c r="T63" s="185"/>
      <c r="U63" s="185"/>
      <c r="V63" s="185"/>
      <c r="W63" s="185"/>
      <c r="X63" s="185"/>
      <c r="Y63" s="185"/>
      <c r="Z63" s="185"/>
      <c r="AA63" s="185"/>
      <c r="AB63" s="185"/>
      <c r="AC63" s="185"/>
      <c r="AD63" s="185"/>
      <c r="AE63" s="185"/>
      <c r="AF63" s="185"/>
      <c r="AG63" s="185"/>
      <c r="AH63" s="185"/>
    </row>
  </sheetData>
  <sheetProtection algorithmName="SHA-512" hashValue="eYzSxSLEBjAf+8nURxFBodyI6XQ0JdImcxbiNkFYunIKLcPUSF45teADvqPDPXGuSV1VYOVI4EcppqyILuZ27w==" saltValue="wDePELa9CktZZSK+RhgoJw==" spinCount="100000" sheet="1" objects="1" scenarios="1" selectLockedCells="1"/>
  <mergeCells count="49">
    <mergeCell ref="BD10:BK12"/>
    <mergeCell ref="D12:M18"/>
    <mergeCell ref="N12:W12"/>
    <mergeCell ref="AH13:AQ17"/>
    <mergeCell ref="AH27:AQ30"/>
    <mergeCell ref="AS27:BA30"/>
    <mergeCell ref="BD16:BK19"/>
    <mergeCell ref="N17:W25"/>
    <mergeCell ref="AS17:BA19"/>
    <mergeCell ref="D19:M25"/>
    <mergeCell ref="AH19:AQ19"/>
    <mergeCell ref="X20:AG20"/>
    <mergeCell ref="AR16:BA16"/>
    <mergeCell ref="AR10:BA14"/>
    <mergeCell ref="AH1:AQ3"/>
    <mergeCell ref="X26:AG32"/>
    <mergeCell ref="A14:B33"/>
    <mergeCell ref="N16:W16"/>
    <mergeCell ref="Y40:AG44"/>
    <mergeCell ref="AH40:AQ46"/>
    <mergeCell ref="D26:M31"/>
    <mergeCell ref="N26:W31"/>
    <mergeCell ref="AH31:AQ33"/>
    <mergeCell ref="X21:AG25"/>
    <mergeCell ref="AS31:BA34"/>
    <mergeCell ref="D32:M36"/>
    <mergeCell ref="N32:W39"/>
    <mergeCell ref="Y33:AG35"/>
    <mergeCell ref="AH35:AQ37"/>
    <mergeCell ref="AS35:BA38"/>
    <mergeCell ref="Y36:AG39"/>
    <mergeCell ref="D37:M44"/>
    <mergeCell ref="AS39:BA43"/>
    <mergeCell ref="AR1:BA4"/>
    <mergeCell ref="BD13:BK15"/>
    <mergeCell ref="BC1:BK5"/>
    <mergeCell ref="A2:B2"/>
    <mergeCell ref="D2:M11"/>
    <mergeCell ref="X2:AG18"/>
    <mergeCell ref="AH4:AQ12"/>
    <mergeCell ref="AR5:BA8"/>
    <mergeCell ref="A6:A7"/>
    <mergeCell ref="B6:B7"/>
    <mergeCell ref="N6:W11"/>
    <mergeCell ref="BD6:BK9"/>
    <mergeCell ref="A1:B1"/>
    <mergeCell ref="D1:M1"/>
    <mergeCell ref="N1:W5"/>
    <mergeCell ref="X1:AG1"/>
  </mergeCells>
  <dataValidations count="1">
    <dataValidation type="whole" operator="lessThan" allowBlank="1" showInputMessage="1" showErrorMessage="1" error="Please use ONLY the last FOUR digits of your ID number." sqref="B6:B7" xr:uid="{10B5D4B1-4D89-FA42-BD25-61E97EE2D042}">
      <formula1>10000</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7662D-3C86-1444-B2BA-47121B4E508B}">
  <sheetPr codeName="Sheet12"/>
  <dimension ref="A1:T38"/>
  <sheetViews>
    <sheetView workbookViewId="0">
      <selection activeCell="L40" sqref="L40"/>
    </sheetView>
  </sheetViews>
  <sheetFormatPr defaultColWidth="8.85546875" defaultRowHeight="15"/>
  <cols>
    <col min="1" max="1" width="7.5703125" customWidth="1"/>
    <col min="11" max="11" width="5.42578125" customWidth="1"/>
  </cols>
  <sheetData>
    <row r="1" spans="1:20" ht="15.75">
      <c r="A1" s="212" t="s">
        <v>61</v>
      </c>
      <c r="B1" s="212"/>
      <c r="C1" s="212"/>
      <c r="D1" s="212"/>
      <c r="E1" s="212"/>
      <c r="F1" s="212"/>
      <c r="G1" s="212"/>
      <c r="H1" s="212"/>
      <c r="I1" s="212"/>
      <c r="J1" s="212"/>
      <c r="K1" s="146" t="s">
        <v>62</v>
      </c>
      <c r="L1" s="185"/>
      <c r="M1" s="185"/>
      <c r="N1" s="185"/>
      <c r="O1" s="185"/>
      <c r="P1" s="185"/>
      <c r="Q1" s="185"/>
      <c r="R1" s="185"/>
      <c r="S1" s="185"/>
      <c r="T1" s="185"/>
    </row>
    <row r="2" spans="1:20">
      <c r="A2" s="212"/>
      <c r="B2" s="212"/>
      <c r="C2" s="212"/>
      <c r="D2" s="212"/>
      <c r="E2" s="212"/>
      <c r="F2" s="212"/>
      <c r="G2" s="212"/>
      <c r="H2" s="212"/>
      <c r="I2" s="212"/>
      <c r="J2" s="212"/>
      <c r="K2" s="147" t="s">
        <v>63</v>
      </c>
      <c r="L2" s="185"/>
      <c r="M2" s="185"/>
      <c r="N2" s="185"/>
      <c r="O2" s="185"/>
      <c r="P2" s="185"/>
      <c r="Q2" s="185"/>
      <c r="R2" s="185"/>
      <c r="S2" s="185"/>
      <c r="T2" s="185"/>
    </row>
    <row r="3" spans="1:20" ht="15.75">
      <c r="A3" s="213" t="str">
        <f ca="1">'Final Case'!B4</f>
        <v>Spring 2025</v>
      </c>
      <c r="B3" s="213"/>
      <c r="C3" s="213"/>
      <c r="D3" s="213"/>
      <c r="E3" s="213"/>
      <c r="F3" s="213"/>
      <c r="G3" s="213"/>
      <c r="H3" s="213"/>
      <c r="I3" s="213"/>
      <c r="J3" s="213"/>
      <c r="K3" s="148" t="str">
        <f>1&amp;"."</f>
        <v>1.</v>
      </c>
      <c r="L3" s="211" t="s">
        <v>64</v>
      </c>
      <c r="M3" s="211"/>
      <c r="N3" s="211"/>
      <c r="O3" s="211"/>
      <c r="P3" s="211"/>
      <c r="Q3" s="211"/>
      <c r="R3" s="211"/>
      <c r="S3" s="211"/>
      <c r="T3" s="211"/>
    </row>
    <row r="4" spans="1:20" ht="15.75">
      <c r="A4" s="146"/>
      <c r="B4" s="149"/>
      <c r="C4" s="149"/>
      <c r="D4" s="149"/>
      <c r="E4" s="149"/>
      <c r="F4" s="149"/>
      <c r="G4" s="149"/>
      <c r="H4" s="185"/>
      <c r="I4" s="185"/>
      <c r="J4" s="185"/>
      <c r="K4" s="185"/>
      <c r="L4" s="211"/>
      <c r="M4" s="211"/>
      <c r="N4" s="211"/>
      <c r="O4" s="211"/>
      <c r="P4" s="211"/>
      <c r="Q4" s="211"/>
      <c r="R4" s="211"/>
      <c r="S4" s="211"/>
      <c r="T4" s="211"/>
    </row>
    <row r="5" spans="1:20" ht="15.75">
      <c r="A5" s="146" t="s">
        <v>65</v>
      </c>
      <c r="B5" s="149"/>
      <c r="C5" s="149"/>
      <c r="D5" s="149"/>
      <c r="E5" s="149"/>
      <c r="F5" s="149"/>
      <c r="G5" s="149"/>
      <c r="H5" s="185"/>
      <c r="I5" s="185"/>
      <c r="J5" s="185"/>
      <c r="K5" s="185"/>
      <c r="L5" s="190"/>
      <c r="M5" s="190"/>
      <c r="N5" s="190"/>
      <c r="O5" s="190"/>
      <c r="P5" s="190"/>
      <c r="Q5" s="190"/>
      <c r="R5" s="190"/>
      <c r="S5" s="190"/>
      <c r="T5" s="190"/>
    </row>
    <row r="6" spans="1:20">
      <c r="A6" s="211" t="str">
        <f>'Iterative Data'!B4&amp;", Inc. recently applied for a loan from "&amp;'Iterative Data'!B5&amp;" Credit Union . The large loan received considerable scrutiny, but based on the recommendation of the loan officer and the bank manager it looked like "&amp;'Iterative Data'!B5&amp;" was going to approve the loan. Unfortunately, the day before the loan was to be approved, "&amp;'Iterative Data'!B4&amp;"'s owner discovered some mistakes in the financial records. "&amp;"She has asked you to help her find and correct any mistakes as quickly as possible so that they can send the updated financial statements to the credit union before a final decision is made."</f>
        <v>Keroka, Inc. recently applied for a loan from Fora Credit Union . The large loan received considerable scrutiny, but based on the recommendation of the loan officer and the bank manager it looked like Fora was going to approve the loan. Unfortunately, the day before the loan was to be approved, Keroka's owner discovered some mistakes in the financial records. She has asked you to help her find and correct any mistakes as quickly as possible so that they can send the updated financial statements to the credit union before a final decision is made.</v>
      </c>
      <c r="B6" s="211"/>
      <c r="C6" s="211"/>
      <c r="D6" s="211"/>
      <c r="E6" s="211"/>
      <c r="F6" s="211"/>
      <c r="G6" s="211"/>
      <c r="H6" s="211"/>
      <c r="I6" s="211"/>
      <c r="J6" s="211"/>
      <c r="K6" s="150" t="str">
        <f>2&amp;"."</f>
        <v>2.</v>
      </c>
      <c r="L6" s="211" t="s">
        <v>66</v>
      </c>
      <c r="M6" s="211"/>
      <c r="N6" s="211"/>
      <c r="O6" s="211"/>
      <c r="P6" s="211"/>
      <c r="Q6" s="211"/>
      <c r="R6" s="211"/>
      <c r="S6" s="211"/>
      <c r="T6" s="211"/>
    </row>
    <row r="7" spans="1:20">
      <c r="A7" s="211"/>
      <c r="B7" s="211"/>
      <c r="C7" s="211"/>
      <c r="D7" s="211"/>
      <c r="E7" s="211"/>
      <c r="F7" s="211"/>
      <c r="G7" s="211"/>
      <c r="H7" s="211"/>
      <c r="I7" s="211"/>
      <c r="J7" s="211"/>
      <c r="K7" s="185"/>
      <c r="L7" s="185"/>
      <c r="M7" s="185"/>
      <c r="N7" s="185"/>
      <c r="O7" s="185"/>
      <c r="P7" s="185"/>
      <c r="Q7" s="185"/>
      <c r="R7" s="185"/>
      <c r="S7" s="185"/>
      <c r="T7" s="185"/>
    </row>
    <row r="8" spans="1:20">
      <c r="A8" s="211"/>
      <c r="B8" s="211"/>
      <c r="C8" s="211"/>
      <c r="D8" s="211"/>
      <c r="E8" s="211"/>
      <c r="F8" s="211"/>
      <c r="G8" s="211"/>
      <c r="H8" s="211"/>
      <c r="I8" s="211"/>
      <c r="J8" s="211"/>
      <c r="K8" s="150" t="str">
        <f>3&amp;"."</f>
        <v>3.</v>
      </c>
      <c r="L8" s="211" t="s">
        <v>67</v>
      </c>
      <c r="M8" s="211"/>
      <c r="N8" s="211"/>
      <c r="O8" s="211"/>
      <c r="P8" s="211"/>
      <c r="Q8" s="211"/>
      <c r="R8" s="211"/>
      <c r="S8" s="211"/>
      <c r="T8" s="211"/>
    </row>
    <row r="9" spans="1:20">
      <c r="A9" s="211"/>
      <c r="B9" s="211"/>
      <c r="C9" s="211"/>
      <c r="D9" s="211"/>
      <c r="E9" s="211"/>
      <c r="F9" s="211"/>
      <c r="G9" s="211"/>
      <c r="H9" s="211"/>
      <c r="I9" s="211"/>
      <c r="J9" s="211"/>
      <c r="K9" s="185"/>
      <c r="L9" s="211"/>
      <c r="M9" s="211"/>
      <c r="N9" s="211"/>
      <c r="O9" s="211"/>
      <c r="P9" s="211"/>
      <c r="Q9" s="211"/>
      <c r="R9" s="211"/>
      <c r="S9" s="211"/>
      <c r="T9" s="211"/>
    </row>
    <row r="10" spans="1:20">
      <c r="A10" s="211"/>
      <c r="B10" s="211"/>
      <c r="C10" s="211"/>
      <c r="D10" s="211"/>
      <c r="E10" s="211"/>
      <c r="F10" s="211"/>
      <c r="G10" s="211"/>
      <c r="H10" s="211"/>
      <c r="I10" s="211"/>
      <c r="J10" s="211"/>
      <c r="K10" s="185"/>
      <c r="L10" s="185"/>
      <c r="M10" s="185"/>
      <c r="N10" s="185"/>
      <c r="O10" s="185"/>
      <c r="P10" s="185"/>
      <c r="Q10" s="185"/>
      <c r="R10" s="185"/>
      <c r="S10" s="185"/>
      <c r="T10" s="185"/>
    </row>
    <row r="11" spans="1:20">
      <c r="A11" s="211"/>
      <c r="B11" s="211"/>
      <c r="C11" s="211"/>
      <c r="D11" s="211"/>
      <c r="E11" s="211"/>
      <c r="F11" s="211"/>
      <c r="G11" s="211"/>
      <c r="H11" s="211"/>
      <c r="I11" s="211"/>
      <c r="J11" s="211"/>
      <c r="K11" s="147" t="s">
        <v>68</v>
      </c>
      <c r="L11" s="185"/>
      <c r="M11" s="151"/>
      <c r="N11" s="151"/>
      <c r="O11" s="151"/>
      <c r="P11" s="151"/>
      <c r="Q11" s="151"/>
      <c r="R11" s="151"/>
      <c r="S11" s="151"/>
      <c r="T11" s="151"/>
    </row>
    <row r="12" spans="1:20" ht="15" customHeight="1">
      <c r="A12" s="211"/>
      <c r="B12" s="211"/>
      <c r="C12" s="211"/>
      <c r="D12" s="211"/>
      <c r="E12" s="211"/>
      <c r="F12" s="211"/>
      <c r="G12" s="211"/>
      <c r="H12" s="211"/>
      <c r="I12" s="211"/>
      <c r="J12" s="211"/>
      <c r="K12" s="150" t="str">
        <f>4&amp;"."</f>
        <v>4.</v>
      </c>
      <c r="L12" s="211" t="str">
        <f>"If you were the loan officer at "&amp;'Iterative Data'!B5&amp;" Credit Union, would you approve the loan? Defend your answer."</f>
        <v>If you were the loan officer at Fora Credit Union, would you approve the loan? Defend your answer.</v>
      </c>
      <c r="M12" s="211"/>
      <c r="N12" s="211"/>
      <c r="O12" s="211"/>
      <c r="P12" s="211"/>
      <c r="Q12" s="211"/>
      <c r="R12" s="211"/>
      <c r="S12" s="211"/>
      <c r="T12" s="211"/>
    </row>
    <row r="13" spans="1:20">
      <c r="A13" s="152" t="s">
        <v>69</v>
      </c>
      <c r="B13" s="190"/>
      <c r="C13" s="190"/>
      <c r="D13" s="190"/>
      <c r="E13" s="190"/>
      <c r="F13" s="190"/>
      <c r="G13" s="190"/>
      <c r="H13" s="190"/>
      <c r="I13" s="190"/>
      <c r="J13" s="190"/>
      <c r="K13" s="185"/>
      <c r="L13" s="211"/>
      <c r="M13" s="211"/>
      <c r="N13" s="211"/>
      <c r="O13" s="211"/>
      <c r="P13" s="211"/>
      <c r="Q13" s="211"/>
      <c r="R13" s="211"/>
      <c r="S13" s="211"/>
      <c r="T13" s="211"/>
    </row>
    <row r="14" spans="1:20" ht="15" customHeight="1">
      <c r="A14" s="153" t="str">
        <f>'Final Case'!X33</f>
        <v>1.</v>
      </c>
      <c r="B14" s="211" t="str">
        <f>"The company issued a "&amp;DOLLAR('Iterative Data'!B46,0)&amp;", "&amp;TEXT('Iterative Data'!B48,"#%")&amp;", "&amp;FIXED('Iterative Data'!B50,0)&amp;" year, semi-annual bond on "&amp;TEXT(DATE('Original Financial Statements'!E4,'Iterative Data'!B49+1,1),"MMMM D, YYYY")&amp;". No entries have been made for the bond or its interest. The bond was issued to yield "&amp;TEXT('Iterative Data'!B51,"#%")&amp;"."</f>
        <v>The company issued a $19,000, 7%, 6 year, semi-annual bond on March 1, 2024. No entries have been made for the bond or its interest. The bond was issued to yield 8%.</v>
      </c>
      <c r="C14" s="211"/>
      <c r="D14" s="211"/>
      <c r="E14" s="211"/>
      <c r="F14" s="211"/>
      <c r="G14" s="211"/>
      <c r="H14" s="211"/>
      <c r="I14" s="211"/>
      <c r="J14" s="211"/>
      <c r="K14" s="185"/>
      <c r="L14" s="151"/>
      <c r="M14" s="151"/>
      <c r="N14" s="151"/>
      <c r="O14" s="151"/>
      <c r="P14" s="151"/>
      <c r="Q14" s="151"/>
      <c r="R14" s="151"/>
      <c r="S14" s="151"/>
      <c r="T14" s="151"/>
    </row>
    <row r="15" spans="1:20">
      <c r="A15" s="153"/>
      <c r="B15" s="211"/>
      <c r="C15" s="211"/>
      <c r="D15" s="211"/>
      <c r="E15" s="211"/>
      <c r="F15" s="211"/>
      <c r="G15" s="211"/>
      <c r="H15" s="211"/>
      <c r="I15" s="211"/>
      <c r="J15" s="211"/>
      <c r="K15" s="150" t="str">
        <f>5&amp;"."</f>
        <v>5.</v>
      </c>
      <c r="L15" s="211" t="str">
        <f>'Iterative Data'!B4&amp;"'s owner had to make a difficult decision: to report the mistakes to the bank or not. The decision might have negative results for her company if "&amp;'Iterative Data'!B5&amp;"'s underwriting team decides not to approve the loan. Why do you think "&amp;'Iterative Data'!B4&amp;"'s owner decided to be honest in this situation? Provide at least THREE (3) factors that would motivate someone to make the right choice in this difficult situation."</f>
        <v>Keroka's owner had to make a difficult decision: to report the mistakes to the bank or not. The decision might have negative results for her company if Fora's underwriting team decides not to approve the loan. Why do you think Keroka's owner decided to be honest in this situation? Provide at least THREE (3) factors that would motivate someone to make the right choice in this difficult situation.</v>
      </c>
      <c r="M15" s="211"/>
      <c r="N15" s="211"/>
      <c r="O15" s="211"/>
      <c r="P15" s="211"/>
      <c r="Q15" s="211"/>
      <c r="R15" s="211"/>
      <c r="S15" s="211"/>
      <c r="T15" s="211"/>
    </row>
    <row r="16" spans="1:20" ht="30.95" customHeight="1">
      <c r="A16" s="153"/>
      <c r="B16" s="211"/>
      <c r="C16" s="211"/>
      <c r="D16" s="211"/>
      <c r="E16" s="211"/>
      <c r="F16" s="211"/>
      <c r="G16" s="211"/>
      <c r="H16" s="211"/>
      <c r="I16" s="211"/>
      <c r="J16" s="211"/>
      <c r="K16" s="185"/>
      <c r="L16" s="211"/>
      <c r="M16" s="211"/>
      <c r="N16" s="211"/>
      <c r="O16" s="211"/>
      <c r="P16" s="211"/>
      <c r="Q16" s="211"/>
      <c r="R16" s="211"/>
      <c r="S16" s="211"/>
      <c r="T16" s="211"/>
    </row>
    <row r="17" spans="1:20">
      <c r="A17" s="153" t="str">
        <f>'Final Case'!X36</f>
        <v>2.</v>
      </c>
      <c r="B17" s="211" t="str">
        <f>"The company purchased a new piece of equipment for "&amp;DOLLAR('Other Tables and Figures'!H11,0)&amp;" on "&amp;TEXT(DATE('Original Financial Statements'!E4,'Iterative Data'!B3,1),"MMMM D, YYYY")&amp;". No entries have been made for this cash purchase, which has an estimated useful life of "&amp;FIXED('Iterative Data'!B52,0)&amp;" years. The company uses straight-line depreciation with no salvage value and always adjusts for partial year depreciation."</f>
        <v>The company purchased a new piece of equipment for $9,000 on March 1, 2024. No entries have been made for this cash purchase, which has an estimated useful life of 4 years. The company uses straight-line depreciation with no salvage value and always adjusts for partial year depreciation.</v>
      </c>
      <c r="C17" s="211"/>
      <c r="D17" s="211"/>
      <c r="E17" s="211"/>
      <c r="F17" s="211"/>
      <c r="G17" s="211"/>
      <c r="H17" s="211"/>
      <c r="I17" s="211"/>
      <c r="J17" s="211"/>
      <c r="K17" s="185"/>
      <c r="L17" s="211"/>
      <c r="M17" s="211"/>
      <c r="N17" s="211"/>
      <c r="O17" s="211"/>
      <c r="P17" s="211"/>
      <c r="Q17" s="211"/>
      <c r="R17" s="211"/>
      <c r="S17" s="211"/>
      <c r="T17" s="211"/>
    </row>
    <row r="18" spans="1:20" ht="19.5" customHeight="1">
      <c r="A18" s="153"/>
      <c r="B18" s="211"/>
      <c r="C18" s="211"/>
      <c r="D18" s="211"/>
      <c r="E18" s="211"/>
      <c r="F18" s="211"/>
      <c r="G18" s="211"/>
      <c r="H18" s="211"/>
      <c r="I18" s="211"/>
      <c r="J18" s="211"/>
      <c r="K18" s="185"/>
      <c r="L18" s="211"/>
      <c r="M18" s="211"/>
      <c r="N18" s="211"/>
      <c r="O18" s="211"/>
      <c r="P18" s="211"/>
      <c r="Q18" s="211"/>
      <c r="R18" s="211"/>
      <c r="S18" s="211"/>
      <c r="T18" s="211"/>
    </row>
    <row r="19" spans="1:20" ht="15" customHeight="1">
      <c r="A19" s="153"/>
      <c r="B19" s="211"/>
      <c r="C19" s="211"/>
      <c r="D19" s="211"/>
      <c r="E19" s="211"/>
      <c r="F19" s="211"/>
      <c r="G19" s="211"/>
      <c r="H19" s="211"/>
      <c r="I19" s="211"/>
      <c r="J19" s="211"/>
      <c r="K19" s="185"/>
      <c r="L19" s="211"/>
      <c r="M19" s="211"/>
      <c r="N19" s="211"/>
      <c r="O19" s="211"/>
      <c r="P19" s="211"/>
      <c r="Q19" s="211"/>
      <c r="R19" s="211"/>
      <c r="S19" s="211"/>
      <c r="T19" s="211"/>
    </row>
    <row r="20" spans="1:20" ht="15" customHeight="1">
      <c r="A20" s="153"/>
      <c r="B20" s="211"/>
      <c r="C20" s="211"/>
      <c r="D20" s="211"/>
      <c r="E20" s="211"/>
      <c r="F20" s="211"/>
      <c r="G20" s="211"/>
      <c r="H20" s="211"/>
      <c r="I20" s="211"/>
      <c r="J20" s="211"/>
      <c r="K20" s="150"/>
      <c r="L20" s="211"/>
      <c r="M20" s="211"/>
      <c r="N20" s="211"/>
      <c r="O20" s="211"/>
      <c r="P20" s="211"/>
      <c r="Q20" s="211"/>
      <c r="R20" s="211"/>
      <c r="S20" s="211"/>
      <c r="T20" s="211"/>
    </row>
    <row r="21" spans="1:20" ht="15" customHeight="1">
      <c r="A21" s="153" t="str">
        <f>'Final Case'!X40</f>
        <v>3.</v>
      </c>
      <c r="B21" s="211" t="str">
        <f>"Members of the sales force are paid commissions twice a year. Commissions on sales from January - June are paid on July 10th and commissions from July - December are paid on January 10th."&amp;" No entry has been made for the commissions earned during the last half of "&amp;'Updated Fin. Statements (Q3)'!F4&amp;". Total sales from July to December were "&amp;DOLLAR('Other Tables and Figures'!H15,0)&amp;", but only "&amp;TEXT('Other Tables and Figures'!H17,"#.#%")&amp;" of those sales were subject to the "&amp;TEXT('Other Tables and Figures'!H16,"#.#%")&amp;" commission. Commissions are reported with Sales Force Salaries."</f>
        <v>Members of the sales force are paid commissions twice a year. Commissions on sales from January - June are paid on July 10th and commissions from July - December are paid on January 10th. No entry has been made for the commissions earned during the last half of 2024. Total sales from July to December were $159,200, but only 25.% of those sales were subject to the 4.4% commission. Commissions are reported with Sales Force Salaries.</v>
      </c>
      <c r="C21" s="211"/>
      <c r="D21" s="211"/>
      <c r="E21" s="211"/>
      <c r="F21" s="211"/>
      <c r="G21" s="211"/>
      <c r="H21" s="211"/>
      <c r="I21" s="211"/>
      <c r="J21" s="211"/>
      <c r="K21" s="185"/>
      <c r="L21" s="185"/>
      <c r="M21" s="185"/>
      <c r="N21" s="185"/>
      <c r="O21" s="185"/>
      <c r="P21" s="185"/>
      <c r="Q21" s="185"/>
      <c r="R21" s="185"/>
      <c r="S21" s="185"/>
      <c r="T21" s="185"/>
    </row>
    <row r="22" spans="1:20" ht="15" customHeight="1">
      <c r="A22" s="153"/>
      <c r="B22" s="211"/>
      <c r="C22" s="211"/>
      <c r="D22" s="211"/>
      <c r="E22" s="211"/>
      <c r="F22" s="211"/>
      <c r="G22" s="211"/>
      <c r="H22" s="211"/>
      <c r="I22" s="211"/>
      <c r="J22" s="211"/>
      <c r="K22" s="185"/>
      <c r="L22" s="185"/>
      <c r="M22" s="185"/>
      <c r="N22" s="185"/>
      <c r="O22" s="185"/>
      <c r="P22" s="185"/>
      <c r="Q22" s="185"/>
      <c r="R22" s="185"/>
      <c r="S22" s="185"/>
      <c r="T22" s="185"/>
    </row>
    <row r="23" spans="1:20">
      <c r="A23" s="153"/>
      <c r="B23" s="211"/>
      <c r="C23" s="211"/>
      <c r="D23" s="211"/>
      <c r="E23" s="211"/>
      <c r="F23" s="211"/>
      <c r="G23" s="211"/>
      <c r="H23" s="211"/>
      <c r="I23" s="211"/>
      <c r="J23" s="211"/>
      <c r="K23" s="185"/>
      <c r="L23" s="185"/>
      <c r="M23" s="185"/>
      <c r="N23" s="185"/>
      <c r="O23" s="185"/>
      <c r="P23" s="185"/>
      <c r="Q23" s="185"/>
      <c r="R23" s="185"/>
      <c r="S23" s="185"/>
      <c r="T23" s="185"/>
    </row>
    <row r="24" spans="1:20">
      <c r="A24" s="153"/>
      <c r="B24" s="211"/>
      <c r="C24" s="211"/>
      <c r="D24" s="211"/>
      <c r="E24" s="211"/>
      <c r="F24" s="211"/>
      <c r="G24" s="211"/>
      <c r="H24" s="211"/>
      <c r="I24" s="211"/>
      <c r="J24" s="211"/>
      <c r="K24" s="185"/>
      <c r="L24" s="185"/>
      <c r="M24" s="185"/>
      <c r="N24" s="185"/>
      <c r="O24" s="185"/>
      <c r="P24" s="185"/>
      <c r="Q24" s="185"/>
      <c r="R24" s="185"/>
      <c r="S24" s="185"/>
      <c r="T24" s="185"/>
    </row>
    <row r="25" spans="1:20">
      <c r="A25" s="153"/>
      <c r="B25" s="211"/>
      <c r="C25" s="211"/>
      <c r="D25" s="211"/>
      <c r="E25" s="211"/>
      <c r="F25" s="211"/>
      <c r="G25" s="211"/>
      <c r="H25" s="211"/>
      <c r="I25" s="211"/>
      <c r="J25" s="211"/>
      <c r="K25" s="185"/>
      <c r="L25" s="185"/>
      <c r="M25" s="185"/>
      <c r="N25" s="185"/>
      <c r="O25" s="185"/>
      <c r="P25" s="185"/>
      <c r="Q25" s="185"/>
      <c r="R25" s="185"/>
      <c r="S25" s="185"/>
      <c r="T25" s="185"/>
    </row>
    <row r="26" spans="1:20">
      <c r="A26" s="153"/>
      <c r="B26" s="211"/>
      <c r="C26" s="211"/>
      <c r="D26" s="211"/>
      <c r="E26" s="211"/>
      <c r="F26" s="211"/>
      <c r="G26" s="211"/>
      <c r="H26" s="211"/>
      <c r="I26" s="211"/>
      <c r="J26" s="211"/>
      <c r="K26" s="185"/>
      <c r="L26" s="185"/>
      <c r="M26" s="185"/>
      <c r="N26" s="185"/>
      <c r="O26" s="185"/>
      <c r="P26" s="185"/>
      <c r="Q26" s="185"/>
      <c r="R26" s="185"/>
      <c r="S26" s="185"/>
      <c r="T26" s="185"/>
    </row>
    <row r="27" spans="1:20">
      <c r="A27" s="153"/>
      <c r="B27" s="190"/>
      <c r="C27" s="190"/>
      <c r="D27" s="190"/>
      <c r="E27" s="190"/>
      <c r="F27" s="190"/>
      <c r="G27" s="190"/>
      <c r="H27" s="190"/>
      <c r="I27" s="190"/>
      <c r="J27" s="190"/>
      <c r="K27" s="185"/>
      <c r="L27" s="185"/>
      <c r="M27" s="185"/>
      <c r="N27" s="185"/>
      <c r="O27" s="185"/>
      <c r="P27" s="185"/>
      <c r="Q27" s="185"/>
      <c r="R27" s="185"/>
      <c r="S27" s="185"/>
      <c r="T27" s="185"/>
    </row>
    <row r="28" spans="1:20">
      <c r="A28" s="211" t="str">
        <f>"In addition to an updated set of financial statements, "&amp;'Iterative Data'!B5&amp;" Credit Union's underwriting team requires the following ratios. For comparison purposes, please calculate each ratio before and after making the corrections listed above."</f>
        <v>In addition to an updated set of financial statements, Fora Credit Union's underwriting team requires the following ratios. For comparison purposes, please calculate each ratio before and after making the corrections listed above.</v>
      </c>
      <c r="B28" s="211"/>
      <c r="C28" s="211"/>
      <c r="D28" s="211"/>
      <c r="E28" s="211"/>
      <c r="F28" s="211"/>
      <c r="G28" s="211"/>
      <c r="H28" s="211"/>
      <c r="I28" s="211"/>
      <c r="J28" s="211"/>
      <c r="K28" s="185"/>
      <c r="L28" s="185"/>
      <c r="M28" s="185"/>
      <c r="N28" s="185"/>
      <c r="O28" s="185"/>
      <c r="P28" s="185"/>
      <c r="Q28" s="185"/>
      <c r="R28" s="185"/>
      <c r="S28" s="185"/>
      <c r="T28" s="185"/>
    </row>
    <row r="29" spans="1:20">
      <c r="A29" s="211"/>
      <c r="B29" s="211"/>
      <c r="C29" s="211"/>
      <c r="D29" s="211"/>
      <c r="E29" s="211"/>
      <c r="F29" s="211"/>
      <c r="G29" s="211"/>
      <c r="H29" s="211"/>
      <c r="I29" s="211"/>
      <c r="J29" s="211"/>
      <c r="K29" s="185"/>
      <c r="L29" s="185"/>
      <c r="M29" s="185"/>
      <c r="N29" s="185"/>
      <c r="O29" s="185"/>
      <c r="P29" s="185"/>
      <c r="Q29" s="185"/>
      <c r="R29" s="185"/>
      <c r="S29" s="185"/>
      <c r="T29" s="185"/>
    </row>
    <row r="30" spans="1:20">
      <c r="A30" s="211"/>
      <c r="B30" s="211"/>
      <c r="C30" s="211"/>
      <c r="D30" s="211"/>
      <c r="E30" s="211"/>
      <c r="F30" s="211"/>
      <c r="G30" s="211"/>
      <c r="H30" s="211"/>
      <c r="I30" s="211"/>
      <c r="J30" s="211"/>
      <c r="K30" s="185"/>
      <c r="L30" s="185"/>
      <c r="M30" s="185"/>
      <c r="N30" s="185"/>
      <c r="O30" s="185"/>
      <c r="P30" s="185"/>
      <c r="Q30" s="185"/>
      <c r="R30" s="185"/>
      <c r="S30" s="185"/>
      <c r="T30" s="185"/>
    </row>
    <row r="31" spans="1:20">
      <c r="A31" s="190"/>
      <c r="B31" s="190"/>
      <c r="C31" s="190"/>
      <c r="D31" s="190"/>
      <c r="E31" s="190"/>
      <c r="F31" s="190"/>
      <c r="G31" s="190"/>
      <c r="H31" s="190"/>
      <c r="I31" s="190"/>
      <c r="J31" s="190"/>
      <c r="K31" s="185"/>
      <c r="L31" s="185"/>
      <c r="M31" s="185"/>
      <c r="N31" s="185"/>
      <c r="O31" s="185"/>
      <c r="P31" s="185"/>
      <c r="Q31" s="185"/>
      <c r="R31" s="185"/>
      <c r="S31" s="185"/>
      <c r="T31" s="185"/>
    </row>
    <row r="32" spans="1:20">
      <c r="A32" s="148" t="s">
        <v>70</v>
      </c>
      <c r="B32" s="152" t="str">
        <f>'Final Case'!AS20</f>
        <v>Current Ratio</v>
      </c>
      <c r="C32" s="190"/>
      <c r="D32" s="190"/>
      <c r="E32" s="190"/>
      <c r="F32" s="190"/>
      <c r="G32" s="190"/>
      <c r="H32" s="190"/>
      <c r="I32" s="190"/>
      <c r="J32" s="190"/>
      <c r="K32" s="185"/>
      <c r="L32" s="185"/>
      <c r="M32" s="185"/>
      <c r="N32" s="185"/>
      <c r="O32" s="185"/>
      <c r="P32" s="185"/>
      <c r="Q32" s="185"/>
      <c r="R32" s="185"/>
      <c r="S32" s="185"/>
      <c r="T32" s="185"/>
    </row>
    <row r="33" spans="1:2">
      <c r="A33" s="148" t="s">
        <v>70</v>
      </c>
      <c r="B33" s="152" t="str">
        <f>'Final Case'!AS21</f>
        <v>ROA</v>
      </c>
    </row>
    <row r="34" spans="1:2">
      <c r="A34" s="148" t="s">
        <v>70</v>
      </c>
      <c r="B34" s="152" t="str">
        <f>'Final Case'!AS22</f>
        <v>ROE</v>
      </c>
    </row>
    <row r="35" spans="1:2">
      <c r="A35" s="148" t="s">
        <v>70</v>
      </c>
      <c r="B35" s="152" t="str">
        <f>'Final Case'!AS23</f>
        <v>Debt to Equity Ratio</v>
      </c>
    </row>
    <row r="36" spans="1:2">
      <c r="A36" s="148" t="s">
        <v>70</v>
      </c>
      <c r="B36" s="152" t="str">
        <f>'Final Case'!AS24</f>
        <v>Asset Turnover</v>
      </c>
    </row>
    <row r="37" spans="1:2">
      <c r="A37" s="148" t="s">
        <v>70</v>
      </c>
      <c r="B37" s="152" t="str">
        <f>'Final Case'!AS25</f>
        <v>Profit Margin</v>
      </c>
    </row>
    <row r="38" spans="1:2">
      <c r="A38" s="185"/>
      <c r="B38" s="152"/>
    </row>
  </sheetData>
  <mergeCells count="12">
    <mergeCell ref="A1:J2"/>
    <mergeCell ref="A3:J3"/>
    <mergeCell ref="L3:T4"/>
    <mergeCell ref="A6:J12"/>
    <mergeCell ref="L6:T6"/>
    <mergeCell ref="L8:T9"/>
    <mergeCell ref="L12:T13"/>
    <mergeCell ref="B14:J16"/>
    <mergeCell ref="L15:T20"/>
    <mergeCell ref="B17:J20"/>
    <mergeCell ref="B21:J26"/>
    <mergeCell ref="A28:J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P57"/>
  <sheetViews>
    <sheetView workbookViewId="0">
      <selection activeCell="B3" sqref="B3"/>
    </sheetView>
  </sheetViews>
  <sheetFormatPr defaultColWidth="8.85546875" defaultRowHeight="15"/>
  <cols>
    <col min="1" max="1" width="33.42578125" bestFit="1" customWidth="1"/>
    <col min="2" max="3" width="12.42578125" customWidth="1"/>
    <col min="4" max="4" width="18.42578125" bestFit="1" customWidth="1"/>
    <col min="5" max="5" width="7.42578125" bestFit="1" customWidth="1"/>
    <col min="6" max="6" width="10.5703125" bestFit="1" customWidth="1"/>
    <col min="7" max="7" width="16" bestFit="1" customWidth="1"/>
    <col min="8" max="8" width="21" bestFit="1" customWidth="1"/>
    <col min="9" max="9" width="21" customWidth="1"/>
    <col min="10" max="10" width="11" customWidth="1"/>
    <col min="12" max="12" width="27.85546875" bestFit="1" customWidth="1"/>
    <col min="13" max="13" width="10.5703125" bestFit="1" customWidth="1"/>
    <col min="14" max="14" width="22.140625" bestFit="1" customWidth="1"/>
  </cols>
  <sheetData>
    <row r="1" spans="1:16">
      <c r="A1" s="196" t="s">
        <v>71</v>
      </c>
      <c r="B1" s="185"/>
      <c r="C1" s="185"/>
      <c r="D1" s="185"/>
      <c r="E1" s="185"/>
      <c r="F1" s="185"/>
      <c r="G1" s="185"/>
      <c r="H1" s="185"/>
      <c r="I1" s="185"/>
      <c r="J1" s="185"/>
      <c r="K1" s="185"/>
      <c r="L1" s="193" t="s">
        <v>72</v>
      </c>
      <c r="M1" s="49" t="s">
        <v>73</v>
      </c>
      <c r="N1" s="49" t="s">
        <v>74</v>
      </c>
      <c r="O1" s="182"/>
      <c r="P1" s="182"/>
    </row>
    <row r="2" spans="1:16">
      <c r="A2" s="196"/>
      <c r="B2" s="179">
        <v>45747</v>
      </c>
      <c r="C2" s="185"/>
      <c r="D2" s="185"/>
      <c r="E2" s="185"/>
      <c r="F2" s="185"/>
      <c r="G2" s="185"/>
      <c r="H2" s="185"/>
      <c r="I2" s="185"/>
      <c r="J2" s="185"/>
      <c r="K2" s="185"/>
      <c r="L2" s="50" t="s">
        <v>75</v>
      </c>
      <c r="M2" s="53">
        <v>0.21</v>
      </c>
      <c r="N2" s="51">
        <f>(1-$N$5)*(M2/SUM($M$2:$M$4))</f>
        <v>0.15555555555555553</v>
      </c>
      <c r="O2" s="182"/>
      <c r="P2" s="182"/>
    </row>
    <row r="3" spans="1:16">
      <c r="A3" s="185" t="s">
        <v>76</v>
      </c>
      <c r="B3" s="169" cm="1">
        <f t="array" ref="B3">INDEX(C4:C13, IF(MOD('Final Case'!B6, 10) = 0, 10, MOD('Final Case'!B6, 10)))</f>
        <v>3</v>
      </c>
      <c r="C3" s="194" t="s">
        <v>77</v>
      </c>
      <c r="D3" s="185" t="s">
        <v>78</v>
      </c>
      <c r="E3" s="185" t="s">
        <v>79</v>
      </c>
      <c r="F3" s="185" t="s">
        <v>80</v>
      </c>
      <c r="G3" s="185" t="s">
        <v>81</v>
      </c>
      <c r="H3" s="185" t="s">
        <v>82</v>
      </c>
      <c r="I3" s="185" t="s">
        <v>83</v>
      </c>
      <c r="J3" s="185" t="s">
        <v>84</v>
      </c>
      <c r="K3" s="185"/>
      <c r="L3" s="36" t="s">
        <v>85</v>
      </c>
      <c r="M3" s="53">
        <v>0.3</v>
      </c>
      <c r="N3" s="51">
        <f>(1-$N$5)*(M3/SUM($M$2:$M$4))</f>
        <v>0.22222222222222221</v>
      </c>
      <c r="O3" s="182"/>
      <c r="P3" s="182"/>
    </row>
    <row r="4" spans="1:16">
      <c r="A4" s="36" t="s">
        <v>78</v>
      </c>
      <c r="B4" s="194" t="str">
        <f>_xlfn.XLOOKUP(B3,$C$4:$C$13,'Iterative Data'!D4:D13)</f>
        <v>Keroka</v>
      </c>
      <c r="C4" s="194">
        <v>0</v>
      </c>
      <c r="D4" s="185" t="s">
        <v>86</v>
      </c>
      <c r="E4" s="185" t="s">
        <v>87</v>
      </c>
      <c r="F4" s="185">
        <v>0.21</v>
      </c>
      <c r="G4" s="185">
        <v>103400</v>
      </c>
      <c r="H4" s="185">
        <v>0.08</v>
      </c>
      <c r="I4" s="185">
        <v>0.48</v>
      </c>
      <c r="J4" s="185">
        <f t="shared" ref="J4:J13" ca="1" si="0">RANDBETWEEN(1,100)</f>
        <v>18</v>
      </c>
      <c r="K4" s="185"/>
      <c r="L4" s="36" t="s">
        <v>88</v>
      </c>
      <c r="M4" s="53">
        <v>0.3</v>
      </c>
      <c r="N4" s="51">
        <f>1-SUM(N2:N3,N5)</f>
        <v>0.22222222222222221</v>
      </c>
      <c r="O4" s="182"/>
      <c r="P4" s="182"/>
    </row>
    <row r="5" spans="1:16">
      <c r="A5" s="36" t="s">
        <v>89</v>
      </c>
      <c r="B5" s="194" t="str">
        <f>_xlfn.XLOOKUP(B3,$C$4:$C$13,'Iterative Data'!E4:E13)</f>
        <v>Fora</v>
      </c>
      <c r="C5" s="194">
        <v>1</v>
      </c>
      <c r="D5" s="185" t="s">
        <v>90</v>
      </c>
      <c r="E5" s="185" t="s">
        <v>91</v>
      </c>
      <c r="F5" s="185">
        <v>0.27</v>
      </c>
      <c r="G5" s="185">
        <v>122700</v>
      </c>
      <c r="H5" s="185">
        <v>0.04</v>
      </c>
      <c r="I5" s="185">
        <v>0.42</v>
      </c>
      <c r="J5" s="185">
        <f t="shared" ca="1" si="0"/>
        <v>93</v>
      </c>
      <c r="K5" s="185"/>
      <c r="L5" s="36" t="s">
        <v>68</v>
      </c>
      <c r="M5" s="53">
        <f>1-SUM(M2:M4)</f>
        <v>0.18999999999999995</v>
      </c>
      <c r="N5" s="53">
        <v>0.4</v>
      </c>
      <c r="O5" s="182"/>
      <c r="P5" s="182"/>
    </row>
    <row r="6" spans="1:16">
      <c r="A6" s="21" t="s">
        <v>92</v>
      </c>
      <c r="B6" s="23">
        <f>MAX(1,RIGHT('Final Case'!B6,2))*_xlfn.XLOOKUP(B3,C4:C13,'Iterative Data'!G4:G13)</f>
        <v>398000</v>
      </c>
      <c r="C6" s="194">
        <v>2</v>
      </c>
      <c r="D6" s="185" t="s">
        <v>93</v>
      </c>
      <c r="E6" s="185" t="s">
        <v>94</v>
      </c>
      <c r="F6" s="185">
        <v>0.3</v>
      </c>
      <c r="G6" s="185">
        <v>130800</v>
      </c>
      <c r="H6" s="185">
        <v>0.03</v>
      </c>
      <c r="I6" s="185">
        <v>0.62</v>
      </c>
      <c r="J6" s="185">
        <f t="shared" ca="1" si="0"/>
        <v>28</v>
      </c>
      <c r="K6" s="185"/>
      <c r="L6" s="182"/>
      <c r="M6" s="52">
        <f t="shared" ref="M6:N6" si="1">SUM(M2:M5)</f>
        <v>1</v>
      </c>
      <c r="N6" s="52">
        <f t="shared" si="1"/>
        <v>1</v>
      </c>
      <c r="O6" s="182"/>
      <c r="P6" s="182"/>
    </row>
    <row r="7" spans="1:16">
      <c r="A7" s="21" t="s">
        <v>95</v>
      </c>
      <c r="B7" s="46">
        <f>ROUND(B6/16,-4)</f>
        <v>20000</v>
      </c>
      <c r="C7" s="194">
        <v>3</v>
      </c>
      <c r="D7" s="185" t="s">
        <v>96</v>
      </c>
      <c r="E7" s="185" t="s">
        <v>97</v>
      </c>
      <c r="F7" s="185">
        <v>0.28000000000000003</v>
      </c>
      <c r="G7" s="185">
        <v>99500</v>
      </c>
      <c r="H7" s="185">
        <v>0.04</v>
      </c>
      <c r="I7" s="185">
        <v>0.4</v>
      </c>
      <c r="J7" s="185">
        <f t="shared" ca="1" si="0"/>
        <v>36</v>
      </c>
      <c r="K7" s="185"/>
      <c r="L7" s="182"/>
      <c r="M7" s="182"/>
      <c r="N7" s="182"/>
      <c r="O7" s="182"/>
      <c r="P7" s="182"/>
    </row>
    <row r="8" spans="1:16">
      <c r="A8" s="21" t="s">
        <v>98</v>
      </c>
      <c r="B8" s="23">
        <f>IF(ISEVEN(B3)=TRUE,2,1)</f>
        <v>1</v>
      </c>
      <c r="C8" s="194">
        <v>4</v>
      </c>
      <c r="D8" s="185" t="s">
        <v>99</v>
      </c>
      <c r="E8" s="185" t="s">
        <v>100</v>
      </c>
      <c r="F8" s="185">
        <v>0.25</v>
      </c>
      <c r="G8" s="185">
        <v>109200</v>
      </c>
      <c r="H8" s="185">
        <v>0.03</v>
      </c>
      <c r="I8" s="185">
        <v>0.45</v>
      </c>
      <c r="J8" s="185">
        <f t="shared" ca="1" si="0"/>
        <v>8</v>
      </c>
      <c r="K8" s="185"/>
      <c r="L8" s="185"/>
      <c r="M8" s="185"/>
      <c r="N8" s="182"/>
      <c r="O8" s="182"/>
      <c r="P8" s="182"/>
    </row>
    <row r="9" spans="1:16">
      <c r="A9" s="21" t="s">
        <v>101</v>
      </c>
      <c r="B9" s="48">
        <f>_xlfn.XLOOKUP(B3,C4:C13,'Iterative Data'!F4:F13)</f>
        <v>0.28000000000000003</v>
      </c>
      <c r="C9" s="194">
        <v>5</v>
      </c>
      <c r="D9" s="185" t="s">
        <v>102</v>
      </c>
      <c r="E9" s="185" t="s">
        <v>103</v>
      </c>
      <c r="F9" s="185">
        <v>0.33</v>
      </c>
      <c r="G9" s="185">
        <v>124000</v>
      </c>
      <c r="H9" s="185">
        <v>0.08</v>
      </c>
      <c r="I9" s="185">
        <v>0.52</v>
      </c>
      <c r="J9" s="185">
        <f t="shared" ca="1" si="0"/>
        <v>54</v>
      </c>
      <c r="K9" s="185"/>
      <c r="L9" s="185"/>
      <c r="M9" s="185"/>
      <c r="N9" s="182"/>
      <c r="O9" s="182"/>
      <c r="P9" s="182"/>
    </row>
    <row r="10" spans="1:16">
      <c r="A10" s="21" t="s">
        <v>82</v>
      </c>
      <c r="B10" s="48">
        <f>_xlfn.XLOOKUP(B3*1,C4:C13,'Iterative Data'!H4:H13)+0.01</f>
        <v>0.05</v>
      </c>
      <c r="C10" s="194">
        <v>6</v>
      </c>
      <c r="D10" s="185" t="s">
        <v>104</v>
      </c>
      <c r="E10" s="185" t="s">
        <v>105</v>
      </c>
      <c r="F10" s="185">
        <v>0.19</v>
      </c>
      <c r="G10" s="185">
        <v>125600</v>
      </c>
      <c r="H10" s="185">
        <v>0.05</v>
      </c>
      <c r="I10" s="185">
        <v>0.5</v>
      </c>
      <c r="J10" s="185">
        <f t="shared" ca="1" si="0"/>
        <v>67</v>
      </c>
      <c r="K10" s="185"/>
      <c r="L10" s="185"/>
      <c r="M10" s="185"/>
      <c r="N10" s="185"/>
      <c r="O10" s="185"/>
      <c r="P10" s="185"/>
    </row>
    <row r="11" spans="1:16">
      <c r="A11" s="21" t="s">
        <v>106</v>
      </c>
      <c r="B11" s="48">
        <f>_xlfn.XLOOKUP(B3*1,C4:C13,'Iterative Data'!I4:I13)</f>
        <v>0.4</v>
      </c>
      <c r="C11" s="194">
        <v>7</v>
      </c>
      <c r="D11" s="185" t="s">
        <v>107</v>
      </c>
      <c r="E11" s="185" t="s">
        <v>108</v>
      </c>
      <c r="F11" s="185">
        <v>0.22</v>
      </c>
      <c r="G11" s="185">
        <v>101500</v>
      </c>
      <c r="H11" s="185">
        <v>0.06</v>
      </c>
      <c r="I11" s="185">
        <v>0.56999999999999995</v>
      </c>
      <c r="J11" s="185">
        <f t="shared" ca="1" si="0"/>
        <v>3</v>
      </c>
      <c r="K11" s="185"/>
      <c r="L11" s="185"/>
      <c r="M11" s="185"/>
      <c r="N11" s="185"/>
      <c r="O11" s="185"/>
      <c r="P11" s="185"/>
    </row>
    <row r="12" spans="1:16">
      <c r="A12" s="21"/>
      <c r="B12" s="48"/>
      <c r="C12" s="194">
        <v>8</v>
      </c>
      <c r="D12" s="185" t="s">
        <v>109</v>
      </c>
      <c r="E12" s="185" t="s">
        <v>110</v>
      </c>
      <c r="F12" s="185">
        <v>0.2</v>
      </c>
      <c r="G12" s="185">
        <v>106900</v>
      </c>
      <c r="H12" s="185">
        <v>0.06</v>
      </c>
      <c r="I12" s="185">
        <v>0.55000000000000004</v>
      </c>
      <c r="J12" s="185">
        <f t="shared" ca="1" si="0"/>
        <v>23</v>
      </c>
      <c r="K12" s="185"/>
      <c r="L12" s="185"/>
      <c r="M12" s="185"/>
      <c r="N12" s="185"/>
      <c r="O12" s="185"/>
      <c r="P12" s="185"/>
    </row>
    <row r="13" spans="1:16">
      <c r="A13" s="21"/>
      <c r="B13" s="48"/>
      <c r="C13" s="194">
        <v>9</v>
      </c>
      <c r="D13" s="185" t="s">
        <v>111</v>
      </c>
      <c r="E13" s="185" t="s">
        <v>112</v>
      </c>
      <c r="F13" s="185">
        <v>0.31</v>
      </c>
      <c r="G13" s="185">
        <v>127300</v>
      </c>
      <c r="H13" s="185">
        <v>7.0000000000000007E-2</v>
      </c>
      <c r="I13" s="185">
        <v>0.6</v>
      </c>
      <c r="J13" s="185">
        <f t="shared" ca="1" si="0"/>
        <v>8</v>
      </c>
      <c r="K13" s="185"/>
      <c r="L13" s="185"/>
      <c r="M13" s="185"/>
      <c r="N13" s="185"/>
      <c r="O13" s="185"/>
      <c r="P13" s="185"/>
    </row>
    <row r="14" spans="1:16" ht="15.75" thickBot="1">
      <c r="A14" s="21"/>
      <c r="B14" s="48"/>
      <c r="C14" s="185"/>
      <c r="D14" s="185"/>
      <c r="E14" s="185"/>
      <c r="F14" s="185"/>
      <c r="G14" s="185"/>
      <c r="H14" s="185"/>
      <c r="I14" s="185"/>
      <c r="J14" s="185"/>
      <c r="K14" s="185"/>
      <c r="L14" s="185"/>
      <c r="M14" s="185"/>
      <c r="N14" s="185"/>
      <c r="O14" s="185"/>
      <c r="P14" s="185"/>
    </row>
    <row r="15" spans="1:16">
      <c r="A15" s="214" t="s">
        <v>113</v>
      </c>
      <c r="B15" s="215"/>
      <c r="C15" s="216"/>
      <c r="D15" s="185"/>
      <c r="E15" s="185"/>
      <c r="F15" s="185"/>
      <c r="G15" s="185"/>
      <c r="H15" s="185"/>
      <c r="I15" s="185"/>
      <c r="J15" s="185"/>
      <c r="K15" s="185"/>
      <c r="L15" s="185"/>
      <c r="M15" s="185"/>
      <c r="N15" s="185"/>
      <c r="O15" s="185"/>
      <c r="P15" s="185"/>
    </row>
    <row r="16" spans="1:16">
      <c r="A16" s="154" t="s">
        <v>114</v>
      </c>
      <c r="B16" s="187">
        <v>0.69399999999999995</v>
      </c>
      <c r="C16" s="186"/>
      <c r="D16" s="185"/>
      <c r="E16" s="185"/>
      <c r="F16" s="185"/>
      <c r="G16" s="185"/>
      <c r="H16" s="185"/>
      <c r="I16" s="185"/>
      <c r="J16" s="185"/>
      <c r="K16" s="185"/>
      <c r="L16" s="185"/>
      <c r="M16" s="185"/>
      <c r="N16" s="185"/>
      <c r="O16" s="185"/>
      <c r="P16" s="185"/>
    </row>
    <row r="17" spans="1:7">
      <c r="A17" s="154" t="s">
        <v>115</v>
      </c>
      <c r="B17" s="187">
        <v>1.8749999999999999E-2</v>
      </c>
      <c r="C17" s="186"/>
      <c r="D17" s="185"/>
      <c r="E17" s="185"/>
      <c r="F17" s="185"/>
      <c r="G17" s="185"/>
    </row>
    <row r="18" spans="1:7">
      <c r="A18" s="154" t="s">
        <v>116</v>
      </c>
      <c r="B18" s="187">
        <v>1.559375E-2</v>
      </c>
      <c r="C18" s="186"/>
      <c r="D18" s="185"/>
      <c r="E18" s="185"/>
      <c r="F18" s="185"/>
      <c r="G18" s="185"/>
    </row>
    <row r="19" spans="1:7">
      <c r="A19" s="154" t="s">
        <v>117</v>
      </c>
      <c r="B19" s="187">
        <v>5.3749999999999999E-2</v>
      </c>
      <c r="C19" s="186"/>
      <c r="D19" s="185"/>
      <c r="E19" s="185"/>
      <c r="F19" s="185"/>
      <c r="G19" s="185"/>
    </row>
    <row r="20" spans="1:7">
      <c r="A20" s="154" t="s">
        <v>118</v>
      </c>
      <c r="B20" s="187">
        <v>8.1875000000000003E-3</v>
      </c>
      <c r="C20" s="186"/>
      <c r="D20" s="185"/>
      <c r="E20" s="185"/>
      <c r="F20" s="185"/>
      <c r="G20" s="178">
        <f ca="1">TODAY()</f>
        <v>45798</v>
      </c>
    </row>
    <row r="21" spans="1:7">
      <c r="A21" s="154" t="s">
        <v>119</v>
      </c>
      <c r="B21" s="187">
        <v>6.4000000000000001E-2</v>
      </c>
      <c r="C21" s="186"/>
      <c r="D21" s="185"/>
      <c r="E21" s="185"/>
      <c r="F21" s="185"/>
      <c r="G21" s="185"/>
    </row>
    <row r="22" spans="1:7">
      <c r="A22" s="154" t="s">
        <v>120</v>
      </c>
      <c r="B22" s="187">
        <v>1.5E-3</v>
      </c>
      <c r="C22" s="186"/>
      <c r="D22" s="185"/>
      <c r="E22" s="185"/>
      <c r="F22" s="185"/>
      <c r="G22" s="185"/>
    </row>
    <row r="23" spans="1:7">
      <c r="A23" s="154" t="s">
        <v>121</v>
      </c>
      <c r="B23" s="187">
        <v>0.05</v>
      </c>
      <c r="C23" s="186"/>
      <c r="D23" s="185"/>
      <c r="E23" s="185"/>
      <c r="F23" s="185"/>
      <c r="G23" s="185"/>
    </row>
    <row r="24" spans="1:7">
      <c r="A24" s="154" t="s">
        <v>122</v>
      </c>
      <c r="B24" s="187">
        <v>1E-3</v>
      </c>
      <c r="C24" s="186"/>
      <c r="D24" s="185"/>
      <c r="E24" s="185"/>
      <c r="F24" s="185"/>
      <c r="G24" s="185"/>
    </row>
    <row r="25" spans="1:7">
      <c r="A25" s="154" t="s">
        <v>123</v>
      </c>
      <c r="B25" s="187">
        <f>ROUND(AVERAGE(B21:B24,B26),3)</f>
        <v>2.4E-2</v>
      </c>
      <c r="C25" s="186"/>
      <c r="D25" s="185"/>
      <c r="E25" s="185"/>
      <c r="F25" s="185"/>
      <c r="G25" s="185"/>
    </row>
    <row r="26" spans="1:7">
      <c r="A26" s="154" t="s">
        <v>124</v>
      </c>
      <c r="B26" s="187">
        <v>4.0000000000000001E-3</v>
      </c>
      <c r="C26" s="186"/>
      <c r="D26" s="185"/>
      <c r="E26" s="185"/>
      <c r="F26" s="185"/>
      <c r="G26" s="185"/>
    </row>
    <row r="27" spans="1:7">
      <c r="A27" s="154" t="s">
        <v>125</v>
      </c>
      <c r="B27" s="187">
        <v>3.1250000000000002E-3</v>
      </c>
      <c r="C27" s="186"/>
      <c r="D27" s="185"/>
      <c r="E27" s="185"/>
      <c r="F27" s="185"/>
      <c r="G27" s="185"/>
    </row>
    <row r="28" spans="1:7">
      <c r="A28" s="154" t="s">
        <v>126</v>
      </c>
      <c r="B28" s="187">
        <v>-6.3749999999999996E-3</v>
      </c>
      <c r="C28" s="186"/>
      <c r="D28" s="185"/>
      <c r="E28" s="185"/>
      <c r="F28" s="185"/>
      <c r="G28" s="185"/>
    </row>
    <row r="29" spans="1:7">
      <c r="A29" s="154" t="s">
        <v>127</v>
      </c>
      <c r="B29" s="187">
        <v>4.6936312499999945E-2</v>
      </c>
      <c r="C29" s="186"/>
      <c r="D29" s="185"/>
      <c r="E29" s="185"/>
      <c r="F29" s="185"/>
      <c r="G29" s="185"/>
    </row>
    <row r="30" spans="1:7">
      <c r="A30" s="155" t="s">
        <v>128</v>
      </c>
      <c r="B30" s="187">
        <v>1.4999999999999999E-2</v>
      </c>
      <c r="C30" s="156">
        <v>1.9E-2</v>
      </c>
      <c r="D30" s="185"/>
      <c r="E30" s="185"/>
      <c r="F30" s="185"/>
      <c r="G30" s="185"/>
    </row>
    <row r="31" spans="1:7">
      <c r="A31" s="155" t="s">
        <v>129</v>
      </c>
      <c r="B31" s="187">
        <v>0.04</v>
      </c>
      <c r="C31" s="156">
        <v>0.03</v>
      </c>
      <c r="D31" s="185"/>
      <c r="E31" s="185"/>
      <c r="F31" s="185"/>
      <c r="G31" s="185"/>
    </row>
    <row r="32" spans="1:7">
      <c r="A32" s="155" t="s">
        <v>130</v>
      </c>
      <c r="B32" s="187">
        <v>-5.0000000000000001E-3</v>
      </c>
      <c r="C32" s="156">
        <v>-1.4999999999999999E-2</v>
      </c>
      <c r="D32" s="185"/>
      <c r="E32" s="185"/>
      <c r="F32" s="185"/>
      <c r="G32" s="185"/>
    </row>
    <row r="33" spans="1:3">
      <c r="A33" s="155" t="s">
        <v>131</v>
      </c>
      <c r="B33" s="187">
        <v>0.13</v>
      </c>
      <c r="C33" s="156">
        <v>0.14000000000000001</v>
      </c>
    </row>
    <row r="34" spans="1:3">
      <c r="A34" s="155" t="s">
        <v>132</v>
      </c>
      <c r="B34" s="187">
        <v>0.11</v>
      </c>
      <c r="C34" s="156">
        <v>7.0000000000000007E-2</v>
      </c>
    </row>
    <row r="35" spans="1:3">
      <c r="A35" s="155" t="s">
        <v>133</v>
      </c>
      <c r="B35" s="187">
        <v>0.08</v>
      </c>
      <c r="C35" s="156">
        <v>0.08</v>
      </c>
    </row>
    <row r="36" spans="1:3">
      <c r="A36" s="155" t="s">
        <v>134</v>
      </c>
      <c r="B36" s="187">
        <v>0.28000000000000003</v>
      </c>
      <c r="C36" s="156">
        <v>0.13</v>
      </c>
    </row>
    <row r="37" spans="1:3">
      <c r="A37" s="155" t="s">
        <v>135</v>
      </c>
      <c r="B37" s="187">
        <v>-0.12</v>
      </c>
      <c r="C37" s="156">
        <v>-0.1</v>
      </c>
    </row>
    <row r="38" spans="1:3">
      <c r="A38" s="155" t="s">
        <v>136</v>
      </c>
      <c r="B38" s="187"/>
      <c r="C38" s="156">
        <v>0.06</v>
      </c>
    </row>
    <row r="39" spans="1:3">
      <c r="A39" s="155" t="s">
        <v>137</v>
      </c>
      <c r="B39" s="187">
        <v>1.7500000000000002E-2</v>
      </c>
      <c r="C39" s="156">
        <v>0.01</v>
      </c>
    </row>
    <row r="40" spans="1:3">
      <c r="A40" s="155" t="s">
        <v>138</v>
      </c>
      <c r="B40" s="187">
        <v>2.5000000000000001E-2</v>
      </c>
      <c r="C40" s="156">
        <v>1.4999999999999999E-2</v>
      </c>
    </row>
    <row r="41" spans="1:3">
      <c r="A41" s="155" t="s">
        <v>139</v>
      </c>
      <c r="B41" s="187">
        <v>0.08</v>
      </c>
      <c r="C41" s="156">
        <v>0.03</v>
      </c>
    </row>
    <row r="42" spans="1:3">
      <c r="A42" s="155" t="s">
        <v>140</v>
      </c>
      <c r="B42" s="187">
        <v>0.14000000000000001</v>
      </c>
      <c r="C42" s="156">
        <v>0.08</v>
      </c>
    </row>
    <row r="43" spans="1:3">
      <c r="A43" s="155" t="s">
        <v>141</v>
      </c>
      <c r="B43" s="187">
        <v>0.03</v>
      </c>
      <c r="C43" s="156">
        <v>0.03</v>
      </c>
    </row>
    <row r="44" spans="1:3" ht="15.75" thickBot="1">
      <c r="A44" s="157" t="s">
        <v>142</v>
      </c>
      <c r="B44" s="158">
        <f>1.15%</f>
        <v>1.15E-2</v>
      </c>
      <c r="C44" s="159"/>
    </row>
    <row r="45" spans="1:3">
      <c r="A45" s="217" t="s">
        <v>143</v>
      </c>
      <c r="B45" s="218"/>
      <c r="C45" s="185"/>
    </row>
    <row r="46" spans="1:3">
      <c r="A46" s="160" t="s">
        <v>144</v>
      </c>
      <c r="B46" s="161">
        <f>ROUND(-PV('Iterative Data'!B10,B49,B47,,1)+IF(B52=0,-PV('Iterative Data'!B10,B49,B47,,1)*1.5)-PV('Iterative Data'!B10,B49,0,B52),-3)</f>
        <v>19000</v>
      </c>
      <c r="C46" s="185"/>
    </row>
    <row r="47" spans="1:3">
      <c r="A47" s="160" t="s">
        <v>145</v>
      </c>
      <c r="B47" s="162">
        <f>'Original Financial Statements'!B21</f>
        <v>9552</v>
      </c>
      <c r="C47" s="185"/>
    </row>
    <row r="48" spans="1:3">
      <c r="A48" s="160" t="s">
        <v>146</v>
      </c>
      <c r="B48" s="163">
        <f>IF(ISEVEN('Final Case'!B6)=TRUE,'Iterative Data'!B10+0.02,'Iterative Data'!B10+0.01)</f>
        <v>7.0000000000000007E-2</v>
      </c>
      <c r="C48" s="185"/>
    </row>
    <row r="49" spans="1:4">
      <c r="A49" s="160" t="s">
        <v>147</v>
      </c>
      <c r="B49" s="164">
        <v>2</v>
      </c>
      <c r="C49" s="185"/>
      <c r="D49" s="185"/>
    </row>
    <row r="50" spans="1:4">
      <c r="A50" s="160" t="s">
        <v>148</v>
      </c>
      <c r="B50" s="164">
        <f>IF(B3&gt;2,B3*2,IF(B3=0,10,B3*6))</f>
        <v>6</v>
      </c>
      <c r="C50" s="185"/>
      <c r="D50" s="185"/>
    </row>
    <row r="51" spans="1:4">
      <c r="A51" s="160" t="s">
        <v>149</v>
      </c>
      <c r="B51" s="165">
        <f>ROUND(B48+IF(ISEVEN(MONTH(B2))=TRUE,-0.02,0.01),2)</f>
        <v>0.08</v>
      </c>
      <c r="C51" s="185"/>
      <c r="D51" s="185"/>
    </row>
    <row r="52" spans="1:4">
      <c r="A52" s="160" t="s">
        <v>150</v>
      </c>
      <c r="B52" s="172">
        <f>ROUND((B50+B49)/2,0)</f>
        <v>4</v>
      </c>
      <c r="C52" s="185"/>
      <c r="D52" s="185"/>
    </row>
    <row r="53" spans="1:4">
      <c r="A53" s="160" t="s">
        <v>151</v>
      </c>
      <c r="B53" s="162">
        <f>ROUND(B47*IF(ISEVEN('Final Case'!B6)=TRUE,0.98,1.06),-3)</f>
        <v>9000</v>
      </c>
      <c r="C53" s="185"/>
      <c r="D53" s="170"/>
    </row>
    <row r="54" spans="1:4">
      <c r="A54" s="160" t="s">
        <v>152</v>
      </c>
      <c r="B54" s="162">
        <f>-ROUND(PV(B48+0.01,1,0,B53),-2)</f>
        <v>8300</v>
      </c>
      <c r="C54" s="185"/>
      <c r="D54" s="170"/>
    </row>
    <row r="55" spans="1:4">
      <c r="A55" s="160" t="s">
        <v>153</v>
      </c>
      <c r="B55" s="162">
        <f>ROUND(('Iterative Data'!B11)*'Original Financial Statements'!B5,-2)</f>
        <v>159200</v>
      </c>
      <c r="C55" s="185"/>
      <c r="D55" s="171"/>
    </row>
    <row r="56" spans="1:4">
      <c r="A56" s="160" t="s">
        <v>154</v>
      </c>
      <c r="B56" s="166">
        <f>ROUND(MAX(0.02,MIN(0.075,LEFT('Final Case'!B6)/90)),3)</f>
        <v>4.3999999999999997E-2</v>
      </c>
      <c r="C56" s="185"/>
      <c r="D56" s="185"/>
    </row>
    <row r="57" spans="1:4" ht="15.75" thickBot="1">
      <c r="A57" s="167" t="s">
        <v>155</v>
      </c>
      <c r="B57" s="168">
        <f>ROUND(MAX(0.25,LEFT('Final Case'!B6,2)/IF(B56&gt;0.06,300,IF(B56&lt;0.03,50,100))),3)</f>
        <v>0.25</v>
      </c>
      <c r="C57" s="185"/>
      <c r="D57" s="185"/>
    </row>
  </sheetData>
  <sheetProtection algorithmName="SHA-512" hashValue="Q3mF0CuRXdcxvjzZbtH0nCfMCIFcdiuQOIZbzeWoJfxBL7DuvhjXwqHQkIV3apQ8CL1GahM38SzYgK1C9MZLEA==" saltValue="T7dG+eTgiTrhVoq+BesdhA==" spinCount="100000" sheet="1" scenarios="1" selectLockedCells="1" selectUnlockedCells="1"/>
  <mergeCells count="3">
    <mergeCell ref="A15:C15"/>
    <mergeCell ref="A45:B45"/>
    <mergeCell ref="A1:A2"/>
  </mergeCells>
  <conditionalFormatting sqref="B52">
    <cfRule type="cellIs" dxfId="3" priority="1" operator="equal">
      <formula>0</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2"/>
  <sheetViews>
    <sheetView topLeftCell="E1" zoomScale="90" zoomScaleNormal="90" workbookViewId="0">
      <selection activeCell="E4" sqref="E4"/>
    </sheetView>
  </sheetViews>
  <sheetFormatPr defaultColWidth="9.140625" defaultRowHeight="15"/>
  <cols>
    <col min="1" max="1" width="30.140625" customWidth="1"/>
    <col min="2" max="3" width="15" customWidth="1"/>
    <col min="4" max="4" width="37.42578125" customWidth="1"/>
    <col min="5" max="6" width="15" customWidth="1"/>
    <col min="7" max="7" width="28.42578125" bestFit="1" customWidth="1"/>
    <col min="8" max="9" width="15" customWidth="1"/>
    <col min="10" max="10" width="9.140625" style="61"/>
    <col min="11" max="11" width="13.140625" style="61" customWidth="1"/>
    <col min="12" max="12" width="11.5703125" style="61" customWidth="1"/>
    <col min="13" max="13" width="9.140625" style="61" customWidth="1"/>
  </cols>
  <sheetData>
    <row r="1" spans="1:19" ht="15.75">
      <c r="A1" s="223" t="str">
        <f>'Iterative Data'!B4&amp;" , Inc."</f>
        <v>Keroka , Inc.</v>
      </c>
      <c r="B1" s="223"/>
      <c r="C1" s="223"/>
      <c r="D1" s="221" t="str">
        <f>A1</f>
        <v>Keroka , Inc.</v>
      </c>
      <c r="E1" s="222"/>
      <c r="F1" s="222"/>
      <c r="G1" s="221" t="str">
        <f>D1</f>
        <v>Keroka , Inc.</v>
      </c>
      <c r="H1" s="222"/>
      <c r="I1" s="222"/>
      <c r="N1" s="61"/>
      <c r="O1" s="185"/>
      <c r="P1" s="61"/>
      <c r="Q1" s="61"/>
      <c r="R1" s="61"/>
      <c r="S1" s="61"/>
    </row>
    <row r="2" spans="1:19" ht="15.75">
      <c r="A2" s="222" t="s">
        <v>156</v>
      </c>
      <c r="B2" s="223"/>
      <c r="C2" s="223"/>
      <c r="D2" s="222" t="s">
        <v>157</v>
      </c>
      <c r="E2" s="222"/>
      <c r="F2" s="222"/>
      <c r="G2" s="222" t="s">
        <v>158</v>
      </c>
      <c r="H2" s="222"/>
      <c r="I2" s="222"/>
      <c r="N2" s="61"/>
      <c r="O2" s="185"/>
      <c r="P2" s="61"/>
      <c r="Q2" s="61"/>
      <c r="R2" s="61"/>
      <c r="S2" s="61"/>
    </row>
    <row r="3" spans="1:19" ht="16.5" thickBot="1">
      <c r="A3" s="224" t="str">
        <f>"For Year Ended December 31, "&amp;YEAR('Iterative Data'!B2)-1</f>
        <v>For Year Ended December 31, 2024</v>
      </c>
      <c r="B3" s="224"/>
      <c r="C3" s="224"/>
      <c r="D3" s="224" t="str">
        <f>"As of December 31"</f>
        <v>As of December 31</v>
      </c>
      <c r="E3" s="224"/>
      <c r="F3" s="224"/>
      <c r="G3" s="224" t="str">
        <f>A3</f>
        <v>For Year Ended December 31, 2024</v>
      </c>
      <c r="H3" s="224"/>
      <c r="I3" s="224"/>
      <c r="N3" s="61"/>
      <c r="O3" s="185"/>
      <c r="P3" s="61"/>
      <c r="Q3" s="61"/>
      <c r="R3" s="61"/>
      <c r="S3" s="61"/>
    </row>
    <row r="4" spans="1:19">
      <c r="A4" s="1"/>
      <c r="B4" s="57"/>
      <c r="C4" s="57"/>
      <c r="D4" s="21"/>
      <c r="E4" s="58">
        <f>YEAR('Iterative Data'!B2)-1</f>
        <v>2024</v>
      </c>
      <c r="F4" s="58">
        <f>E4-1</f>
        <v>2023</v>
      </c>
      <c r="G4" s="59" t="s">
        <v>159</v>
      </c>
      <c r="H4" s="60"/>
      <c r="I4" s="60"/>
      <c r="N4" s="61"/>
      <c r="O4" s="185"/>
      <c r="P4" s="61"/>
      <c r="Q4" s="61"/>
      <c r="R4" s="61"/>
      <c r="S4" s="61"/>
    </row>
    <row r="5" spans="1:19" ht="20.25" customHeight="1">
      <c r="A5" s="3" t="s">
        <v>160</v>
      </c>
      <c r="B5" s="62">
        <f>'Iterative Data'!B6</f>
        <v>398000</v>
      </c>
      <c r="C5" s="21"/>
      <c r="D5" s="219" t="s">
        <v>161</v>
      </c>
      <c r="E5" s="219"/>
      <c r="F5" s="219"/>
      <c r="G5" s="3" t="s">
        <v>162</v>
      </c>
      <c r="H5" s="63"/>
      <c r="I5" s="63">
        <f>C31</f>
        <v>26502</v>
      </c>
      <c r="N5" s="61"/>
      <c r="O5" s="185"/>
      <c r="P5" s="61"/>
      <c r="Q5" s="61"/>
      <c r="R5" s="61"/>
      <c r="S5" s="61"/>
    </row>
    <row r="6" spans="1:19">
      <c r="A6" s="3" t="s">
        <v>163</v>
      </c>
      <c r="B6" s="23">
        <f>ROUND('Iterative Data'!$B$6*'Iterative Data'!B16,0)</f>
        <v>276212</v>
      </c>
      <c r="C6" s="21"/>
      <c r="D6" s="1" t="s">
        <v>164</v>
      </c>
      <c r="E6" s="21"/>
      <c r="F6" s="21"/>
      <c r="G6" s="3" t="s">
        <v>165</v>
      </c>
      <c r="H6" s="63"/>
      <c r="I6" s="63"/>
      <c r="N6" s="61"/>
      <c r="O6" s="185"/>
      <c r="P6" s="61"/>
      <c r="Q6" s="61"/>
      <c r="R6" s="61"/>
      <c r="S6" s="61"/>
    </row>
    <row r="7" spans="1:19">
      <c r="A7" s="64" t="s">
        <v>166</v>
      </c>
      <c r="B7" s="65"/>
      <c r="C7" s="65">
        <f>B5-B6</f>
        <v>121788</v>
      </c>
      <c r="D7" s="66" t="s">
        <v>128</v>
      </c>
      <c r="E7" s="63">
        <f>ROUND('Iterative Data'!$B$6*'Iterative Data'!B30,0)</f>
        <v>5970</v>
      </c>
      <c r="F7" s="63">
        <f>ROUND('Iterative Data'!$B$6*'Iterative Data'!C30,0)</f>
        <v>7562</v>
      </c>
      <c r="G7" s="66" t="s">
        <v>167</v>
      </c>
      <c r="H7" s="63">
        <f>SUM(F8:F9)-SUM(E8:E9)</f>
        <v>-7960</v>
      </c>
      <c r="I7" s="63"/>
      <c r="N7" s="61"/>
      <c r="O7" s="185"/>
      <c r="P7" s="61"/>
      <c r="Q7" s="61"/>
      <c r="R7" s="61"/>
      <c r="S7" s="61"/>
    </row>
    <row r="8" spans="1:19">
      <c r="A8" s="1"/>
      <c r="B8" s="23"/>
      <c r="C8" s="23"/>
      <c r="D8" s="66" t="s">
        <v>129</v>
      </c>
      <c r="E8" s="63">
        <f>ROUND('Iterative Data'!$B$6*'Iterative Data'!B31,0)</f>
        <v>15920</v>
      </c>
      <c r="F8" s="63">
        <f>ROUND('Iterative Data'!$B$6*'Iterative Data'!C31,0)</f>
        <v>11940</v>
      </c>
      <c r="G8" s="66" t="s">
        <v>168</v>
      </c>
      <c r="H8" s="63">
        <f>F10-E10</f>
        <v>3980</v>
      </c>
      <c r="I8" s="63"/>
      <c r="N8" s="61"/>
      <c r="O8" s="185"/>
      <c r="P8" s="61"/>
      <c r="Q8" s="61"/>
      <c r="R8" s="61"/>
      <c r="S8" s="61"/>
    </row>
    <row r="9" spans="1:19">
      <c r="A9" s="1" t="s">
        <v>169</v>
      </c>
      <c r="B9" s="23"/>
      <c r="C9" s="23"/>
      <c r="D9" s="66" t="s">
        <v>130</v>
      </c>
      <c r="E9" s="63">
        <f>ROUND('Iterative Data'!$B$6*'Iterative Data'!B32,0)</f>
        <v>-1990</v>
      </c>
      <c r="F9" s="63">
        <f>ROUND('Iterative Data'!$B$6*'Iterative Data'!C32,0)</f>
        <v>-5970</v>
      </c>
      <c r="G9" s="66" t="s">
        <v>121</v>
      </c>
      <c r="H9" s="63">
        <f>B19</f>
        <v>7960</v>
      </c>
      <c r="I9" s="63"/>
      <c r="N9" s="61"/>
      <c r="O9" s="185"/>
      <c r="P9" s="61"/>
      <c r="Q9" s="61"/>
      <c r="R9" s="61"/>
      <c r="S9" s="61"/>
    </row>
    <row r="10" spans="1:19" ht="15" customHeight="1">
      <c r="A10" s="3" t="s">
        <v>170</v>
      </c>
      <c r="B10" s="23"/>
      <c r="C10" s="23"/>
      <c r="D10" s="66" t="s">
        <v>131</v>
      </c>
      <c r="E10" s="63">
        <f>ROUND('Iterative Data'!$B$6*'Iterative Data'!B33,0)</f>
        <v>51740</v>
      </c>
      <c r="F10" s="63">
        <f>ROUND('Iterative Data'!$B$6*'Iterative Data'!C33,0)</f>
        <v>55720</v>
      </c>
      <c r="G10" s="66" t="s">
        <v>171</v>
      </c>
      <c r="H10" s="63">
        <f>E22-F22</f>
        <v>-2622</v>
      </c>
      <c r="I10" s="63"/>
      <c r="N10" s="61"/>
      <c r="O10" s="185"/>
      <c r="P10" s="61"/>
      <c r="Q10" s="61"/>
      <c r="R10" s="61"/>
      <c r="S10" s="61"/>
    </row>
    <row r="11" spans="1:19" ht="15" customHeight="1">
      <c r="A11" s="70" t="s">
        <v>172</v>
      </c>
      <c r="B11" s="23">
        <f>ROUND('Iterative Data'!$B$6*'Iterative Data'!B17,0)</f>
        <v>7463</v>
      </c>
      <c r="C11" s="23"/>
      <c r="D11" s="64" t="s">
        <v>173</v>
      </c>
      <c r="E11" s="71">
        <f>SUM(E7:E10)</f>
        <v>71640</v>
      </c>
      <c r="F11" s="71">
        <f>SUM(F7:F10)</f>
        <v>69252</v>
      </c>
      <c r="G11" s="66" t="s">
        <v>174</v>
      </c>
      <c r="H11" s="63">
        <f>E23-F23</f>
        <v>2985</v>
      </c>
      <c r="I11" s="63"/>
      <c r="N11" s="61"/>
      <c r="O11" s="185"/>
      <c r="P11" s="61"/>
      <c r="Q11" s="61"/>
      <c r="R11" s="61"/>
      <c r="S11" s="61"/>
    </row>
    <row r="12" spans="1:19">
      <c r="A12" s="70" t="s">
        <v>175</v>
      </c>
      <c r="B12" s="23">
        <f>ROUND('Iterative Data'!$B$6*'Iterative Data'!B18,-3)</f>
        <v>6000</v>
      </c>
      <c r="C12" s="23"/>
      <c r="D12" s="1" t="s">
        <v>176</v>
      </c>
      <c r="E12" s="63"/>
      <c r="F12" s="63"/>
      <c r="G12" s="66" t="s">
        <v>177</v>
      </c>
      <c r="H12" s="63">
        <f>E24-F24</f>
        <v>3980</v>
      </c>
      <c r="I12" s="63">
        <f>SUM(H7:H12)</f>
        <v>8323</v>
      </c>
      <c r="N12" s="61"/>
      <c r="O12" s="185"/>
      <c r="P12" s="61"/>
      <c r="Q12" s="61"/>
      <c r="R12" s="61"/>
      <c r="S12" s="61"/>
    </row>
    <row r="13" spans="1:19">
      <c r="A13" s="70" t="s">
        <v>178</v>
      </c>
      <c r="B13" s="23">
        <f>ROUND('Iterative Data'!$B$6*'Iterative Data'!B19,0)</f>
        <v>21393</v>
      </c>
      <c r="C13" s="23"/>
      <c r="D13" s="66" t="s">
        <v>132</v>
      </c>
      <c r="E13" s="63">
        <f>ROUND('Iterative Data'!$B$6*'Iterative Data'!B34,0)</f>
        <v>43780</v>
      </c>
      <c r="F13" s="63">
        <f>ROUND('Iterative Data'!$B$6*'Iterative Data'!C34,0)</f>
        <v>27860</v>
      </c>
      <c r="G13" s="3" t="s">
        <v>179</v>
      </c>
      <c r="H13" s="71"/>
      <c r="I13" s="71">
        <f>I5+I12</f>
        <v>34825</v>
      </c>
      <c r="N13" s="61"/>
      <c r="O13" s="185"/>
      <c r="P13" s="61"/>
      <c r="Q13" s="61"/>
      <c r="R13" s="61"/>
      <c r="S13" s="61"/>
    </row>
    <row r="14" spans="1:19" ht="14.45" customHeight="1">
      <c r="A14" s="70" t="s">
        <v>180</v>
      </c>
      <c r="B14" s="23">
        <f>ROUND('Iterative Data'!$B$6*'Iterative Data'!B20,0)</f>
        <v>3259</v>
      </c>
      <c r="C14" s="23"/>
      <c r="D14" s="66" t="s">
        <v>133</v>
      </c>
      <c r="E14" s="63">
        <f>ROUND('Iterative Data'!$B$6*'Iterative Data'!B35,0)</f>
        <v>31840</v>
      </c>
      <c r="F14" s="63">
        <f>ROUND('Iterative Data'!$B$6*'Iterative Data'!C35,0)</f>
        <v>31840</v>
      </c>
      <c r="G14" s="21"/>
      <c r="H14" s="63"/>
      <c r="I14" s="63"/>
      <c r="N14" s="61"/>
      <c r="O14" s="185"/>
      <c r="P14" s="61"/>
      <c r="Q14" s="61"/>
      <c r="R14" s="61"/>
      <c r="S14" s="61"/>
    </row>
    <row r="15" spans="1:19">
      <c r="A15" s="64" t="s">
        <v>181</v>
      </c>
      <c r="B15" s="65">
        <f>SUM(B11:B14)</f>
        <v>38115</v>
      </c>
      <c r="C15" s="23"/>
      <c r="D15" s="66" t="s">
        <v>134</v>
      </c>
      <c r="E15" s="63">
        <f>ROUND('Iterative Data'!$B$6*'Iterative Data'!B36,0)</f>
        <v>111440</v>
      </c>
      <c r="F15" s="63">
        <f>ROUND('Iterative Data'!$B$6*'Iterative Data'!C36,0)</f>
        <v>51740</v>
      </c>
      <c r="G15" s="1" t="s">
        <v>182</v>
      </c>
      <c r="H15" s="63"/>
      <c r="I15" s="63"/>
      <c r="N15" s="61"/>
      <c r="O15" s="185"/>
      <c r="P15" s="61"/>
      <c r="Q15" s="61"/>
      <c r="R15" s="61"/>
      <c r="S15" s="61"/>
    </row>
    <row r="16" spans="1:19">
      <c r="A16" s="3" t="s">
        <v>183</v>
      </c>
      <c r="B16" s="23"/>
      <c r="C16" s="23"/>
      <c r="D16" s="66" t="s">
        <v>135</v>
      </c>
      <c r="E16" s="63">
        <f>ROUND('Iterative Data'!$B$6*'Iterative Data'!B37,0)</f>
        <v>-47760</v>
      </c>
      <c r="F16" s="63">
        <f>ROUND('Iterative Data'!$B$6*'Iterative Data'!C37,0)</f>
        <v>-39800</v>
      </c>
      <c r="G16" s="66" t="s">
        <v>184</v>
      </c>
      <c r="H16" s="63">
        <f>F13-E13</f>
        <v>-15920</v>
      </c>
      <c r="I16" s="63"/>
      <c r="N16" s="61"/>
      <c r="O16" s="185"/>
      <c r="P16" s="61"/>
      <c r="Q16" s="61"/>
      <c r="R16" s="61"/>
      <c r="S16" s="61"/>
    </row>
    <row r="17" spans="1:19">
      <c r="A17" s="70" t="s">
        <v>185</v>
      </c>
      <c r="B17" s="23">
        <f>ROUND('Iterative Data'!$B$6*'Iterative Data'!B21,0)</f>
        <v>25472</v>
      </c>
      <c r="C17" s="23"/>
      <c r="D17" s="64" t="s">
        <v>186</v>
      </c>
      <c r="E17" s="71">
        <f>SUM(E13:E16)</f>
        <v>139300</v>
      </c>
      <c r="F17" s="71">
        <f>SUM(F13:F16)</f>
        <v>71640</v>
      </c>
      <c r="G17" s="66" t="s">
        <v>187</v>
      </c>
      <c r="H17" s="73">
        <f>F15-E15</f>
        <v>-59700</v>
      </c>
      <c r="I17" s="73"/>
      <c r="N17" s="61"/>
      <c r="O17" s="185"/>
      <c r="P17" s="61"/>
      <c r="Q17" s="61"/>
      <c r="R17" s="61"/>
      <c r="S17" s="61"/>
    </row>
    <row r="18" spans="1:19" ht="15" customHeight="1" thickBot="1">
      <c r="A18" s="70" t="s">
        <v>188</v>
      </c>
      <c r="B18" s="23">
        <f>ROUND('Iterative Data'!$B$6*'Iterative Data'!B22,0)</f>
        <v>597</v>
      </c>
      <c r="C18" s="23"/>
      <c r="D18" s="64" t="s">
        <v>189</v>
      </c>
      <c r="E18" s="74">
        <f>E11+E17</f>
        <v>210940</v>
      </c>
      <c r="F18" s="74">
        <f>F11+F17</f>
        <v>140892</v>
      </c>
      <c r="G18" s="3" t="s">
        <v>190</v>
      </c>
      <c r="H18" s="63"/>
      <c r="I18" s="63">
        <f>SUM(H16:H17)</f>
        <v>-75620</v>
      </c>
      <c r="N18" s="61"/>
      <c r="O18" s="185"/>
      <c r="P18" s="61"/>
      <c r="Q18" s="61"/>
      <c r="R18" s="61"/>
      <c r="S18" s="61"/>
    </row>
    <row r="19" spans="1:19" ht="15.75" thickTop="1">
      <c r="A19" s="70" t="s">
        <v>191</v>
      </c>
      <c r="B19" s="23">
        <f>F16-E16</f>
        <v>7960</v>
      </c>
      <c r="C19" s="23"/>
      <c r="D19" s="60"/>
      <c r="E19" s="60"/>
      <c r="F19" s="60"/>
      <c r="G19" s="21"/>
      <c r="H19" s="63"/>
      <c r="I19" s="63"/>
      <c r="N19" s="61"/>
      <c r="O19" s="185"/>
      <c r="P19" s="61"/>
      <c r="Q19" s="61"/>
      <c r="R19" s="61"/>
      <c r="S19" s="61"/>
    </row>
    <row r="20" spans="1:19" ht="15" customHeight="1">
      <c r="A20" s="70" t="s">
        <v>192</v>
      </c>
      <c r="B20" s="23">
        <f>ROUND('Iterative Data'!$B$6*'Iterative Data'!B24,0)</f>
        <v>398</v>
      </c>
      <c r="C20" s="23"/>
      <c r="D20" s="220" t="s">
        <v>193</v>
      </c>
      <c r="E20" s="220"/>
      <c r="F20" s="220"/>
      <c r="G20" s="1" t="s">
        <v>194</v>
      </c>
      <c r="H20" s="63"/>
      <c r="I20" s="63"/>
      <c r="N20" s="61"/>
      <c r="O20" s="185"/>
      <c r="P20" s="61"/>
      <c r="Q20" s="61"/>
      <c r="R20" s="61"/>
      <c r="S20" s="61"/>
    </row>
    <row r="21" spans="1:19">
      <c r="A21" s="70" t="s">
        <v>195</v>
      </c>
      <c r="B21" s="23">
        <f>ROUND('Iterative Data'!$B$6*'Iterative Data'!B25,0)</f>
        <v>9552</v>
      </c>
      <c r="C21" s="23"/>
      <c r="D21" s="1" t="s">
        <v>196</v>
      </c>
      <c r="E21" s="60"/>
      <c r="F21" s="60"/>
      <c r="G21" s="66" t="s">
        <v>197</v>
      </c>
      <c r="H21" s="63">
        <f>E27-F27</f>
        <v>19900</v>
      </c>
      <c r="I21" s="63"/>
      <c r="N21" s="61"/>
      <c r="O21" s="185"/>
      <c r="P21" s="61"/>
      <c r="Q21" s="61"/>
      <c r="R21" s="61"/>
      <c r="S21" s="61"/>
    </row>
    <row r="22" spans="1:19">
      <c r="A22" s="70" t="s">
        <v>198</v>
      </c>
      <c r="B22" s="23">
        <f>ROUND('Iterative Data'!$B$6*'Iterative Data'!B26,0)</f>
        <v>1592</v>
      </c>
      <c r="C22" s="23"/>
      <c r="D22" s="66" t="s">
        <v>136</v>
      </c>
      <c r="E22" s="63">
        <f>E25-SUM(E23:E24)</f>
        <v>21258</v>
      </c>
      <c r="F22" s="63">
        <f>ROUND('Iterative Data'!$B$6*'Iterative Data'!C38,0)</f>
        <v>23880</v>
      </c>
      <c r="G22" s="66" t="s">
        <v>199</v>
      </c>
      <c r="H22" s="63">
        <f>E28-F28</f>
        <v>23880</v>
      </c>
      <c r="I22" s="63"/>
      <c r="N22" s="61"/>
      <c r="O22" s="185"/>
      <c r="P22" s="61"/>
      <c r="Q22" s="61"/>
      <c r="R22" s="61"/>
      <c r="S22" s="61"/>
    </row>
    <row r="23" spans="1:19">
      <c r="A23" s="64" t="s">
        <v>200</v>
      </c>
      <c r="B23" s="65">
        <f>SUM(B17:B22)</f>
        <v>45571</v>
      </c>
      <c r="C23" s="75">
        <f>B15+B23</f>
        <v>83686</v>
      </c>
      <c r="D23" s="66" t="s">
        <v>201</v>
      </c>
      <c r="E23" s="63">
        <f>ROUND('Iterative Data'!$B$6*'Iterative Data'!B39,0)</f>
        <v>6965</v>
      </c>
      <c r="F23" s="63">
        <f>ROUND('Iterative Data'!$B$6*'Iterative Data'!C39,0)</f>
        <v>3980</v>
      </c>
      <c r="G23" s="66" t="s">
        <v>202</v>
      </c>
      <c r="H23" s="73">
        <f>-'Iterative Data'!B6*'Iterative Data'!B44</f>
        <v>-4577</v>
      </c>
      <c r="I23" s="73"/>
      <c r="N23" s="61"/>
      <c r="O23" s="185"/>
      <c r="P23" s="61"/>
      <c r="Q23" s="61"/>
      <c r="R23" s="61"/>
      <c r="S23" s="61"/>
    </row>
    <row r="24" spans="1:19" ht="15.75" customHeight="1">
      <c r="A24" s="64" t="s">
        <v>203</v>
      </c>
      <c r="B24" s="23"/>
      <c r="C24" s="23">
        <f>C7-C23</f>
        <v>38102</v>
      </c>
      <c r="D24" s="66" t="s">
        <v>138</v>
      </c>
      <c r="E24" s="63">
        <f>ROUND('Iterative Data'!$B$6*'Iterative Data'!B40,0)</f>
        <v>9950</v>
      </c>
      <c r="F24" s="63">
        <f>ROUND('Iterative Data'!$B$6*'Iterative Data'!C40,0)</f>
        <v>5970</v>
      </c>
      <c r="G24" s="3" t="s">
        <v>204</v>
      </c>
      <c r="H24" s="63"/>
      <c r="I24" s="76">
        <f>SUM(H21:H23)</f>
        <v>39203</v>
      </c>
      <c r="N24" s="61"/>
      <c r="O24" s="185"/>
      <c r="P24" s="61"/>
      <c r="Q24" s="61"/>
      <c r="R24" s="61"/>
      <c r="S24" s="61"/>
    </row>
    <row r="25" spans="1:19">
      <c r="A25" s="21"/>
      <c r="B25" s="23"/>
      <c r="C25" s="23"/>
      <c r="D25" s="64" t="s">
        <v>205</v>
      </c>
      <c r="E25" s="71">
        <f>E30-E29</f>
        <v>38173</v>
      </c>
      <c r="F25" s="71">
        <f>SUM(F22:F24)</f>
        <v>33830</v>
      </c>
      <c r="G25" s="3"/>
      <c r="H25" s="63"/>
      <c r="I25" s="63"/>
      <c r="N25" s="61"/>
      <c r="O25" s="185"/>
      <c r="P25" s="61"/>
      <c r="Q25" s="61"/>
      <c r="R25" s="61"/>
      <c r="S25" s="61"/>
    </row>
    <row r="26" spans="1:19" ht="15" customHeight="1">
      <c r="A26" s="1" t="s">
        <v>206</v>
      </c>
      <c r="B26" s="23"/>
      <c r="C26" s="23"/>
      <c r="D26" s="1" t="s">
        <v>207</v>
      </c>
      <c r="E26" s="63"/>
      <c r="F26" s="63"/>
      <c r="G26" s="3" t="s">
        <v>208</v>
      </c>
      <c r="H26" s="63"/>
      <c r="I26" s="63">
        <f>I13+I18+I24</f>
        <v>-1592</v>
      </c>
      <c r="N26" s="61"/>
      <c r="O26" s="185"/>
      <c r="P26" s="61"/>
      <c r="Q26" s="61"/>
      <c r="R26" s="61"/>
      <c r="S26" s="61"/>
    </row>
    <row r="27" spans="1:19">
      <c r="A27" s="77" t="s">
        <v>125</v>
      </c>
      <c r="B27" s="23">
        <f>ROUND('Iterative Data'!$B$6*'Iterative Data'!B27,0)</f>
        <v>1244</v>
      </c>
      <c r="C27" s="23"/>
      <c r="D27" s="66" t="s">
        <v>139</v>
      </c>
      <c r="E27" s="63">
        <f>ROUND('Iterative Data'!$B$6*'Iterative Data'!B41,0)</f>
        <v>31840</v>
      </c>
      <c r="F27" s="63">
        <f>ROUND('Iterative Data'!$B$6*'Iterative Data'!C41,0)</f>
        <v>11940</v>
      </c>
      <c r="G27" s="3" t="str">
        <f ca="1">"Cash, January 1, "&amp;YEAR(TODAY())-1</f>
        <v>Cash, January 1, 2024</v>
      </c>
      <c r="H27" s="63"/>
      <c r="I27" s="73">
        <f>F7</f>
        <v>7562</v>
      </c>
      <c r="N27" s="61"/>
      <c r="O27" s="185"/>
      <c r="P27" s="61"/>
      <c r="Q27" s="61"/>
      <c r="R27" s="61"/>
      <c r="S27" s="185"/>
    </row>
    <row r="28" spans="1:19" ht="15.75" thickBot="1">
      <c r="A28" s="77" t="s">
        <v>209</v>
      </c>
      <c r="B28" s="23">
        <f>ROUND('Iterative Data'!$B$6*'Iterative Data'!B28,0)</f>
        <v>-2537</v>
      </c>
      <c r="C28" s="75">
        <f>SUM(B27:B28)</f>
        <v>-1293</v>
      </c>
      <c r="D28" s="66" t="s">
        <v>140</v>
      </c>
      <c r="E28" s="63">
        <f>ROUND('Iterative Data'!$B$6*'Iterative Data'!B42,0)</f>
        <v>55720</v>
      </c>
      <c r="F28" s="63">
        <f>ROUND('Iterative Data'!$B$6*'Iterative Data'!C42,0)</f>
        <v>31840</v>
      </c>
      <c r="G28" s="3" t="str">
        <f ca="1">"Cash, December 31, "&amp;YEAR(TODAY())-1</f>
        <v>Cash, December 31, 2024</v>
      </c>
      <c r="H28" s="63"/>
      <c r="I28" s="74">
        <f>I26+I27</f>
        <v>5970</v>
      </c>
      <c r="N28" s="61"/>
      <c r="O28" s="185"/>
      <c r="P28" s="61"/>
      <c r="Q28" s="61"/>
      <c r="R28" s="61"/>
      <c r="S28" s="185"/>
    </row>
    <row r="29" spans="1:19" ht="15.75" thickTop="1">
      <c r="A29" s="64" t="s">
        <v>210</v>
      </c>
      <c r="B29" s="65"/>
      <c r="C29" s="23">
        <f>C24+C28</f>
        <v>36809</v>
      </c>
      <c r="D29" s="64" t="s">
        <v>211</v>
      </c>
      <c r="E29" s="71">
        <f>SUM(E27:E28)</f>
        <v>87560</v>
      </c>
      <c r="F29" s="71">
        <f>SUM(F27:F28)</f>
        <v>43780</v>
      </c>
      <c r="G29" s="21"/>
      <c r="H29" s="63"/>
      <c r="I29" s="63"/>
      <c r="N29" s="61"/>
      <c r="O29" s="185"/>
      <c r="P29" s="61"/>
      <c r="Q29" s="61"/>
      <c r="R29" s="61"/>
      <c r="S29" s="185"/>
    </row>
    <row r="30" spans="1:19">
      <c r="A30" s="3" t="s">
        <v>212</v>
      </c>
      <c r="B30" s="23"/>
      <c r="C30" s="23">
        <f>ROUND(C29*'Iterative Data'!B9,0)</f>
        <v>10307</v>
      </c>
      <c r="D30" s="64" t="s">
        <v>213</v>
      </c>
      <c r="E30" s="71">
        <f>E38-E37</f>
        <v>125733</v>
      </c>
      <c r="F30" s="71">
        <f>F25+F29</f>
        <v>77610</v>
      </c>
      <c r="G30" s="21"/>
      <c r="H30" s="21"/>
      <c r="I30" s="21"/>
      <c r="N30" s="185"/>
      <c r="O30" s="185"/>
      <c r="P30" s="185"/>
      <c r="Q30" s="185"/>
      <c r="R30" s="185"/>
      <c r="S30" s="185"/>
    </row>
    <row r="31" spans="1:19" ht="15" customHeight="1" thickBot="1">
      <c r="A31" s="64" t="s">
        <v>162</v>
      </c>
      <c r="B31" s="23"/>
      <c r="C31" s="78">
        <f>C29-C30</f>
        <v>26502</v>
      </c>
      <c r="D31" s="3"/>
      <c r="E31" s="63"/>
      <c r="F31" s="63"/>
      <c r="G31" s="21"/>
      <c r="H31" s="21"/>
      <c r="I31" s="21"/>
      <c r="N31" s="185"/>
      <c r="O31" s="185"/>
      <c r="P31" s="185"/>
      <c r="Q31" s="185"/>
      <c r="R31" s="185"/>
      <c r="S31" s="185"/>
    </row>
    <row r="32" spans="1:19" ht="15" customHeight="1" thickTop="1">
      <c r="A32" s="21"/>
      <c r="B32" s="79"/>
      <c r="C32" s="79"/>
      <c r="D32" s="1" t="s">
        <v>214</v>
      </c>
      <c r="E32" s="63"/>
      <c r="F32" s="63"/>
      <c r="G32" s="21"/>
      <c r="H32" s="21"/>
      <c r="I32" s="21"/>
      <c r="N32" s="185"/>
      <c r="O32" s="185"/>
      <c r="P32" s="185"/>
      <c r="Q32" s="185"/>
      <c r="R32" s="185"/>
      <c r="S32" s="185"/>
    </row>
    <row r="33" spans="1:9">
      <c r="A33" s="21" t="s">
        <v>215</v>
      </c>
      <c r="B33" s="80"/>
      <c r="C33" s="81">
        <f>C31/'Iterative Data'!B7</f>
        <v>1.3250999999999999</v>
      </c>
      <c r="D33" s="66" t="s">
        <v>216</v>
      </c>
      <c r="E33" s="63">
        <f>F33</f>
        <v>20000</v>
      </c>
      <c r="F33" s="63">
        <f>'Iterative Data'!B7*'Iterative Data'!B8</f>
        <v>20000</v>
      </c>
      <c r="G33" s="21"/>
      <c r="H33" s="21"/>
      <c r="I33" s="21"/>
    </row>
    <row r="34" spans="1:9">
      <c r="A34" s="21"/>
      <c r="B34" s="21"/>
      <c r="C34" s="21"/>
      <c r="D34" s="66" t="str">
        <f>"  ("&amp;DOLLAR('Iterative Data'!B8,0)&amp;" par, "&amp;FIXED(ROUND('Iterative Data'!B7*2.5,-5),0)&amp;" authorized, "&amp;FIXED('Iterative Data'!B7,0)&amp;" outstanding)"</f>
        <v xml:space="preserve">  ($1 par, 100,000 authorized, 20,000 outstanding)</v>
      </c>
      <c r="E34" s="63"/>
      <c r="F34" s="63"/>
      <c r="G34" s="21"/>
      <c r="H34" s="21"/>
      <c r="I34" s="21"/>
    </row>
    <row r="35" spans="1:9">
      <c r="A35" s="21"/>
      <c r="B35" s="21"/>
      <c r="C35" s="21"/>
      <c r="D35" s="66" t="s">
        <v>141</v>
      </c>
      <c r="E35" s="63">
        <f>ROUND('Iterative Data'!$B$6*'Iterative Data'!B43,0)</f>
        <v>11940</v>
      </c>
      <c r="F35" s="63">
        <f>ROUND('Iterative Data'!$B$6*'Iterative Data'!C43,0)</f>
        <v>11940</v>
      </c>
      <c r="G35" s="21"/>
      <c r="H35" s="21"/>
      <c r="I35" s="21"/>
    </row>
    <row r="36" spans="1:9">
      <c r="A36" s="21"/>
      <c r="B36" s="21"/>
      <c r="C36" s="21"/>
      <c r="D36" s="66" t="s">
        <v>217</v>
      </c>
      <c r="E36" s="63">
        <f>F36+C31+H23</f>
        <v>53267</v>
      </c>
      <c r="F36" s="73">
        <f>F37-F33-F35</f>
        <v>31342</v>
      </c>
      <c r="G36" s="21"/>
      <c r="H36" s="21"/>
      <c r="I36" s="21"/>
    </row>
    <row r="37" spans="1:9" ht="15" customHeight="1">
      <c r="A37" s="21"/>
      <c r="B37" s="21"/>
      <c r="C37" s="21"/>
      <c r="D37" s="64" t="s">
        <v>218</v>
      </c>
      <c r="E37" s="82">
        <f>SUM(E33:E36)</f>
        <v>85207</v>
      </c>
      <c r="F37" s="82">
        <f>F38-F30</f>
        <v>63282</v>
      </c>
      <c r="G37" s="21"/>
      <c r="H37" s="21"/>
      <c r="I37" s="21"/>
    </row>
    <row r="38" spans="1:9" ht="15.75" thickBot="1">
      <c r="A38" s="21"/>
      <c r="B38" s="21"/>
      <c r="C38" s="21"/>
      <c r="D38" s="64" t="s">
        <v>219</v>
      </c>
      <c r="E38" s="74">
        <f>E18</f>
        <v>210940</v>
      </c>
      <c r="F38" s="74">
        <f>F18</f>
        <v>140892</v>
      </c>
      <c r="G38" s="21"/>
      <c r="H38" s="21"/>
      <c r="I38" s="21"/>
    </row>
    <row r="39" spans="1:9" ht="15.75" thickTop="1">
      <c r="A39" s="21"/>
      <c r="B39" s="21"/>
      <c r="C39" s="21"/>
      <c r="D39" s="21"/>
      <c r="E39" s="21"/>
      <c r="F39" s="21"/>
      <c r="G39" s="21"/>
      <c r="H39" s="21"/>
      <c r="I39" s="21"/>
    </row>
    <row r="40" spans="1:9">
      <c r="A40" s="21"/>
      <c r="B40" s="21"/>
      <c r="C40" s="21"/>
      <c r="D40" s="21"/>
      <c r="E40" s="21"/>
      <c r="F40" s="21"/>
      <c r="G40" s="21"/>
      <c r="H40" s="21"/>
      <c r="I40" s="21"/>
    </row>
    <row r="41" spans="1:9" ht="15" customHeight="1">
      <c r="A41" s="21"/>
      <c r="B41" s="21"/>
      <c r="C41" s="21"/>
      <c r="D41" s="21"/>
      <c r="E41" s="21"/>
      <c r="F41" s="21"/>
      <c r="G41" s="21"/>
      <c r="H41" s="21"/>
      <c r="I41" s="21"/>
    </row>
    <row r="42" spans="1:9" ht="15" customHeight="1">
      <c r="A42" s="185"/>
      <c r="B42" s="185"/>
      <c r="C42" s="185"/>
      <c r="D42" s="185"/>
      <c r="E42" s="185"/>
      <c r="F42" s="185"/>
      <c r="G42" s="185"/>
      <c r="H42" s="185"/>
      <c r="I42" s="185"/>
    </row>
  </sheetData>
  <sheetProtection algorithmName="SHA-512" hashValue="/cNfDRYbNtR0i1I2+CqOINstqC11s0MPfuOyT8Cg1dF6XNExlk8Zt+7LYGC7w468OBBUNIKku72UV1e2gpLi0Q==" saltValue="4G7zSX/cSQsEnJBXzXvslQ==" spinCount="100000" sheet="1" objects="1" scenarios="1" selectLockedCells="1" selectUnlockedCells="1"/>
  <mergeCells count="11">
    <mergeCell ref="D5:F5"/>
    <mergeCell ref="D20:F20"/>
    <mergeCell ref="G1:I1"/>
    <mergeCell ref="G2:I2"/>
    <mergeCell ref="A1:C1"/>
    <mergeCell ref="A2:C2"/>
    <mergeCell ref="A3:C3"/>
    <mergeCell ref="D1:F1"/>
    <mergeCell ref="D2:F2"/>
    <mergeCell ref="D3:F3"/>
    <mergeCell ref="G3:I3"/>
  </mergeCells>
  <conditionalFormatting sqref="O9">
    <cfRule type="cellIs" dxfId="1" priority="1" operator="equal">
      <formula>0</formula>
    </cfRule>
  </conditionalFormatting>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30"/>
  <sheetViews>
    <sheetView topLeftCell="A2" zoomScale="140" zoomScaleNormal="140" workbookViewId="0">
      <selection activeCell="G11" sqref="G11"/>
    </sheetView>
  </sheetViews>
  <sheetFormatPr defaultColWidth="8.85546875" defaultRowHeight="15"/>
  <cols>
    <col min="1" max="1" width="16.42578125" style="28" bestFit="1" customWidth="1"/>
    <col min="2" max="5" width="12.42578125" style="28" customWidth="1"/>
    <col min="6" max="6" width="3.85546875" customWidth="1"/>
    <col min="7" max="7" width="49.42578125" style="21" customWidth="1"/>
    <col min="8" max="8" width="14" style="21" bestFit="1" customWidth="1"/>
  </cols>
  <sheetData>
    <row r="1" spans="1:8" ht="18" customHeight="1">
      <c r="A1" s="225" t="s">
        <v>220</v>
      </c>
      <c r="B1" s="227"/>
      <c r="C1" s="227"/>
      <c r="D1" s="227"/>
      <c r="E1" s="227"/>
      <c r="F1" s="185"/>
      <c r="G1" s="225" t="str">
        <f>'Original Financial Statements'!G1</f>
        <v>Keroka , Inc.</v>
      </c>
      <c r="H1" s="225"/>
    </row>
    <row r="2" spans="1:8" ht="15.95" customHeight="1">
      <c r="A2" s="222" t="s">
        <v>221</v>
      </c>
      <c r="B2" s="227"/>
      <c r="C2" s="227"/>
      <c r="D2" s="227"/>
      <c r="E2" s="227"/>
      <c r="F2" s="185"/>
      <c r="G2" s="222" t="s">
        <v>222</v>
      </c>
      <c r="H2" s="222"/>
    </row>
    <row r="3" spans="1:8">
      <c r="A3" s="226" t="s">
        <v>223</v>
      </c>
      <c r="B3" s="227"/>
      <c r="C3" s="227"/>
      <c r="D3" s="227"/>
      <c r="E3" s="227"/>
      <c r="F3" s="185"/>
    </row>
    <row r="4" spans="1:8">
      <c r="A4" s="192"/>
      <c r="B4" s="192"/>
      <c r="C4" s="192"/>
      <c r="D4" s="192"/>
      <c r="E4" s="192"/>
      <c r="F4" s="185"/>
      <c r="G4" s="41" t="s">
        <v>224</v>
      </c>
      <c r="H4" s="41"/>
    </row>
    <row r="5" spans="1:8">
      <c r="A5" s="228" t="s">
        <v>225</v>
      </c>
      <c r="B5" s="227"/>
      <c r="C5" s="227"/>
      <c r="D5" s="227"/>
      <c r="E5" s="227"/>
      <c r="F5" s="185"/>
      <c r="G5" s="21" t="s">
        <v>226</v>
      </c>
      <c r="H5" s="38">
        <f>'Iterative Data'!B46</f>
        <v>19000</v>
      </c>
    </row>
    <row r="6" spans="1:8">
      <c r="A6" s="21"/>
      <c r="B6" s="229" t="s">
        <v>227</v>
      </c>
      <c r="C6" s="230"/>
      <c r="D6" s="230"/>
      <c r="E6" s="230"/>
      <c r="F6" s="185"/>
      <c r="G6" s="21" t="s">
        <v>228</v>
      </c>
      <c r="H6" s="40">
        <f>'Iterative Data'!B48</f>
        <v>7.0000000000000007E-2</v>
      </c>
    </row>
    <row r="7" spans="1:8">
      <c r="A7" s="30" t="s">
        <v>229</v>
      </c>
      <c r="B7" s="193" t="s">
        <v>230</v>
      </c>
      <c r="C7" s="193" t="s">
        <v>231</v>
      </c>
      <c r="D7" s="193" t="s">
        <v>232</v>
      </c>
      <c r="E7" s="193" t="s">
        <v>233</v>
      </c>
      <c r="F7" s="185"/>
      <c r="G7" s="21" t="s">
        <v>234</v>
      </c>
      <c r="H7" s="47">
        <f>'Iterative Data'!B50</f>
        <v>6</v>
      </c>
    </row>
    <row r="8" spans="1:8">
      <c r="A8" s="21" t="s">
        <v>235</v>
      </c>
      <c r="B8" s="29" t="s">
        <v>236</v>
      </c>
      <c r="C8" s="29" t="s">
        <v>237</v>
      </c>
      <c r="D8" s="29" t="s">
        <v>238</v>
      </c>
      <c r="E8" s="29" t="s">
        <v>239</v>
      </c>
      <c r="F8" s="185"/>
      <c r="G8" s="21" t="s">
        <v>240</v>
      </c>
      <c r="H8" s="40">
        <f>'Iterative Data'!B51</f>
        <v>0.08</v>
      </c>
    </row>
    <row r="9" spans="1:8">
      <c r="A9" s="21" t="s">
        <v>241</v>
      </c>
      <c r="B9" s="29" t="s">
        <v>242</v>
      </c>
      <c r="C9" s="29" t="s">
        <v>243</v>
      </c>
      <c r="D9" s="29" t="s">
        <v>244</v>
      </c>
      <c r="E9" s="29" t="s">
        <v>245</v>
      </c>
      <c r="F9" s="185"/>
    </row>
    <row r="10" spans="1:8">
      <c r="A10" s="21" t="s">
        <v>246</v>
      </c>
      <c r="B10" s="29" t="s">
        <v>247</v>
      </c>
      <c r="C10" s="29" t="s">
        <v>248</v>
      </c>
      <c r="D10" s="29" t="s">
        <v>249</v>
      </c>
      <c r="E10" s="29" t="s">
        <v>250</v>
      </c>
      <c r="F10" s="185"/>
      <c r="G10" s="41" t="s">
        <v>251</v>
      </c>
    </row>
    <row r="11" spans="1:8">
      <c r="A11" s="21" t="s">
        <v>252</v>
      </c>
      <c r="B11" s="29" t="s">
        <v>253</v>
      </c>
      <c r="C11" s="29" t="s">
        <v>254</v>
      </c>
      <c r="D11" s="29" t="s">
        <v>255</v>
      </c>
      <c r="E11" s="29" t="s">
        <v>256</v>
      </c>
      <c r="F11" s="185"/>
      <c r="G11" s="21" t="s">
        <v>257</v>
      </c>
      <c r="H11" s="38">
        <f>'Iterative Data'!B53</f>
        <v>9000</v>
      </c>
    </row>
    <row r="12" spans="1:8">
      <c r="A12" s="21" t="s">
        <v>258</v>
      </c>
      <c r="B12" s="29" t="s">
        <v>259</v>
      </c>
      <c r="C12" s="29" t="s">
        <v>260</v>
      </c>
      <c r="D12" s="29" t="s">
        <v>261</v>
      </c>
      <c r="E12" s="29" t="s">
        <v>262</v>
      </c>
      <c r="F12" s="185"/>
      <c r="G12" s="21" t="s">
        <v>263</v>
      </c>
      <c r="H12" s="47">
        <f>'Iterative Data'!B52</f>
        <v>4</v>
      </c>
    </row>
    <row r="13" spans="1:8">
      <c r="A13" s="21" t="s">
        <v>264</v>
      </c>
      <c r="B13" s="29" t="s">
        <v>265</v>
      </c>
      <c r="C13" s="29" t="s">
        <v>266</v>
      </c>
      <c r="D13" s="29" t="s">
        <v>267</v>
      </c>
      <c r="E13" s="29" t="s">
        <v>268</v>
      </c>
      <c r="F13" s="185"/>
    </row>
    <row r="14" spans="1:8">
      <c r="A14" s="21" t="s">
        <v>269</v>
      </c>
      <c r="B14" s="133" t="s">
        <v>270</v>
      </c>
      <c r="C14" s="133" t="s">
        <v>271</v>
      </c>
      <c r="D14" s="133" t="s">
        <v>272</v>
      </c>
      <c r="E14" s="29" t="s">
        <v>273</v>
      </c>
      <c r="F14" s="185"/>
      <c r="G14" s="41" t="s">
        <v>274</v>
      </c>
    </row>
    <row r="15" spans="1:8">
      <c r="A15" s="131"/>
      <c r="B15" s="131"/>
      <c r="C15" s="131"/>
      <c r="D15" s="131"/>
      <c r="E15" s="131"/>
      <c r="F15" s="185"/>
      <c r="G15" s="21" t="s">
        <v>275</v>
      </c>
      <c r="H15" s="38">
        <f>'Iterative Data'!B55</f>
        <v>159200</v>
      </c>
    </row>
    <row r="16" spans="1:8">
      <c r="A16" s="21"/>
      <c r="B16" s="132"/>
      <c r="C16" s="132"/>
      <c r="D16" s="132"/>
      <c r="E16" s="132"/>
      <c r="F16" s="185"/>
      <c r="G16" s="21" t="s">
        <v>154</v>
      </c>
      <c r="H16" s="40">
        <f>'Iterative Data'!B56</f>
        <v>4.3999999999999997E-2</v>
      </c>
    </row>
    <row r="17" spans="1:8">
      <c r="A17" s="21"/>
      <c r="B17" s="133"/>
      <c r="C17" s="133"/>
      <c r="D17" s="133"/>
      <c r="E17" s="133"/>
      <c r="F17" s="185"/>
      <c r="G17" s="21" t="s">
        <v>155</v>
      </c>
      <c r="H17" s="40">
        <f>'Iterative Data'!B57</f>
        <v>0.25</v>
      </c>
    </row>
    <row r="18" spans="1:8">
      <c r="A18" s="21"/>
      <c r="B18" s="133"/>
      <c r="C18" s="133"/>
      <c r="D18" s="133"/>
      <c r="E18" s="133"/>
      <c r="F18" s="185"/>
      <c r="G18" s="41"/>
    </row>
    <row r="19" spans="1:8">
      <c r="A19" s="21"/>
      <c r="B19" s="133"/>
      <c r="C19" s="133"/>
      <c r="D19" s="133"/>
      <c r="E19" s="133"/>
      <c r="F19" s="185"/>
      <c r="H19" s="38"/>
    </row>
    <row r="20" spans="1:8">
      <c r="A20" s="21"/>
      <c r="B20" s="133"/>
      <c r="C20" s="133"/>
      <c r="D20" s="133"/>
      <c r="E20" s="133"/>
      <c r="F20" s="185"/>
      <c r="H20" s="40"/>
    </row>
    <row r="21" spans="1:8">
      <c r="A21" s="21"/>
      <c r="B21" s="133"/>
      <c r="C21" s="133"/>
      <c r="D21" s="133"/>
      <c r="E21" s="133"/>
      <c r="F21" s="185"/>
      <c r="H21" s="40"/>
    </row>
    <row r="22" spans="1:8">
      <c r="A22" s="21"/>
      <c r="B22" s="133"/>
      <c r="C22" s="133"/>
      <c r="D22" s="133"/>
      <c r="E22" s="133"/>
      <c r="F22" s="185"/>
      <c r="H22" s="38"/>
    </row>
    <row r="23" spans="1:8">
      <c r="A23" s="37"/>
      <c r="B23" s="37"/>
      <c r="C23" s="37"/>
      <c r="D23" s="37"/>
      <c r="E23" s="37"/>
      <c r="F23" s="185"/>
      <c r="H23" s="38"/>
    </row>
    <row r="24" spans="1:8">
      <c r="A24" s="37"/>
      <c r="B24" s="37"/>
      <c r="C24" s="37"/>
      <c r="D24" s="37"/>
      <c r="E24" s="37"/>
      <c r="F24" s="185"/>
    </row>
    <row r="30" spans="1:8">
      <c r="A30" s="182"/>
      <c r="B30" s="182"/>
      <c r="C30" s="182"/>
      <c r="D30" s="182"/>
      <c r="E30" s="182"/>
      <c r="F30" s="185"/>
      <c r="G30" s="22"/>
    </row>
  </sheetData>
  <sheetProtection algorithmName="SHA-512" hashValue="T4P3LKHuxKWQy5/7o7B2jwQMsTvcHFi9IQpQK47e4QtUS63tqwwiS8fpk/miH+SfjtQrmZ6+eMLJIeWxuxOrxA==" saltValue="eOV7IoVIXYV9Us2UqiS4FA==" spinCount="100000" sheet="1" objects="1" scenarios="1" selectLockedCells="1" selectUnlockedCells="1"/>
  <mergeCells count="7">
    <mergeCell ref="G1:H1"/>
    <mergeCell ref="G2:H2"/>
    <mergeCell ref="A3:E3"/>
    <mergeCell ref="A5:E5"/>
    <mergeCell ref="B6:E6"/>
    <mergeCell ref="A1:E1"/>
    <mergeCell ref="A2:E2"/>
  </mergeCells>
  <conditionalFormatting sqref="H11:H12">
    <cfRule type="cellIs" dxfId="0" priority="1" operator="equal">
      <formula>0</formula>
    </cfRule>
  </conditionalFormatting>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V25"/>
  <sheetViews>
    <sheetView zoomScale="63" workbookViewId="0">
      <selection activeCell="L15" sqref="L15"/>
    </sheetView>
  </sheetViews>
  <sheetFormatPr defaultColWidth="9.140625" defaultRowHeight="15"/>
  <cols>
    <col min="1" max="1" width="18.85546875" style="84" bestFit="1" customWidth="1"/>
    <col min="2" max="2" width="2.140625" style="84" bestFit="1" customWidth="1"/>
    <col min="3" max="3" width="16.42578125" style="91" customWidth="1"/>
    <col min="4" max="4" width="2.140625" style="84" bestFit="1" customWidth="1"/>
    <col min="5" max="5" width="9.140625" style="84" customWidth="1"/>
    <col min="6" max="6" width="16.42578125" style="84" customWidth="1"/>
    <col min="7" max="7" width="18.85546875" style="84" bestFit="1" customWidth="1"/>
    <col min="8" max="8" width="2.140625" style="84" bestFit="1" customWidth="1"/>
    <col min="9" max="9" width="16.5703125" style="84" customWidth="1"/>
    <col min="10" max="10" width="2.140625" style="84" bestFit="1" customWidth="1"/>
    <col min="11" max="11" width="9.140625" style="84" customWidth="1"/>
    <col min="12" max="12" width="19.42578125" style="84" customWidth="1"/>
    <col min="13" max="16" width="9.140625" style="84" customWidth="1"/>
    <col min="17" max="17" width="11.42578125" style="84" bestFit="1" customWidth="1"/>
    <col min="18" max="21" width="21" style="84" customWidth="1"/>
    <col min="22" max="22" width="7.42578125" style="84" bestFit="1" customWidth="1"/>
    <col min="23" max="23" width="9.140625" style="84" customWidth="1"/>
    <col min="24" max="16384" width="9.140625" style="84"/>
  </cols>
  <sheetData>
    <row r="1" spans="1:22" ht="15.75" customHeight="1">
      <c r="A1" s="235" t="s">
        <v>276</v>
      </c>
      <c r="B1" s="232"/>
      <c r="C1" s="232"/>
      <c r="D1" s="232"/>
      <c r="E1" s="232"/>
      <c r="F1" s="183"/>
      <c r="G1" s="235" t="s">
        <v>277</v>
      </c>
      <c r="H1" s="232"/>
      <c r="I1" s="232"/>
      <c r="J1" s="232"/>
      <c r="K1" s="232"/>
      <c r="L1" s="183"/>
      <c r="M1" s="207" t="s">
        <v>278</v>
      </c>
      <c r="N1" s="232"/>
      <c r="O1" s="232"/>
      <c r="P1" s="183"/>
      <c r="Q1" s="237" t="s">
        <v>279</v>
      </c>
      <c r="R1" s="232"/>
      <c r="S1" s="232"/>
      <c r="T1" s="232"/>
      <c r="U1" s="232"/>
      <c r="V1" s="42"/>
    </row>
    <row r="2" spans="1:22" ht="15.95" customHeight="1" thickBot="1">
      <c r="A2" s="1" t="s">
        <v>235</v>
      </c>
      <c r="B2" s="184"/>
      <c r="C2" s="85"/>
      <c r="D2" s="184"/>
      <c r="E2" s="86"/>
      <c r="F2" s="134" t="s">
        <v>280</v>
      </c>
      <c r="G2" s="1" t="s">
        <v>235</v>
      </c>
      <c r="H2" s="184"/>
      <c r="I2" s="85"/>
      <c r="J2" s="184"/>
      <c r="K2" s="86"/>
      <c r="L2" s="134" t="s">
        <v>280</v>
      </c>
      <c r="M2" s="232"/>
      <c r="N2" s="232"/>
      <c r="O2" s="232"/>
      <c r="P2" s="183"/>
      <c r="Q2" s="94" t="s">
        <v>281</v>
      </c>
      <c r="R2" s="94" t="s">
        <v>282</v>
      </c>
      <c r="S2" s="95" t="s">
        <v>283</v>
      </c>
      <c r="T2" s="94" t="s">
        <v>284</v>
      </c>
      <c r="U2" s="94" t="s">
        <v>285</v>
      </c>
      <c r="V2" s="43" t="s">
        <v>286</v>
      </c>
    </row>
    <row r="3" spans="1:22" ht="15" customHeight="1">
      <c r="A3" s="92" t="s">
        <v>164</v>
      </c>
      <c r="B3" s="231" t="s">
        <v>287</v>
      </c>
      <c r="C3" s="87">
        <v>71640</v>
      </c>
      <c r="D3" s="231" t="s">
        <v>287</v>
      </c>
      <c r="E3" s="233">
        <f>C3/C4</f>
        <v>1.8767191470411024</v>
      </c>
      <c r="F3" s="115" t="s">
        <v>288</v>
      </c>
      <c r="G3" s="92" t="s">
        <v>164</v>
      </c>
      <c r="H3" s="231" t="s">
        <v>287</v>
      </c>
      <c r="I3" s="87">
        <v>80083</v>
      </c>
      <c r="J3" s="231" t="s">
        <v>287</v>
      </c>
      <c r="K3" s="233">
        <f>I3/I4</f>
        <v>2.0058861837491233</v>
      </c>
      <c r="L3" s="115" t="s">
        <v>288</v>
      </c>
      <c r="M3" s="232"/>
      <c r="N3" s="232"/>
      <c r="O3" s="232"/>
      <c r="P3" s="183"/>
      <c r="Q3" s="238" t="s">
        <v>289</v>
      </c>
      <c r="R3" s="239" t="s">
        <v>290</v>
      </c>
      <c r="S3" s="239" t="s">
        <v>291</v>
      </c>
      <c r="T3" s="239" t="s">
        <v>292</v>
      </c>
      <c r="U3" s="239" t="s">
        <v>293</v>
      </c>
      <c r="V3" s="44"/>
    </row>
    <row r="4" spans="1:22" ht="15.95" customHeight="1" thickBot="1">
      <c r="A4" s="93" t="s">
        <v>196</v>
      </c>
      <c r="B4" s="232"/>
      <c r="C4" s="88">
        <v>38173</v>
      </c>
      <c r="D4" s="232"/>
      <c r="E4" s="234"/>
      <c r="F4" s="115"/>
      <c r="G4" s="93" t="s">
        <v>196</v>
      </c>
      <c r="H4" s="232"/>
      <c r="I4" s="88">
        <v>39924</v>
      </c>
      <c r="J4" s="232"/>
      <c r="K4" s="234"/>
      <c r="L4" s="115"/>
      <c r="M4" s="232"/>
      <c r="N4" s="232"/>
      <c r="O4" s="232"/>
      <c r="P4" s="183"/>
      <c r="Q4" s="232"/>
      <c r="R4" s="232"/>
      <c r="S4" s="232"/>
      <c r="T4" s="232"/>
      <c r="U4" s="232"/>
      <c r="V4" s="44"/>
    </row>
    <row r="5" spans="1:22">
      <c r="A5" s="93"/>
      <c r="B5" s="89"/>
      <c r="C5" s="85"/>
      <c r="D5" s="89"/>
      <c r="E5" s="90"/>
      <c r="F5" s="115"/>
      <c r="G5" s="93"/>
      <c r="H5" s="89"/>
      <c r="I5" s="85"/>
      <c r="J5" s="89"/>
      <c r="K5" s="90"/>
      <c r="L5" s="115"/>
      <c r="M5" s="232"/>
      <c r="N5" s="232"/>
      <c r="O5" s="232"/>
      <c r="P5" s="183"/>
      <c r="Q5" s="232"/>
      <c r="R5" s="232"/>
      <c r="S5" s="232"/>
      <c r="T5" s="232"/>
      <c r="U5" s="232"/>
      <c r="V5" s="44"/>
    </row>
    <row r="6" spans="1:22" ht="15.95" customHeight="1" thickBot="1">
      <c r="A6" s="1" t="s">
        <v>246</v>
      </c>
      <c r="B6" s="184"/>
      <c r="C6" s="85"/>
      <c r="D6" s="184"/>
      <c r="E6" s="86"/>
      <c r="F6" s="115"/>
      <c r="G6" s="1" t="s">
        <v>246</v>
      </c>
      <c r="H6" s="184"/>
      <c r="I6" s="85"/>
      <c r="J6" s="184"/>
      <c r="K6" s="86"/>
      <c r="L6" s="115"/>
      <c r="M6" s="232"/>
      <c r="N6" s="232"/>
      <c r="O6" s="232"/>
      <c r="P6" s="183"/>
      <c r="Q6" s="232"/>
      <c r="R6" s="232"/>
      <c r="S6" s="232"/>
      <c r="T6" s="232"/>
      <c r="U6" s="232"/>
      <c r="V6" s="44"/>
    </row>
    <row r="7" spans="1:22">
      <c r="A7" s="92" t="s">
        <v>162</v>
      </c>
      <c r="B7" s="231" t="s">
        <v>287</v>
      </c>
      <c r="C7" s="87">
        <v>26502</v>
      </c>
      <c r="D7" s="231" t="s">
        <v>287</v>
      </c>
      <c r="E7" s="233">
        <f>C7/C8</f>
        <v>0.15065144728165716</v>
      </c>
      <c r="F7" s="115" t="s">
        <v>288</v>
      </c>
      <c r="G7" s="92" t="s">
        <v>162</v>
      </c>
      <c r="H7" s="231" t="s">
        <v>287</v>
      </c>
      <c r="I7" s="87">
        <v>21854</v>
      </c>
      <c r="J7" s="231" t="s">
        <v>287</v>
      </c>
      <c r="K7" s="233">
        <f>I7/I8</f>
        <v>0.11890486087685126</v>
      </c>
      <c r="L7" s="115" t="s">
        <v>288</v>
      </c>
      <c r="M7" s="232"/>
      <c r="N7" s="232"/>
      <c r="O7" s="232"/>
      <c r="P7" s="183"/>
      <c r="Q7" s="232"/>
      <c r="R7" s="232"/>
      <c r="S7" s="232"/>
      <c r="T7" s="232"/>
      <c r="U7" s="232"/>
      <c r="V7" s="44"/>
    </row>
    <row r="8" spans="1:22" ht="15.95" customHeight="1" thickBot="1">
      <c r="A8" s="93" t="s">
        <v>294</v>
      </c>
      <c r="B8" s="232"/>
      <c r="C8" s="88">
        <v>175916</v>
      </c>
      <c r="D8" s="232"/>
      <c r="E8" s="234"/>
      <c r="F8" s="115"/>
      <c r="G8" s="93" t="s">
        <v>294</v>
      </c>
      <c r="H8" s="232"/>
      <c r="I8" s="88">
        <v>183794</v>
      </c>
      <c r="J8" s="232"/>
      <c r="K8" s="234"/>
      <c r="L8" s="115"/>
      <c r="M8" s="232"/>
      <c r="N8" s="232"/>
      <c r="O8" s="232"/>
      <c r="P8" s="183"/>
      <c r="Q8" s="232"/>
      <c r="R8" s="232"/>
      <c r="S8" s="232"/>
      <c r="T8" s="232"/>
      <c r="U8" s="232"/>
      <c r="V8" s="44"/>
    </row>
    <row r="9" spans="1:22">
      <c r="A9" s="21"/>
      <c r="B9" s="184"/>
      <c r="C9" s="85"/>
      <c r="D9" s="184"/>
      <c r="E9" s="184"/>
      <c r="F9" s="115"/>
      <c r="G9" s="21"/>
      <c r="H9" s="184"/>
      <c r="I9" s="85"/>
      <c r="J9" s="184"/>
      <c r="K9" s="184"/>
      <c r="L9" s="115"/>
      <c r="M9" s="232"/>
      <c r="N9" s="232"/>
      <c r="O9" s="232"/>
      <c r="P9" s="183"/>
      <c r="Q9" s="232"/>
      <c r="R9" s="230"/>
      <c r="S9" s="230"/>
      <c r="T9" s="230"/>
      <c r="U9" s="230"/>
      <c r="V9" s="44"/>
    </row>
    <row r="10" spans="1:22" ht="15.95" customHeight="1" thickBot="1">
      <c r="A10" s="1" t="s">
        <v>252</v>
      </c>
      <c r="B10" s="184"/>
      <c r="C10" s="85"/>
      <c r="D10" s="184"/>
      <c r="E10" s="86"/>
      <c r="F10" s="115"/>
      <c r="G10" s="1" t="s">
        <v>252</v>
      </c>
      <c r="H10" s="184"/>
      <c r="I10" s="85"/>
      <c r="J10" s="184"/>
      <c r="K10" s="86"/>
      <c r="L10" s="115"/>
      <c r="M10" s="232"/>
      <c r="N10" s="232"/>
      <c r="O10" s="232"/>
      <c r="P10" s="183"/>
      <c r="Q10" s="230"/>
      <c r="R10" s="96">
        <v>0</v>
      </c>
      <c r="S10" s="96">
        <f>_xlfn.CEILING.MATH(U10*1/3,0.5)</f>
        <v>3</v>
      </c>
      <c r="T10" s="96">
        <v>6</v>
      </c>
      <c r="U10" s="97">
        <v>8</v>
      </c>
      <c r="V10" s="45"/>
    </row>
    <row r="11" spans="1:22" ht="15" customHeight="1">
      <c r="A11" s="92" t="s">
        <v>162</v>
      </c>
      <c r="B11" s="231" t="s">
        <v>287</v>
      </c>
      <c r="C11" s="87">
        <v>26502</v>
      </c>
      <c r="D11" s="231" t="s">
        <v>287</v>
      </c>
      <c r="E11" s="233">
        <f>C11/C12</f>
        <v>0.35695573409478143</v>
      </c>
      <c r="F11" s="115" t="s">
        <v>295</v>
      </c>
      <c r="G11" s="92" t="s">
        <v>162</v>
      </c>
      <c r="H11" s="231" t="s">
        <v>287</v>
      </c>
      <c r="I11" s="87">
        <v>21854</v>
      </c>
      <c r="J11" s="231" t="s">
        <v>287</v>
      </c>
      <c r="K11" s="233">
        <f>I11/I12</f>
        <v>0.29435177016479336</v>
      </c>
      <c r="L11" s="115" t="s">
        <v>288</v>
      </c>
      <c r="M11" s="232"/>
      <c r="N11" s="232"/>
      <c r="O11" s="232"/>
      <c r="P11" s="183"/>
      <c r="Q11" s="240" t="s">
        <v>296</v>
      </c>
      <c r="R11" s="236" t="s">
        <v>297</v>
      </c>
      <c r="S11" s="236" t="s">
        <v>298</v>
      </c>
      <c r="T11" s="236" t="s">
        <v>299</v>
      </c>
      <c r="U11" s="236" t="s">
        <v>300</v>
      </c>
      <c r="V11" s="44"/>
    </row>
    <row r="12" spans="1:22" ht="15.95" customHeight="1" thickBot="1">
      <c r="A12" s="93" t="s">
        <v>301</v>
      </c>
      <c r="B12" s="232"/>
      <c r="C12" s="88">
        <v>74244.5</v>
      </c>
      <c r="D12" s="232"/>
      <c r="E12" s="234"/>
      <c r="F12" s="115"/>
      <c r="G12" s="93" t="s">
        <v>301</v>
      </c>
      <c r="H12" s="232"/>
      <c r="I12" s="88">
        <v>74244.5</v>
      </c>
      <c r="J12" s="232"/>
      <c r="K12" s="234"/>
      <c r="L12" s="115"/>
      <c r="M12" s="232"/>
      <c r="N12" s="232"/>
      <c r="O12" s="232"/>
      <c r="P12" s="183"/>
      <c r="Q12" s="232"/>
      <c r="R12" s="232"/>
      <c r="S12" s="232"/>
      <c r="T12" s="232"/>
      <c r="U12" s="232"/>
      <c r="V12" s="44"/>
    </row>
    <row r="13" spans="1:22">
      <c r="A13" s="93"/>
      <c r="B13" s="89"/>
      <c r="C13" s="85"/>
      <c r="D13" s="89"/>
      <c r="E13" s="90"/>
      <c r="F13" s="115"/>
      <c r="G13" s="93"/>
      <c r="H13" s="89"/>
      <c r="I13" s="85"/>
      <c r="J13" s="89"/>
      <c r="K13" s="90"/>
      <c r="L13" s="115"/>
      <c r="M13" s="232"/>
      <c r="N13" s="232"/>
      <c r="O13" s="232"/>
      <c r="P13" s="183"/>
      <c r="Q13" s="232"/>
      <c r="R13" s="232"/>
      <c r="S13" s="232"/>
      <c r="T13" s="232"/>
      <c r="U13" s="232"/>
      <c r="V13" s="44"/>
    </row>
    <row r="14" spans="1:22" ht="15.95" customHeight="1" thickBot="1">
      <c r="A14" s="1" t="s">
        <v>302</v>
      </c>
      <c r="B14" s="184"/>
      <c r="C14" s="85"/>
      <c r="D14" s="184"/>
      <c r="E14" s="184"/>
      <c r="F14" s="115"/>
      <c r="G14" s="1" t="s">
        <v>302</v>
      </c>
      <c r="H14" s="184"/>
      <c r="I14" s="85"/>
      <c r="J14" s="184"/>
      <c r="K14" s="184"/>
      <c r="L14" s="115"/>
      <c r="M14" s="232"/>
      <c r="N14" s="232"/>
      <c r="O14" s="232"/>
      <c r="P14" s="183"/>
      <c r="Q14" s="232"/>
      <c r="R14" s="232"/>
      <c r="S14" s="232"/>
      <c r="T14" s="232"/>
      <c r="U14" s="232"/>
      <c r="V14" s="44"/>
    </row>
    <row r="15" spans="1:22">
      <c r="A15" s="92" t="s">
        <v>213</v>
      </c>
      <c r="B15" s="231" t="s">
        <v>287</v>
      </c>
      <c r="C15" s="87">
        <v>127733</v>
      </c>
      <c r="D15" s="231" t="s">
        <v>287</v>
      </c>
      <c r="E15" s="233">
        <f>C15/C16</f>
        <v>1.499090450315115</v>
      </c>
      <c r="F15" s="115" t="s">
        <v>288</v>
      </c>
      <c r="G15" s="92" t="s">
        <v>213</v>
      </c>
      <c r="H15" s="231" t="s">
        <v>287</v>
      </c>
      <c r="I15" s="87">
        <v>145692</v>
      </c>
      <c r="J15" s="231" t="s">
        <v>287</v>
      </c>
      <c r="K15" s="233">
        <f>I15/I16</f>
        <v>1.7098595185841539</v>
      </c>
      <c r="L15" s="115" t="s">
        <v>303</v>
      </c>
      <c r="M15" s="232"/>
      <c r="N15" s="232"/>
      <c r="O15" s="232"/>
      <c r="P15" s="183"/>
      <c r="Q15" s="232"/>
      <c r="R15" s="232"/>
      <c r="S15" s="232"/>
      <c r="T15" s="232"/>
      <c r="U15" s="232"/>
      <c r="V15" s="44"/>
    </row>
    <row r="16" spans="1:22" ht="15.95" customHeight="1" thickBot="1">
      <c r="A16" s="93" t="s">
        <v>304</v>
      </c>
      <c r="B16" s="232"/>
      <c r="C16" s="88">
        <v>85207</v>
      </c>
      <c r="D16" s="232"/>
      <c r="E16" s="234"/>
      <c r="F16" s="115"/>
      <c r="G16" s="93" t="s">
        <v>304</v>
      </c>
      <c r="H16" s="232"/>
      <c r="I16" s="88">
        <v>85207</v>
      </c>
      <c r="J16" s="232"/>
      <c r="K16" s="234"/>
      <c r="L16" s="115"/>
      <c r="M16" s="232"/>
      <c r="N16" s="232"/>
      <c r="O16" s="232"/>
      <c r="P16" s="183"/>
      <c r="Q16" s="232"/>
      <c r="R16" s="232"/>
      <c r="S16" s="232"/>
      <c r="T16" s="232"/>
      <c r="U16" s="232"/>
      <c r="V16" s="44"/>
    </row>
    <row r="17" spans="1:22">
      <c r="A17" s="21"/>
      <c r="B17" s="184"/>
      <c r="C17" s="85"/>
      <c r="D17" s="184"/>
      <c r="E17" s="184"/>
      <c r="F17" s="115"/>
      <c r="G17" s="21"/>
      <c r="H17" s="184"/>
      <c r="I17" s="85"/>
      <c r="J17" s="184"/>
      <c r="K17" s="184"/>
      <c r="L17" s="115"/>
      <c r="M17" s="232"/>
      <c r="N17" s="232"/>
      <c r="O17" s="232"/>
      <c r="P17" s="183"/>
      <c r="Q17" s="232"/>
      <c r="R17" s="230"/>
      <c r="S17" s="230"/>
      <c r="T17" s="230"/>
      <c r="U17" s="230"/>
      <c r="V17" s="44"/>
    </row>
    <row r="18" spans="1:22" ht="15.95" customHeight="1" thickBot="1">
      <c r="A18" s="1" t="s">
        <v>305</v>
      </c>
      <c r="B18" s="184"/>
      <c r="C18" s="85"/>
      <c r="D18" s="184"/>
      <c r="E18" s="86"/>
      <c r="F18" s="115"/>
      <c r="G18" s="1" t="s">
        <v>305</v>
      </c>
      <c r="H18" s="184"/>
      <c r="I18" s="85"/>
      <c r="J18" s="184"/>
      <c r="K18" s="86"/>
      <c r="L18" s="115"/>
      <c r="M18" s="232"/>
      <c r="N18" s="232"/>
      <c r="O18" s="232"/>
      <c r="P18" s="183"/>
      <c r="Q18" s="230"/>
      <c r="R18" s="98">
        <v>0</v>
      </c>
      <c r="S18" s="98">
        <f>_xlfn.CEILING.MATH(U18*1/3,0.5)</f>
        <v>3</v>
      </c>
      <c r="T18" s="98">
        <v>6</v>
      </c>
      <c r="U18" s="99">
        <v>8</v>
      </c>
      <c r="V18" s="39"/>
    </row>
    <row r="19" spans="1:22" ht="15.95" customHeight="1" thickBot="1">
      <c r="A19" s="92" t="s">
        <v>160</v>
      </c>
      <c r="B19" s="231" t="s">
        <v>287</v>
      </c>
      <c r="C19" s="87">
        <v>398000</v>
      </c>
      <c r="D19" s="231" t="s">
        <v>287</v>
      </c>
      <c r="E19" s="233">
        <f>C19/C20</f>
        <v>2.2624434389140271</v>
      </c>
      <c r="F19" s="115" t="s">
        <v>288</v>
      </c>
      <c r="G19" s="92" t="s">
        <v>160</v>
      </c>
      <c r="H19" s="231" t="s">
        <v>287</v>
      </c>
      <c r="I19" s="87">
        <v>398000</v>
      </c>
      <c r="J19" s="231" t="s">
        <v>287</v>
      </c>
      <c r="K19" s="233">
        <f>I19/I20</f>
        <v>2.1654678607571518</v>
      </c>
      <c r="L19" s="115" t="s">
        <v>288</v>
      </c>
      <c r="M19" s="232"/>
      <c r="N19" s="232"/>
      <c r="O19" s="232"/>
      <c r="P19" s="183"/>
      <c r="Q19" s="183"/>
      <c r="R19" s="183"/>
      <c r="S19" s="183"/>
      <c r="T19" s="183"/>
      <c r="U19" s="100" t="s">
        <v>306</v>
      </c>
      <c r="V19" s="102">
        <f>V10+V18</f>
        <v>0</v>
      </c>
    </row>
    <row r="20" spans="1:22" ht="15.95" customHeight="1" thickBot="1">
      <c r="A20" s="93" t="s">
        <v>294</v>
      </c>
      <c r="B20" s="232"/>
      <c r="C20" s="88">
        <f>C8</f>
        <v>175916</v>
      </c>
      <c r="D20" s="232"/>
      <c r="E20" s="234"/>
      <c r="F20" s="115"/>
      <c r="G20" s="93" t="s">
        <v>294</v>
      </c>
      <c r="H20" s="232"/>
      <c r="I20" s="88">
        <f>I8</f>
        <v>183794</v>
      </c>
      <c r="J20" s="232"/>
      <c r="K20" s="234"/>
      <c r="L20" s="115"/>
      <c r="M20" s="232"/>
      <c r="N20" s="232"/>
      <c r="O20" s="232"/>
      <c r="P20" s="183"/>
      <c r="Q20" s="183"/>
      <c r="R20" s="183"/>
      <c r="S20" s="183"/>
      <c r="T20" s="183"/>
      <c r="U20" s="101" t="s">
        <v>307</v>
      </c>
      <c r="V20" s="103">
        <f>ROUND('Final Case'!B10*IF('Final Case'!B9="Yes",'Iterative Data'!N2,'Iterative Data'!M2),0)</f>
        <v>16</v>
      </c>
    </row>
    <row r="21" spans="1:22">
      <c r="A21" s="21"/>
      <c r="B21" s="184"/>
      <c r="C21" s="85"/>
      <c r="D21" s="184"/>
      <c r="E21" s="184"/>
      <c r="F21" s="115"/>
      <c r="G21" s="21"/>
      <c r="H21" s="184"/>
      <c r="I21" s="85"/>
      <c r="J21" s="184"/>
      <c r="K21" s="184"/>
      <c r="L21" s="115"/>
      <c r="M21" s="183"/>
      <c r="N21" s="183"/>
      <c r="O21" s="183"/>
      <c r="P21" s="183"/>
      <c r="Q21" s="183"/>
      <c r="R21" s="183"/>
      <c r="S21" s="183"/>
      <c r="T21" s="183"/>
      <c r="U21" s="183"/>
      <c r="V21" s="183"/>
    </row>
    <row r="22" spans="1:22" ht="15.95" customHeight="1" thickBot="1">
      <c r="A22" s="1" t="s">
        <v>264</v>
      </c>
      <c r="B22" s="184"/>
      <c r="C22" s="85"/>
      <c r="D22" s="184"/>
      <c r="E22" s="86"/>
      <c r="F22" s="115"/>
      <c r="G22" s="1" t="s">
        <v>264</v>
      </c>
      <c r="H22" s="184"/>
      <c r="I22" s="85"/>
      <c r="J22" s="184"/>
      <c r="K22" s="86"/>
      <c r="L22" s="115"/>
      <c r="M22" s="183"/>
      <c r="N22" s="183"/>
      <c r="O22" s="183"/>
      <c r="P22" s="183"/>
      <c r="Q22" s="183"/>
      <c r="R22" s="183"/>
      <c r="S22" s="183"/>
      <c r="T22" s="183"/>
      <c r="U22" s="183"/>
      <c r="V22" s="183"/>
    </row>
    <row r="23" spans="1:22">
      <c r="A23" s="92" t="s">
        <v>162</v>
      </c>
      <c r="B23" s="231" t="s">
        <v>287</v>
      </c>
      <c r="C23" s="87">
        <v>26502</v>
      </c>
      <c r="D23" s="231" t="s">
        <v>287</v>
      </c>
      <c r="E23" s="233">
        <f>C23/C24</f>
        <v>6.6587939698492457E-2</v>
      </c>
      <c r="F23" s="115" t="s">
        <v>303</v>
      </c>
      <c r="G23" s="92" t="s">
        <v>162</v>
      </c>
      <c r="H23" s="231" t="s">
        <v>287</v>
      </c>
      <c r="I23" s="87">
        <v>21854</v>
      </c>
      <c r="J23" s="231" t="s">
        <v>287</v>
      </c>
      <c r="K23" s="233">
        <f>I23/I24</f>
        <v>5.490954773869347E-2</v>
      </c>
      <c r="L23" s="115" t="s">
        <v>303</v>
      </c>
      <c r="M23" s="183"/>
      <c r="N23" s="183"/>
      <c r="O23" s="183"/>
      <c r="P23" s="183"/>
      <c r="Q23" s="183"/>
      <c r="R23" s="183"/>
      <c r="S23" s="183"/>
      <c r="T23" s="183"/>
      <c r="U23" s="183"/>
      <c r="V23" s="183"/>
    </row>
    <row r="24" spans="1:22" ht="15.95" customHeight="1" thickBot="1">
      <c r="A24" s="93" t="s">
        <v>160</v>
      </c>
      <c r="B24" s="232"/>
      <c r="C24" s="88">
        <v>398000</v>
      </c>
      <c r="D24" s="232"/>
      <c r="E24" s="234"/>
      <c r="F24" s="115"/>
      <c r="G24" s="93" t="s">
        <v>160</v>
      </c>
      <c r="H24" s="232"/>
      <c r="I24" s="88">
        <f>I19</f>
        <v>398000</v>
      </c>
      <c r="J24" s="232"/>
      <c r="K24" s="234"/>
      <c r="L24" s="115"/>
      <c r="M24" s="183"/>
      <c r="N24" s="183"/>
      <c r="O24" s="183"/>
      <c r="P24" s="183"/>
      <c r="Q24" s="183"/>
      <c r="R24" s="183"/>
      <c r="S24" s="183"/>
      <c r="T24" s="183"/>
      <c r="U24" s="183"/>
      <c r="V24" s="183"/>
    </row>
    <row r="25" spans="1:22">
      <c r="A25" s="183"/>
      <c r="B25" s="183"/>
      <c r="D25" s="183"/>
      <c r="E25" s="183"/>
      <c r="F25" s="183"/>
      <c r="G25" s="183"/>
      <c r="H25" s="183"/>
      <c r="I25" s="91"/>
      <c r="J25" s="183"/>
      <c r="K25" s="183"/>
      <c r="L25" s="183"/>
      <c r="M25" s="183"/>
      <c r="N25" s="183"/>
      <c r="O25" s="183"/>
      <c r="P25" s="183"/>
      <c r="Q25" s="183"/>
      <c r="R25" s="183"/>
      <c r="S25" s="183"/>
      <c r="T25" s="183"/>
      <c r="U25" s="183"/>
      <c r="V25" s="183"/>
    </row>
  </sheetData>
  <sheetProtection algorithmName="SHA-512" hashValue="USVlIo/qwOikywtw+1OO7jLqSx+SuEQ64DG1mhr7O9uLQN8FyvJc0QIwR6fzjxy12UnQvSLjArpdiSjxNZSw8A==" saltValue="jO4mdo2rokkXjIS0LLjMYQ==" spinCount="100000" sheet="1" objects="1" scenarios="1" selectLockedCells="1"/>
  <mergeCells count="50">
    <mergeCell ref="U11:U17"/>
    <mergeCell ref="M1:O20"/>
    <mergeCell ref="Q1:U1"/>
    <mergeCell ref="Q3:Q10"/>
    <mergeCell ref="R3:R9"/>
    <mergeCell ref="S3:S9"/>
    <mergeCell ref="T3:T9"/>
    <mergeCell ref="U3:U9"/>
    <mergeCell ref="Q11:Q18"/>
    <mergeCell ref="R11:R17"/>
    <mergeCell ref="H23:H24"/>
    <mergeCell ref="J23:J24"/>
    <mergeCell ref="K23:K24"/>
    <mergeCell ref="S11:S17"/>
    <mergeCell ref="T11:T17"/>
    <mergeCell ref="H7:H8"/>
    <mergeCell ref="J7:J8"/>
    <mergeCell ref="K7:K8"/>
    <mergeCell ref="D19:D20"/>
    <mergeCell ref="E19:E20"/>
    <mergeCell ref="D7:D8"/>
    <mergeCell ref="E7:E8"/>
    <mergeCell ref="H11:H12"/>
    <mergeCell ref="J11:J12"/>
    <mergeCell ref="K11:K12"/>
    <mergeCell ref="H15:H16"/>
    <mergeCell ref="J15:J16"/>
    <mergeCell ref="K15:K16"/>
    <mergeCell ref="H19:H20"/>
    <mergeCell ref="J19:J20"/>
    <mergeCell ref="K19:K20"/>
    <mergeCell ref="A1:E1"/>
    <mergeCell ref="G1:K1"/>
    <mergeCell ref="H3:H4"/>
    <mergeCell ref="J3:J4"/>
    <mergeCell ref="K3:K4"/>
    <mergeCell ref="B23:B24"/>
    <mergeCell ref="B3:B4"/>
    <mergeCell ref="D3:D4"/>
    <mergeCell ref="E3:E4"/>
    <mergeCell ref="B19:B20"/>
    <mergeCell ref="D11:D12"/>
    <mergeCell ref="E11:E12"/>
    <mergeCell ref="B15:B16"/>
    <mergeCell ref="D15:D16"/>
    <mergeCell ref="E15:E16"/>
    <mergeCell ref="D23:D24"/>
    <mergeCell ref="E23:E24"/>
    <mergeCell ref="B7:B8"/>
    <mergeCell ref="B11:B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S59"/>
  <sheetViews>
    <sheetView zoomScale="80" zoomScaleNormal="80" workbookViewId="0">
      <selection activeCell="A26" sqref="A26"/>
    </sheetView>
  </sheetViews>
  <sheetFormatPr defaultColWidth="9.140625" defaultRowHeight="15"/>
  <cols>
    <col min="1" max="1" width="30.140625" style="83" customWidth="1"/>
    <col min="2" max="2" width="11.140625" style="83" bestFit="1" customWidth="1"/>
    <col min="3" max="3" width="10.85546875" style="83" bestFit="1" customWidth="1"/>
    <col min="4" max="4" width="1.5703125" style="83" customWidth="1"/>
    <col min="5" max="5" width="37" style="83" customWidth="1"/>
    <col min="6" max="6" width="15" style="83" customWidth="1"/>
    <col min="7" max="7" width="15.42578125" style="83" bestFit="1" customWidth="1"/>
    <col min="8" max="8" width="1.42578125" style="83" customWidth="1"/>
    <col min="9" max="9" width="30" style="83" customWidth="1"/>
    <col min="10" max="11" width="12.42578125" style="83" customWidth="1"/>
    <col min="12" max="12" width="2.42578125" style="83" customWidth="1"/>
    <col min="13" max="13" width="13.42578125" style="84" customWidth="1"/>
    <col min="14" max="17" width="21" style="84" customWidth="1"/>
    <col min="18" max="18" width="7.42578125" style="84" bestFit="1" customWidth="1"/>
    <col min="19" max="19" width="9.140625" style="83" customWidth="1"/>
    <col min="20" max="16384" width="9.140625" style="83"/>
  </cols>
  <sheetData>
    <row r="1" spans="1:19" ht="15.95" customHeight="1">
      <c r="A1" s="223" t="str">
        <f>'Original Financial Statements'!A1</f>
        <v>Keroka , Inc.</v>
      </c>
      <c r="B1" s="242"/>
      <c r="C1" s="242"/>
      <c r="D1" s="21"/>
      <c r="E1" s="221" t="str">
        <f>A1</f>
        <v>Keroka , Inc.</v>
      </c>
      <c r="F1" s="242"/>
      <c r="G1" s="242"/>
      <c r="H1" s="21"/>
      <c r="I1" s="222" t="str">
        <f>E1</f>
        <v>Keroka , Inc.</v>
      </c>
      <c r="J1" s="242"/>
      <c r="K1" s="242"/>
      <c r="L1" s="184"/>
      <c r="M1" s="244" t="s">
        <v>279</v>
      </c>
      <c r="N1" s="232"/>
      <c r="O1" s="232"/>
      <c r="P1" s="232"/>
      <c r="Q1" s="232"/>
      <c r="R1" s="42"/>
      <c r="S1" s="184"/>
    </row>
    <row r="2" spans="1:19" ht="15.95" customHeight="1">
      <c r="A2" s="222" t="s">
        <v>156</v>
      </c>
      <c r="B2" s="242"/>
      <c r="C2" s="242"/>
      <c r="D2" s="21"/>
      <c r="E2" s="222" t="s">
        <v>157</v>
      </c>
      <c r="F2" s="242"/>
      <c r="G2" s="242"/>
      <c r="H2" s="21"/>
      <c r="I2" s="222" t="s">
        <v>158</v>
      </c>
      <c r="J2" s="242"/>
      <c r="K2" s="242"/>
      <c r="L2" s="184"/>
      <c r="M2" s="94" t="s">
        <v>281</v>
      </c>
      <c r="N2" s="94" t="s">
        <v>282</v>
      </c>
      <c r="O2" s="95" t="s">
        <v>283</v>
      </c>
      <c r="P2" s="94" t="s">
        <v>284</v>
      </c>
      <c r="Q2" s="94" t="s">
        <v>285</v>
      </c>
      <c r="R2" s="43" t="s">
        <v>286</v>
      </c>
      <c r="S2" s="184"/>
    </row>
    <row r="3" spans="1:19" ht="17.100000000000001" customHeight="1" thickBot="1">
      <c r="A3" s="224" t="str">
        <f ca="1">"For Year Ended December 31, "&amp;YEAR(TODAY())-1</f>
        <v>For Year Ended December 31, 2024</v>
      </c>
      <c r="B3" s="245"/>
      <c r="C3" s="245"/>
      <c r="D3" s="191"/>
      <c r="E3" s="224" t="str">
        <f>"As of December 31"</f>
        <v>As of December 31</v>
      </c>
      <c r="F3" s="245"/>
      <c r="G3" s="245"/>
      <c r="H3" s="21"/>
      <c r="I3" s="224" t="str">
        <f ca="1">A3</f>
        <v>For Year Ended December 31, 2024</v>
      </c>
      <c r="J3" s="245"/>
      <c r="K3" s="245"/>
      <c r="L3" s="184"/>
      <c r="M3" s="238" t="s">
        <v>308</v>
      </c>
      <c r="N3" s="239" t="s">
        <v>309</v>
      </c>
      <c r="O3" s="239" t="s">
        <v>310</v>
      </c>
      <c r="P3" s="239" t="s">
        <v>311</v>
      </c>
      <c r="Q3" s="239" t="s">
        <v>312</v>
      </c>
      <c r="R3" s="44"/>
      <c r="S3" s="183"/>
    </row>
    <row r="4" spans="1:19" ht="14.1" customHeight="1">
      <c r="A4" s="1"/>
      <c r="B4" s="57"/>
      <c r="C4" s="57"/>
      <c r="D4" s="21"/>
      <c r="E4" s="21"/>
      <c r="F4" s="58">
        <f>'Original Financial Statements'!E4</f>
        <v>2024</v>
      </c>
      <c r="G4" s="58">
        <f>'Original Financial Statements'!F4</f>
        <v>2023</v>
      </c>
      <c r="H4" s="21"/>
      <c r="I4" s="59" t="s">
        <v>159</v>
      </c>
      <c r="J4" s="60"/>
      <c r="K4" s="60"/>
      <c r="L4" s="184"/>
      <c r="M4" s="232"/>
      <c r="N4" s="232"/>
      <c r="O4" s="232"/>
      <c r="P4" s="232"/>
      <c r="Q4" s="232"/>
      <c r="R4" s="44"/>
      <c r="S4" s="184"/>
    </row>
    <row r="5" spans="1:19" ht="14.1" customHeight="1">
      <c r="A5" s="1"/>
      <c r="B5" s="57"/>
      <c r="C5" s="57"/>
      <c r="D5" s="124"/>
      <c r="E5" s="219" t="s">
        <v>161</v>
      </c>
      <c r="F5" s="242"/>
      <c r="G5" s="242"/>
      <c r="H5" s="21"/>
      <c r="I5" s="3" t="s">
        <v>162</v>
      </c>
      <c r="J5" s="63"/>
      <c r="K5" s="63">
        <f>C36</f>
        <v>21854.300000000003</v>
      </c>
      <c r="L5" s="184"/>
      <c r="M5" s="232"/>
      <c r="N5" s="232"/>
      <c r="O5" s="232"/>
      <c r="P5" s="232"/>
      <c r="Q5" s="232"/>
      <c r="R5" s="44"/>
      <c r="S5" s="184"/>
    </row>
    <row r="6" spans="1:19" ht="14.1" customHeight="1">
      <c r="A6" s="3" t="s">
        <v>160</v>
      </c>
      <c r="B6" s="117">
        <f>'Original Financial Statements'!B5</f>
        <v>398000</v>
      </c>
      <c r="C6" s="21"/>
      <c r="D6" s="124"/>
      <c r="E6" s="1" t="s">
        <v>164</v>
      </c>
      <c r="F6" s="21"/>
      <c r="G6" s="21"/>
      <c r="H6" s="21"/>
      <c r="I6" s="3" t="s">
        <v>165</v>
      </c>
      <c r="J6" s="63"/>
      <c r="K6" s="63"/>
      <c r="L6" s="184"/>
      <c r="M6" s="232"/>
      <c r="N6" s="232"/>
      <c r="O6" s="232"/>
      <c r="P6" s="232"/>
      <c r="Q6" s="232"/>
      <c r="R6" s="44"/>
      <c r="S6" s="184"/>
    </row>
    <row r="7" spans="1:19" ht="14.1" customHeight="1">
      <c r="A7" s="3" t="s">
        <v>163</v>
      </c>
      <c r="B7" s="117">
        <f>'Original Financial Statements'!B6</f>
        <v>276212</v>
      </c>
      <c r="C7" s="21"/>
      <c r="D7" s="124"/>
      <c r="E7" s="66" t="s">
        <v>128</v>
      </c>
      <c r="F7" s="117">
        <f>'Original Financial Statements'!E7+'Correcting Entries (Q2)'!B3-'Correcting Entries (Q2)'!C9-'Correcting Entries (Q2)'!C23</f>
        <v>14413.472000000002</v>
      </c>
      <c r="G7" s="117">
        <f>'Original Financial Statements'!F7</f>
        <v>7562</v>
      </c>
      <c r="H7" s="21"/>
      <c r="I7" s="66" t="s">
        <v>167</v>
      </c>
      <c r="J7" s="118">
        <f>'Original Financial Statements'!H7</f>
        <v>-7960</v>
      </c>
      <c r="K7" s="63"/>
      <c r="L7" s="184"/>
      <c r="M7" s="232"/>
      <c r="N7" s="230"/>
      <c r="O7" s="230"/>
      <c r="P7" s="230"/>
      <c r="Q7" s="230"/>
      <c r="R7" s="44"/>
      <c r="S7" s="184"/>
    </row>
    <row r="8" spans="1:19" ht="14.1" customHeight="1">
      <c r="A8" s="64" t="s">
        <v>166</v>
      </c>
      <c r="B8" s="65"/>
      <c r="C8" s="65">
        <f>B6-B7</f>
        <v>121788</v>
      </c>
      <c r="D8" s="124"/>
      <c r="E8" s="66" t="s">
        <v>129</v>
      </c>
      <c r="F8" s="117">
        <f>'Original Financial Statements'!E8</f>
        <v>15920</v>
      </c>
      <c r="G8" s="117">
        <f>'Original Financial Statements'!F8</f>
        <v>11940</v>
      </c>
      <c r="H8" s="21"/>
      <c r="I8" s="66" t="s">
        <v>168</v>
      </c>
      <c r="J8" s="118">
        <f>'Original Financial Statements'!H8</f>
        <v>3980</v>
      </c>
      <c r="K8" s="63"/>
      <c r="L8" s="184"/>
      <c r="M8" s="230"/>
      <c r="N8" s="96">
        <v>0</v>
      </c>
      <c r="O8" s="96">
        <v>3</v>
      </c>
      <c r="P8" s="96">
        <f>_xlfn.CEILING.MATH(Q8*2/3,0.5)</f>
        <v>5.5</v>
      </c>
      <c r="Q8" s="97">
        <v>8</v>
      </c>
      <c r="R8" s="39"/>
      <c r="S8" s="184"/>
    </row>
    <row r="9" spans="1:19" ht="14.25" customHeight="1">
      <c r="A9" s="1"/>
      <c r="B9" s="23"/>
      <c r="C9" s="23"/>
      <c r="D9" s="124"/>
      <c r="E9" s="66" t="s">
        <v>130</v>
      </c>
      <c r="F9" s="117">
        <f>'Original Financial Statements'!E9</f>
        <v>-1990</v>
      </c>
      <c r="G9" s="117">
        <f>'Original Financial Statements'!F9</f>
        <v>-5970</v>
      </c>
      <c r="H9" s="21"/>
      <c r="I9" s="66" t="s">
        <v>121</v>
      </c>
      <c r="J9" s="118">
        <f>'Original Financial Statements'!H9</f>
        <v>7960</v>
      </c>
      <c r="K9" s="63"/>
      <c r="L9" s="184"/>
      <c r="M9" s="240" t="s">
        <v>313</v>
      </c>
      <c r="N9" s="236" t="s">
        <v>314</v>
      </c>
      <c r="O9" s="236" t="s">
        <v>310</v>
      </c>
      <c r="P9" s="236" t="s">
        <v>311</v>
      </c>
      <c r="Q9" s="236" t="s">
        <v>315</v>
      </c>
      <c r="R9" s="44"/>
      <c r="S9" s="184"/>
    </row>
    <row r="10" spans="1:19" ht="14.1" customHeight="1">
      <c r="A10" s="1" t="s">
        <v>169</v>
      </c>
      <c r="B10" s="23"/>
      <c r="C10" s="23"/>
      <c r="D10" s="21"/>
      <c r="E10" s="66" t="s">
        <v>131</v>
      </c>
      <c r="F10" s="117">
        <f>'Original Financial Statements'!E10</f>
        <v>51740</v>
      </c>
      <c r="G10" s="117">
        <f>'Original Financial Statements'!F10</f>
        <v>55720</v>
      </c>
      <c r="H10" s="21"/>
      <c r="I10" s="66" t="s">
        <v>171</v>
      </c>
      <c r="J10" s="118">
        <f>'Original Financial Statements'!H10</f>
        <v>-2622</v>
      </c>
      <c r="K10" s="63"/>
      <c r="L10" s="184"/>
      <c r="M10" s="232"/>
      <c r="N10" s="232"/>
      <c r="O10" s="232"/>
      <c r="P10" s="232"/>
      <c r="Q10" s="232"/>
      <c r="R10" s="44"/>
      <c r="S10" s="184"/>
    </row>
    <row r="11" spans="1:19" ht="14.1" customHeight="1">
      <c r="A11" s="3" t="s">
        <v>170</v>
      </c>
      <c r="B11" s="23"/>
      <c r="C11" s="23"/>
      <c r="D11" s="21"/>
      <c r="E11" s="173"/>
      <c r="F11" s="117"/>
      <c r="G11" s="117"/>
      <c r="H11" s="21"/>
      <c r="I11" s="66" t="s">
        <v>174</v>
      </c>
      <c r="J11" s="118">
        <f>'Original Financial Statements'!H11</f>
        <v>2985</v>
      </c>
      <c r="K11" s="63"/>
      <c r="L11" s="184"/>
      <c r="M11" s="232"/>
      <c r="N11" s="232"/>
      <c r="O11" s="232"/>
      <c r="P11" s="232"/>
      <c r="Q11" s="232"/>
      <c r="R11" s="44"/>
      <c r="S11" s="184"/>
    </row>
    <row r="12" spans="1:19" ht="14.1" customHeight="1">
      <c r="A12" s="3"/>
      <c r="B12" s="23"/>
      <c r="C12" s="23"/>
      <c r="D12" s="21"/>
      <c r="E12" s="64" t="s">
        <v>173</v>
      </c>
      <c r="F12" s="71">
        <f>SUM(F7:F11)</f>
        <v>80083.472000000009</v>
      </c>
      <c r="G12" s="71">
        <f>SUM(G7:G11)</f>
        <v>69252</v>
      </c>
      <c r="H12" s="21"/>
      <c r="I12" s="66" t="s">
        <v>177</v>
      </c>
      <c r="J12" s="118">
        <f>'Original Financial Statements'!H12</f>
        <v>3980</v>
      </c>
      <c r="K12" s="184"/>
      <c r="L12" s="184"/>
      <c r="M12" s="232"/>
      <c r="N12" s="232"/>
      <c r="O12" s="232"/>
      <c r="P12" s="232"/>
      <c r="Q12" s="232"/>
      <c r="R12" s="44"/>
      <c r="S12" s="184"/>
    </row>
    <row r="13" spans="1:19" ht="14.1" customHeight="1">
      <c r="A13" s="70" t="s">
        <v>172</v>
      </c>
      <c r="B13" s="117">
        <f>'Original Financial Statements'!B11</f>
        <v>7463</v>
      </c>
      <c r="C13" s="23"/>
      <c r="D13" s="21"/>
      <c r="E13" s="1" t="s">
        <v>176</v>
      </c>
      <c r="F13" s="63"/>
      <c r="G13" s="63"/>
      <c r="H13" s="21"/>
      <c r="I13" s="173"/>
      <c r="J13" s="118"/>
      <c r="K13" s="63">
        <f>SUM(J7:J13)</f>
        <v>8323</v>
      </c>
      <c r="L13" s="184"/>
      <c r="M13" s="232"/>
      <c r="N13" s="230"/>
      <c r="O13" s="230"/>
      <c r="P13" s="230"/>
      <c r="Q13" s="230"/>
      <c r="R13" s="44"/>
      <c r="S13" s="184"/>
    </row>
    <row r="14" spans="1:19" ht="14.1" customHeight="1">
      <c r="A14" s="70" t="s">
        <v>175</v>
      </c>
      <c r="B14" s="117">
        <f>'Original Financial Statements'!B12</f>
        <v>6000</v>
      </c>
      <c r="C14" s="23"/>
      <c r="D14" s="21"/>
      <c r="E14" s="66" t="s">
        <v>132</v>
      </c>
      <c r="F14" s="117">
        <f>'Original Financial Statements'!E13</f>
        <v>43780</v>
      </c>
      <c r="G14" s="117">
        <f>'Original Financial Statements'!F13</f>
        <v>27860</v>
      </c>
      <c r="H14" s="21"/>
      <c r="I14" s="3" t="s">
        <v>179</v>
      </c>
      <c r="J14" s="120"/>
      <c r="K14" s="71">
        <f>K5+K13</f>
        <v>30177.300000000003</v>
      </c>
      <c r="L14" s="184"/>
      <c r="M14" s="230"/>
      <c r="N14" s="98">
        <v>0</v>
      </c>
      <c r="O14" s="98">
        <v>3</v>
      </c>
      <c r="P14" s="98">
        <f>_xlfn.CEILING.MATH(Q14*2/3,0.5)</f>
        <v>5.5</v>
      </c>
      <c r="Q14" s="99">
        <v>8</v>
      </c>
      <c r="R14" s="39"/>
      <c r="S14" s="184"/>
    </row>
    <row r="15" spans="1:19" ht="14.1" customHeight="1">
      <c r="A15" s="70" t="s">
        <v>178</v>
      </c>
      <c r="B15" s="117">
        <f>'Original Financial Statements'!B13</f>
        <v>21393</v>
      </c>
      <c r="C15" s="23"/>
      <c r="D15" s="21"/>
      <c r="E15" s="66" t="s">
        <v>133</v>
      </c>
      <c r="F15" s="117">
        <f>'Original Financial Statements'!E14</f>
        <v>31840</v>
      </c>
      <c r="G15" s="117">
        <f>'Original Financial Statements'!F14</f>
        <v>31840</v>
      </c>
      <c r="H15" s="21"/>
      <c r="I15" s="21"/>
      <c r="J15" s="116"/>
      <c r="K15" s="63"/>
      <c r="L15" s="184"/>
      <c r="M15" s="238" t="s">
        <v>316</v>
      </c>
      <c r="N15" s="239" t="s">
        <v>317</v>
      </c>
      <c r="O15" s="239" t="s">
        <v>310</v>
      </c>
      <c r="P15" s="239" t="s">
        <v>311</v>
      </c>
      <c r="Q15" s="239" t="s">
        <v>318</v>
      </c>
      <c r="R15" s="44"/>
      <c r="S15" s="184"/>
    </row>
    <row r="16" spans="1:19" ht="14.1" customHeight="1">
      <c r="A16" s="70" t="s">
        <v>180</v>
      </c>
      <c r="B16" s="117">
        <f>'Original Financial Statements'!B14</f>
        <v>3259</v>
      </c>
      <c r="C16" s="23"/>
      <c r="D16" s="21"/>
      <c r="E16" s="66" t="s">
        <v>134</v>
      </c>
      <c r="F16" s="117">
        <f>'Original Financial Statements'!E15+'Correcting Entries (Q2)'!B22</f>
        <v>120440</v>
      </c>
      <c r="G16" s="117">
        <f>'Original Financial Statements'!F15</f>
        <v>51740</v>
      </c>
      <c r="H16" s="21"/>
      <c r="I16" s="1" t="s">
        <v>182</v>
      </c>
      <c r="J16" s="116"/>
      <c r="K16" s="63"/>
      <c r="L16" s="184"/>
      <c r="M16" s="232"/>
      <c r="N16" s="232"/>
      <c r="O16" s="232"/>
      <c r="P16" s="232"/>
      <c r="Q16" s="232"/>
      <c r="R16" s="44"/>
      <c r="S16" s="184"/>
    </row>
    <row r="17" spans="1:18" ht="14.1" customHeight="1">
      <c r="A17" s="174"/>
      <c r="B17" s="117"/>
      <c r="C17" s="23"/>
      <c r="D17" s="21"/>
      <c r="E17" s="173" t="s">
        <v>319</v>
      </c>
      <c r="F17" s="117">
        <f>'Original Financial Statements'!E16+-('Correcting Entries (Q2)'!C27)</f>
        <v>-49447.5</v>
      </c>
      <c r="G17" s="117">
        <f>'Original Financial Statements'!F16</f>
        <v>-39800</v>
      </c>
      <c r="H17" s="21"/>
      <c r="I17" s="66" t="s">
        <v>184</v>
      </c>
      <c r="J17" s="118">
        <f>'Original Financial Statements'!H16</f>
        <v>-15920</v>
      </c>
      <c r="K17" s="63"/>
      <c r="L17" s="184"/>
      <c r="M17" s="232"/>
      <c r="N17" s="232"/>
      <c r="O17" s="232"/>
      <c r="P17" s="232"/>
      <c r="Q17" s="232"/>
      <c r="R17" s="44"/>
    </row>
    <row r="18" spans="1:18" ht="14.1" customHeight="1">
      <c r="A18" s="64" t="s">
        <v>181</v>
      </c>
      <c r="B18" s="65">
        <f>SUM(B13:B17)</f>
        <v>38115</v>
      </c>
      <c r="C18" s="23"/>
      <c r="D18" s="21"/>
      <c r="E18" s="64" t="s">
        <v>186</v>
      </c>
      <c r="F18" s="71">
        <f>SUM(F14:F17)</f>
        <v>146612.5</v>
      </c>
      <c r="G18" s="71">
        <f>SUM(G14:G17)</f>
        <v>71640</v>
      </c>
      <c r="H18" s="21"/>
      <c r="I18" s="66" t="s">
        <v>187</v>
      </c>
      <c r="J18" s="118">
        <f>'Original Financial Statements'!H17-9000</f>
        <v>-68700</v>
      </c>
      <c r="K18" s="184"/>
      <c r="L18" s="184"/>
      <c r="M18" s="232"/>
      <c r="N18" s="232"/>
      <c r="O18" s="232"/>
      <c r="P18" s="232"/>
      <c r="Q18" s="232"/>
      <c r="R18" s="44"/>
    </row>
    <row r="19" spans="1:18" ht="14.1" customHeight="1" thickBot="1">
      <c r="A19" s="3" t="s">
        <v>183</v>
      </c>
      <c r="B19" s="23"/>
      <c r="C19" s="23"/>
      <c r="D19" s="21"/>
      <c r="E19" s="64" t="s">
        <v>189</v>
      </c>
      <c r="F19" s="74">
        <f>F12+F18</f>
        <v>226695.97200000001</v>
      </c>
      <c r="G19" s="74">
        <f>G12+G18</f>
        <v>140892</v>
      </c>
      <c r="H19" s="21"/>
      <c r="I19" s="173"/>
      <c r="J19" s="118"/>
      <c r="K19" s="73"/>
      <c r="L19" s="184"/>
      <c r="M19" s="232"/>
      <c r="N19" s="230"/>
      <c r="O19" s="230"/>
      <c r="P19" s="230"/>
      <c r="Q19" s="230"/>
      <c r="R19" s="44"/>
    </row>
    <row r="20" spans="1:18" ht="15.75" thickTop="1" thickBot="1">
      <c r="A20" s="70" t="s">
        <v>185</v>
      </c>
      <c r="B20" s="117">
        <f>'Original Financial Statements'!B17</f>
        <v>25472</v>
      </c>
      <c r="C20" s="23"/>
      <c r="D20" s="21"/>
      <c r="E20" s="60"/>
      <c r="F20" s="60"/>
      <c r="G20" s="60"/>
      <c r="H20" s="21"/>
      <c r="I20" s="3" t="s">
        <v>190</v>
      </c>
      <c r="J20" s="116"/>
      <c r="K20" s="63">
        <f>SUM(J17:J19)</f>
        <v>-84620</v>
      </c>
      <c r="L20" s="184"/>
      <c r="M20" s="230"/>
      <c r="N20" s="96">
        <v>0</v>
      </c>
      <c r="O20" s="96">
        <f>_xlfn.CEILING.MATH(Q20*1/3,0.5)</f>
        <v>2.5</v>
      </c>
      <c r="P20" s="96">
        <v>5</v>
      </c>
      <c r="Q20" s="97">
        <v>7</v>
      </c>
      <c r="R20" s="39"/>
    </row>
    <row r="21" spans="1:18" ht="13.5" thickBot="1">
      <c r="A21" s="70" t="s">
        <v>188</v>
      </c>
      <c r="B21" s="117">
        <f>'Original Financial Statements'!B18</f>
        <v>597</v>
      </c>
      <c r="C21" s="23"/>
      <c r="D21" s="21"/>
      <c r="E21" s="220" t="s">
        <v>193</v>
      </c>
      <c r="F21" s="242"/>
      <c r="G21" s="242"/>
      <c r="H21" s="21"/>
      <c r="I21" s="21"/>
      <c r="J21" s="116"/>
      <c r="K21" s="63"/>
      <c r="L21" s="184"/>
      <c r="M21" s="55"/>
      <c r="N21" s="55"/>
      <c r="O21" s="55"/>
      <c r="P21" s="55"/>
      <c r="Q21" s="100" t="s">
        <v>306</v>
      </c>
      <c r="R21" s="102">
        <f>SUM(R8,R14,R20)</f>
        <v>0</v>
      </c>
    </row>
    <row r="22" spans="1:18" thickBot="1">
      <c r="A22" s="70" t="s">
        <v>191</v>
      </c>
      <c r="B22" s="117">
        <f>'Original Financial Statements'!B19+'Correcting Entries (Q2)'!B26</f>
        <v>9647.5</v>
      </c>
      <c r="C22" s="23"/>
      <c r="D22" s="21"/>
      <c r="E22" s="1" t="s">
        <v>196</v>
      </c>
      <c r="F22" s="60"/>
      <c r="G22" s="60"/>
      <c r="H22" s="21"/>
      <c r="I22" s="1" t="s">
        <v>194</v>
      </c>
      <c r="J22" s="116"/>
      <c r="K22" s="63"/>
      <c r="L22" s="184"/>
      <c r="M22" s="67"/>
      <c r="N22" s="67"/>
      <c r="O22" s="67"/>
      <c r="P22" s="67"/>
      <c r="Q22" s="101" t="s">
        <v>307</v>
      </c>
      <c r="R22" s="103">
        <f>ROUND('Final Case'!B10*IF('Final Case'!B9="Yes",'Iterative Data'!N4,'Iterative Data'!M4),0)</f>
        <v>23</v>
      </c>
    </row>
    <row r="23" spans="1:18">
      <c r="A23" s="70" t="s">
        <v>192</v>
      </c>
      <c r="B23" s="117">
        <f>'Original Financial Statements'!B20</f>
        <v>398</v>
      </c>
      <c r="C23" s="23"/>
      <c r="D23" s="21"/>
      <c r="E23" s="66" t="s">
        <v>136</v>
      </c>
      <c r="F23" s="117">
        <f>'Original Financial Statements'!E22</f>
        <v>21258</v>
      </c>
      <c r="G23" s="117">
        <f>'Original Financial Statements'!F22</f>
        <v>23880</v>
      </c>
      <c r="H23" s="21"/>
      <c r="I23" s="66" t="s">
        <v>197</v>
      </c>
      <c r="J23" s="118">
        <f>'Original Financial Statements'!H21</f>
        <v>19900</v>
      </c>
      <c r="K23" s="63"/>
      <c r="L23" s="184"/>
      <c r="M23" s="183"/>
      <c r="N23" s="183"/>
      <c r="O23" s="183"/>
      <c r="P23" s="183"/>
      <c r="Q23" s="183"/>
      <c r="R23" s="183"/>
    </row>
    <row r="24" spans="1:18" ht="15" customHeight="1">
      <c r="A24" s="70" t="s">
        <v>195</v>
      </c>
      <c r="B24" s="117">
        <f>'Original Financial Statements'!B21</f>
        <v>9552</v>
      </c>
      <c r="C24" s="23"/>
      <c r="D24" s="21"/>
      <c r="E24" s="66" t="s">
        <v>201</v>
      </c>
      <c r="F24" s="117">
        <f>'Original Financial Statements'!E23+'Correcting Entries (Q2)'!C34</f>
        <v>8716</v>
      </c>
      <c r="G24" s="117">
        <f>'Original Financial Statements'!F23</f>
        <v>3980</v>
      </c>
      <c r="H24" s="21"/>
      <c r="I24" s="66" t="s">
        <v>199</v>
      </c>
      <c r="J24" s="118">
        <f>'Original Financial Statements'!H22</f>
        <v>23880</v>
      </c>
      <c r="K24" s="63"/>
      <c r="L24" s="184"/>
      <c r="M24" s="207" t="s">
        <v>320</v>
      </c>
      <c r="N24" s="232"/>
      <c r="O24" s="232"/>
      <c r="P24" s="232"/>
      <c r="Q24" s="232"/>
      <c r="R24" s="232"/>
    </row>
    <row r="25" spans="1:18" ht="15" customHeight="1">
      <c r="A25" s="70" t="s">
        <v>198</v>
      </c>
      <c r="B25" s="117">
        <f>'Original Financial Statements'!B22</f>
        <v>1592</v>
      </c>
      <c r="C25" s="23"/>
      <c r="D25" s="21"/>
      <c r="E25" s="66" t="s">
        <v>138</v>
      </c>
      <c r="F25" s="117">
        <f>'Original Financial Statements'!E24</f>
        <v>9950</v>
      </c>
      <c r="G25" s="117">
        <f>'Original Financial Statements'!F24</f>
        <v>5970</v>
      </c>
      <c r="H25" s="21"/>
      <c r="I25" s="66" t="s">
        <v>202</v>
      </c>
      <c r="J25" s="118">
        <f>'Original Financial Statements'!H23</f>
        <v>-4577</v>
      </c>
      <c r="K25" s="63"/>
      <c r="L25" s="184"/>
      <c r="M25" s="232"/>
      <c r="N25" s="232"/>
      <c r="O25" s="232"/>
      <c r="P25" s="232"/>
      <c r="Q25" s="232"/>
      <c r="R25" s="232"/>
    </row>
    <row r="26" spans="1:18">
      <c r="A26" s="174" t="s">
        <v>321</v>
      </c>
      <c r="B26" s="117">
        <f>'Correcting Entries (Q2)'!B33</f>
        <v>1751.2</v>
      </c>
      <c r="C26" s="23"/>
      <c r="D26" s="21"/>
      <c r="E26" s="173"/>
      <c r="F26" s="117"/>
      <c r="G26" s="117"/>
      <c r="H26" s="21"/>
      <c r="I26" s="173" t="s">
        <v>322</v>
      </c>
      <c r="J26" s="118">
        <v>17443</v>
      </c>
      <c r="K26" s="73"/>
      <c r="L26" s="184"/>
      <c r="M26" s="113"/>
      <c r="N26" s="113"/>
      <c r="O26" s="113"/>
      <c r="P26" s="183"/>
      <c r="Q26" s="183"/>
      <c r="R26" s="183"/>
    </row>
    <row r="27" spans="1:18" ht="12.95" customHeight="1">
      <c r="A27" s="64" t="s">
        <v>200</v>
      </c>
      <c r="B27" s="65">
        <f>SUM(B20:B26)</f>
        <v>49009.7</v>
      </c>
      <c r="C27" s="75">
        <f>B18+B27</f>
        <v>87124.7</v>
      </c>
      <c r="D27" s="21"/>
      <c r="E27" s="64" t="s">
        <v>205</v>
      </c>
      <c r="F27" s="71">
        <f>SUM(F23:F26)</f>
        <v>39924</v>
      </c>
      <c r="G27" s="71">
        <f>SUM(G23:G26)</f>
        <v>33830</v>
      </c>
      <c r="H27" s="21"/>
      <c r="I27" s="3" t="s">
        <v>204</v>
      </c>
      <c r="J27" s="71"/>
      <c r="K27" s="76">
        <f>SUM(J23:J26)</f>
        <v>56646</v>
      </c>
      <c r="L27" s="184"/>
      <c r="M27" s="207" t="s">
        <v>323</v>
      </c>
      <c r="N27" s="232"/>
      <c r="O27" s="232"/>
      <c r="P27" s="232"/>
      <c r="Q27" s="232"/>
      <c r="R27" s="232"/>
    </row>
    <row r="28" spans="1:18" ht="12.95" customHeight="1">
      <c r="A28" s="64" t="s">
        <v>203</v>
      </c>
      <c r="B28" s="23"/>
      <c r="C28" s="23">
        <f>C8-C27</f>
        <v>34663.300000000003</v>
      </c>
      <c r="D28" s="21"/>
      <c r="E28" s="1" t="s">
        <v>207</v>
      </c>
      <c r="F28" s="63"/>
      <c r="G28" s="63"/>
      <c r="H28" s="21"/>
      <c r="I28" s="3"/>
      <c r="J28" s="63"/>
      <c r="K28" s="63"/>
      <c r="L28" s="184"/>
      <c r="M28" s="232"/>
      <c r="N28" s="232"/>
      <c r="O28" s="232"/>
      <c r="P28" s="232"/>
      <c r="Q28" s="232"/>
      <c r="R28" s="232"/>
    </row>
    <row r="29" spans="1:18">
      <c r="A29" s="21"/>
      <c r="B29" s="23"/>
      <c r="C29" s="23"/>
      <c r="D29" s="21"/>
      <c r="E29" s="66" t="s">
        <v>139</v>
      </c>
      <c r="F29" s="117">
        <f>'Original Financial Statements'!E27</f>
        <v>31840</v>
      </c>
      <c r="G29" s="117">
        <f>'Original Financial Statements'!F27</f>
        <v>11940</v>
      </c>
      <c r="H29" s="21"/>
      <c r="I29" s="3" t="s">
        <v>208</v>
      </c>
      <c r="J29" s="63"/>
      <c r="K29" s="63">
        <f>K14+K20+K27</f>
        <v>2203.3000000000029</v>
      </c>
      <c r="L29" s="184"/>
      <c r="M29" s="113"/>
      <c r="N29" s="113"/>
      <c r="O29" s="113"/>
      <c r="P29" s="183"/>
      <c r="Q29" s="183"/>
      <c r="R29" s="183"/>
    </row>
    <row r="30" spans="1:18" ht="15" customHeight="1">
      <c r="A30" s="1" t="s">
        <v>206</v>
      </c>
      <c r="B30" s="23"/>
      <c r="C30" s="23"/>
      <c r="D30" s="21"/>
      <c r="E30" s="173" t="s">
        <v>324</v>
      </c>
      <c r="F30" s="117">
        <f>'Correcting Entries (Q2)'!C5-('Correcting Entries (Q2)'!B4-'Correcting Entries (Q2)'!C10-'Correcting Entries (Q2)'!C15)</f>
        <v>18208.472000000002</v>
      </c>
      <c r="G30" s="117"/>
      <c r="H30" s="21"/>
      <c r="I30" s="3" t="str">
        <f ca="1">'Original Financial Statements'!G27</f>
        <v>Cash, January 1, 2024</v>
      </c>
      <c r="J30" s="63"/>
      <c r="K30" s="73">
        <f>G7</f>
        <v>7562</v>
      </c>
      <c r="L30" s="121"/>
      <c r="M30" s="113"/>
      <c r="N30" s="113"/>
      <c r="O30" s="113"/>
      <c r="P30" s="183"/>
      <c r="Q30" s="183"/>
      <c r="R30" s="183"/>
    </row>
    <row r="31" spans="1:18" ht="15.95" customHeight="1" thickBot="1">
      <c r="A31" s="77" t="s">
        <v>125</v>
      </c>
      <c r="B31" s="117">
        <f>'Original Financial Statements'!B27</f>
        <v>1244</v>
      </c>
      <c r="C31" s="23"/>
      <c r="D31" s="21"/>
      <c r="E31" s="66" t="s">
        <v>140</v>
      </c>
      <c r="F31" s="117">
        <f>'Original Financial Statements'!E28</f>
        <v>55720</v>
      </c>
      <c r="G31" s="117">
        <f>'Original Financial Statements'!F28</f>
        <v>31840</v>
      </c>
      <c r="H31" s="21"/>
      <c r="I31" s="3" t="str">
        <f ca="1">'Original Financial Statements'!G28</f>
        <v>Cash, December 31, 2024</v>
      </c>
      <c r="J31" s="63"/>
      <c r="K31" s="74">
        <f>K29+K30</f>
        <v>9765.3000000000029</v>
      </c>
      <c r="L31" s="184"/>
      <c r="M31" s="113"/>
      <c r="N31" s="113"/>
      <c r="O31" s="113"/>
      <c r="P31" s="183"/>
      <c r="Q31" s="183"/>
      <c r="R31" s="183"/>
    </row>
    <row r="32" spans="1:18" ht="15" customHeight="1" thickTop="1">
      <c r="A32" s="175"/>
      <c r="B32" s="117"/>
      <c r="C32" s="23"/>
      <c r="D32" s="21"/>
      <c r="E32" s="64" t="s">
        <v>211</v>
      </c>
      <c r="F32" s="71">
        <f>SUM(F29:F31)</f>
        <v>105768.47200000001</v>
      </c>
      <c r="G32" s="71">
        <f>SUM(G29:G31)</f>
        <v>43780</v>
      </c>
      <c r="H32" s="21"/>
      <c r="I32" s="3"/>
      <c r="J32" s="63"/>
      <c r="K32" s="63"/>
      <c r="L32" s="113"/>
      <c r="M32" s="113"/>
      <c r="N32" s="113"/>
      <c r="O32" s="113"/>
      <c r="P32" s="183"/>
      <c r="Q32" s="183"/>
      <c r="R32" s="183"/>
    </row>
    <row r="33" spans="1:15">
      <c r="A33" s="77" t="s">
        <v>209</v>
      </c>
      <c r="B33" s="117">
        <f>'Original Financial Statements'!B28+-('Correcting Entries (Q2)'!B8+'Correcting Entries (Q2)'!B13)</f>
        <v>-3746</v>
      </c>
      <c r="C33" s="75">
        <f>SUM(B31:B33)</f>
        <v>-2502</v>
      </c>
      <c r="D33" s="21"/>
      <c r="E33" s="64" t="s">
        <v>213</v>
      </c>
      <c r="F33" s="71">
        <f>F27+F32</f>
        <v>145692.47200000001</v>
      </c>
      <c r="G33" s="71">
        <f>G27+G32</f>
        <v>77610</v>
      </c>
      <c r="H33" s="21"/>
      <c r="I33" s="1" t="s">
        <v>325</v>
      </c>
      <c r="J33" s="63"/>
      <c r="K33" s="63"/>
      <c r="L33" s="113"/>
      <c r="M33" s="183"/>
      <c r="N33" s="183"/>
      <c r="O33" s="183"/>
    </row>
    <row r="34" spans="1:15">
      <c r="A34" s="64" t="s">
        <v>210</v>
      </c>
      <c r="B34" s="65"/>
      <c r="C34" s="23">
        <f>C28+C33</f>
        <v>32161.300000000003</v>
      </c>
      <c r="D34" s="21"/>
      <c r="E34" s="3"/>
      <c r="F34" s="63"/>
      <c r="G34" s="63"/>
      <c r="H34" s="21"/>
      <c r="I34" s="241"/>
      <c r="J34" s="242"/>
      <c r="K34" s="242"/>
      <c r="L34" s="113"/>
      <c r="M34" s="183"/>
      <c r="N34" s="183"/>
      <c r="O34" s="183">
        <f>ROUND('Original Financial Statements'!B10*IF('Original Financial Statements'!B9="Yes",2,0),0)</f>
        <v>0</v>
      </c>
    </row>
    <row r="35" spans="1:15">
      <c r="A35" s="3" t="s">
        <v>212</v>
      </c>
      <c r="B35" s="23"/>
      <c r="C35" s="117">
        <f>'Original Financial Statements'!C30</f>
        <v>10307</v>
      </c>
      <c r="D35" s="21"/>
      <c r="E35" s="1" t="s">
        <v>214</v>
      </c>
      <c r="F35" s="63"/>
      <c r="G35" s="63"/>
      <c r="H35" s="21"/>
      <c r="I35" s="242"/>
      <c r="J35" s="242"/>
      <c r="K35" s="242"/>
      <c r="L35" s="113"/>
      <c r="M35" s="183"/>
      <c r="N35" s="183"/>
      <c r="O35" s="183"/>
    </row>
    <row r="36" spans="1:15" ht="15.95" customHeight="1" thickBot="1">
      <c r="A36" s="64" t="s">
        <v>162</v>
      </c>
      <c r="B36" s="23"/>
      <c r="C36" s="78">
        <f>C34-C35</f>
        <v>21854.300000000003</v>
      </c>
      <c r="D36" s="21"/>
      <c r="E36" s="66" t="s">
        <v>216</v>
      </c>
      <c r="F36" s="117">
        <f>'Original Financial Statements'!E33</f>
        <v>20000</v>
      </c>
      <c r="G36" s="117">
        <f>'Original Financial Statements'!F33</f>
        <v>20000</v>
      </c>
      <c r="H36" s="21"/>
      <c r="I36" s="21"/>
      <c r="J36" s="63"/>
      <c r="K36" s="63"/>
      <c r="L36" s="113"/>
      <c r="M36" s="183"/>
      <c r="N36" s="183"/>
      <c r="O36" s="183"/>
    </row>
    <row r="37" spans="1:15" ht="15" customHeight="1" thickTop="1">
      <c r="A37" s="21"/>
      <c r="B37" s="79"/>
      <c r="C37" s="79"/>
      <c r="D37" s="21"/>
      <c r="E37" s="66" t="str">
        <f>'Original Financial Statements'!D34</f>
        <v xml:space="preserve">  ($1 par, 100,000 authorized, 20,000 outstanding)</v>
      </c>
      <c r="F37" s="63"/>
      <c r="G37" s="63"/>
      <c r="H37" s="21"/>
      <c r="I37" s="207" t="s">
        <v>326</v>
      </c>
      <c r="J37" s="242"/>
      <c r="K37" s="242"/>
      <c r="L37" s="113"/>
      <c r="M37" s="183"/>
      <c r="N37" s="183"/>
      <c r="O37" s="183"/>
    </row>
    <row r="38" spans="1:15">
      <c r="A38" s="21" t="s">
        <v>215</v>
      </c>
      <c r="B38" s="80"/>
      <c r="C38" s="81">
        <f>C36/'Iterative Data'!B7</f>
        <v>1.0927150000000001</v>
      </c>
      <c r="D38" s="21"/>
      <c r="E38" s="66" t="s">
        <v>141</v>
      </c>
      <c r="F38" s="117">
        <f>'Original Financial Statements'!E35</f>
        <v>11940</v>
      </c>
      <c r="G38" s="117">
        <f>'Original Financial Statements'!F35</f>
        <v>11940</v>
      </c>
      <c r="H38" s="21"/>
      <c r="I38" s="242"/>
      <c r="J38" s="242"/>
      <c r="K38" s="242"/>
      <c r="L38" s="113"/>
      <c r="M38" s="183"/>
      <c r="N38" s="183"/>
      <c r="O38" s="183"/>
    </row>
    <row r="39" spans="1:15">
      <c r="A39" s="21"/>
      <c r="B39" s="21"/>
      <c r="C39" s="21"/>
      <c r="D39" s="184"/>
      <c r="E39" s="66" t="s">
        <v>217</v>
      </c>
      <c r="F39" s="117">
        <f>'Original Financial Statements'!E36</f>
        <v>53267</v>
      </c>
      <c r="G39" s="117">
        <f>'Original Financial Statements'!F36</f>
        <v>31342</v>
      </c>
      <c r="H39" s="21"/>
      <c r="I39" s="242"/>
      <c r="J39" s="242"/>
      <c r="K39" s="242"/>
      <c r="L39" s="113"/>
      <c r="M39" s="183"/>
      <c r="N39" s="183"/>
      <c r="O39" s="183"/>
    </row>
    <row r="40" spans="1:15">
      <c r="A40" s="243" t="s">
        <v>327</v>
      </c>
      <c r="B40" s="242"/>
      <c r="C40" s="242"/>
      <c r="D40" s="184"/>
      <c r="E40" s="64" t="s">
        <v>218</v>
      </c>
      <c r="F40" s="82">
        <f>SUM(F36:F39)</f>
        <v>85207</v>
      </c>
      <c r="G40" s="82">
        <f>SUM(G36:G39)</f>
        <v>63282</v>
      </c>
      <c r="H40" s="21"/>
      <c r="I40" s="242"/>
      <c r="J40" s="242"/>
      <c r="K40" s="242"/>
      <c r="L40" s="113"/>
      <c r="M40" s="183"/>
      <c r="N40" s="183"/>
      <c r="O40" s="183"/>
    </row>
    <row r="41" spans="1:15" ht="15.75" thickBot="1">
      <c r="A41" s="242"/>
      <c r="B41" s="242"/>
      <c r="C41" s="242"/>
      <c r="D41" s="183"/>
      <c r="E41" s="64" t="s">
        <v>219</v>
      </c>
      <c r="F41" s="74">
        <f>F40+F33</f>
        <v>230899.47200000001</v>
      </c>
      <c r="G41" s="74">
        <f>G40+G33</f>
        <v>140892</v>
      </c>
      <c r="H41" s="184"/>
      <c r="I41" s="242"/>
      <c r="J41" s="242"/>
      <c r="K41" s="242"/>
      <c r="L41" s="113"/>
      <c r="M41" s="183"/>
      <c r="N41" s="183"/>
      <c r="O41" s="183"/>
    </row>
    <row r="42" spans="1:15" ht="15.95" customHeight="1" thickTop="1">
      <c r="A42" s="242"/>
      <c r="B42" s="242"/>
      <c r="C42" s="242"/>
      <c r="D42" s="183"/>
      <c r="E42" s="184"/>
      <c r="F42" s="21"/>
      <c r="G42" s="21"/>
      <c r="H42" s="184"/>
      <c r="I42" s="242"/>
      <c r="J42" s="242"/>
      <c r="K42" s="242"/>
      <c r="L42" s="113"/>
      <c r="M42" s="183"/>
      <c r="N42" s="183"/>
      <c r="O42" s="183"/>
    </row>
    <row r="43" spans="1:15" ht="15.95" customHeight="1">
      <c r="A43" s="242"/>
      <c r="B43" s="242"/>
      <c r="C43" s="242"/>
      <c r="D43" s="183"/>
      <c r="E43" s="184"/>
      <c r="F43" s="21"/>
      <c r="G43" s="21"/>
      <c r="H43" s="184"/>
      <c r="I43" s="242"/>
      <c r="J43" s="242"/>
      <c r="K43" s="242"/>
      <c r="L43" s="113"/>
      <c r="M43" s="183"/>
      <c r="N43" s="183"/>
      <c r="O43" s="183"/>
    </row>
    <row r="44" spans="1:15">
      <c r="A44" s="183"/>
      <c r="B44" s="183"/>
      <c r="C44" s="183"/>
      <c r="D44" s="183"/>
      <c r="E44" s="183"/>
      <c r="F44" s="184"/>
      <c r="G44" s="184"/>
      <c r="H44" s="184"/>
      <c r="I44" s="242"/>
      <c r="J44" s="242"/>
      <c r="K44" s="242"/>
      <c r="L44" s="113"/>
      <c r="M44" s="183"/>
      <c r="N44" s="183"/>
      <c r="O44" s="183"/>
    </row>
    <row r="45" spans="1:15">
      <c r="A45" s="183"/>
      <c r="B45" s="183"/>
      <c r="C45" s="183"/>
      <c r="D45" s="184"/>
      <c r="E45" s="183"/>
      <c r="F45" s="184"/>
      <c r="G45" s="184"/>
      <c r="H45" s="184"/>
      <c r="I45" s="242"/>
      <c r="J45" s="242"/>
      <c r="K45" s="242"/>
      <c r="L45" s="113"/>
      <c r="M45" s="183"/>
      <c r="N45" s="183"/>
      <c r="O45" s="183"/>
    </row>
    <row r="46" spans="1:15">
      <c r="A46" s="183"/>
      <c r="B46" s="183"/>
      <c r="C46" s="183"/>
      <c r="D46" s="184"/>
      <c r="E46" s="183"/>
      <c r="F46" s="184"/>
      <c r="G46" s="184"/>
      <c r="H46" s="184"/>
      <c r="I46" s="242"/>
      <c r="J46" s="242"/>
      <c r="K46" s="242"/>
      <c r="L46" s="113"/>
      <c r="M46" s="183"/>
      <c r="N46" s="183"/>
      <c r="O46" s="180"/>
    </row>
    <row r="47" spans="1:15">
      <c r="A47" s="183"/>
      <c r="B47" s="183"/>
      <c r="C47" s="183"/>
      <c r="D47" s="184"/>
      <c r="E47" s="183"/>
      <c r="F47" s="184"/>
      <c r="G47" s="184"/>
      <c r="H47" s="184"/>
      <c r="I47" s="242"/>
      <c r="J47" s="242"/>
      <c r="K47" s="242"/>
      <c r="L47" s="113"/>
      <c r="M47" s="183"/>
      <c r="N47" s="183"/>
      <c r="O47" s="183"/>
    </row>
    <row r="48" spans="1:15">
      <c r="A48" s="183"/>
      <c r="B48" s="183"/>
      <c r="C48" s="183"/>
      <c r="D48" s="184"/>
      <c r="E48" s="184"/>
      <c r="F48" s="184"/>
      <c r="G48" s="184"/>
      <c r="H48" s="184"/>
      <c r="I48" s="184"/>
      <c r="J48" s="184"/>
      <c r="K48" s="184"/>
      <c r="L48" s="113"/>
      <c r="M48" s="183"/>
      <c r="N48" s="183"/>
      <c r="O48" s="183"/>
    </row>
    <row r="49" spans="1:12">
      <c r="A49" s="183"/>
      <c r="B49" s="183"/>
      <c r="C49" s="183"/>
      <c r="D49" s="184"/>
      <c r="E49" s="184"/>
      <c r="F49" s="184"/>
      <c r="G49" s="184"/>
      <c r="H49" s="184"/>
      <c r="I49" s="184"/>
      <c r="J49" s="184"/>
      <c r="K49" s="184"/>
      <c r="L49" s="113"/>
    </row>
    <row r="50" spans="1:12">
      <c r="A50" s="122"/>
      <c r="B50" s="119"/>
      <c r="C50" s="184"/>
      <c r="D50" s="184"/>
      <c r="E50" s="184"/>
      <c r="F50" s="184"/>
      <c r="G50" s="184"/>
      <c r="H50" s="184"/>
      <c r="I50" s="184"/>
      <c r="J50" s="184"/>
      <c r="K50" s="184"/>
      <c r="L50" s="184"/>
    </row>
    <row r="51" spans="1:12">
      <c r="A51" s="184"/>
      <c r="B51" s="119"/>
      <c r="C51" s="184"/>
      <c r="D51" s="184"/>
      <c r="E51" s="184"/>
      <c r="F51" s="184"/>
      <c r="G51" s="184"/>
      <c r="H51" s="184"/>
      <c r="I51" s="184"/>
      <c r="J51" s="184"/>
      <c r="K51" s="184"/>
      <c r="L51" s="184"/>
    </row>
    <row r="52" spans="1:12">
      <c r="A52" s="123"/>
      <c r="B52" s="119"/>
      <c r="C52" s="184"/>
      <c r="D52" s="184"/>
      <c r="E52" s="184"/>
      <c r="F52" s="184"/>
      <c r="G52" s="184"/>
      <c r="H52" s="184"/>
      <c r="I52" s="184"/>
      <c r="J52" s="184"/>
      <c r="K52" s="184"/>
      <c r="L52" s="184"/>
    </row>
    <row r="53" spans="1:12">
      <c r="A53" s="122"/>
      <c r="B53" s="119"/>
      <c r="C53" s="184"/>
      <c r="D53" s="184"/>
      <c r="E53" s="184"/>
      <c r="F53" s="184"/>
      <c r="G53" s="184"/>
      <c r="H53" s="184"/>
      <c r="I53" s="184"/>
      <c r="J53" s="184"/>
      <c r="K53" s="184"/>
      <c r="L53" s="184"/>
    </row>
    <row r="54" spans="1:12">
      <c r="A54" s="184"/>
      <c r="B54" s="119"/>
      <c r="C54" s="184"/>
      <c r="D54" s="184"/>
      <c r="E54" s="184"/>
      <c r="F54" s="184"/>
      <c r="G54" s="184"/>
      <c r="H54" s="184"/>
      <c r="I54" s="184"/>
      <c r="J54" s="184"/>
      <c r="K54" s="184"/>
      <c r="L54" s="184"/>
    </row>
    <row r="55" spans="1:12">
      <c r="A55" s="184"/>
      <c r="B55" s="119"/>
      <c r="C55" s="184"/>
      <c r="D55" s="184"/>
      <c r="E55" s="184"/>
      <c r="F55" s="184"/>
      <c r="G55" s="184"/>
      <c r="H55" s="184"/>
      <c r="I55" s="184"/>
      <c r="J55" s="184"/>
      <c r="K55" s="184"/>
      <c r="L55" s="184"/>
    </row>
    <row r="56" spans="1:12">
      <c r="A56" s="122"/>
      <c r="B56" s="119"/>
      <c r="C56" s="184"/>
      <c r="D56" s="184"/>
      <c r="E56" s="184"/>
      <c r="F56" s="184"/>
      <c r="G56" s="184"/>
      <c r="H56" s="184"/>
      <c r="I56" s="184"/>
      <c r="J56" s="184"/>
      <c r="K56" s="184"/>
      <c r="L56" s="184"/>
    </row>
    <row r="57" spans="1:12">
      <c r="A57" s="184"/>
      <c r="B57" s="119"/>
      <c r="C57" s="184"/>
      <c r="D57" s="184"/>
      <c r="E57" s="184"/>
      <c r="F57" s="184"/>
      <c r="G57" s="184"/>
      <c r="H57" s="184"/>
      <c r="I57" s="184"/>
      <c r="J57" s="184"/>
      <c r="K57" s="184"/>
      <c r="L57" s="184"/>
    </row>
    <row r="58" spans="1:12">
      <c r="A58" s="184"/>
      <c r="B58" s="119"/>
      <c r="C58" s="184"/>
      <c r="D58" s="184"/>
      <c r="E58" s="184"/>
      <c r="F58" s="184"/>
      <c r="G58" s="184"/>
      <c r="H58" s="184"/>
      <c r="I58" s="184"/>
      <c r="J58" s="184"/>
      <c r="K58" s="184"/>
      <c r="L58" s="184"/>
    </row>
    <row r="59" spans="1:12">
      <c r="A59" s="122"/>
      <c r="B59" s="119"/>
      <c r="C59" s="184"/>
      <c r="D59" s="184"/>
      <c r="E59" s="184"/>
      <c r="F59" s="184"/>
      <c r="G59" s="184"/>
      <c r="H59" s="184"/>
      <c r="I59" s="184"/>
      <c r="J59" s="184"/>
      <c r="K59" s="184"/>
      <c r="L59" s="184"/>
    </row>
  </sheetData>
  <sheetProtection algorithmName="SHA-512" hashValue="TNzs8ymsA2Xr3keQ7N6ti71M0Ij0wS40JjeSD3mcOA/pyA6rdwEB/cebhXlfK2m6mJoQUekms75xLWJtG0/y9Q==" saltValue="/9OfguICPOxMn3Ep0DkqBw==" spinCount="100000" sheet="1" objects="1" scenarios="1" insertRows="0" selectLockedCells="1"/>
  <mergeCells count="32">
    <mergeCell ref="A40:C43"/>
    <mergeCell ref="M1:Q1"/>
    <mergeCell ref="E21:G21"/>
    <mergeCell ref="E3:G3"/>
    <mergeCell ref="I3:K3"/>
    <mergeCell ref="M3:M8"/>
    <mergeCell ref="N3:N7"/>
    <mergeCell ref="E5:G5"/>
    <mergeCell ref="A3:C3"/>
    <mergeCell ref="A1:C1"/>
    <mergeCell ref="E1:G1"/>
    <mergeCell ref="I1:K1"/>
    <mergeCell ref="M9:M14"/>
    <mergeCell ref="N9:N13"/>
    <mergeCell ref="A2:C2"/>
    <mergeCell ref="I37:K47"/>
    <mergeCell ref="I34:K35"/>
    <mergeCell ref="E2:G2"/>
    <mergeCell ref="I2:K2"/>
    <mergeCell ref="O3:O7"/>
    <mergeCell ref="P3:P7"/>
    <mergeCell ref="M27:R28"/>
    <mergeCell ref="Q3:Q7"/>
    <mergeCell ref="O9:O13"/>
    <mergeCell ref="P9:P13"/>
    <mergeCell ref="Q9:Q13"/>
    <mergeCell ref="M24:R25"/>
    <mergeCell ref="M15:M20"/>
    <mergeCell ref="N15:N19"/>
    <mergeCell ref="O15:O19"/>
    <mergeCell ref="P15:P19"/>
    <mergeCell ref="Q15:Q19"/>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P74"/>
  <sheetViews>
    <sheetView workbookViewId="0">
      <selection activeCell="B8" sqref="B8"/>
    </sheetView>
  </sheetViews>
  <sheetFormatPr defaultColWidth="9.140625" defaultRowHeight="15"/>
  <cols>
    <col min="1" max="1" width="27.42578125" style="84" customWidth="1"/>
    <col min="2" max="4" width="9.140625" style="91" customWidth="1"/>
    <col min="5" max="10" width="9.140625" style="84" customWidth="1"/>
    <col min="11" max="11" width="11.42578125" style="84" bestFit="1" customWidth="1"/>
    <col min="12" max="15" width="21" style="84" customWidth="1"/>
    <col min="16" max="16" width="7.42578125" style="84" bestFit="1" customWidth="1"/>
    <col min="17" max="17" width="9.140625" style="84" customWidth="1"/>
    <col min="18" max="16384" width="9.140625" style="84"/>
  </cols>
  <sheetData>
    <row r="1" spans="1:16" ht="15" customHeight="1">
      <c r="A1" s="104" t="s">
        <v>224</v>
      </c>
      <c r="B1" s="105"/>
      <c r="C1" s="105"/>
      <c r="D1" s="106"/>
      <c r="E1" s="183"/>
      <c r="F1" s="207" t="s">
        <v>328</v>
      </c>
      <c r="G1" s="232"/>
      <c r="H1" s="232"/>
      <c r="I1" s="232"/>
      <c r="J1" s="183"/>
      <c r="K1" s="244" t="s">
        <v>279</v>
      </c>
      <c r="L1" s="232"/>
      <c r="M1" s="232"/>
      <c r="N1" s="232"/>
      <c r="O1" s="232"/>
      <c r="P1" s="42"/>
    </row>
    <row r="2" spans="1:16">
      <c r="A2" s="107" t="s">
        <v>329</v>
      </c>
      <c r="B2" s="108"/>
      <c r="C2" s="108"/>
      <c r="D2" s="109"/>
      <c r="E2" s="183"/>
      <c r="F2" s="232"/>
      <c r="G2" s="232"/>
      <c r="H2" s="232"/>
      <c r="I2" s="232"/>
      <c r="J2" s="183"/>
      <c r="K2" s="94" t="s">
        <v>281</v>
      </c>
      <c r="L2" s="94" t="s">
        <v>282</v>
      </c>
      <c r="M2" s="95" t="s">
        <v>283</v>
      </c>
      <c r="N2" s="94" t="s">
        <v>284</v>
      </c>
      <c r="O2" s="94" t="s">
        <v>285</v>
      </c>
      <c r="P2" s="43" t="s">
        <v>286</v>
      </c>
    </row>
    <row r="3" spans="1:16">
      <c r="A3" s="107" t="s">
        <v>330</v>
      </c>
      <c r="B3" s="108">
        <v>18108.472000000002</v>
      </c>
      <c r="C3" s="108"/>
      <c r="D3" s="109"/>
      <c r="E3" s="183"/>
      <c r="F3" s="232"/>
      <c r="G3" s="232"/>
      <c r="H3" s="232"/>
      <c r="I3" s="232"/>
      <c r="J3" s="183"/>
      <c r="K3" s="238" t="s">
        <v>331</v>
      </c>
      <c r="L3" s="239" t="s">
        <v>332</v>
      </c>
      <c r="M3" s="239" t="s">
        <v>333</v>
      </c>
      <c r="N3" s="239" t="s">
        <v>334</v>
      </c>
      <c r="O3" s="239" t="s">
        <v>335</v>
      </c>
      <c r="P3" s="44"/>
    </row>
    <row r="4" spans="1:16">
      <c r="A4" s="107" t="s">
        <v>336</v>
      </c>
      <c r="B4" s="108">
        <v>891.52800000000002</v>
      </c>
      <c r="C4" s="108"/>
      <c r="D4" s="109"/>
      <c r="E4" s="183"/>
      <c r="F4" s="232"/>
      <c r="G4" s="232"/>
      <c r="H4" s="232"/>
      <c r="I4" s="232"/>
      <c r="J4" s="183"/>
      <c r="K4" s="232"/>
      <c r="L4" s="232"/>
      <c r="M4" s="232"/>
      <c r="N4" s="232"/>
      <c r="O4" s="232"/>
      <c r="P4" s="44"/>
    </row>
    <row r="5" spans="1:16">
      <c r="A5" s="107" t="s">
        <v>337</v>
      </c>
      <c r="B5" s="108"/>
      <c r="C5" s="108">
        <v>19000</v>
      </c>
      <c r="D5" s="109"/>
      <c r="E5" s="183"/>
      <c r="F5" s="232"/>
      <c r="G5" s="232"/>
      <c r="H5" s="232"/>
      <c r="I5" s="232"/>
      <c r="J5" s="183"/>
      <c r="K5" s="232"/>
      <c r="L5" s="232"/>
      <c r="M5" s="232"/>
      <c r="N5" s="232"/>
      <c r="O5" s="232"/>
      <c r="P5" s="44"/>
    </row>
    <row r="6" spans="1:16">
      <c r="A6" s="107"/>
      <c r="B6" s="108"/>
      <c r="C6" s="108"/>
      <c r="D6" s="109"/>
      <c r="E6" s="183"/>
      <c r="F6" s="232"/>
      <c r="G6" s="232"/>
      <c r="H6" s="232"/>
      <c r="I6" s="232"/>
      <c r="J6" s="183"/>
      <c r="K6" s="232"/>
      <c r="L6" s="232"/>
      <c r="M6" s="232"/>
      <c r="N6" s="232"/>
      <c r="O6" s="232"/>
      <c r="P6" s="44"/>
    </row>
    <row r="7" spans="1:16">
      <c r="A7" s="107" t="s">
        <v>338</v>
      </c>
      <c r="B7" s="108"/>
      <c r="C7" s="108"/>
      <c r="D7" s="109"/>
      <c r="E7" s="183"/>
      <c r="F7" s="232"/>
      <c r="G7" s="232"/>
      <c r="H7" s="232"/>
      <c r="I7" s="232"/>
      <c r="J7" s="183"/>
      <c r="K7" s="232"/>
      <c r="L7" s="230"/>
      <c r="M7" s="230"/>
      <c r="N7" s="230"/>
      <c r="O7" s="230"/>
      <c r="P7" s="44"/>
    </row>
    <row r="8" spans="1:16">
      <c r="A8" s="107" t="s">
        <v>339</v>
      </c>
      <c r="B8" s="108">
        <v>724</v>
      </c>
      <c r="C8" s="108"/>
      <c r="D8" s="109"/>
      <c r="E8" s="183"/>
      <c r="F8" s="232"/>
      <c r="G8" s="232"/>
      <c r="H8" s="232"/>
      <c r="I8" s="232"/>
      <c r="J8" s="183"/>
      <c r="K8" s="230"/>
      <c r="L8" s="96">
        <v>0</v>
      </c>
      <c r="M8" s="96">
        <f>_xlfn.CEILING.MATH(O8*1/3,0.5)</f>
        <v>3</v>
      </c>
      <c r="N8" s="96">
        <f>_xlfn.CEILING.MATH(O8*2/3,0.5)</f>
        <v>5.5</v>
      </c>
      <c r="O8" s="97">
        <f>ROUND($P$22/3,0)</f>
        <v>8</v>
      </c>
      <c r="P8" s="45"/>
    </row>
    <row r="9" spans="1:16">
      <c r="A9" s="107" t="s">
        <v>330</v>
      </c>
      <c r="B9" s="108"/>
      <c r="C9" s="108">
        <v>665</v>
      </c>
      <c r="D9" s="109"/>
      <c r="E9" s="183"/>
      <c r="F9" s="232"/>
      <c r="G9" s="232"/>
      <c r="H9" s="232"/>
      <c r="I9" s="232"/>
      <c r="J9" s="183"/>
      <c r="K9" s="240" t="s">
        <v>340</v>
      </c>
      <c r="L9" s="236" t="s">
        <v>332</v>
      </c>
      <c r="M9" s="236" t="s">
        <v>333</v>
      </c>
      <c r="N9" s="236" t="s">
        <v>334</v>
      </c>
      <c r="O9" s="236" t="s">
        <v>335</v>
      </c>
      <c r="P9" s="44"/>
    </row>
    <row r="10" spans="1:16">
      <c r="A10" s="107" t="s">
        <v>341</v>
      </c>
      <c r="B10" s="108"/>
      <c r="C10" s="108">
        <v>59</v>
      </c>
      <c r="D10" s="109"/>
      <c r="E10" s="183"/>
      <c r="F10" s="232"/>
      <c r="G10" s="232"/>
      <c r="H10" s="232"/>
      <c r="I10" s="232"/>
      <c r="J10" s="183"/>
      <c r="K10" s="232"/>
      <c r="L10" s="232"/>
      <c r="M10" s="232"/>
      <c r="N10" s="232"/>
      <c r="O10" s="232"/>
      <c r="P10" s="44"/>
    </row>
    <row r="11" spans="1:16">
      <c r="A11" s="107"/>
      <c r="B11" s="108"/>
      <c r="C11" s="108"/>
      <c r="D11" s="109"/>
      <c r="E11" s="183"/>
      <c r="F11" s="232"/>
      <c r="G11" s="232"/>
      <c r="H11" s="232"/>
      <c r="I11" s="232"/>
      <c r="J11" s="183"/>
      <c r="K11" s="232"/>
      <c r="L11" s="232"/>
      <c r="M11" s="232"/>
      <c r="N11" s="232"/>
      <c r="O11" s="232"/>
      <c r="P11" s="44"/>
    </row>
    <row r="12" spans="1:16">
      <c r="A12" s="107" t="s">
        <v>342</v>
      </c>
      <c r="B12" s="108"/>
      <c r="C12" s="108"/>
      <c r="D12" s="109"/>
      <c r="E12" s="183"/>
      <c r="F12" s="232"/>
      <c r="G12" s="232"/>
      <c r="H12" s="232"/>
      <c r="I12" s="232"/>
      <c r="J12" s="183"/>
      <c r="K12" s="232"/>
      <c r="L12" s="232"/>
      <c r="M12" s="232"/>
      <c r="N12" s="232"/>
      <c r="O12" s="232"/>
      <c r="P12" s="44"/>
    </row>
    <row r="13" spans="1:16">
      <c r="A13" s="107" t="s">
        <v>339</v>
      </c>
      <c r="B13" s="108">
        <v>485</v>
      </c>
      <c r="C13" s="108"/>
      <c r="D13" s="109"/>
      <c r="E13" s="183"/>
      <c r="F13" s="232"/>
      <c r="G13" s="232"/>
      <c r="H13" s="232"/>
      <c r="I13" s="232"/>
      <c r="J13" s="183"/>
      <c r="K13" s="232"/>
      <c r="L13" s="230"/>
      <c r="M13" s="230"/>
      <c r="N13" s="230"/>
      <c r="O13" s="230"/>
      <c r="P13" s="44"/>
    </row>
    <row r="14" spans="1:16">
      <c r="A14" s="107" t="s">
        <v>343</v>
      </c>
      <c r="B14" s="108"/>
      <c r="C14" s="108">
        <v>433</v>
      </c>
      <c r="D14" s="109"/>
      <c r="E14" s="183"/>
      <c r="F14" s="232"/>
      <c r="G14" s="232"/>
      <c r="H14" s="232"/>
      <c r="I14" s="232"/>
      <c r="J14" s="183"/>
      <c r="K14" s="230"/>
      <c r="L14" s="98">
        <v>0</v>
      </c>
      <c r="M14" s="98">
        <f>_xlfn.CEILING.MATH(O14*1/3,0.5)</f>
        <v>3</v>
      </c>
      <c r="N14" s="98">
        <f>_xlfn.CEILING.MATH(O14*2/3,0.5)</f>
        <v>5.5</v>
      </c>
      <c r="O14" s="99">
        <f>ROUND($P$22/3,0)</f>
        <v>8</v>
      </c>
      <c r="P14" s="39"/>
    </row>
    <row r="15" spans="1:16">
      <c r="A15" s="107" t="s">
        <v>341</v>
      </c>
      <c r="B15" s="108"/>
      <c r="C15" s="108">
        <v>41</v>
      </c>
      <c r="D15" s="109"/>
      <c r="E15" s="183"/>
      <c r="F15" s="232"/>
      <c r="G15" s="232"/>
      <c r="H15" s="232"/>
      <c r="I15" s="232"/>
      <c r="J15" s="183"/>
      <c r="K15" s="238" t="s">
        <v>344</v>
      </c>
      <c r="L15" s="239" t="s">
        <v>332</v>
      </c>
      <c r="M15" s="239" t="s">
        <v>333</v>
      </c>
      <c r="N15" s="239" t="s">
        <v>334</v>
      </c>
      <c r="O15" s="239" t="s">
        <v>335</v>
      </c>
      <c r="P15" s="44"/>
    </row>
    <row r="16" spans="1:16">
      <c r="A16" s="107"/>
      <c r="B16" s="108"/>
      <c r="C16" s="108"/>
      <c r="D16" s="109"/>
      <c r="E16" s="183"/>
      <c r="F16" s="232"/>
      <c r="G16" s="232"/>
      <c r="H16" s="232"/>
      <c r="I16" s="232"/>
      <c r="J16" s="183"/>
      <c r="K16" s="232"/>
      <c r="L16" s="232"/>
      <c r="M16" s="232"/>
      <c r="N16" s="232"/>
      <c r="O16" s="232"/>
      <c r="P16" s="44"/>
    </row>
    <row r="17" spans="1:16">
      <c r="A17" s="107"/>
      <c r="B17" s="108"/>
      <c r="C17" s="108"/>
      <c r="D17" s="109"/>
      <c r="E17" s="183"/>
      <c r="F17" s="232"/>
      <c r="G17" s="232"/>
      <c r="H17" s="232"/>
      <c r="I17" s="232"/>
      <c r="J17" s="183"/>
      <c r="K17" s="232"/>
      <c r="L17" s="232"/>
      <c r="M17" s="232"/>
      <c r="N17" s="232"/>
      <c r="O17" s="232"/>
      <c r="P17" s="44"/>
    </row>
    <row r="18" spans="1:16" ht="15.95" customHeight="1" thickBot="1">
      <c r="A18" s="110"/>
      <c r="B18" s="111"/>
      <c r="C18" s="111"/>
      <c r="D18" s="112"/>
      <c r="E18" s="183"/>
      <c r="F18" s="232"/>
      <c r="G18" s="232"/>
      <c r="H18" s="232"/>
      <c r="I18" s="232"/>
      <c r="J18" s="183"/>
      <c r="K18" s="232"/>
      <c r="L18" s="232"/>
      <c r="M18" s="232"/>
      <c r="N18" s="232"/>
      <c r="O18" s="232"/>
      <c r="P18" s="44"/>
    </row>
    <row r="19" spans="1:16" ht="15.95" customHeight="1" thickBot="1">
      <c r="A19" s="183"/>
      <c r="E19" s="183"/>
      <c r="F19" s="113"/>
      <c r="G19" s="113"/>
      <c r="H19" s="113"/>
      <c r="I19" s="183"/>
      <c r="J19" s="183"/>
      <c r="K19" s="232"/>
      <c r="L19" s="230"/>
      <c r="M19" s="230"/>
      <c r="N19" s="230"/>
      <c r="O19" s="230"/>
      <c r="P19" s="44"/>
    </row>
    <row r="20" spans="1:16" ht="15.95" customHeight="1" thickBot="1">
      <c r="A20" s="104" t="s">
        <v>251</v>
      </c>
      <c r="B20" s="105"/>
      <c r="C20" s="105"/>
      <c r="D20" s="106"/>
      <c r="E20" s="183"/>
      <c r="F20" s="113"/>
      <c r="G20" s="113"/>
      <c r="H20" s="113"/>
      <c r="I20" s="183"/>
      <c r="J20" s="183"/>
      <c r="K20" s="230"/>
      <c r="L20" s="96">
        <v>0</v>
      </c>
      <c r="M20" s="96">
        <f>_xlfn.CEILING.MATH(O20*1/3,0.5)</f>
        <v>2.5</v>
      </c>
      <c r="N20" s="96">
        <f>_xlfn.CEILING.MATH(O20*2/3,0.5)</f>
        <v>5</v>
      </c>
      <c r="O20" s="97">
        <f>P22-O14-O8</f>
        <v>7</v>
      </c>
      <c r="P20" s="45"/>
    </row>
    <row r="21" spans="1:16" ht="15.95" customHeight="1" thickBot="1">
      <c r="A21" s="107" t="s">
        <v>345</v>
      </c>
      <c r="B21" s="108"/>
      <c r="C21" s="108"/>
      <c r="D21" s="109"/>
      <c r="E21" s="183"/>
      <c r="F21" s="183"/>
      <c r="G21" s="183"/>
      <c r="H21" s="183"/>
      <c r="I21" s="183"/>
      <c r="J21" s="183"/>
      <c r="K21" s="55"/>
      <c r="L21" s="55"/>
      <c r="M21" s="55"/>
      <c r="N21" s="55"/>
      <c r="O21" s="100" t="s">
        <v>306</v>
      </c>
      <c r="P21" s="102">
        <f>SUM(P8,P14,P20)</f>
        <v>0</v>
      </c>
    </row>
    <row r="22" spans="1:16" ht="15.95" customHeight="1" thickBot="1">
      <c r="A22" s="107" t="s">
        <v>346</v>
      </c>
      <c r="B22" s="108">
        <v>9000</v>
      </c>
      <c r="C22" s="108"/>
      <c r="D22" s="109"/>
      <c r="E22" s="183"/>
      <c r="F22" s="183"/>
      <c r="G22" s="183"/>
      <c r="H22" s="183"/>
      <c r="I22" s="183"/>
      <c r="J22" s="183"/>
      <c r="K22" s="67"/>
      <c r="L22" s="67"/>
      <c r="M22" s="67"/>
      <c r="N22" s="67"/>
      <c r="O22" s="101" t="s">
        <v>307</v>
      </c>
      <c r="P22" s="103">
        <f>ROUND('Final Case'!B10*IF('Final Case'!B9="Yes",'Iterative Data'!N3,'Iterative Data'!M3),0)</f>
        <v>23</v>
      </c>
    </row>
    <row r="23" spans="1:16">
      <c r="A23" s="107" t="s">
        <v>330</v>
      </c>
      <c r="B23" s="108"/>
      <c r="C23" s="108">
        <v>9000</v>
      </c>
      <c r="D23" s="109"/>
      <c r="E23" s="183"/>
      <c r="F23" s="183"/>
      <c r="G23" s="183"/>
      <c r="H23" s="183"/>
      <c r="I23" s="183"/>
      <c r="J23" s="183"/>
      <c r="K23" s="183"/>
      <c r="L23" s="183"/>
      <c r="M23" s="183"/>
      <c r="N23" s="183"/>
      <c r="O23" s="183"/>
      <c r="P23" s="183"/>
    </row>
    <row r="24" spans="1:16">
      <c r="A24" s="107"/>
      <c r="B24" s="108"/>
      <c r="C24" s="108"/>
      <c r="D24" s="109"/>
      <c r="E24" s="183"/>
      <c r="F24" s="114" t="s">
        <v>347</v>
      </c>
      <c r="G24" s="115"/>
      <c r="H24" s="115"/>
      <c r="I24" s="115"/>
      <c r="J24" s="115"/>
      <c r="K24" s="115"/>
      <c r="L24" s="115"/>
      <c r="M24" s="115"/>
      <c r="N24" s="115"/>
      <c r="O24" s="115"/>
      <c r="P24" s="183"/>
    </row>
    <row r="25" spans="1:16">
      <c r="A25" s="107" t="s">
        <v>342</v>
      </c>
      <c r="B25" s="108"/>
      <c r="C25" s="108"/>
      <c r="D25" s="109"/>
      <c r="E25" s="183"/>
      <c r="F25" s="181" t="s">
        <v>348</v>
      </c>
      <c r="G25" s="115"/>
      <c r="H25" s="115"/>
      <c r="I25" s="115"/>
      <c r="J25" s="115"/>
      <c r="K25" s="115"/>
      <c r="L25" s="115"/>
      <c r="M25" s="115"/>
      <c r="N25" s="115"/>
      <c r="O25" s="115">
        <v>18108</v>
      </c>
      <c r="P25" s="183"/>
    </row>
    <row r="26" spans="1:16">
      <c r="A26" s="107" t="s">
        <v>191</v>
      </c>
      <c r="B26" s="108">
        <v>1687.5</v>
      </c>
      <c r="C26" s="108"/>
      <c r="D26" s="109"/>
      <c r="E26" s="183"/>
      <c r="F26" s="181"/>
      <c r="G26" s="115" t="s">
        <v>349</v>
      </c>
      <c r="H26" s="115"/>
      <c r="I26" s="115" t="s">
        <v>350</v>
      </c>
      <c r="J26" s="115"/>
      <c r="K26" s="115"/>
      <c r="L26" s="115">
        <v>665</v>
      </c>
      <c r="M26" s="115">
        <v>724</v>
      </c>
      <c r="N26" s="115">
        <v>59</v>
      </c>
      <c r="O26" s="115">
        <v>18167</v>
      </c>
      <c r="P26" s="183"/>
    </row>
    <row r="27" spans="1:16">
      <c r="A27" s="107" t="s">
        <v>135</v>
      </c>
      <c r="B27" s="108"/>
      <c r="C27" s="108">
        <v>1687.5</v>
      </c>
      <c r="D27" s="109"/>
      <c r="E27" s="183"/>
      <c r="F27" s="181"/>
      <c r="G27" s="115" t="s">
        <v>351</v>
      </c>
      <c r="H27" s="115"/>
      <c r="I27" s="115" t="s">
        <v>352</v>
      </c>
      <c r="J27" s="115"/>
      <c r="K27" s="115"/>
      <c r="L27" s="115">
        <v>665</v>
      </c>
      <c r="M27" s="115">
        <v>727</v>
      </c>
      <c r="N27" s="115">
        <v>61</v>
      </c>
      <c r="O27" s="115"/>
      <c r="P27" s="183"/>
    </row>
    <row r="28" spans="1:16">
      <c r="A28" s="107"/>
      <c r="B28" s="108"/>
      <c r="C28" s="108"/>
      <c r="D28" s="109"/>
      <c r="E28" s="183"/>
      <c r="F28" s="115"/>
      <c r="G28" s="115" t="s">
        <v>353</v>
      </c>
      <c r="H28" s="115"/>
      <c r="I28" s="115" t="s">
        <v>354</v>
      </c>
      <c r="J28" s="115"/>
      <c r="K28" s="115"/>
      <c r="L28" s="115">
        <f>L27*4/6</f>
        <v>443.33333333333331</v>
      </c>
      <c r="M28" s="115">
        <f>M27*4/6</f>
        <v>484.66666666666669</v>
      </c>
      <c r="N28" s="115"/>
      <c r="O28" s="115"/>
      <c r="P28" s="183"/>
    </row>
    <row r="29" spans="1:16">
      <c r="A29" s="107"/>
      <c r="B29" s="108"/>
      <c r="C29" s="108"/>
      <c r="D29" s="109"/>
      <c r="E29" s="183"/>
      <c r="F29" s="115"/>
      <c r="G29" s="115"/>
      <c r="H29" s="115"/>
      <c r="I29" s="115"/>
      <c r="J29" s="115"/>
      <c r="K29" s="115"/>
      <c r="L29" s="115"/>
      <c r="M29" s="115"/>
      <c r="N29" s="115"/>
      <c r="O29" s="115"/>
      <c r="P29" s="183"/>
    </row>
    <row r="30" spans="1:16" ht="15.95" customHeight="1" thickBot="1">
      <c r="A30" s="110"/>
      <c r="B30" s="111"/>
      <c r="C30" s="111"/>
      <c r="D30" s="112"/>
      <c r="E30" s="183"/>
      <c r="F30" s="115" t="s">
        <v>355</v>
      </c>
      <c r="G30" s="115"/>
      <c r="H30" s="115"/>
      <c r="I30" s="115"/>
      <c r="J30" s="115"/>
      <c r="K30" s="115"/>
      <c r="L30" s="115"/>
      <c r="M30" s="115"/>
      <c r="N30" s="115"/>
      <c r="O30" s="115"/>
      <c r="P30" s="183"/>
    </row>
    <row r="31" spans="1:16" ht="15.95" customHeight="1" thickBot="1">
      <c r="A31" s="183"/>
      <c r="E31" s="183"/>
      <c r="F31" s="115"/>
      <c r="G31" s="115" t="s">
        <v>356</v>
      </c>
      <c r="H31" s="115"/>
      <c r="I31" s="115"/>
      <c r="J31" s="115"/>
      <c r="K31" s="115"/>
      <c r="L31" s="115"/>
      <c r="M31" s="115"/>
      <c r="N31" s="115"/>
      <c r="O31" s="115"/>
      <c r="P31" s="183"/>
    </row>
    <row r="32" spans="1:16">
      <c r="A32" s="104" t="s">
        <v>357</v>
      </c>
      <c r="B32" s="105"/>
      <c r="C32" s="105"/>
      <c r="D32" s="106"/>
      <c r="E32" s="183"/>
      <c r="F32" s="115"/>
      <c r="G32" s="115" t="s">
        <v>358</v>
      </c>
      <c r="H32" s="115"/>
      <c r="I32" s="115"/>
      <c r="J32" s="115"/>
      <c r="K32" s="115"/>
      <c r="L32" s="115"/>
      <c r="M32" s="115"/>
      <c r="N32" s="115"/>
      <c r="O32" s="115"/>
      <c r="P32" s="183"/>
    </row>
    <row r="33" spans="1:15">
      <c r="A33" s="107" t="s">
        <v>359</v>
      </c>
      <c r="B33" s="108">
        <v>1751.2</v>
      </c>
      <c r="C33" s="108"/>
      <c r="D33" s="109"/>
      <c r="E33" s="183"/>
      <c r="F33" s="115"/>
      <c r="G33" s="115"/>
      <c r="H33" s="115"/>
      <c r="I33" s="115"/>
      <c r="J33" s="115"/>
      <c r="K33" s="115"/>
      <c r="L33" s="115"/>
      <c r="M33" s="115"/>
      <c r="N33" s="115"/>
      <c r="O33" s="115"/>
    </row>
    <row r="34" spans="1:15">
      <c r="A34" s="107" t="s">
        <v>360</v>
      </c>
      <c r="B34" s="108"/>
      <c r="C34" s="108">
        <v>1751</v>
      </c>
      <c r="D34" s="109"/>
      <c r="E34" s="183"/>
      <c r="F34" s="115" t="s">
        <v>361</v>
      </c>
      <c r="G34" s="115"/>
      <c r="H34" s="115"/>
      <c r="I34" s="115"/>
      <c r="J34" s="115"/>
      <c r="K34" s="115"/>
      <c r="L34" s="115"/>
      <c r="M34" s="115"/>
      <c r="N34" s="115"/>
      <c r="O34" s="115"/>
    </row>
    <row r="35" spans="1:15">
      <c r="A35" s="107"/>
      <c r="B35" s="108"/>
      <c r="C35" s="108"/>
      <c r="D35" s="109"/>
      <c r="E35" s="183"/>
      <c r="F35" s="115"/>
      <c r="G35" s="115" t="s">
        <v>362</v>
      </c>
      <c r="H35" s="115"/>
      <c r="I35" s="115"/>
      <c r="J35" s="115"/>
      <c r="K35" s="115"/>
      <c r="L35" s="115"/>
      <c r="M35" s="115"/>
      <c r="N35" s="115"/>
      <c r="O35" s="115"/>
    </row>
    <row r="36" spans="1:15">
      <c r="A36" s="107"/>
      <c r="B36" s="108"/>
      <c r="C36" s="108"/>
      <c r="D36" s="109"/>
      <c r="E36" s="183"/>
      <c r="F36" s="115"/>
      <c r="G36" s="115" t="s">
        <v>363</v>
      </c>
      <c r="H36" s="115"/>
      <c r="I36" s="115"/>
      <c r="J36" s="115"/>
      <c r="K36" s="115"/>
      <c r="L36" s="115"/>
      <c r="M36" s="115"/>
      <c r="N36" s="115"/>
      <c r="O36" s="115"/>
    </row>
    <row r="37" spans="1:15">
      <c r="A37" s="107"/>
      <c r="B37" s="108"/>
      <c r="C37" s="108"/>
      <c r="D37" s="109"/>
      <c r="E37" s="183"/>
      <c r="F37" s="115"/>
      <c r="G37" s="115"/>
      <c r="H37" s="115"/>
      <c r="I37" s="115"/>
      <c r="J37" s="115"/>
      <c r="K37" s="115"/>
      <c r="L37" s="115"/>
      <c r="M37" s="115"/>
      <c r="N37" s="115"/>
      <c r="O37" s="115"/>
    </row>
    <row r="38" spans="1:15">
      <c r="A38" s="107"/>
      <c r="B38" s="108"/>
      <c r="C38" s="108"/>
      <c r="D38" s="109"/>
      <c r="E38" s="183"/>
      <c r="F38" s="115"/>
      <c r="G38" s="115"/>
      <c r="H38" s="115"/>
      <c r="I38" s="115"/>
      <c r="J38" s="115"/>
      <c r="K38" s="115"/>
      <c r="L38" s="115"/>
      <c r="M38" s="115"/>
      <c r="N38" s="115"/>
      <c r="O38" s="115"/>
    </row>
    <row r="39" spans="1:15">
      <c r="A39" s="107"/>
      <c r="B39" s="108"/>
      <c r="C39" s="108"/>
      <c r="D39" s="109"/>
      <c r="E39" s="183"/>
      <c r="F39" s="115"/>
      <c r="G39" s="115"/>
      <c r="H39" s="115"/>
      <c r="I39" s="115"/>
      <c r="J39" s="115"/>
      <c r="K39" s="115"/>
      <c r="L39" s="115"/>
      <c r="M39" s="115"/>
      <c r="N39" s="115"/>
      <c r="O39" s="115"/>
    </row>
    <row r="40" spans="1:15">
      <c r="A40" s="107"/>
      <c r="B40" s="108"/>
      <c r="C40" s="108"/>
      <c r="D40" s="109"/>
      <c r="E40" s="183"/>
      <c r="F40" s="115"/>
      <c r="G40" s="115"/>
      <c r="H40" s="115"/>
      <c r="I40" s="115"/>
      <c r="J40" s="115"/>
      <c r="K40" s="115"/>
      <c r="L40" s="115"/>
      <c r="M40" s="115"/>
      <c r="N40" s="115"/>
      <c r="O40" s="115"/>
    </row>
    <row r="41" spans="1:15">
      <c r="A41" s="107"/>
      <c r="B41" s="108"/>
      <c r="C41" s="108"/>
      <c r="D41" s="109"/>
      <c r="E41" s="183"/>
      <c r="F41" s="115"/>
      <c r="G41" s="115"/>
      <c r="H41" s="115"/>
      <c r="I41" s="115"/>
      <c r="J41" s="115"/>
      <c r="K41" s="115"/>
      <c r="L41" s="115"/>
      <c r="M41" s="115"/>
      <c r="N41" s="115"/>
      <c r="O41" s="115"/>
    </row>
    <row r="42" spans="1:15" ht="15.95" customHeight="1" thickBot="1">
      <c r="A42" s="110"/>
      <c r="B42" s="111"/>
      <c r="C42" s="111"/>
      <c r="D42" s="112"/>
      <c r="E42" s="183"/>
      <c r="F42" s="115"/>
      <c r="G42" s="115"/>
      <c r="H42" s="115"/>
      <c r="I42" s="115"/>
      <c r="J42" s="115"/>
      <c r="K42" s="115"/>
      <c r="L42" s="115"/>
      <c r="M42" s="115"/>
      <c r="N42" s="115"/>
      <c r="O42" s="115"/>
    </row>
    <row r="43" spans="1:15">
      <c r="A43" s="183"/>
      <c r="E43" s="183"/>
      <c r="F43" s="115"/>
      <c r="G43" s="115"/>
      <c r="H43" s="115"/>
      <c r="I43" s="115"/>
      <c r="J43" s="115"/>
      <c r="K43" s="115"/>
      <c r="L43" s="115"/>
      <c r="M43" s="115"/>
      <c r="N43" s="115"/>
      <c r="O43" s="115"/>
    </row>
    <row r="44" spans="1:15">
      <c r="A44" s="183"/>
      <c r="E44" s="183"/>
      <c r="F44" s="115"/>
      <c r="G44" s="115"/>
      <c r="H44" s="115"/>
      <c r="I44" s="115"/>
      <c r="J44" s="115"/>
      <c r="K44" s="115"/>
      <c r="L44" s="115"/>
      <c r="M44" s="115"/>
      <c r="N44" s="115"/>
      <c r="O44" s="115"/>
    </row>
    <row r="45" spans="1:15">
      <c r="A45" s="183"/>
      <c r="E45" s="183"/>
      <c r="F45" s="115"/>
      <c r="G45" s="115"/>
      <c r="H45" s="115"/>
      <c r="I45" s="115"/>
      <c r="J45" s="115"/>
      <c r="K45" s="115"/>
      <c r="L45" s="115"/>
      <c r="M45" s="115"/>
      <c r="N45" s="115"/>
      <c r="O45" s="115"/>
    </row>
    <row r="46" spans="1:15">
      <c r="A46" s="183"/>
      <c r="E46" s="183"/>
      <c r="F46" s="115"/>
      <c r="G46" s="115"/>
      <c r="H46" s="115"/>
      <c r="I46" s="115"/>
      <c r="J46" s="115"/>
      <c r="K46" s="115"/>
      <c r="L46" s="115"/>
      <c r="M46" s="115"/>
      <c r="N46" s="115"/>
      <c r="O46" s="115"/>
    </row>
    <row r="47" spans="1:15">
      <c r="A47" s="183"/>
      <c r="E47" s="183"/>
      <c r="F47" s="115"/>
      <c r="G47" s="115"/>
      <c r="H47" s="115"/>
      <c r="I47" s="115"/>
      <c r="J47" s="115"/>
      <c r="K47" s="115"/>
      <c r="L47" s="115"/>
      <c r="M47" s="115"/>
      <c r="N47" s="115"/>
      <c r="O47" s="115"/>
    </row>
    <row r="48" spans="1:15">
      <c r="A48" s="183"/>
      <c r="E48" s="183"/>
      <c r="F48" s="115"/>
      <c r="G48" s="115"/>
      <c r="H48" s="115"/>
      <c r="I48" s="115"/>
      <c r="J48" s="115"/>
      <c r="K48" s="115"/>
      <c r="L48" s="115"/>
      <c r="M48" s="115"/>
      <c r="N48" s="115"/>
      <c r="O48" s="115"/>
    </row>
    <row r="49" spans="6:15">
      <c r="F49" s="115"/>
      <c r="G49" s="115"/>
      <c r="H49" s="115"/>
      <c r="I49" s="115"/>
      <c r="J49" s="115"/>
      <c r="K49" s="115"/>
      <c r="L49" s="115"/>
      <c r="M49" s="115"/>
      <c r="N49" s="115"/>
      <c r="O49" s="115"/>
    </row>
    <row r="50" spans="6:15">
      <c r="F50" s="115"/>
      <c r="G50" s="115"/>
      <c r="H50" s="115"/>
      <c r="I50" s="115"/>
      <c r="J50" s="115"/>
      <c r="K50" s="115"/>
      <c r="L50" s="115"/>
      <c r="M50" s="115"/>
      <c r="N50" s="115"/>
      <c r="O50" s="115"/>
    </row>
    <row r="51" spans="6:15">
      <c r="F51" s="115"/>
      <c r="G51" s="115"/>
      <c r="H51" s="115"/>
      <c r="I51" s="115"/>
      <c r="J51" s="115"/>
      <c r="K51" s="115"/>
      <c r="L51" s="115"/>
      <c r="M51" s="115"/>
      <c r="N51" s="115"/>
      <c r="O51" s="115"/>
    </row>
    <row r="52" spans="6:15">
      <c r="F52" s="115"/>
      <c r="G52" s="115"/>
      <c r="H52" s="115"/>
      <c r="I52" s="115"/>
      <c r="J52" s="115"/>
      <c r="K52" s="115"/>
      <c r="L52" s="115"/>
      <c r="M52" s="115"/>
      <c r="N52" s="115"/>
      <c r="O52" s="115"/>
    </row>
    <row r="53" spans="6:15">
      <c r="F53" s="115"/>
      <c r="G53" s="115"/>
      <c r="H53" s="115"/>
      <c r="I53" s="115"/>
      <c r="J53" s="115"/>
      <c r="K53" s="115"/>
      <c r="L53" s="115"/>
      <c r="M53" s="115"/>
      <c r="N53" s="115"/>
      <c r="O53" s="115"/>
    </row>
    <row r="54" spans="6:15">
      <c r="F54" s="115"/>
      <c r="G54" s="115"/>
      <c r="H54" s="115"/>
      <c r="I54" s="115"/>
      <c r="J54" s="115"/>
      <c r="K54" s="115"/>
      <c r="L54" s="115"/>
      <c r="M54" s="115"/>
      <c r="N54" s="115"/>
      <c r="O54" s="115"/>
    </row>
    <row r="55" spans="6:15">
      <c r="F55" s="115"/>
      <c r="G55" s="115"/>
      <c r="H55" s="115"/>
      <c r="I55" s="115"/>
      <c r="J55" s="115"/>
      <c r="K55" s="115"/>
      <c r="L55" s="115"/>
      <c r="M55" s="115"/>
      <c r="N55" s="115"/>
      <c r="O55" s="115"/>
    </row>
    <row r="56" spans="6:15">
      <c r="F56" s="115"/>
      <c r="G56" s="115"/>
      <c r="H56" s="115"/>
      <c r="I56" s="115"/>
      <c r="J56" s="115"/>
      <c r="K56" s="115"/>
      <c r="L56" s="115"/>
      <c r="M56" s="115"/>
      <c r="N56" s="115"/>
      <c r="O56" s="115"/>
    </row>
    <row r="57" spans="6:15">
      <c r="F57" s="115"/>
      <c r="G57" s="115"/>
      <c r="H57" s="115"/>
      <c r="I57" s="115"/>
      <c r="J57" s="115"/>
      <c r="K57" s="115"/>
      <c r="L57" s="115"/>
      <c r="M57" s="115"/>
      <c r="N57" s="115"/>
      <c r="O57" s="115"/>
    </row>
    <row r="58" spans="6:15">
      <c r="F58" s="115"/>
      <c r="G58" s="115"/>
      <c r="H58" s="115"/>
      <c r="I58" s="115"/>
      <c r="J58" s="115"/>
      <c r="K58" s="115"/>
      <c r="L58" s="115"/>
      <c r="M58" s="115"/>
      <c r="N58" s="115"/>
      <c r="O58" s="115"/>
    </row>
    <row r="59" spans="6:15">
      <c r="F59" s="115"/>
      <c r="G59" s="115"/>
      <c r="H59" s="115"/>
      <c r="I59" s="115"/>
      <c r="J59" s="115"/>
      <c r="K59" s="115"/>
      <c r="L59" s="115"/>
      <c r="M59" s="115"/>
      <c r="N59" s="115"/>
      <c r="O59" s="115"/>
    </row>
    <row r="60" spans="6:15">
      <c r="F60" s="115"/>
      <c r="G60" s="115"/>
      <c r="H60" s="115"/>
      <c r="I60" s="115"/>
      <c r="J60" s="115"/>
      <c r="K60" s="115"/>
      <c r="L60" s="115"/>
      <c r="M60" s="115"/>
      <c r="N60" s="115"/>
      <c r="O60" s="115"/>
    </row>
    <row r="61" spans="6:15">
      <c r="F61" s="115"/>
      <c r="G61" s="115"/>
      <c r="H61" s="115"/>
      <c r="I61" s="115"/>
      <c r="J61" s="115"/>
      <c r="K61" s="115"/>
      <c r="L61" s="115"/>
      <c r="M61" s="115"/>
      <c r="N61" s="115"/>
      <c r="O61" s="115"/>
    </row>
    <row r="62" spans="6:15">
      <c r="F62" s="115"/>
      <c r="G62" s="115"/>
      <c r="H62" s="115"/>
      <c r="I62" s="115"/>
      <c r="J62" s="115"/>
      <c r="K62" s="115"/>
      <c r="L62" s="115"/>
      <c r="M62" s="115"/>
      <c r="N62" s="115"/>
      <c r="O62" s="115"/>
    </row>
    <row r="63" spans="6:15">
      <c r="F63" s="115"/>
      <c r="G63" s="115"/>
      <c r="H63" s="115"/>
      <c r="I63" s="115"/>
      <c r="J63" s="115"/>
      <c r="K63" s="115"/>
      <c r="L63" s="115"/>
      <c r="M63" s="115"/>
      <c r="N63" s="115"/>
      <c r="O63" s="115"/>
    </row>
    <row r="64" spans="6:15">
      <c r="F64" s="115"/>
      <c r="G64" s="115"/>
      <c r="H64" s="115"/>
      <c r="I64" s="115"/>
      <c r="J64" s="115"/>
      <c r="K64" s="115"/>
      <c r="L64" s="115"/>
      <c r="M64" s="115"/>
      <c r="N64" s="115"/>
      <c r="O64" s="115"/>
    </row>
    <row r="65" spans="6:15">
      <c r="F65" s="115"/>
      <c r="G65" s="115"/>
      <c r="H65" s="115"/>
      <c r="I65" s="115"/>
      <c r="J65" s="115"/>
      <c r="K65" s="115"/>
      <c r="L65" s="115"/>
      <c r="M65" s="115"/>
      <c r="N65" s="115"/>
      <c r="O65" s="115"/>
    </row>
    <row r="66" spans="6:15">
      <c r="F66" s="115"/>
      <c r="G66" s="115"/>
      <c r="H66" s="115"/>
      <c r="I66" s="115"/>
      <c r="J66" s="115"/>
      <c r="K66" s="115"/>
      <c r="L66" s="115"/>
      <c r="M66" s="115"/>
      <c r="N66" s="115"/>
      <c r="O66" s="115"/>
    </row>
    <row r="67" spans="6:15">
      <c r="F67" s="115"/>
      <c r="G67" s="115"/>
      <c r="H67" s="115"/>
      <c r="I67" s="115"/>
      <c r="J67" s="115"/>
      <c r="K67" s="115"/>
      <c r="L67" s="115"/>
      <c r="M67" s="115"/>
      <c r="N67" s="115"/>
      <c r="O67" s="115"/>
    </row>
    <row r="68" spans="6:15">
      <c r="F68" s="115"/>
      <c r="G68" s="115"/>
      <c r="H68" s="115"/>
      <c r="I68" s="115"/>
      <c r="J68" s="115"/>
      <c r="K68" s="115"/>
      <c r="L68" s="115"/>
      <c r="M68" s="115"/>
      <c r="N68" s="115"/>
      <c r="O68" s="115"/>
    </row>
    <row r="69" spans="6:15">
      <c r="F69" s="115"/>
      <c r="G69" s="115"/>
      <c r="H69" s="115"/>
      <c r="I69" s="115"/>
      <c r="J69" s="115"/>
      <c r="K69" s="115"/>
      <c r="L69" s="115"/>
      <c r="M69" s="115"/>
      <c r="N69" s="115"/>
      <c r="O69" s="115"/>
    </row>
    <row r="70" spans="6:15">
      <c r="F70" s="115"/>
      <c r="G70" s="115"/>
      <c r="H70" s="115"/>
      <c r="I70" s="115"/>
      <c r="J70" s="115"/>
      <c r="K70" s="115"/>
      <c r="L70" s="115"/>
      <c r="M70" s="115"/>
      <c r="N70" s="115"/>
      <c r="O70" s="115"/>
    </row>
    <row r="71" spans="6:15">
      <c r="F71" s="115"/>
      <c r="G71" s="115"/>
      <c r="H71" s="115"/>
      <c r="I71" s="115"/>
      <c r="J71" s="115"/>
      <c r="K71" s="115"/>
      <c r="L71" s="115"/>
      <c r="M71" s="115"/>
      <c r="N71" s="115"/>
      <c r="O71" s="115"/>
    </row>
    <row r="72" spans="6:15">
      <c r="F72" s="115"/>
      <c r="G72" s="115"/>
      <c r="H72" s="115"/>
      <c r="I72" s="115"/>
      <c r="J72" s="115"/>
      <c r="K72" s="115"/>
      <c r="L72" s="115"/>
      <c r="M72" s="115"/>
      <c r="N72" s="115"/>
      <c r="O72" s="115"/>
    </row>
    <row r="73" spans="6:15">
      <c r="F73" s="115"/>
      <c r="G73" s="115"/>
      <c r="H73" s="115"/>
      <c r="I73" s="115"/>
      <c r="J73" s="115"/>
      <c r="K73" s="115"/>
      <c r="L73" s="115"/>
      <c r="M73" s="115"/>
      <c r="N73" s="115"/>
      <c r="O73" s="115"/>
    </row>
    <row r="74" spans="6:15">
      <c r="F74" s="115"/>
      <c r="G74" s="115"/>
      <c r="H74" s="115"/>
      <c r="I74" s="115"/>
      <c r="J74" s="115"/>
      <c r="K74" s="115"/>
      <c r="L74" s="115"/>
      <c r="M74" s="115"/>
      <c r="N74" s="115"/>
      <c r="O74" s="115"/>
    </row>
  </sheetData>
  <sheetProtection algorithmName="SHA-512" hashValue="YwAzj4E6SEQzIdlxP3gAn8MMJQZzvnMe7VVjKHT0RggK3bcgdjtMnwqkRj6ZtFImL4pWBWs6x3o2DHuU7ur7bA==" saltValue="MyNll18/QRxsVxTTkkppMA==" spinCount="100000" sheet="1" objects="1" scenarios="1" selectLockedCells="1"/>
  <mergeCells count="17">
    <mergeCell ref="K15:K20"/>
    <mergeCell ref="L15:L19"/>
    <mergeCell ref="M15:M19"/>
    <mergeCell ref="N15:N19"/>
    <mergeCell ref="O15:O19"/>
    <mergeCell ref="F1:I18"/>
    <mergeCell ref="K1:O1"/>
    <mergeCell ref="K3:K8"/>
    <mergeCell ref="L3:L7"/>
    <mergeCell ref="M3:M7"/>
    <mergeCell ref="N3:N7"/>
    <mergeCell ref="O3:O7"/>
    <mergeCell ref="K9:K14"/>
    <mergeCell ref="L9:L13"/>
    <mergeCell ref="M9:M13"/>
    <mergeCell ref="N9:N13"/>
    <mergeCell ref="O9:O13"/>
  </mergeCells>
  <pageMargins left="0.7" right="0.7" top="0.75" bottom="0.75" header="0.3" footer="0.3"/>
  <pageSetup orientation="portrait" horizontalDpi="4294967293" verticalDpi="429496729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C92"/>
  <sheetViews>
    <sheetView tabSelected="1" topLeftCell="G1" workbookViewId="0">
      <selection activeCell="I2" sqref="I2:O23"/>
    </sheetView>
  </sheetViews>
  <sheetFormatPr defaultColWidth="9.140625" defaultRowHeight="15"/>
  <cols>
    <col min="1" max="1" width="27.140625" customWidth="1"/>
    <col min="8" max="8" width="3.42578125" customWidth="1"/>
    <col min="9" max="9" width="27.140625" customWidth="1"/>
    <col min="16" max="16" width="3.5703125" customWidth="1"/>
    <col min="17" max="17" width="14.42578125" customWidth="1"/>
    <col min="18" max="21" width="21" customWidth="1"/>
    <col min="22" max="22" width="7.42578125" bestFit="1" customWidth="1"/>
    <col min="24" max="24" width="14.42578125" hidden="1" customWidth="1"/>
    <col min="25" max="28" width="21" hidden="1" customWidth="1"/>
    <col min="29" max="29" width="7.42578125" hidden="1" customWidth="1"/>
  </cols>
  <sheetData>
    <row r="1" spans="1:29" ht="15.95" customHeight="1">
      <c r="A1" s="125" t="s">
        <v>364</v>
      </c>
      <c r="B1" s="126"/>
      <c r="C1" s="126"/>
      <c r="D1" s="126"/>
      <c r="E1" s="126"/>
      <c r="F1" s="126"/>
      <c r="G1" s="127"/>
      <c r="H1" s="185"/>
      <c r="I1" s="125" t="s">
        <v>365</v>
      </c>
      <c r="J1" s="126"/>
      <c r="K1" s="126"/>
      <c r="L1" s="126"/>
      <c r="M1" s="126"/>
      <c r="N1" s="126"/>
      <c r="O1" s="127"/>
      <c r="P1" s="185"/>
      <c r="Q1" s="244" t="str">
        <f>"Grading Rubric for written responses "&amp;IF('Final Case'!B9="Yes","(Not used this semester)","")</f>
        <v xml:space="preserve">Grading Rubric for written responses </v>
      </c>
      <c r="R1" s="256"/>
      <c r="S1" s="256"/>
      <c r="T1" s="256"/>
      <c r="U1" s="256"/>
      <c r="V1" s="128"/>
      <c r="W1" s="185"/>
      <c r="X1" s="244" t="str">
        <f>"Grading Rubric for in-class discussions "&amp;IF('Final Case'!B9&lt;&gt;"Yes","","(Not used this semester)")</f>
        <v xml:space="preserve">Grading Rubric for in-class discussions </v>
      </c>
      <c r="Y1" s="244"/>
      <c r="Z1" s="244"/>
      <c r="AA1" s="244"/>
      <c r="AB1" s="244"/>
      <c r="AC1" s="128"/>
    </row>
    <row r="2" spans="1:29">
      <c r="A2" s="258" t="s">
        <v>366</v>
      </c>
      <c r="B2" s="232"/>
      <c r="C2" s="232"/>
      <c r="D2" s="232"/>
      <c r="E2" s="232"/>
      <c r="F2" s="232"/>
      <c r="G2" s="247"/>
      <c r="H2" s="185"/>
      <c r="I2" s="258" t="s">
        <v>367</v>
      </c>
      <c r="J2" s="232"/>
      <c r="K2" s="232"/>
      <c r="L2" s="232"/>
      <c r="M2" s="232"/>
      <c r="N2" s="232"/>
      <c r="O2" s="247"/>
      <c r="P2" s="185"/>
      <c r="Q2" s="94" t="s">
        <v>281</v>
      </c>
      <c r="R2" s="94" t="s">
        <v>282</v>
      </c>
      <c r="S2" s="95" t="s">
        <v>283</v>
      </c>
      <c r="T2" s="94" t="s">
        <v>284</v>
      </c>
      <c r="U2" s="94" t="s">
        <v>285</v>
      </c>
      <c r="V2" s="129" t="s">
        <v>286</v>
      </c>
      <c r="W2" s="185"/>
      <c r="X2" s="94" t="s">
        <v>281</v>
      </c>
      <c r="Y2" s="94" t="s">
        <v>282</v>
      </c>
      <c r="Z2" s="95" t="s">
        <v>283</v>
      </c>
      <c r="AA2" s="94" t="s">
        <v>284</v>
      </c>
      <c r="AB2" s="94" t="s">
        <v>285</v>
      </c>
      <c r="AC2" s="129" t="s">
        <v>286</v>
      </c>
    </row>
    <row r="3" spans="1:29" ht="15" customHeight="1">
      <c r="A3" s="248"/>
      <c r="B3" s="232"/>
      <c r="C3" s="232"/>
      <c r="D3" s="232"/>
      <c r="E3" s="232"/>
      <c r="F3" s="232"/>
      <c r="G3" s="247"/>
      <c r="H3" s="185"/>
      <c r="I3" s="248"/>
      <c r="J3" s="232"/>
      <c r="K3" s="232"/>
      <c r="L3" s="232"/>
      <c r="M3" s="232"/>
      <c r="N3" s="232"/>
      <c r="O3" s="247"/>
      <c r="P3" s="185"/>
      <c r="Q3" s="238" t="s">
        <v>368</v>
      </c>
      <c r="R3" s="239" t="s">
        <v>369</v>
      </c>
      <c r="S3" s="239" t="s">
        <v>370</v>
      </c>
      <c r="T3" s="239" t="s">
        <v>371</v>
      </c>
      <c r="U3" s="239" t="s">
        <v>372</v>
      </c>
      <c r="V3" s="130"/>
      <c r="W3" s="185"/>
      <c r="X3" s="259" t="s">
        <v>373</v>
      </c>
      <c r="Y3" s="262" t="s">
        <v>374</v>
      </c>
      <c r="Z3" s="262" t="s">
        <v>375</v>
      </c>
      <c r="AA3" s="262" t="s">
        <v>376</v>
      </c>
      <c r="AB3" s="262" t="s">
        <v>377</v>
      </c>
      <c r="AC3" s="130"/>
    </row>
    <row r="4" spans="1:29" ht="15" customHeight="1">
      <c r="A4" s="248"/>
      <c r="B4" s="232"/>
      <c r="C4" s="232"/>
      <c r="D4" s="232"/>
      <c r="E4" s="232"/>
      <c r="F4" s="232"/>
      <c r="G4" s="247"/>
      <c r="H4" s="185"/>
      <c r="I4" s="248"/>
      <c r="J4" s="232"/>
      <c r="K4" s="232"/>
      <c r="L4" s="232"/>
      <c r="M4" s="232"/>
      <c r="N4" s="232"/>
      <c r="O4" s="247"/>
      <c r="P4" s="185"/>
      <c r="Q4" s="256"/>
      <c r="R4" s="256"/>
      <c r="S4" s="256"/>
      <c r="T4" s="256"/>
      <c r="U4" s="256"/>
      <c r="V4" s="130"/>
      <c r="W4" s="185"/>
      <c r="X4" s="260"/>
      <c r="Y4" s="263"/>
      <c r="Z4" s="263"/>
      <c r="AA4" s="263"/>
      <c r="AB4" s="263"/>
      <c r="AC4" s="130"/>
    </row>
    <row r="5" spans="1:29" ht="15" customHeight="1">
      <c r="A5" s="248"/>
      <c r="B5" s="232"/>
      <c r="C5" s="232"/>
      <c r="D5" s="232"/>
      <c r="E5" s="232"/>
      <c r="F5" s="232"/>
      <c r="G5" s="247"/>
      <c r="H5" s="185"/>
      <c r="I5" s="248"/>
      <c r="J5" s="232"/>
      <c r="K5" s="232"/>
      <c r="L5" s="232"/>
      <c r="M5" s="232"/>
      <c r="N5" s="232"/>
      <c r="O5" s="247"/>
      <c r="P5" s="185"/>
      <c r="Q5" s="256"/>
      <c r="R5" s="256"/>
      <c r="S5" s="256"/>
      <c r="T5" s="256"/>
      <c r="U5" s="256"/>
      <c r="V5" s="130"/>
      <c r="W5" s="185"/>
      <c r="X5" s="260"/>
      <c r="Y5" s="263"/>
      <c r="Z5" s="263"/>
      <c r="AA5" s="263"/>
      <c r="AB5" s="263"/>
      <c r="AC5" s="130"/>
    </row>
    <row r="6" spans="1:29" ht="15" customHeight="1">
      <c r="A6" s="248"/>
      <c r="B6" s="232"/>
      <c r="C6" s="232"/>
      <c r="D6" s="232"/>
      <c r="E6" s="232"/>
      <c r="F6" s="232"/>
      <c r="G6" s="247"/>
      <c r="H6" s="185"/>
      <c r="I6" s="248"/>
      <c r="J6" s="232"/>
      <c r="K6" s="232"/>
      <c r="L6" s="232"/>
      <c r="M6" s="232"/>
      <c r="N6" s="232"/>
      <c r="O6" s="247"/>
      <c r="P6" s="185"/>
      <c r="Q6" s="256"/>
      <c r="R6" s="256"/>
      <c r="S6" s="256"/>
      <c r="T6" s="256"/>
      <c r="U6" s="256"/>
      <c r="V6" s="130"/>
      <c r="W6" s="185"/>
      <c r="X6" s="260"/>
      <c r="Y6" s="263"/>
      <c r="Z6" s="263"/>
      <c r="AA6" s="263"/>
      <c r="AB6" s="263"/>
      <c r="AC6" s="130"/>
    </row>
    <row r="7" spans="1:29" ht="15" customHeight="1">
      <c r="A7" s="248"/>
      <c r="B7" s="232"/>
      <c r="C7" s="232"/>
      <c r="D7" s="232"/>
      <c r="E7" s="232"/>
      <c r="F7" s="232"/>
      <c r="G7" s="247"/>
      <c r="H7" s="185"/>
      <c r="I7" s="248"/>
      <c r="J7" s="232"/>
      <c r="K7" s="232"/>
      <c r="L7" s="232"/>
      <c r="M7" s="232"/>
      <c r="N7" s="232"/>
      <c r="O7" s="247"/>
      <c r="P7" s="185"/>
      <c r="Q7" s="256"/>
      <c r="R7" s="256"/>
      <c r="S7" s="256"/>
      <c r="T7" s="256"/>
      <c r="U7" s="256"/>
      <c r="V7" s="130"/>
      <c r="W7" s="185"/>
      <c r="X7" s="260"/>
      <c r="Y7" s="263"/>
      <c r="Z7" s="263"/>
      <c r="AA7" s="263"/>
      <c r="AB7" s="263"/>
      <c r="AC7" s="130"/>
    </row>
    <row r="8" spans="1:29">
      <c r="A8" s="248"/>
      <c r="B8" s="232"/>
      <c r="C8" s="232"/>
      <c r="D8" s="232"/>
      <c r="E8" s="232"/>
      <c r="F8" s="232"/>
      <c r="G8" s="247"/>
      <c r="H8" s="185"/>
      <c r="I8" s="248"/>
      <c r="J8" s="232"/>
      <c r="K8" s="232"/>
      <c r="L8" s="232"/>
      <c r="M8" s="232"/>
      <c r="N8" s="232"/>
      <c r="O8" s="247"/>
      <c r="P8" s="185"/>
      <c r="Q8" s="256"/>
      <c r="R8" s="256"/>
      <c r="S8" s="256"/>
      <c r="T8" s="256"/>
      <c r="U8" s="256"/>
      <c r="V8" s="130"/>
      <c r="W8" s="185"/>
      <c r="X8" s="260"/>
      <c r="Y8" s="263"/>
      <c r="Z8" s="263"/>
      <c r="AA8" s="263"/>
      <c r="AB8" s="263"/>
      <c r="AC8" s="130"/>
    </row>
    <row r="9" spans="1:29">
      <c r="A9" s="248"/>
      <c r="B9" s="232"/>
      <c r="C9" s="232"/>
      <c r="D9" s="232"/>
      <c r="E9" s="232"/>
      <c r="F9" s="232"/>
      <c r="G9" s="247"/>
      <c r="H9" s="185"/>
      <c r="I9" s="248"/>
      <c r="J9" s="232"/>
      <c r="K9" s="232"/>
      <c r="L9" s="232"/>
      <c r="M9" s="232"/>
      <c r="N9" s="232"/>
      <c r="O9" s="247"/>
      <c r="P9" s="185"/>
      <c r="Q9" s="256"/>
      <c r="R9" s="256"/>
      <c r="S9" s="256"/>
      <c r="T9" s="256"/>
      <c r="U9" s="256"/>
      <c r="V9" s="130"/>
      <c r="W9" s="185"/>
      <c r="X9" s="260"/>
      <c r="Y9" s="264"/>
      <c r="Z9" s="264"/>
      <c r="AA9" s="264"/>
      <c r="AB9" s="264"/>
      <c r="AC9" s="130"/>
    </row>
    <row r="10" spans="1:29">
      <c r="A10" s="248"/>
      <c r="B10" s="232"/>
      <c r="C10" s="232"/>
      <c r="D10" s="232"/>
      <c r="E10" s="232"/>
      <c r="F10" s="232"/>
      <c r="G10" s="247"/>
      <c r="H10" s="185"/>
      <c r="I10" s="248"/>
      <c r="J10" s="232"/>
      <c r="K10" s="232"/>
      <c r="L10" s="232"/>
      <c r="M10" s="232"/>
      <c r="N10" s="232"/>
      <c r="O10" s="247"/>
      <c r="P10" s="185"/>
      <c r="Q10" s="256"/>
      <c r="R10" s="256"/>
      <c r="S10" s="256"/>
      <c r="T10" s="256"/>
      <c r="U10" s="256"/>
      <c r="V10" s="130"/>
      <c r="W10" s="185"/>
      <c r="X10" s="261"/>
      <c r="Y10" s="96">
        <v>0</v>
      </c>
      <c r="Z10" s="96">
        <f>_xlfn.CEILING.MATH(AB10*1/3,0.5)</f>
        <v>0</v>
      </c>
      <c r="AA10" s="96">
        <f>_xlfn.CEILING.MATH(AB10*2/3,0.5)</f>
        <v>0</v>
      </c>
      <c r="AB10" s="97">
        <f>AC36-SUM(,AB34,AB26,AB18)</f>
        <v>0</v>
      </c>
      <c r="AC10" s="39"/>
    </row>
    <row r="11" spans="1:29">
      <c r="A11" s="248"/>
      <c r="B11" s="232"/>
      <c r="C11" s="232"/>
      <c r="D11" s="232"/>
      <c r="E11" s="232"/>
      <c r="F11" s="232"/>
      <c r="G11" s="247"/>
      <c r="H11" s="185"/>
      <c r="I11" s="248"/>
      <c r="J11" s="232"/>
      <c r="K11" s="232"/>
      <c r="L11" s="232"/>
      <c r="M11" s="232"/>
      <c r="N11" s="232"/>
      <c r="O11" s="247"/>
      <c r="P11" s="185"/>
      <c r="Q11" s="256"/>
      <c r="R11" s="230"/>
      <c r="S11" s="230"/>
      <c r="T11" s="230"/>
      <c r="U11" s="230"/>
      <c r="V11" s="130"/>
      <c r="W11" s="185"/>
      <c r="X11" s="265" t="s">
        <v>378</v>
      </c>
      <c r="Y11" s="268" t="s">
        <v>379</v>
      </c>
      <c r="Z11" s="268" t="s">
        <v>380</v>
      </c>
      <c r="AA11" s="268" t="s">
        <v>381</v>
      </c>
      <c r="AB11" s="268" t="s">
        <v>382</v>
      </c>
      <c r="AC11" s="130"/>
    </row>
    <row r="12" spans="1:29">
      <c r="A12" s="248"/>
      <c r="B12" s="232"/>
      <c r="C12" s="232"/>
      <c r="D12" s="232"/>
      <c r="E12" s="232"/>
      <c r="F12" s="232"/>
      <c r="G12" s="247"/>
      <c r="H12" s="185"/>
      <c r="I12" s="248"/>
      <c r="J12" s="232"/>
      <c r="K12" s="232"/>
      <c r="L12" s="232"/>
      <c r="M12" s="232"/>
      <c r="N12" s="232"/>
      <c r="O12" s="247"/>
      <c r="P12" s="185"/>
      <c r="Q12" s="230"/>
      <c r="R12" s="96">
        <v>0</v>
      </c>
      <c r="S12" s="96">
        <f>_xlfn.CEILING.MATH(U12*1/3,0.5)</f>
        <v>1.5</v>
      </c>
      <c r="T12" s="96">
        <f>_xlfn.CEILING.MATH(U12*2/3,0.5)</f>
        <v>3</v>
      </c>
      <c r="U12" s="97">
        <f>V41-SUM(U39,U32,U26,U20)</f>
        <v>4</v>
      </c>
      <c r="V12" s="39"/>
      <c r="W12" s="185"/>
      <c r="X12" s="266"/>
      <c r="Y12" s="269"/>
      <c r="Z12" s="269"/>
      <c r="AA12" s="269"/>
      <c r="AB12" s="269"/>
      <c r="AC12" s="130"/>
    </row>
    <row r="13" spans="1:29" ht="15" customHeight="1">
      <c r="A13" s="248"/>
      <c r="B13" s="232"/>
      <c r="C13" s="232"/>
      <c r="D13" s="232"/>
      <c r="E13" s="232"/>
      <c r="F13" s="232"/>
      <c r="G13" s="247"/>
      <c r="H13" s="185"/>
      <c r="I13" s="248"/>
      <c r="J13" s="232"/>
      <c r="K13" s="232"/>
      <c r="L13" s="232"/>
      <c r="M13" s="232"/>
      <c r="N13" s="232"/>
      <c r="O13" s="247"/>
      <c r="P13" s="185"/>
      <c r="Q13" s="240" t="s">
        <v>383</v>
      </c>
      <c r="R13" s="236" t="s">
        <v>384</v>
      </c>
      <c r="S13" s="236" t="s">
        <v>385</v>
      </c>
      <c r="T13" s="236" t="s">
        <v>386</v>
      </c>
      <c r="U13" s="236" t="s">
        <v>387</v>
      </c>
      <c r="V13" s="130"/>
      <c r="W13" s="185"/>
      <c r="X13" s="266"/>
      <c r="Y13" s="269"/>
      <c r="Z13" s="269"/>
      <c r="AA13" s="269"/>
      <c r="AB13" s="269"/>
      <c r="AC13" s="130"/>
    </row>
    <row r="14" spans="1:29">
      <c r="A14" s="248"/>
      <c r="B14" s="232"/>
      <c r="C14" s="232"/>
      <c r="D14" s="232"/>
      <c r="E14" s="232"/>
      <c r="F14" s="232"/>
      <c r="G14" s="247"/>
      <c r="H14" s="185"/>
      <c r="I14" s="248"/>
      <c r="J14" s="232"/>
      <c r="K14" s="232"/>
      <c r="L14" s="232"/>
      <c r="M14" s="232"/>
      <c r="N14" s="232"/>
      <c r="O14" s="247"/>
      <c r="P14" s="185"/>
      <c r="Q14" s="256"/>
      <c r="R14" s="256"/>
      <c r="S14" s="256"/>
      <c r="T14" s="256"/>
      <c r="U14" s="256"/>
      <c r="V14" s="130"/>
      <c r="W14" s="185"/>
      <c r="X14" s="266"/>
      <c r="Y14" s="269"/>
      <c r="Z14" s="269"/>
      <c r="AA14" s="269"/>
      <c r="AB14" s="269"/>
      <c r="AC14" s="130"/>
    </row>
    <row r="15" spans="1:29">
      <c r="A15" s="248"/>
      <c r="B15" s="232"/>
      <c r="C15" s="232"/>
      <c r="D15" s="232"/>
      <c r="E15" s="232"/>
      <c r="F15" s="232"/>
      <c r="G15" s="247"/>
      <c r="H15" s="185"/>
      <c r="I15" s="248"/>
      <c r="J15" s="232"/>
      <c r="K15" s="232"/>
      <c r="L15" s="232"/>
      <c r="M15" s="232"/>
      <c r="N15" s="232"/>
      <c r="O15" s="247"/>
      <c r="P15" s="185"/>
      <c r="Q15" s="256"/>
      <c r="R15" s="256"/>
      <c r="S15" s="256"/>
      <c r="T15" s="256"/>
      <c r="U15" s="256"/>
      <c r="V15" s="130"/>
      <c r="W15" s="185"/>
      <c r="X15" s="266"/>
      <c r="Y15" s="269"/>
      <c r="Z15" s="269"/>
      <c r="AA15" s="269"/>
      <c r="AB15" s="269"/>
      <c r="AC15" s="130"/>
    </row>
    <row r="16" spans="1:29">
      <c r="A16" s="248"/>
      <c r="B16" s="232"/>
      <c r="C16" s="232"/>
      <c r="D16" s="232"/>
      <c r="E16" s="232"/>
      <c r="F16" s="232"/>
      <c r="G16" s="247"/>
      <c r="H16" s="185"/>
      <c r="I16" s="248"/>
      <c r="J16" s="232"/>
      <c r="K16" s="232"/>
      <c r="L16" s="232"/>
      <c r="M16" s="232"/>
      <c r="N16" s="232"/>
      <c r="O16" s="247"/>
      <c r="P16" s="185"/>
      <c r="Q16" s="256"/>
      <c r="R16" s="256"/>
      <c r="S16" s="256"/>
      <c r="T16" s="256"/>
      <c r="U16" s="256"/>
      <c r="V16" s="130"/>
      <c r="W16" s="185"/>
      <c r="X16" s="266"/>
      <c r="Y16" s="269"/>
      <c r="Z16" s="269"/>
      <c r="AA16" s="269"/>
      <c r="AB16" s="269"/>
      <c r="AC16" s="130"/>
    </row>
    <row r="17" spans="1:29">
      <c r="A17" s="248"/>
      <c r="B17" s="232"/>
      <c r="C17" s="232"/>
      <c r="D17" s="232"/>
      <c r="E17" s="232"/>
      <c r="F17" s="232"/>
      <c r="G17" s="247"/>
      <c r="H17" s="185"/>
      <c r="I17" s="248"/>
      <c r="J17" s="232"/>
      <c r="K17" s="232"/>
      <c r="L17" s="232"/>
      <c r="M17" s="232"/>
      <c r="N17" s="232"/>
      <c r="O17" s="247"/>
      <c r="P17" s="185"/>
      <c r="Q17" s="256"/>
      <c r="R17" s="256"/>
      <c r="S17" s="256"/>
      <c r="T17" s="256"/>
      <c r="U17" s="256"/>
      <c r="V17" s="130"/>
      <c r="W17" s="185"/>
      <c r="X17" s="266"/>
      <c r="Y17" s="270"/>
      <c r="Z17" s="270"/>
      <c r="AA17" s="270"/>
      <c r="AB17" s="270"/>
      <c r="AC17" s="130"/>
    </row>
    <row r="18" spans="1:29">
      <c r="A18" s="248"/>
      <c r="B18" s="232"/>
      <c r="C18" s="232"/>
      <c r="D18" s="232"/>
      <c r="E18" s="232"/>
      <c r="F18" s="232"/>
      <c r="G18" s="247"/>
      <c r="H18" s="185"/>
      <c r="I18" s="248"/>
      <c r="J18" s="232"/>
      <c r="K18" s="232"/>
      <c r="L18" s="232"/>
      <c r="M18" s="232"/>
      <c r="N18" s="232"/>
      <c r="O18" s="247"/>
      <c r="P18" s="185"/>
      <c r="Q18" s="256"/>
      <c r="R18" s="256"/>
      <c r="S18" s="256"/>
      <c r="T18" s="256"/>
      <c r="U18" s="256"/>
      <c r="V18" s="130"/>
      <c r="W18" s="185"/>
      <c r="X18" s="267"/>
      <c r="Y18" s="98">
        <v>0</v>
      </c>
      <c r="Z18" s="98">
        <f>_xlfn.CEILING.MATH(AB18*1/3,0.5)</f>
        <v>0</v>
      </c>
      <c r="AA18" s="98">
        <f>_xlfn.CEILING.MATH(AB18*2/3,0.5)</f>
        <v>0</v>
      </c>
      <c r="AB18" s="99">
        <f>ROUND($AC$36/4,0)</f>
        <v>0</v>
      </c>
      <c r="AC18" s="39"/>
    </row>
    <row r="19" spans="1:29">
      <c r="A19" s="248"/>
      <c r="B19" s="232"/>
      <c r="C19" s="232"/>
      <c r="D19" s="232"/>
      <c r="E19" s="232"/>
      <c r="F19" s="232"/>
      <c r="G19" s="247"/>
      <c r="H19" s="185"/>
      <c r="I19" s="248"/>
      <c r="J19" s="232"/>
      <c r="K19" s="232"/>
      <c r="L19" s="232"/>
      <c r="M19" s="232"/>
      <c r="N19" s="232"/>
      <c r="O19" s="247"/>
      <c r="P19" s="185"/>
      <c r="Q19" s="256"/>
      <c r="R19" s="230"/>
      <c r="S19" s="230"/>
      <c r="T19" s="230"/>
      <c r="U19" s="230"/>
      <c r="V19" s="130"/>
      <c r="W19" s="185"/>
      <c r="X19" s="259" t="s">
        <v>388</v>
      </c>
      <c r="Y19" s="262" t="s">
        <v>374</v>
      </c>
      <c r="Z19" s="262" t="s">
        <v>375</v>
      </c>
      <c r="AA19" s="262" t="s">
        <v>376</v>
      </c>
      <c r="AB19" s="262" t="s">
        <v>377</v>
      </c>
      <c r="AC19" s="130"/>
    </row>
    <row r="20" spans="1:29">
      <c r="A20" s="248"/>
      <c r="B20" s="232"/>
      <c r="C20" s="232"/>
      <c r="D20" s="232"/>
      <c r="E20" s="232"/>
      <c r="F20" s="232"/>
      <c r="G20" s="247"/>
      <c r="H20" s="185"/>
      <c r="I20" s="248"/>
      <c r="J20" s="232"/>
      <c r="K20" s="232"/>
      <c r="L20" s="232"/>
      <c r="M20" s="232"/>
      <c r="N20" s="232"/>
      <c r="O20" s="247"/>
      <c r="P20" s="185"/>
      <c r="Q20" s="230"/>
      <c r="R20" s="98">
        <v>0</v>
      </c>
      <c r="S20" s="98">
        <f>_xlfn.CEILING.MATH(U20*1/3,0.5)</f>
        <v>1</v>
      </c>
      <c r="T20" s="98">
        <f>_xlfn.CEILING.MATH(U20*2/3,0.5)</f>
        <v>2</v>
      </c>
      <c r="U20" s="99">
        <f>ROUND(($V$41/2)/2,0)</f>
        <v>3</v>
      </c>
      <c r="V20" s="39"/>
      <c r="W20" s="185"/>
      <c r="X20" s="260"/>
      <c r="Y20" s="263"/>
      <c r="Z20" s="263"/>
      <c r="AA20" s="263"/>
      <c r="AB20" s="263"/>
      <c r="AC20" s="130"/>
    </row>
    <row r="21" spans="1:29" ht="15" customHeight="1">
      <c r="A21" s="248"/>
      <c r="B21" s="232"/>
      <c r="C21" s="232"/>
      <c r="D21" s="232"/>
      <c r="E21" s="232"/>
      <c r="F21" s="232"/>
      <c r="G21" s="247"/>
      <c r="H21" s="185"/>
      <c r="I21" s="248"/>
      <c r="J21" s="232"/>
      <c r="K21" s="232"/>
      <c r="L21" s="232"/>
      <c r="M21" s="232"/>
      <c r="N21" s="232"/>
      <c r="O21" s="247"/>
      <c r="P21" s="185"/>
      <c r="Q21" s="238" t="s">
        <v>389</v>
      </c>
      <c r="R21" s="239" t="s">
        <v>390</v>
      </c>
      <c r="S21" s="239" t="s">
        <v>391</v>
      </c>
      <c r="T21" s="239" t="s">
        <v>392</v>
      </c>
      <c r="U21" s="239" t="s">
        <v>393</v>
      </c>
      <c r="V21" s="130"/>
      <c r="W21" s="185"/>
      <c r="X21" s="260"/>
      <c r="Y21" s="263"/>
      <c r="Z21" s="263"/>
      <c r="AA21" s="263"/>
      <c r="AB21" s="263"/>
      <c r="AC21" s="130"/>
    </row>
    <row r="22" spans="1:29">
      <c r="A22" s="248"/>
      <c r="B22" s="232"/>
      <c r="C22" s="232"/>
      <c r="D22" s="232"/>
      <c r="E22" s="232"/>
      <c r="F22" s="232"/>
      <c r="G22" s="247"/>
      <c r="H22" s="185"/>
      <c r="I22" s="248"/>
      <c r="J22" s="232"/>
      <c r="K22" s="232"/>
      <c r="L22" s="232"/>
      <c r="M22" s="232"/>
      <c r="N22" s="232"/>
      <c r="O22" s="247"/>
      <c r="P22" s="185"/>
      <c r="Q22" s="256"/>
      <c r="R22" s="256"/>
      <c r="S22" s="256"/>
      <c r="T22" s="256"/>
      <c r="U22" s="256"/>
      <c r="V22" s="130"/>
      <c r="W22" s="185"/>
      <c r="X22" s="260"/>
      <c r="Y22" s="263"/>
      <c r="Z22" s="263"/>
      <c r="AA22" s="263"/>
      <c r="AB22" s="263"/>
      <c r="AC22" s="130"/>
    </row>
    <row r="23" spans="1:29" ht="15.95" customHeight="1" thickBot="1">
      <c r="A23" s="248"/>
      <c r="B23" s="232"/>
      <c r="C23" s="232"/>
      <c r="D23" s="232"/>
      <c r="E23" s="232"/>
      <c r="F23" s="232"/>
      <c r="G23" s="247"/>
      <c r="H23" s="185"/>
      <c r="I23" s="249"/>
      <c r="J23" s="250"/>
      <c r="K23" s="250"/>
      <c r="L23" s="250"/>
      <c r="M23" s="250"/>
      <c r="N23" s="250"/>
      <c r="O23" s="251"/>
      <c r="P23" s="185"/>
      <c r="Q23" s="256"/>
      <c r="R23" s="256"/>
      <c r="S23" s="256"/>
      <c r="T23" s="256"/>
      <c r="U23" s="256"/>
      <c r="V23" s="130"/>
      <c r="W23" s="185"/>
      <c r="X23" s="260"/>
      <c r="Y23" s="263"/>
      <c r="Z23" s="263"/>
      <c r="AA23" s="263"/>
      <c r="AB23" s="263"/>
      <c r="AC23" s="130"/>
    </row>
    <row r="24" spans="1:29" ht="15.95" customHeight="1" thickBot="1">
      <c r="A24" s="248"/>
      <c r="B24" s="232"/>
      <c r="C24" s="232"/>
      <c r="D24" s="232"/>
      <c r="E24" s="232"/>
      <c r="F24" s="232"/>
      <c r="G24" s="247"/>
      <c r="H24" s="185"/>
      <c r="I24" s="185"/>
      <c r="J24" s="185"/>
      <c r="K24" s="185"/>
      <c r="L24" s="185"/>
      <c r="M24" s="185"/>
      <c r="N24" s="185"/>
      <c r="O24" s="185"/>
      <c r="P24" s="185"/>
      <c r="Q24" s="256"/>
      <c r="R24" s="256"/>
      <c r="S24" s="256"/>
      <c r="T24" s="256"/>
      <c r="U24" s="256"/>
      <c r="V24" s="130"/>
      <c r="W24" s="185"/>
      <c r="X24" s="260"/>
      <c r="Y24" s="263"/>
      <c r="Z24" s="263"/>
      <c r="AA24" s="263"/>
      <c r="AB24" s="263"/>
      <c r="AC24" s="130"/>
    </row>
    <row r="25" spans="1:29">
      <c r="A25" s="248"/>
      <c r="B25" s="232"/>
      <c r="C25" s="232"/>
      <c r="D25" s="232"/>
      <c r="E25" s="232"/>
      <c r="F25" s="232"/>
      <c r="G25" s="247"/>
      <c r="H25" s="185"/>
      <c r="I25" s="125" t="s">
        <v>394</v>
      </c>
      <c r="J25" s="126"/>
      <c r="K25" s="126"/>
      <c r="L25" s="126"/>
      <c r="M25" s="126"/>
      <c r="N25" s="126"/>
      <c r="O25" s="127"/>
      <c r="P25" s="185"/>
      <c r="Q25" s="256"/>
      <c r="R25" s="230"/>
      <c r="S25" s="230"/>
      <c r="T25" s="230"/>
      <c r="U25" s="230"/>
      <c r="V25" s="130"/>
      <c r="W25" s="185"/>
      <c r="X25" s="260"/>
      <c r="Y25" s="264"/>
      <c r="Z25" s="264"/>
      <c r="AA25" s="264"/>
      <c r="AB25" s="264"/>
      <c r="AC25" s="130"/>
    </row>
    <row r="26" spans="1:29">
      <c r="A26" s="248"/>
      <c r="B26" s="232"/>
      <c r="C26" s="232"/>
      <c r="D26" s="232"/>
      <c r="E26" s="232"/>
      <c r="F26" s="232"/>
      <c r="G26" s="247"/>
      <c r="H26" s="185"/>
      <c r="I26" s="258" t="s">
        <v>395</v>
      </c>
      <c r="J26" s="232"/>
      <c r="K26" s="232"/>
      <c r="L26" s="232"/>
      <c r="M26" s="232"/>
      <c r="N26" s="232"/>
      <c r="O26" s="247"/>
      <c r="P26" s="185"/>
      <c r="Q26" s="230"/>
      <c r="R26" s="96">
        <v>0</v>
      </c>
      <c r="S26" s="96">
        <f>_xlfn.CEILING.MATH(U26*1/3,0.5)</f>
        <v>1</v>
      </c>
      <c r="T26" s="96">
        <f>_xlfn.CEILING.MATH(U26*2/3,0.5)</f>
        <v>1.5</v>
      </c>
      <c r="U26" s="97">
        <f>ROUND(($V$41/2)/3,0)</f>
        <v>2</v>
      </c>
      <c r="V26" s="39"/>
      <c r="W26" s="185"/>
      <c r="X26" s="261"/>
      <c r="Y26" s="96">
        <v>0</v>
      </c>
      <c r="Z26" s="96">
        <f>_xlfn.CEILING.MATH(AB26*1/3,0.5)</f>
        <v>0</v>
      </c>
      <c r="AA26" s="96">
        <f>_xlfn.CEILING.MATH(AB26*2/3,0.5)</f>
        <v>0</v>
      </c>
      <c r="AB26" s="97">
        <f>ROUND($AC$36/4,0)</f>
        <v>0</v>
      </c>
      <c r="AC26" s="39"/>
    </row>
    <row r="27" spans="1:29" ht="15" customHeight="1">
      <c r="A27" s="248"/>
      <c r="B27" s="232"/>
      <c r="C27" s="232"/>
      <c r="D27" s="232"/>
      <c r="E27" s="232"/>
      <c r="F27" s="232"/>
      <c r="G27" s="247"/>
      <c r="H27" s="185"/>
      <c r="I27" s="248"/>
      <c r="J27" s="232"/>
      <c r="K27" s="232"/>
      <c r="L27" s="232"/>
      <c r="M27" s="232"/>
      <c r="N27" s="232"/>
      <c r="O27" s="247"/>
      <c r="P27" s="185"/>
      <c r="Q27" s="240" t="s">
        <v>396</v>
      </c>
      <c r="R27" s="236" t="s">
        <v>397</v>
      </c>
      <c r="S27" s="236" t="s">
        <v>398</v>
      </c>
      <c r="T27" s="236" t="s">
        <v>399</v>
      </c>
      <c r="U27" s="236" t="s">
        <v>400</v>
      </c>
      <c r="V27" s="130"/>
      <c r="W27" s="185"/>
      <c r="X27" s="265" t="s">
        <v>401</v>
      </c>
      <c r="Y27" s="268" t="s">
        <v>379</v>
      </c>
      <c r="Z27" s="268" t="s">
        <v>380</v>
      </c>
      <c r="AA27" s="268" t="s">
        <v>381</v>
      </c>
      <c r="AB27" s="268" t="s">
        <v>382</v>
      </c>
      <c r="AC27" s="130"/>
    </row>
    <row r="28" spans="1:29">
      <c r="A28" s="248"/>
      <c r="B28" s="232"/>
      <c r="C28" s="232"/>
      <c r="D28" s="232"/>
      <c r="E28" s="232"/>
      <c r="F28" s="232"/>
      <c r="G28" s="247"/>
      <c r="H28" s="185"/>
      <c r="I28" s="248"/>
      <c r="J28" s="232"/>
      <c r="K28" s="232"/>
      <c r="L28" s="232"/>
      <c r="M28" s="232"/>
      <c r="N28" s="232"/>
      <c r="O28" s="247"/>
      <c r="P28" s="185"/>
      <c r="Q28" s="256"/>
      <c r="R28" s="256"/>
      <c r="S28" s="256"/>
      <c r="T28" s="256"/>
      <c r="U28" s="256"/>
      <c r="V28" s="130"/>
      <c r="W28" s="185"/>
      <c r="X28" s="266"/>
      <c r="Y28" s="269"/>
      <c r="Z28" s="269"/>
      <c r="AA28" s="269"/>
      <c r="AB28" s="269"/>
      <c r="AC28" s="130"/>
    </row>
    <row r="29" spans="1:29">
      <c r="A29" s="248"/>
      <c r="B29" s="232"/>
      <c r="C29" s="232"/>
      <c r="D29" s="232"/>
      <c r="E29" s="232"/>
      <c r="F29" s="232"/>
      <c r="G29" s="247"/>
      <c r="H29" s="185"/>
      <c r="I29" s="248"/>
      <c r="J29" s="232"/>
      <c r="K29" s="232"/>
      <c r="L29" s="232"/>
      <c r="M29" s="232"/>
      <c r="N29" s="232"/>
      <c r="O29" s="247"/>
      <c r="P29" s="185"/>
      <c r="Q29" s="256"/>
      <c r="R29" s="256"/>
      <c r="S29" s="256"/>
      <c r="T29" s="256"/>
      <c r="U29" s="256"/>
      <c r="V29" s="130"/>
      <c r="W29" s="185"/>
      <c r="X29" s="266"/>
      <c r="Y29" s="269"/>
      <c r="Z29" s="269"/>
      <c r="AA29" s="269"/>
      <c r="AB29" s="269"/>
      <c r="AC29" s="130"/>
    </row>
    <row r="30" spans="1:29">
      <c r="A30" s="248"/>
      <c r="B30" s="232"/>
      <c r="C30" s="232"/>
      <c r="D30" s="232"/>
      <c r="E30" s="232"/>
      <c r="F30" s="232"/>
      <c r="G30" s="247"/>
      <c r="H30" s="185"/>
      <c r="I30" s="248"/>
      <c r="J30" s="232"/>
      <c r="K30" s="232"/>
      <c r="L30" s="232"/>
      <c r="M30" s="232"/>
      <c r="N30" s="232"/>
      <c r="O30" s="247"/>
      <c r="P30" s="185"/>
      <c r="Q30" s="256"/>
      <c r="R30" s="256"/>
      <c r="S30" s="256"/>
      <c r="T30" s="256"/>
      <c r="U30" s="256"/>
      <c r="V30" s="130"/>
      <c r="W30" s="185"/>
      <c r="X30" s="266"/>
      <c r="Y30" s="269"/>
      <c r="Z30" s="269"/>
      <c r="AA30" s="269"/>
      <c r="AB30" s="269"/>
      <c r="AC30" s="130"/>
    </row>
    <row r="31" spans="1:29">
      <c r="A31" s="248"/>
      <c r="B31" s="232"/>
      <c r="C31" s="232"/>
      <c r="D31" s="232"/>
      <c r="E31" s="232"/>
      <c r="F31" s="232"/>
      <c r="G31" s="247"/>
      <c r="H31" s="185"/>
      <c r="I31" s="248"/>
      <c r="J31" s="232"/>
      <c r="K31" s="232"/>
      <c r="L31" s="232"/>
      <c r="M31" s="232"/>
      <c r="N31" s="232"/>
      <c r="O31" s="247"/>
      <c r="P31" s="185"/>
      <c r="Q31" s="256"/>
      <c r="R31" s="230"/>
      <c r="S31" s="230"/>
      <c r="T31" s="230"/>
      <c r="U31" s="230"/>
      <c r="V31" s="130"/>
      <c r="W31" s="185"/>
      <c r="X31" s="266"/>
      <c r="Y31" s="269"/>
      <c r="Z31" s="269"/>
      <c r="AA31" s="269"/>
      <c r="AB31" s="269"/>
      <c r="AC31" s="130"/>
    </row>
    <row r="32" spans="1:29">
      <c r="A32" s="248"/>
      <c r="B32" s="232"/>
      <c r="C32" s="232"/>
      <c r="D32" s="232"/>
      <c r="E32" s="232"/>
      <c r="F32" s="232"/>
      <c r="G32" s="247"/>
      <c r="H32" s="185"/>
      <c r="I32" s="248"/>
      <c r="J32" s="232"/>
      <c r="K32" s="232"/>
      <c r="L32" s="232"/>
      <c r="M32" s="232"/>
      <c r="N32" s="232"/>
      <c r="O32" s="247"/>
      <c r="P32" s="185"/>
      <c r="Q32" s="230"/>
      <c r="R32" s="98">
        <v>0</v>
      </c>
      <c r="S32" s="98">
        <f>_xlfn.CEILING.MATH(U32*1/3,0.5)</f>
        <v>1</v>
      </c>
      <c r="T32" s="98">
        <f>_xlfn.CEILING.MATH(U32*2/3,0.5)</f>
        <v>1.5</v>
      </c>
      <c r="U32" s="99">
        <f>ROUND(($V$41/2)/3,0)</f>
        <v>2</v>
      </c>
      <c r="V32" s="39"/>
      <c r="W32" s="185"/>
      <c r="X32" s="266"/>
      <c r="Y32" s="269"/>
      <c r="Z32" s="269"/>
      <c r="AA32" s="269"/>
      <c r="AB32" s="269"/>
      <c r="AC32" s="130"/>
    </row>
    <row r="33" spans="1:29" ht="15" customHeight="1">
      <c r="A33" s="248"/>
      <c r="B33" s="232"/>
      <c r="C33" s="232"/>
      <c r="D33" s="232"/>
      <c r="E33" s="232"/>
      <c r="F33" s="232"/>
      <c r="G33" s="247"/>
      <c r="H33" s="185"/>
      <c r="I33" s="248"/>
      <c r="J33" s="232"/>
      <c r="K33" s="232"/>
      <c r="L33" s="232"/>
      <c r="M33" s="232"/>
      <c r="N33" s="232"/>
      <c r="O33" s="247"/>
      <c r="P33" s="185"/>
      <c r="Q33" s="238" t="s">
        <v>402</v>
      </c>
      <c r="R33" s="239" t="s">
        <v>403</v>
      </c>
      <c r="S33" s="239" t="s">
        <v>404</v>
      </c>
      <c r="T33" s="239" t="s">
        <v>405</v>
      </c>
      <c r="U33" s="239" t="s">
        <v>406</v>
      </c>
      <c r="V33" s="130"/>
      <c r="W33" s="185"/>
      <c r="X33" s="266"/>
      <c r="Y33" s="270"/>
      <c r="Z33" s="270"/>
      <c r="AA33" s="270"/>
      <c r="AB33" s="270"/>
      <c r="AC33" s="130"/>
    </row>
    <row r="34" spans="1:29" ht="15" customHeight="1" thickBot="1">
      <c r="A34" s="248"/>
      <c r="B34" s="232"/>
      <c r="C34" s="232"/>
      <c r="D34" s="232"/>
      <c r="E34" s="232"/>
      <c r="F34" s="232"/>
      <c r="G34" s="247"/>
      <c r="H34" s="185"/>
      <c r="I34" s="248"/>
      <c r="J34" s="232"/>
      <c r="K34" s="232"/>
      <c r="L34" s="232"/>
      <c r="M34" s="232"/>
      <c r="N34" s="232"/>
      <c r="O34" s="247"/>
      <c r="P34" s="185"/>
      <c r="Q34" s="256"/>
      <c r="R34" s="256"/>
      <c r="S34" s="256"/>
      <c r="T34" s="256"/>
      <c r="U34" s="256"/>
      <c r="V34" s="130"/>
      <c r="W34" s="185"/>
      <c r="X34" s="267"/>
      <c r="Y34" s="98">
        <v>0</v>
      </c>
      <c r="Z34" s="98">
        <f>_xlfn.CEILING.MATH(AB34*1/3,0.5)</f>
        <v>0</v>
      </c>
      <c r="AA34" s="98">
        <f>_xlfn.CEILING.MATH(AB34*2/3,0.5)</f>
        <v>0</v>
      </c>
      <c r="AB34" s="99">
        <f>ROUND($AC$36/4,0)</f>
        <v>0</v>
      </c>
      <c r="AC34" s="39"/>
    </row>
    <row r="35" spans="1:29" ht="15.95" customHeight="1" thickBot="1">
      <c r="A35" s="248"/>
      <c r="B35" s="232"/>
      <c r="C35" s="232"/>
      <c r="D35" s="232"/>
      <c r="E35" s="232"/>
      <c r="F35" s="232"/>
      <c r="G35" s="247"/>
      <c r="H35" s="185"/>
      <c r="I35" s="248"/>
      <c r="J35" s="232"/>
      <c r="K35" s="232"/>
      <c r="L35" s="232"/>
      <c r="M35" s="232"/>
      <c r="N35" s="232"/>
      <c r="O35" s="247"/>
      <c r="P35" s="185"/>
      <c r="Q35" s="256"/>
      <c r="R35" s="256"/>
      <c r="S35" s="256"/>
      <c r="T35" s="256"/>
      <c r="U35" s="256"/>
      <c r="V35" s="130"/>
      <c r="W35" s="185"/>
      <c r="X35" s="55"/>
      <c r="Y35" s="55"/>
      <c r="Z35" s="55"/>
      <c r="AA35" s="55"/>
      <c r="AB35" s="100" t="s">
        <v>306</v>
      </c>
      <c r="AC35" s="102">
        <f>IF('Final Case'!B9="Yes",SUM(AC10,AC26,AC34,AC18),0)</f>
        <v>0</v>
      </c>
    </row>
    <row r="36" spans="1:29" ht="15.95" customHeight="1" thickBot="1">
      <c r="A36" s="248"/>
      <c r="B36" s="232"/>
      <c r="C36" s="232"/>
      <c r="D36" s="232"/>
      <c r="E36" s="232"/>
      <c r="F36" s="232"/>
      <c r="G36" s="247"/>
      <c r="H36" s="185"/>
      <c r="I36" s="248"/>
      <c r="J36" s="232"/>
      <c r="K36" s="232"/>
      <c r="L36" s="232"/>
      <c r="M36" s="232"/>
      <c r="N36" s="232"/>
      <c r="O36" s="247"/>
      <c r="P36" s="185"/>
      <c r="Q36" s="256"/>
      <c r="R36" s="256"/>
      <c r="S36" s="256"/>
      <c r="T36" s="256"/>
      <c r="U36" s="256"/>
      <c r="V36" s="130"/>
      <c r="W36" s="185"/>
      <c r="X36" s="67"/>
      <c r="Y36" s="67"/>
      <c r="Z36" s="67"/>
      <c r="AA36" s="67"/>
      <c r="AB36" s="101" t="s">
        <v>307</v>
      </c>
      <c r="AC36" s="103">
        <f>IF('Final Case'!B10="Yes",'Final Case'!B10-'Ratio Analysis (Q1 &amp; Q4)'!V20-'Correcting Entries (Q2)'!P22-'Updated Fin. Statements (Q3)'!R22,0)</f>
        <v>0</v>
      </c>
    </row>
    <row r="37" spans="1:29" ht="15.95" customHeight="1" thickBot="1">
      <c r="A37" s="249"/>
      <c r="B37" s="250"/>
      <c r="C37" s="250"/>
      <c r="D37" s="250"/>
      <c r="E37" s="250"/>
      <c r="F37" s="250"/>
      <c r="G37" s="251"/>
      <c r="H37" s="185"/>
      <c r="I37" s="248"/>
      <c r="J37" s="232"/>
      <c r="K37" s="232"/>
      <c r="L37" s="232"/>
      <c r="M37" s="232"/>
      <c r="N37" s="232"/>
      <c r="O37" s="247"/>
      <c r="P37" s="185"/>
      <c r="Q37" s="256"/>
      <c r="R37" s="256"/>
      <c r="S37" s="256"/>
      <c r="T37" s="256"/>
      <c r="U37" s="256"/>
      <c r="V37" s="130"/>
      <c r="W37" s="185"/>
      <c r="X37" s="185"/>
      <c r="Y37" s="185"/>
      <c r="Z37" s="185"/>
      <c r="AA37" s="185"/>
      <c r="AB37" s="185"/>
      <c r="AC37" s="185"/>
    </row>
    <row r="38" spans="1:29">
      <c r="A38" s="185"/>
      <c r="B38" s="185"/>
      <c r="C38" s="185"/>
      <c r="D38" s="185"/>
      <c r="E38" s="185"/>
      <c r="F38" s="185"/>
      <c r="G38" s="185"/>
      <c r="H38" s="185"/>
      <c r="I38" s="248"/>
      <c r="J38" s="232"/>
      <c r="K38" s="232"/>
      <c r="L38" s="232"/>
      <c r="M38" s="232"/>
      <c r="N38" s="232"/>
      <c r="O38" s="247"/>
      <c r="P38" s="185"/>
      <c r="Q38" s="256"/>
      <c r="R38" s="230"/>
      <c r="S38" s="230"/>
      <c r="T38" s="230"/>
      <c r="U38" s="230"/>
      <c r="V38" s="130"/>
      <c r="W38" s="185"/>
      <c r="X38" s="185"/>
      <c r="Y38" s="185"/>
      <c r="Z38" s="185"/>
      <c r="AA38" s="185"/>
      <c r="AB38" s="185"/>
      <c r="AC38" s="185"/>
    </row>
    <row r="39" spans="1:29" ht="15" customHeight="1" thickBot="1">
      <c r="A39" s="243" t="s">
        <v>407</v>
      </c>
      <c r="B39" s="256"/>
      <c r="C39" s="256"/>
      <c r="D39" s="256"/>
      <c r="E39" s="256"/>
      <c r="F39" s="256"/>
      <c r="G39" s="256"/>
      <c r="H39" s="185"/>
      <c r="I39" s="248"/>
      <c r="J39" s="232"/>
      <c r="K39" s="232"/>
      <c r="L39" s="232"/>
      <c r="M39" s="232"/>
      <c r="N39" s="232"/>
      <c r="O39" s="247"/>
      <c r="P39" s="185"/>
      <c r="Q39" s="230"/>
      <c r="R39" s="96">
        <v>0</v>
      </c>
      <c r="S39" s="96">
        <f>_xlfn.CEILING.MATH(U39*1/3,0.5)</f>
        <v>1</v>
      </c>
      <c r="T39" s="96">
        <f>_xlfn.CEILING.MATH(U39*2/3,0.5)</f>
        <v>1.5</v>
      </c>
      <c r="U39" s="97">
        <f>ROUND(($V$41/2)/3,0)</f>
        <v>2</v>
      </c>
      <c r="V39" s="39"/>
      <c r="W39" s="185"/>
      <c r="X39" s="185"/>
      <c r="Y39" s="185"/>
      <c r="Z39" s="185"/>
      <c r="AA39" s="185"/>
      <c r="AB39" s="185"/>
      <c r="AC39" s="185"/>
    </row>
    <row r="40" spans="1:29" ht="15.95" customHeight="1" thickBot="1">
      <c r="A40" s="256"/>
      <c r="B40" s="256"/>
      <c r="C40" s="256"/>
      <c r="D40" s="256"/>
      <c r="E40" s="256"/>
      <c r="F40" s="256"/>
      <c r="G40" s="256"/>
      <c r="H40" s="185"/>
      <c r="I40" s="248"/>
      <c r="J40" s="232"/>
      <c r="K40" s="232"/>
      <c r="L40" s="232"/>
      <c r="M40" s="232"/>
      <c r="N40" s="232"/>
      <c r="O40" s="247"/>
      <c r="P40" s="185"/>
      <c r="Q40" s="55"/>
      <c r="R40" s="55"/>
      <c r="S40" s="55"/>
      <c r="T40" s="55"/>
      <c r="U40" s="100" t="s">
        <v>306</v>
      </c>
      <c r="V40" s="102">
        <f>IF('Final Case'!B9="Yes",0,SUM(V12,V26,V32,V20,V39))</f>
        <v>0</v>
      </c>
      <c r="W40" s="185"/>
      <c r="X40" s="185"/>
      <c r="Y40" s="185"/>
      <c r="Z40" s="185"/>
      <c r="AA40" s="185"/>
      <c r="AB40" s="185"/>
      <c r="AC40" s="185"/>
    </row>
    <row r="41" spans="1:29" ht="15.95" customHeight="1" thickBot="1">
      <c r="A41" s="256"/>
      <c r="B41" s="256"/>
      <c r="C41" s="256"/>
      <c r="D41" s="256"/>
      <c r="E41" s="256"/>
      <c r="F41" s="256"/>
      <c r="G41" s="256"/>
      <c r="H41" s="185"/>
      <c r="I41" s="248"/>
      <c r="J41" s="232"/>
      <c r="K41" s="232"/>
      <c r="L41" s="232"/>
      <c r="M41" s="232"/>
      <c r="N41" s="232"/>
      <c r="O41" s="247"/>
      <c r="P41" s="185"/>
      <c r="Q41" s="67"/>
      <c r="R41" s="67"/>
      <c r="S41" s="67"/>
      <c r="T41" s="67"/>
      <c r="U41" s="101" t="s">
        <v>307</v>
      </c>
      <c r="V41" s="103">
        <f>IF('Final Case'!B10="Yes",0,'Final Case'!B10-'Ratio Analysis (Q1 &amp; Q4)'!V20-'Correcting Entries (Q2)'!P22-'Updated Fin. Statements (Q3)'!R22)</f>
        <v>13</v>
      </c>
      <c r="W41" s="185"/>
      <c r="X41" s="185"/>
      <c r="Y41" s="185"/>
      <c r="Z41" s="185"/>
      <c r="AA41" s="185"/>
      <c r="AB41" s="185"/>
      <c r="AC41" s="185"/>
    </row>
    <row r="42" spans="1:29" ht="15.95" customHeight="1" thickBot="1">
      <c r="A42" s="256"/>
      <c r="B42" s="256"/>
      <c r="C42" s="256"/>
      <c r="D42" s="256"/>
      <c r="E42" s="256"/>
      <c r="F42" s="256"/>
      <c r="G42" s="256"/>
      <c r="H42" s="185"/>
      <c r="I42" s="249"/>
      <c r="J42" s="250"/>
      <c r="K42" s="250"/>
      <c r="L42" s="250"/>
      <c r="M42" s="250"/>
      <c r="N42" s="250"/>
      <c r="O42" s="251"/>
      <c r="P42" s="185"/>
      <c r="Q42" s="185"/>
      <c r="R42" s="185"/>
      <c r="S42" s="185"/>
      <c r="T42" s="185"/>
      <c r="U42" s="185"/>
      <c r="V42" s="185"/>
      <c r="W42" s="185"/>
      <c r="X42" s="185"/>
      <c r="Y42" s="185"/>
      <c r="Z42" s="185"/>
      <c r="AA42" s="185"/>
      <c r="AB42" s="185"/>
      <c r="AC42" s="185"/>
    </row>
    <row r="43" spans="1:29" ht="15.95" customHeight="1" thickBot="1">
      <c r="A43" s="256"/>
      <c r="B43" s="256"/>
      <c r="C43" s="256"/>
      <c r="D43" s="256"/>
      <c r="E43" s="256"/>
      <c r="F43" s="256"/>
      <c r="G43" s="256"/>
      <c r="H43" s="185"/>
      <c r="I43" s="185"/>
      <c r="J43" s="185"/>
      <c r="K43" s="185"/>
      <c r="L43" s="185"/>
      <c r="M43" s="185"/>
      <c r="N43" s="185"/>
      <c r="O43" s="185"/>
      <c r="P43" s="185"/>
      <c r="Q43" s="185"/>
      <c r="R43" s="185"/>
      <c r="S43" s="185"/>
      <c r="T43" s="185"/>
      <c r="U43" s="185"/>
      <c r="V43" s="185"/>
      <c r="W43" s="185"/>
      <c r="X43" s="185"/>
      <c r="Y43" s="185"/>
      <c r="Z43" s="185"/>
      <c r="AA43" s="185"/>
      <c r="AB43" s="185"/>
      <c r="AC43" s="185"/>
    </row>
    <row r="44" spans="1:29">
      <c r="A44" s="256"/>
      <c r="B44" s="256"/>
      <c r="C44" s="256"/>
      <c r="D44" s="256"/>
      <c r="E44" s="256"/>
      <c r="F44" s="256"/>
      <c r="G44" s="256"/>
      <c r="H44" s="185"/>
      <c r="I44" s="135" t="s">
        <v>408</v>
      </c>
      <c r="J44" s="126"/>
      <c r="K44" s="126"/>
      <c r="L44" s="126"/>
      <c r="M44" s="126"/>
      <c r="N44" s="126"/>
      <c r="O44" s="127"/>
      <c r="P44" s="185"/>
      <c r="Q44" s="185"/>
      <c r="R44" s="185"/>
      <c r="S44" s="185"/>
      <c r="T44" s="185"/>
      <c r="U44" s="185"/>
      <c r="V44" s="185"/>
      <c r="W44" s="185"/>
      <c r="X44" s="185"/>
      <c r="Y44" s="185"/>
      <c r="Z44" s="185"/>
      <c r="AA44" s="185"/>
      <c r="AB44" s="185"/>
      <c r="AC44" s="185"/>
    </row>
    <row r="45" spans="1:29">
      <c r="A45" s="256"/>
      <c r="B45" s="256"/>
      <c r="C45" s="256"/>
      <c r="D45" s="256"/>
      <c r="E45" s="256"/>
      <c r="F45" s="256"/>
      <c r="G45" s="256"/>
      <c r="H45" s="185"/>
      <c r="I45" s="258" t="s">
        <v>409</v>
      </c>
      <c r="J45" s="232"/>
      <c r="K45" s="232"/>
      <c r="L45" s="232"/>
      <c r="M45" s="232"/>
      <c r="N45" s="232"/>
      <c r="O45" s="247"/>
      <c r="P45" s="185"/>
      <c r="Q45" s="185"/>
      <c r="R45" s="185"/>
      <c r="S45" s="185"/>
      <c r="T45" s="185"/>
      <c r="U45" s="185"/>
      <c r="V45" s="185"/>
      <c r="W45" s="185"/>
      <c r="X45" s="185"/>
      <c r="Y45" s="185"/>
      <c r="Z45" s="185"/>
      <c r="AA45" s="185"/>
      <c r="AB45" s="185"/>
      <c r="AC45" s="185"/>
    </row>
    <row r="46" spans="1:29">
      <c r="A46" s="256"/>
      <c r="B46" s="256"/>
      <c r="C46" s="256"/>
      <c r="D46" s="256"/>
      <c r="E46" s="256"/>
      <c r="F46" s="256"/>
      <c r="G46" s="256"/>
      <c r="H46" s="185"/>
      <c r="I46" s="248"/>
      <c r="J46" s="232"/>
      <c r="K46" s="232"/>
      <c r="L46" s="232"/>
      <c r="M46" s="232"/>
      <c r="N46" s="232"/>
      <c r="O46" s="247"/>
      <c r="P46" s="185"/>
      <c r="Q46" s="185"/>
      <c r="R46" s="185"/>
      <c r="S46" s="185"/>
      <c r="T46" s="185"/>
      <c r="U46" s="185"/>
      <c r="V46" s="185"/>
      <c r="W46" s="185"/>
      <c r="X46" s="185"/>
      <c r="Y46" s="185"/>
      <c r="Z46" s="185"/>
      <c r="AA46" s="185"/>
      <c r="AB46" s="185"/>
      <c r="AC46" s="185"/>
    </row>
    <row r="47" spans="1:29">
      <c r="A47" s="256"/>
      <c r="B47" s="256"/>
      <c r="C47" s="256"/>
      <c r="D47" s="256"/>
      <c r="E47" s="256"/>
      <c r="F47" s="256"/>
      <c r="G47" s="256"/>
      <c r="H47" s="185"/>
      <c r="I47" s="248"/>
      <c r="J47" s="232"/>
      <c r="K47" s="232"/>
      <c r="L47" s="232"/>
      <c r="M47" s="232"/>
      <c r="N47" s="232"/>
      <c r="O47" s="247"/>
      <c r="P47" s="185"/>
      <c r="Q47" s="185"/>
      <c r="R47" s="185"/>
      <c r="S47" s="185"/>
      <c r="T47" s="185"/>
      <c r="U47" s="185"/>
      <c r="V47" s="185"/>
      <c r="W47" s="185"/>
      <c r="X47" s="185"/>
      <c r="Y47" s="185"/>
      <c r="Z47" s="185"/>
      <c r="AA47" s="185"/>
      <c r="AB47" s="185"/>
      <c r="AC47" s="185"/>
    </row>
    <row r="48" spans="1:29">
      <c r="A48" s="185"/>
      <c r="B48" s="185"/>
      <c r="C48" s="185"/>
      <c r="D48" s="185"/>
      <c r="E48" s="185"/>
      <c r="F48" s="185"/>
      <c r="G48" s="185"/>
      <c r="H48" s="185"/>
      <c r="I48" s="248"/>
      <c r="J48" s="232"/>
      <c r="K48" s="232"/>
      <c r="L48" s="232"/>
      <c r="M48" s="232"/>
      <c r="N48" s="232"/>
      <c r="O48" s="247"/>
      <c r="P48" s="185"/>
      <c r="Q48" s="185"/>
      <c r="R48" s="185"/>
      <c r="S48" s="185"/>
      <c r="T48" s="185"/>
      <c r="U48" s="185"/>
      <c r="V48" s="185"/>
      <c r="W48" s="185"/>
      <c r="X48" s="185"/>
      <c r="Y48" s="185"/>
      <c r="Z48" s="185"/>
      <c r="AA48" s="185"/>
      <c r="AB48" s="185"/>
      <c r="AC48" s="185"/>
    </row>
    <row r="49" spans="9:15">
      <c r="I49" s="248"/>
      <c r="J49" s="232"/>
      <c r="K49" s="232"/>
      <c r="L49" s="232"/>
      <c r="M49" s="232"/>
      <c r="N49" s="232"/>
      <c r="O49" s="247"/>
    </row>
    <row r="50" spans="9:15">
      <c r="I50" s="248"/>
      <c r="J50" s="232"/>
      <c r="K50" s="232"/>
      <c r="L50" s="232"/>
      <c r="M50" s="232"/>
      <c r="N50" s="232"/>
      <c r="O50" s="247"/>
    </row>
    <row r="51" spans="9:15">
      <c r="I51" s="248"/>
      <c r="J51" s="232"/>
      <c r="K51" s="232"/>
      <c r="L51" s="232"/>
      <c r="M51" s="232"/>
      <c r="N51" s="232"/>
      <c r="O51" s="247"/>
    </row>
    <row r="52" spans="9:15">
      <c r="I52" s="248"/>
      <c r="J52" s="232"/>
      <c r="K52" s="232"/>
      <c r="L52" s="232"/>
      <c r="M52" s="232"/>
      <c r="N52" s="232"/>
      <c r="O52" s="247"/>
    </row>
    <row r="53" spans="9:15">
      <c r="I53" s="248"/>
      <c r="J53" s="232"/>
      <c r="K53" s="232"/>
      <c r="L53" s="232"/>
      <c r="M53" s="232"/>
      <c r="N53" s="232"/>
      <c r="O53" s="247"/>
    </row>
    <row r="54" spans="9:15">
      <c r="I54" s="248"/>
      <c r="J54" s="232"/>
      <c r="K54" s="232"/>
      <c r="L54" s="232"/>
      <c r="M54" s="232"/>
      <c r="N54" s="232"/>
      <c r="O54" s="247"/>
    </row>
    <row r="55" spans="9:15">
      <c r="I55" s="248"/>
      <c r="J55" s="232"/>
      <c r="K55" s="232"/>
      <c r="L55" s="232"/>
      <c r="M55" s="232"/>
      <c r="N55" s="232"/>
      <c r="O55" s="247"/>
    </row>
    <row r="56" spans="9:15">
      <c r="I56" s="248"/>
      <c r="J56" s="232"/>
      <c r="K56" s="232"/>
      <c r="L56" s="232"/>
      <c r="M56" s="232"/>
      <c r="N56" s="232"/>
      <c r="O56" s="247"/>
    </row>
    <row r="57" spans="9:15">
      <c r="I57" s="248"/>
      <c r="J57" s="232"/>
      <c r="K57" s="232"/>
      <c r="L57" s="232"/>
      <c r="M57" s="232"/>
      <c r="N57" s="232"/>
      <c r="O57" s="247"/>
    </row>
    <row r="58" spans="9:15">
      <c r="I58" s="248"/>
      <c r="J58" s="232"/>
      <c r="K58" s="232"/>
      <c r="L58" s="232"/>
      <c r="M58" s="232"/>
      <c r="N58" s="232"/>
      <c r="O58" s="247"/>
    </row>
    <row r="59" spans="9:15">
      <c r="I59" s="248"/>
      <c r="J59" s="232"/>
      <c r="K59" s="232"/>
      <c r="L59" s="232"/>
      <c r="M59" s="232"/>
      <c r="N59" s="232"/>
      <c r="O59" s="247"/>
    </row>
    <row r="60" spans="9:15" ht="15.95" customHeight="1" thickBot="1">
      <c r="I60" s="249"/>
      <c r="J60" s="250"/>
      <c r="K60" s="250"/>
      <c r="L60" s="250"/>
      <c r="M60" s="250"/>
      <c r="N60" s="250"/>
      <c r="O60" s="251"/>
    </row>
    <row r="61" spans="9:15" ht="15.95" customHeight="1" thickBot="1">
      <c r="I61" s="185"/>
      <c r="J61" s="185"/>
      <c r="K61" s="185"/>
      <c r="L61" s="185"/>
      <c r="M61" s="185"/>
      <c r="N61" s="185"/>
      <c r="O61" s="185"/>
    </row>
    <row r="62" spans="9:15">
      <c r="I62" s="252" t="s">
        <v>410</v>
      </c>
      <c r="J62" s="253"/>
      <c r="K62" s="253"/>
      <c r="L62" s="253"/>
      <c r="M62" s="253"/>
      <c r="N62" s="253"/>
      <c r="O62" s="254"/>
    </row>
    <row r="63" spans="9:15">
      <c r="I63" s="255"/>
      <c r="J63" s="256"/>
      <c r="K63" s="256"/>
      <c r="L63" s="256"/>
      <c r="M63" s="256"/>
      <c r="N63" s="256"/>
      <c r="O63" s="257"/>
    </row>
    <row r="64" spans="9:15">
      <c r="I64" s="246" t="s">
        <v>411</v>
      </c>
      <c r="J64" s="232"/>
      <c r="K64" s="232"/>
      <c r="L64" s="232"/>
      <c r="M64" s="232"/>
      <c r="N64" s="232"/>
      <c r="O64" s="247"/>
    </row>
    <row r="65" spans="9:15">
      <c r="I65" s="248"/>
      <c r="J65" s="232"/>
      <c r="K65" s="232"/>
      <c r="L65" s="232"/>
      <c r="M65" s="232"/>
      <c r="N65" s="232"/>
      <c r="O65" s="247"/>
    </row>
    <row r="66" spans="9:15">
      <c r="I66" s="248"/>
      <c r="J66" s="232"/>
      <c r="K66" s="232"/>
      <c r="L66" s="232"/>
      <c r="M66" s="232"/>
      <c r="N66" s="232"/>
      <c r="O66" s="247"/>
    </row>
    <row r="67" spans="9:15">
      <c r="I67" s="248"/>
      <c r="J67" s="232"/>
      <c r="K67" s="232"/>
      <c r="L67" s="232"/>
      <c r="M67" s="232"/>
      <c r="N67" s="232"/>
      <c r="O67" s="247"/>
    </row>
    <row r="68" spans="9:15">
      <c r="I68" s="248"/>
      <c r="J68" s="232"/>
      <c r="K68" s="232"/>
      <c r="L68" s="232"/>
      <c r="M68" s="232"/>
      <c r="N68" s="232"/>
      <c r="O68" s="247"/>
    </row>
    <row r="69" spans="9:15">
      <c r="I69" s="248"/>
      <c r="J69" s="232"/>
      <c r="K69" s="232"/>
      <c r="L69" s="232"/>
      <c r="M69" s="232"/>
      <c r="N69" s="232"/>
      <c r="O69" s="247"/>
    </row>
    <row r="70" spans="9:15">
      <c r="I70" s="248"/>
      <c r="J70" s="232"/>
      <c r="K70" s="232"/>
      <c r="L70" s="232"/>
      <c r="M70" s="232"/>
      <c r="N70" s="232"/>
      <c r="O70" s="247"/>
    </row>
    <row r="71" spans="9:15">
      <c r="I71" s="248"/>
      <c r="J71" s="232"/>
      <c r="K71" s="232"/>
      <c r="L71" s="232"/>
      <c r="M71" s="232"/>
      <c r="N71" s="232"/>
      <c r="O71" s="247"/>
    </row>
    <row r="72" spans="9:15">
      <c r="I72" s="248"/>
      <c r="J72" s="232"/>
      <c r="K72" s="232"/>
      <c r="L72" s="232"/>
      <c r="M72" s="232"/>
      <c r="N72" s="232"/>
      <c r="O72" s="247"/>
    </row>
    <row r="73" spans="9:15">
      <c r="I73" s="248"/>
      <c r="J73" s="232"/>
      <c r="K73" s="232"/>
      <c r="L73" s="232"/>
      <c r="M73" s="232"/>
      <c r="N73" s="232"/>
      <c r="O73" s="247"/>
    </row>
    <row r="74" spans="9:15">
      <c r="I74" s="248"/>
      <c r="J74" s="232"/>
      <c r="K74" s="232"/>
      <c r="L74" s="232"/>
      <c r="M74" s="232"/>
      <c r="N74" s="232"/>
      <c r="O74" s="247"/>
    </row>
    <row r="75" spans="9:15">
      <c r="I75" s="248"/>
      <c r="J75" s="232"/>
      <c r="K75" s="232"/>
      <c r="L75" s="232"/>
      <c r="M75" s="232"/>
      <c r="N75" s="232"/>
      <c r="O75" s="247"/>
    </row>
    <row r="76" spans="9:15" ht="15" customHeight="1">
      <c r="I76" s="248"/>
      <c r="J76" s="232"/>
      <c r="K76" s="232"/>
      <c r="L76" s="232"/>
      <c r="M76" s="232"/>
      <c r="N76" s="232"/>
      <c r="O76" s="247"/>
    </row>
    <row r="77" spans="9:15">
      <c r="I77" s="248"/>
      <c r="J77" s="232"/>
      <c r="K77" s="232"/>
      <c r="L77" s="232"/>
      <c r="M77" s="232"/>
      <c r="N77" s="232"/>
      <c r="O77" s="247"/>
    </row>
    <row r="78" spans="9:15">
      <c r="I78" s="248"/>
      <c r="J78" s="232"/>
      <c r="K78" s="232"/>
      <c r="L78" s="232"/>
      <c r="M78" s="232"/>
      <c r="N78" s="232"/>
      <c r="O78" s="247"/>
    </row>
    <row r="79" spans="9:15" ht="15.95" customHeight="1">
      <c r="I79" s="249"/>
      <c r="J79" s="250"/>
      <c r="K79" s="250"/>
      <c r="L79" s="250"/>
      <c r="M79" s="250"/>
      <c r="N79" s="250"/>
      <c r="O79" s="251"/>
    </row>
    <row r="84" ht="15" customHeight="1"/>
    <row r="92" ht="15" customHeight="1"/>
  </sheetData>
  <sheetProtection algorithmName="SHA-512" hashValue="gPA54DI2hdJw5U2/1lhIwemFI8KYIJpgZkssN5k55WqCQ1jON5BkO1+kS8tWgIQNlBbiMLZPoI+s2pJsAeWtEA==" saltValue="DiiVFnPko4cuVn9HYHkH7w==" spinCount="100000" sheet="1" objects="1" scenarios="1" selectLockedCells="1"/>
  <mergeCells count="54">
    <mergeCell ref="X27:X34"/>
    <mergeCell ref="Y27:Y33"/>
    <mergeCell ref="Z27:Z33"/>
    <mergeCell ref="AA27:AA33"/>
    <mergeCell ref="AB27:AB33"/>
    <mergeCell ref="X19:X26"/>
    <mergeCell ref="Y19:Y25"/>
    <mergeCell ref="Z19:Z25"/>
    <mergeCell ref="AA19:AA25"/>
    <mergeCell ref="AB19:AB25"/>
    <mergeCell ref="X11:X18"/>
    <mergeCell ref="Y11:Y17"/>
    <mergeCell ref="Z11:Z17"/>
    <mergeCell ref="AA11:AA17"/>
    <mergeCell ref="AB11:AB17"/>
    <mergeCell ref="X1:AB1"/>
    <mergeCell ref="X3:X10"/>
    <mergeCell ref="Y3:Y9"/>
    <mergeCell ref="Z3:Z9"/>
    <mergeCell ref="AA3:AA9"/>
    <mergeCell ref="AB3:AB9"/>
    <mergeCell ref="Q13:Q20"/>
    <mergeCell ref="R13:R19"/>
    <mergeCell ref="S13:S19"/>
    <mergeCell ref="T13:T19"/>
    <mergeCell ref="U13:U19"/>
    <mergeCell ref="Q33:Q39"/>
    <mergeCell ref="R33:R38"/>
    <mergeCell ref="S33:S38"/>
    <mergeCell ref="T33:T38"/>
    <mergeCell ref="U33:U38"/>
    <mergeCell ref="Q21:Q26"/>
    <mergeCell ref="S21:S25"/>
    <mergeCell ref="T21:T25"/>
    <mergeCell ref="U21:U25"/>
    <mergeCell ref="Q27:Q32"/>
    <mergeCell ref="R27:R31"/>
    <mergeCell ref="S27:S31"/>
    <mergeCell ref="T27:T31"/>
    <mergeCell ref="U27:U31"/>
    <mergeCell ref="R21:R25"/>
    <mergeCell ref="Q1:U1"/>
    <mergeCell ref="Q3:Q12"/>
    <mergeCell ref="R3:R11"/>
    <mergeCell ref="S3:S11"/>
    <mergeCell ref="T3:T11"/>
    <mergeCell ref="U3:U11"/>
    <mergeCell ref="I64:O79"/>
    <mergeCell ref="I62:O63"/>
    <mergeCell ref="A2:G37"/>
    <mergeCell ref="I2:O23"/>
    <mergeCell ref="I26:O42"/>
    <mergeCell ref="I45:O60"/>
    <mergeCell ref="A39:G4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I78"/>
  <sheetViews>
    <sheetView workbookViewId="0">
      <selection activeCell="B10" sqref="B10"/>
    </sheetView>
  </sheetViews>
  <sheetFormatPr defaultColWidth="8.85546875" defaultRowHeight="15"/>
  <cols>
    <col min="1" max="1" width="26.5703125" customWidth="1"/>
    <col min="2" max="3" width="15.42578125" bestFit="1" customWidth="1"/>
    <col min="5" max="5" width="14.42578125" bestFit="1" customWidth="1"/>
    <col min="7" max="7" width="45.85546875" bestFit="1" customWidth="1"/>
    <col min="8" max="9" width="10.140625" bestFit="1" customWidth="1"/>
  </cols>
  <sheetData>
    <row r="1" spans="1:9">
      <c r="A1" s="271" t="s">
        <v>412</v>
      </c>
      <c r="B1" s="256"/>
      <c r="C1" s="256"/>
      <c r="D1" s="185"/>
      <c r="E1" s="185"/>
      <c r="F1" s="185"/>
      <c r="G1" s="271" t="s">
        <v>412</v>
      </c>
      <c r="H1" s="256"/>
      <c r="I1" s="256"/>
    </row>
    <row r="2" spans="1:9">
      <c r="A2" s="271" t="s">
        <v>413</v>
      </c>
      <c r="B2" s="256"/>
      <c r="C2" s="256"/>
      <c r="D2" s="185"/>
      <c r="E2" s="185"/>
      <c r="F2" s="185"/>
      <c r="G2" s="271" t="s">
        <v>413</v>
      </c>
      <c r="H2" s="256"/>
      <c r="I2" s="256"/>
    </row>
    <row r="3" spans="1:9">
      <c r="A3" s="271" t="s">
        <v>414</v>
      </c>
      <c r="B3" s="256"/>
      <c r="C3" s="256"/>
      <c r="D3" s="185"/>
      <c r="E3" s="185"/>
      <c r="F3" s="185"/>
      <c r="G3" s="271" t="s">
        <v>414</v>
      </c>
      <c r="H3" s="256"/>
      <c r="I3" s="256"/>
    </row>
    <row r="5" spans="1:9">
      <c r="A5" s="185"/>
      <c r="B5" s="17" t="s">
        <v>415</v>
      </c>
      <c r="C5" s="17" t="s">
        <v>416</v>
      </c>
      <c r="D5" s="185"/>
      <c r="E5" s="185"/>
      <c r="F5" s="185"/>
      <c r="G5" s="185"/>
      <c r="H5" s="17" t="s">
        <v>415</v>
      </c>
      <c r="I5" s="17" t="s">
        <v>416</v>
      </c>
    </row>
    <row r="6" spans="1:9">
      <c r="A6" s="15" t="s">
        <v>128</v>
      </c>
      <c r="B6" s="20">
        <f>'Original Financial Statements'!E7</f>
        <v>5970</v>
      </c>
      <c r="C6" s="20"/>
      <c r="D6" s="185"/>
      <c r="E6" s="185"/>
      <c r="F6" s="185"/>
      <c r="G6" s="15" t="s">
        <v>128</v>
      </c>
      <c r="H6" s="20">
        <f>B6</f>
        <v>5970</v>
      </c>
      <c r="I6" s="20"/>
    </row>
    <row r="7" spans="1:9">
      <c r="A7" s="15" t="s">
        <v>129</v>
      </c>
      <c r="B7" s="20">
        <f>'Original Financial Statements'!E8</f>
        <v>15920</v>
      </c>
      <c r="C7" s="20"/>
      <c r="D7" s="185"/>
      <c r="E7" s="185"/>
      <c r="F7" s="185"/>
      <c r="G7" s="15" t="s">
        <v>129</v>
      </c>
      <c r="H7" s="20">
        <f>B7</f>
        <v>15920</v>
      </c>
      <c r="I7" s="20"/>
    </row>
    <row r="8" spans="1:9">
      <c r="A8" s="15" t="s">
        <v>130</v>
      </c>
      <c r="B8" s="185"/>
      <c r="C8" s="20">
        <f>-'Original Financial Statements'!E9</f>
        <v>1990</v>
      </c>
      <c r="D8" s="185"/>
      <c r="E8" s="185"/>
      <c r="F8" s="185"/>
      <c r="G8" s="15" t="s">
        <v>130</v>
      </c>
      <c r="H8" s="185"/>
      <c r="I8" s="20">
        <f>C8</f>
        <v>1990</v>
      </c>
    </row>
    <row r="9" spans="1:9">
      <c r="A9" s="15" t="s">
        <v>131</v>
      </c>
      <c r="B9" s="20">
        <f>'Original Financial Statements'!E10</f>
        <v>51740</v>
      </c>
      <c r="C9" s="20"/>
      <c r="D9" s="185"/>
      <c r="E9" s="185"/>
      <c r="F9" s="185"/>
      <c r="G9" s="15" t="s">
        <v>131</v>
      </c>
      <c r="H9" s="20">
        <f>B9</f>
        <v>51740</v>
      </c>
      <c r="I9" s="20"/>
    </row>
    <row r="10" spans="1:9">
      <c r="A10" s="15" t="s">
        <v>132</v>
      </c>
      <c r="B10" s="20">
        <f>'Original Financial Statements'!E13</f>
        <v>43780</v>
      </c>
      <c r="C10" s="20"/>
      <c r="D10" s="185"/>
      <c r="E10" s="185"/>
      <c r="F10" s="185"/>
      <c r="G10" s="15" t="s">
        <v>132</v>
      </c>
      <c r="H10" s="20">
        <f>B10</f>
        <v>43780</v>
      </c>
      <c r="I10" s="20"/>
    </row>
    <row r="11" spans="1:9">
      <c r="A11" s="15" t="s">
        <v>133</v>
      </c>
      <c r="B11" s="20">
        <f>'Original Financial Statements'!E14</f>
        <v>31840</v>
      </c>
      <c r="C11" s="20"/>
      <c r="D11" s="185"/>
      <c r="E11" s="185"/>
      <c r="F11" s="185"/>
      <c r="G11" s="15" t="s">
        <v>133</v>
      </c>
      <c r="H11" s="20">
        <f>B11</f>
        <v>31840</v>
      </c>
      <c r="I11" s="20"/>
    </row>
    <row r="12" spans="1:9">
      <c r="A12" s="15" t="s">
        <v>134</v>
      </c>
      <c r="B12" s="20">
        <f>'Original Financial Statements'!E15</f>
        <v>111440</v>
      </c>
      <c r="C12" s="20"/>
      <c r="D12" s="185"/>
      <c r="E12" s="185"/>
      <c r="F12" s="185"/>
      <c r="G12" s="15" t="s">
        <v>134</v>
      </c>
      <c r="H12" s="20">
        <f>B12</f>
        <v>111440</v>
      </c>
      <c r="I12" s="20"/>
    </row>
    <row r="13" spans="1:9">
      <c r="A13" s="15" t="s">
        <v>135</v>
      </c>
      <c r="B13" s="185"/>
      <c r="C13" s="20">
        <f>-'Original Financial Statements'!E16</f>
        <v>47760</v>
      </c>
      <c r="D13" s="185"/>
      <c r="E13" s="185"/>
      <c r="F13" s="185"/>
      <c r="G13" s="15" t="s">
        <v>135</v>
      </c>
      <c r="H13" s="185"/>
      <c r="I13" s="31" t="e">
        <f>C13+#REF!</f>
        <v>#REF!</v>
      </c>
    </row>
    <row r="14" spans="1:9">
      <c r="A14" s="15" t="s">
        <v>136</v>
      </c>
      <c r="B14" s="20"/>
      <c r="C14" s="20">
        <f>'Original Financial Statements'!E22</f>
        <v>21258</v>
      </c>
      <c r="D14" s="24"/>
      <c r="E14" s="24"/>
      <c r="F14" s="24"/>
      <c r="G14" s="15" t="s">
        <v>136</v>
      </c>
      <c r="H14" s="20"/>
      <c r="I14" s="20">
        <f>C14</f>
        <v>21258</v>
      </c>
    </row>
    <row r="15" spans="1:9">
      <c r="A15" s="15" t="s">
        <v>137</v>
      </c>
      <c r="B15" s="20"/>
      <c r="C15" s="20">
        <f>'Original Financial Statements'!E23</f>
        <v>6965</v>
      </c>
      <c r="D15" s="185"/>
      <c r="E15" s="185"/>
      <c r="F15" s="185"/>
      <c r="G15" s="15" t="s">
        <v>137</v>
      </c>
      <c r="H15" s="20"/>
      <c r="I15" s="20">
        <f>C15</f>
        <v>6965</v>
      </c>
    </row>
    <row r="16" spans="1:9">
      <c r="A16" s="15" t="s">
        <v>138</v>
      </c>
      <c r="B16" s="20"/>
      <c r="C16" s="20">
        <f>'Original Financial Statements'!E24</f>
        <v>9950</v>
      </c>
      <c r="D16" s="185"/>
      <c r="E16" s="185"/>
      <c r="F16" s="185"/>
      <c r="G16" s="32" t="s">
        <v>201</v>
      </c>
      <c r="H16" s="31"/>
      <c r="I16" s="31" t="e">
        <f>#REF!</f>
        <v>#REF!</v>
      </c>
    </row>
    <row r="17" spans="1:9">
      <c r="A17" s="15" t="s">
        <v>139</v>
      </c>
      <c r="B17" s="20"/>
      <c r="C17" s="20">
        <f>'Original Financial Statements'!E27</f>
        <v>31840</v>
      </c>
      <c r="D17" s="185"/>
      <c r="E17" s="185"/>
      <c r="F17" s="185"/>
      <c r="G17" s="15" t="s">
        <v>138</v>
      </c>
      <c r="H17" s="20"/>
      <c r="I17" s="31" t="e">
        <f>C16+#REF!</f>
        <v>#REF!</v>
      </c>
    </row>
    <row r="18" spans="1:9">
      <c r="A18" s="15" t="s">
        <v>140</v>
      </c>
      <c r="B18" s="20"/>
      <c r="C18" s="20">
        <f>'Original Financial Statements'!E28</f>
        <v>55720</v>
      </c>
      <c r="D18" s="185"/>
      <c r="E18" s="185"/>
      <c r="F18" s="185"/>
      <c r="G18" s="15" t="s">
        <v>139</v>
      </c>
      <c r="H18" s="20"/>
      <c r="I18" s="20">
        <f>C17</f>
        <v>31840</v>
      </c>
    </row>
    <row r="19" spans="1:9">
      <c r="A19" s="15" t="s">
        <v>216</v>
      </c>
      <c r="B19" s="20"/>
      <c r="C19" s="20">
        <f>'Original Financial Statements'!E33</f>
        <v>20000</v>
      </c>
      <c r="D19" s="185"/>
      <c r="E19" s="185"/>
      <c r="F19" s="185"/>
      <c r="G19" s="15" t="s">
        <v>140</v>
      </c>
      <c r="H19" s="20"/>
      <c r="I19" s="20">
        <f>C18</f>
        <v>55720</v>
      </c>
    </row>
    <row r="20" spans="1:9">
      <c r="A20" s="15" t="s">
        <v>417</v>
      </c>
      <c r="B20" s="20"/>
      <c r="C20" s="20"/>
      <c r="D20" s="185"/>
      <c r="E20" s="185"/>
      <c r="F20" s="185"/>
      <c r="G20" s="15" t="s">
        <v>216</v>
      </c>
      <c r="H20" s="20"/>
      <c r="I20" s="20">
        <f>C19</f>
        <v>20000</v>
      </c>
    </row>
    <row r="21" spans="1:9">
      <c r="A21" s="15" t="s">
        <v>141</v>
      </c>
      <c r="B21" s="20"/>
      <c r="C21" s="20">
        <f>'Original Financial Statements'!E35</f>
        <v>11940</v>
      </c>
      <c r="D21" s="185"/>
      <c r="E21" s="185"/>
      <c r="F21" s="185"/>
      <c r="G21" s="15" t="s">
        <v>417</v>
      </c>
      <c r="H21" s="20"/>
      <c r="I21" s="20"/>
    </row>
    <row r="22" spans="1:9">
      <c r="A22" s="15" t="s">
        <v>217</v>
      </c>
      <c r="B22" s="20"/>
      <c r="C22" s="20">
        <f>'Original Financial Statements'!F36</f>
        <v>31342</v>
      </c>
      <c r="D22" s="185"/>
      <c r="E22" s="185"/>
      <c r="F22" s="185"/>
      <c r="G22" s="15" t="s">
        <v>141</v>
      </c>
      <c r="H22" s="20"/>
      <c r="I22" s="20">
        <f>C21</f>
        <v>11940</v>
      </c>
    </row>
    <row r="23" spans="1:9">
      <c r="A23" s="15" t="s">
        <v>142</v>
      </c>
      <c r="B23" s="20">
        <f>-'Original Financial Statements'!H23</f>
        <v>4577</v>
      </c>
      <c r="C23" s="20"/>
      <c r="D23" s="185"/>
      <c r="E23" s="185"/>
      <c r="F23" s="185"/>
      <c r="G23" s="15" t="s">
        <v>217</v>
      </c>
      <c r="H23" s="20"/>
      <c r="I23" s="20">
        <f>C22</f>
        <v>31342</v>
      </c>
    </row>
    <row r="24" spans="1:9">
      <c r="A24" s="15" t="s">
        <v>160</v>
      </c>
      <c r="B24" s="20"/>
      <c r="C24" s="20">
        <f>'Iterative Data'!B3</f>
        <v>3</v>
      </c>
      <c r="D24" s="185"/>
      <c r="E24" s="185"/>
      <c r="F24" s="185"/>
      <c r="G24" s="15" t="s">
        <v>142</v>
      </c>
      <c r="H24" s="20">
        <f>B23</f>
        <v>4577</v>
      </c>
      <c r="I24" s="20"/>
    </row>
    <row r="25" spans="1:9">
      <c r="A25" s="15" t="s">
        <v>163</v>
      </c>
      <c r="B25" s="20">
        <f>'Original Financial Statements'!B6</f>
        <v>276212</v>
      </c>
      <c r="C25" s="20"/>
      <c r="D25" s="185"/>
      <c r="E25" s="185"/>
      <c r="F25" s="185"/>
      <c r="G25" s="15" t="s">
        <v>160</v>
      </c>
      <c r="H25" s="20"/>
      <c r="I25" s="31" t="e">
        <f>C24-#REF!</f>
        <v>#REF!</v>
      </c>
    </row>
    <row r="26" spans="1:9">
      <c r="A26" s="15" t="str">
        <f>'Original Financial Statements'!A11</f>
        <v>Advertising Expense</v>
      </c>
      <c r="B26" s="20">
        <f>'Original Financial Statements'!B11</f>
        <v>7463</v>
      </c>
      <c r="C26" s="20"/>
      <c r="D26" s="185"/>
      <c r="E26" s="185"/>
      <c r="F26" s="185"/>
      <c r="G26" s="15" t="s">
        <v>163</v>
      </c>
      <c r="H26" s="20">
        <f>B25</f>
        <v>276212</v>
      </c>
      <c r="I26" s="20"/>
    </row>
    <row r="27" spans="1:9">
      <c r="A27" s="15" t="str">
        <f>'Original Financial Statements'!A12</f>
        <v>Bad Debt Expense</v>
      </c>
      <c r="B27" s="20">
        <f>'Original Financial Statements'!B12</f>
        <v>6000</v>
      </c>
      <c r="C27" s="20"/>
      <c r="D27" s="185"/>
      <c r="E27" s="185"/>
      <c r="F27" s="185"/>
      <c r="G27" s="15" t="s">
        <v>172</v>
      </c>
      <c r="H27" s="20">
        <f>B26</f>
        <v>7463</v>
      </c>
      <c r="I27" s="20"/>
    </row>
    <row r="28" spans="1:9">
      <c r="A28" s="15" t="str">
        <f>'Original Financial Statements'!A19</f>
        <v>Depreciation Expense</v>
      </c>
      <c r="B28" s="20">
        <f>'Original Financial Statements'!B19</f>
        <v>7960</v>
      </c>
      <c r="C28" s="20"/>
      <c r="D28" s="185"/>
      <c r="E28" s="185"/>
      <c r="F28" s="185"/>
      <c r="G28" s="15" t="s">
        <v>175</v>
      </c>
      <c r="H28" s="20">
        <f>B27</f>
        <v>6000</v>
      </c>
      <c r="I28" s="20"/>
    </row>
    <row r="29" spans="1:9">
      <c r="A29" s="15" t="str">
        <f>'Original Financial Statements'!A13</f>
        <v>Sales Force Salaries Expense</v>
      </c>
      <c r="B29" s="20">
        <f>'Original Financial Statements'!B13</f>
        <v>21393</v>
      </c>
      <c r="C29" s="20"/>
      <c r="D29" s="185"/>
      <c r="E29" s="185"/>
      <c r="F29" s="185"/>
      <c r="G29" s="15" t="s">
        <v>191</v>
      </c>
      <c r="H29" s="31" t="e">
        <f>B28+#REF!</f>
        <v>#REF!</v>
      </c>
      <c r="I29" s="20"/>
    </row>
    <row r="30" spans="1:9">
      <c r="A30" s="15" t="str">
        <f>'Original Financial Statements'!A14</f>
        <v>Shipping Expense</v>
      </c>
      <c r="B30" s="20">
        <f>'Original Financial Statements'!B14</f>
        <v>3259</v>
      </c>
      <c r="C30" s="20"/>
      <c r="D30" s="185"/>
      <c r="E30" s="185"/>
      <c r="F30" s="185"/>
      <c r="G30" s="15" t="s">
        <v>178</v>
      </c>
      <c r="H30" s="31" t="e">
        <f>B29+#REF!</f>
        <v>#REF!</v>
      </c>
      <c r="I30" s="20"/>
    </row>
    <row r="31" spans="1:9">
      <c r="A31" s="15" t="s">
        <v>185</v>
      </c>
      <c r="B31" s="20">
        <f>'Original Financial Statements'!B17</f>
        <v>25472</v>
      </c>
      <c r="C31" s="20"/>
      <c r="D31" s="185"/>
      <c r="E31" s="185"/>
      <c r="F31" s="185"/>
      <c r="G31" s="15" t="s">
        <v>180</v>
      </c>
      <c r="H31" s="20">
        <f t="shared" ref="H31:H36" si="0">B30</f>
        <v>3259</v>
      </c>
      <c r="I31" s="20"/>
    </row>
    <row r="32" spans="1:9">
      <c r="A32" s="15" t="s">
        <v>188</v>
      </c>
      <c r="B32" s="20">
        <f>'Original Financial Statements'!B18</f>
        <v>597</v>
      </c>
      <c r="C32" s="20"/>
      <c r="D32" s="185"/>
      <c r="E32" s="185"/>
      <c r="F32" s="185"/>
      <c r="G32" s="15" t="s">
        <v>185</v>
      </c>
      <c r="H32" s="20">
        <f t="shared" si="0"/>
        <v>25472</v>
      </c>
      <c r="I32" s="20"/>
    </row>
    <row r="33" spans="1:9">
      <c r="A33" s="15" t="s">
        <v>192</v>
      </c>
      <c r="B33" s="20">
        <f>'Original Financial Statements'!B20</f>
        <v>398</v>
      </c>
      <c r="C33" s="20"/>
      <c r="D33" s="185"/>
      <c r="E33" s="185"/>
      <c r="F33" s="185"/>
      <c r="G33" s="15" t="s">
        <v>188</v>
      </c>
      <c r="H33" s="20">
        <f t="shared" si="0"/>
        <v>597</v>
      </c>
      <c r="I33" s="20"/>
    </row>
    <row r="34" spans="1:9">
      <c r="A34" s="15" t="s">
        <v>195</v>
      </c>
      <c r="B34" s="20">
        <f>'Original Financial Statements'!B21</f>
        <v>9552</v>
      </c>
      <c r="C34" s="20"/>
      <c r="D34" s="185"/>
      <c r="E34" s="185"/>
      <c r="F34" s="185"/>
      <c r="G34" s="15" t="s">
        <v>192</v>
      </c>
      <c r="H34" s="20">
        <f t="shared" si="0"/>
        <v>398</v>
      </c>
      <c r="I34" s="20"/>
    </row>
    <row r="35" spans="1:9">
      <c r="A35" s="15" t="s">
        <v>198</v>
      </c>
      <c r="B35" s="20">
        <f>'Original Financial Statements'!B22</f>
        <v>1592</v>
      </c>
      <c r="C35" s="20"/>
      <c r="D35" s="185"/>
      <c r="E35" s="185"/>
      <c r="F35" s="185"/>
      <c r="G35" s="15" t="s">
        <v>195</v>
      </c>
      <c r="H35" s="20">
        <f t="shared" si="0"/>
        <v>9552</v>
      </c>
      <c r="I35" s="20"/>
    </row>
    <row r="36" spans="1:9">
      <c r="A36" s="15" t="s">
        <v>125</v>
      </c>
      <c r="B36" s="20"/>
      <c r="C36" s="20">
        <f>'Original Financial Statements'!B27</f>
        <v>1244</v>
      </c>
      <c r="D36" s="25"/>
      <c r="E36" s="25"/>
      <c r="F36" s="25"/>
      <c r="G36" s="15" t="s">
        <v>198</v>
      </c>
      <c r="H36" s="20">
        <f t="shared" si="0"/>
        <v>1592</v>
      </c>
      <c r="I36" s="20"/>
    </row>
    <row r="37" spans="1:9">
      <c r="A37" s="15" t="s">
        <v>209</v>
      </c>
      <c r="B37" s="20">
        <f>-'Original Financial Statements'!B28</f>
        <v>2537</v>
      </c>
      <c r="C37" s="20"/>
      <c r="D37" s="185"/>
      <c r="E37" s="185"/>
      <c r="F37" s="185"/>
      <c r="G37" s="15" t="s">
        <v>125</v>
      </c>
      <c r="H37" s="20"/>
      <c r="I37" s="20">
        <f>C36</f>
        <v>1244</v>
      </c>
    </row>
    <row r="38" spans="1:9">
      <c r="A38" s="15" t="s">
        <v>212</v>
      </c>
      <c r="B38" s="26">
        <f>'Original Financial Statements'!C30</f>
        <v>10307</v>
      </c>
      <c r="C38" s="26"/>
      <c r="D38" s="185"/>
      <c r="E38" s="185"/>
      <c r="F38" s="185"/>
      <c r="G38" s="15" t="s">
        <v>209</v>
      </c>
      <c r="H38" s="20">
        <f>B37</f>
        <v>2537</v>
      </c>
      <c r="I38" s="20"/>
    </row>
    <row r="39" spans="1:9" ht="15.95" customHeight="1" thickBot="1">
      <c r="A39" s="185"/>
      <c r="B39" s="27">
        <f>SUM(B6:B38)</f>
        <v>638009</v>
      </c>
      <c r="C39" s="27">
        <f>SUM(C6:C38)</f>
        <v>240012</v>
      </c>
      <c r="D39" s="185"/>
      <c r="E39" s="185"/>
      <c r="F39" s="185"/>
      <c r="G39" s="15" t="s">
        <v>212</v>
      </c>
      <c r="H39" s="20">
        <f>B38</f>
        <v>10307</v>
      </c>
      <c r="I39" s="20"/>
    </row>
    <row r="40" spans="1:9" ht="17.100000000000001" customHeight="1" thickTop="1" thickBot="1">
      <c r="A40" s="185"/>
      <c r="B40" s="185"/>
      <c r="C40" s="185"/>
      <c r="D40" s="185"/>
      <c r="E40" s="185"/>
      <c r="F40" s="185"/>
      <c r="G40" s="185"/>
      <c r="H40" s="33" t="e">
        <f>SUM(H6:H39)</f>
        <v>#REF!</v>
      </c>
      <c r="I40" s="33" t="e">
        <f>SUM(I6:I39)</f>
        <v>#REF!</v>
      </c>
    </row>
    <row r="41" spans="1:9" ht="15.95" customHeight="1" thickTop="1">
      <c r="A41" s="185"/>
      <c r="B41" s="185"/>
      <c r="C41" s="185"/>
      <c r="D41" s="185"/>
      <c r="E41" s="185"/>
      <c r="F41" s="185"/>
      <c r="G41" s="185"/>
      <c r="H41" s="185"/>
      <c r="I41" s="185"/>
    </row>
    <row r="42" spans="1:9">
      <c r="A42" s="185"/>
      <c r="B42" s="194"/>
      <c r="C42" s="194"/>
      <c r="D42" s="185"/>
      <c r="E42" s="185"/>
      <c r="F42" s="185"/>
      <c r="G42" s="185"/>
      <c r="H42" s="185"/>
      <c r="I42" s="185"/>
    </row>
    <row r="51" spans="5:6">
      <c r="E51" s="2"/>
      <c r="F51" s="18"/>
    </row>
    <row r="52" spans="5:6">
      <c r="E52" s="2"/>
      <c r="F52" s="185"/>
    </row>
    <row r="57" spans="5:6">
      <c r="E57" s="2"/>
      <c r="F57" s="18"/>
    </row>
    <row r="62" spans="5:6">
      <c r="E62" s="2"/>
      <c r="F62" s="18"/>
    </row>
    <row r="78" spans="5:6">
      <c r="E78" s="2">
        <f>SUM(C24,C36)-SUM(B25:B38)</f>
        <v>-371495</v>
      </c>
      <c r="F78" s="18" t="s">
        <v>418</v>
      </c>
    </row>
  </sheetData>
  <mergeCells count="6">
    <mergeCell ref="A1:C1"/>
    <mergeCell ref="A2:C2"/>
    <mergeCell ref="A3:C3"/>
    <mergeCell ref="G1:I1"/>
    <mergeCell ref="G2:I2"/>
    <mergeCell ref="G3:I3"/>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Q39"/>
  <sheetViews>
    <sheetView topLeftCell="A5" workbookViewId="0">
      <selection activeCell="P22" sqref="P22"/>
    </sheetView>
  </sheetViews>
  <sheetFormatPr defaultColWidth="8.85546875" defaultRowHeight="15"/>
  <cols>
    <col min="1" max="3" width="2.42578125" customWidth="1"/>
    <col min="4" max="4" width="28.42578125" customWidth="1"/>
    <col min="5" max="5" width="1.42578125" customWidth="1"/>
    <col min="6" max="6" width="14" style="6" bestFit="1" customWidth="1"/>
    <col min="7" max="7" width="1.42578125" style="6" customWidth="1"/>
    <col min="8" max="8" width="14" style="6" bestFit="1" customWidth="1"/>
    <col min="9" max="9" width="1.42578125" style="6" customWidth="1"/>
    <col min="10" max="10" width="14.42578125" style="6" bestFit="1" customWidth="1"/>
    <col min="12" max="12" width="3.42578125" customWidth="1"/>
    <col min="13" max="13" width="4.140625" customWidth="1"/>
    <col min="14" max="14" width="31.85546875" customWidth="1"/>
    <col min="15" max="15" width="14.42578125" bestFit="1" customWidth="1"/>
    <col min="16" max="16" width="15" style="6" customWidth="1"/>
    <col min="17" max="17" width="13.42578125" style="6" bestFit="1" customWidth="1"/>
  </cols>
  <sheetData>
    <row r="1" spans="1:17">
      <c r="A1" s="273" t="s">
        <v>412</v>
      </c>
      <c r="B1" s="256"/>
      <c r="C1" s="256"/>
      <c r="D1" s="256"/>
      <c r="E1" s="256"/>
      <c r="F1" s="272"/>
      <c r="G1" s="272"/>
      <c r="H1" s="272"/>
      <c r="I1" s="272"/>
      <c r="J1" s="272"/>
      <c r="K1" s="185"/>
      <c r="L1" s="271" t="s">
        <v>412</v>
      </c>
      <c r="M1" s="256"/>
      <c r="N1" s="256"/>
      <c r="O1" s="256"/>
      <c r="P1" s="272"/>
      <c r="Q1" s="272"/>
    </row>
    <row r="2" spans="1:17">
      <c r="A2" s="271" t="s">
        <v>156</v>
      </c>
      <c r="B2" s="256"/>
      <c r="C2" s="256"/>
      <c r="D2" s="256"/>
      <c r="E2" s="256"/>
      <c r="F2" s="272"/>
      <c r="G2" s="272"/>
      <c r="H2" s="272"/>
      <c r="I2" s="272"/>
      <c r="J2" s="272"/>
      <c r="K2" s="185"/>
      <c r="L2" s="271" t="s">
        <v>157</v>
      </c>
      <c r="M2" s="256"/>
      <c r="N2" s="256"/>
      <c r="O2" s="256"/>
      <c r="P2" s="272"/>
      <c r="Q2" s="272"/>
    </row>
    <row r="3" spans="1:17" ht="15.95" customHeight="1" thickBot="1">
      <c r="A3" s="274" t="s">
        <v>419</v>
      </c>
      <c r="B3" s="245"/>
      <c r="C3" s="245"/>
      <c r="D3" s="245"/>
      <c r="E3" s="245"/>
      <c r="F3" s="245"/>
      <c r="G3" s="245"/>
      <c r="H3" s="245"/>
      <c r="I3" s="245"/>
      <c r="J3" s="245"/>
      <c r="K3" s="185"/>
      <c r="L3" s="275" t="s">
        <v>414</v>
      </c>
      <c r="M3" s="245"/>
      <c r="N3" s="245"/>
      <c r="O3" s="245"/>
      <c r="P3" s="245"/>
      <c r="Q3" s="245"/>
    </row>
    <row r="4" spans="1:17">
      <c r="A4" s="1"/>
      <c r="B4" s="185"/>
      <c r="C4" s="185"/>
      <c r="D4" s="185"/>
      <c r="E4" s="185"/>
      <c r="F4" s="187"/>
      <c r="G4" s="187"/>
      <c r="H4" s="187"/>
      <c r="I4" s="187"/>
      <c r="J4" s="187"/>
      <c r="K4" s="185"/>
      <c r="L4" s="185"/>
      <c r="M4" s="185"/>
      <c r="N4" s="185"/>
      <c r="O4" s="185"/>
      <c r="P4" s="9" t="s">
        <v>420</v>
      </c>
      <c r="Q4" s="9" t="s">
        <v>421</v>
      </c>
    </row>
    <row r="5" spans="1:17">
      <c r="A5" s="3" t="s">
        <v>160</v>
      </c>
      <c r="B5" s="185"/>
      <c r="C5" s="185"/>
      <c r="D5" s="185"/>
      <c r="E5" s="185"/>
      <c r="F5" s="187"/>
      <c r="G5" s="187"/>
      <c r="H5" s="187"/>
      <c r="I5" s="187"/>
      <c r="J5" s="12">
        <v>1</v>
      </c>
      <c r="K5" s="185"/>
      <c r="L5" s="219" t="s">
        <v>161</v>
      </c>
      <c r="M5" s="256"/>
      <c r="N5" s="256"/>
      <c r="O5" s="256"/>
      <c r="P5" s="272"/>
      <c r="Q5" s="272"/>
    </row>
    <row r="6" spans="1:17">
      <c r="A6" s="3" t="s">
        <v>163</v>
      </c>
      <c r="B6" s="185"/>
      <c r="C6" s="185"/>
      <c r="D6" s="185"/>
      <c r="E6" s="185"/>
      <c r="F6" s="187"/>
      <c r="G6" s="187"/>
      <c r="H6" s="187"/>
      <c r="I6" s="187"/>
      <c r="J6" s="7">
        <v>0.69399999999999995</v>
      </c>
      <c r="K6" s="185"/>
      <c r="L6" s="3" t="s">
        <v>164</v>
      </c>
      <c r="M6" s="185"/>
      <c r="N6" s="185"/>
      <c r="O6" s="185"/>
      <c r="P6" s="187"/>
      <c r="Q6" s="187"/>
    </row>
    <row r="7" spans="1:17">
      <c r="A7" s="185"/>
      <c r="B7" s="3" t="s">
        <v>166</v>
      </c>
      <c r="C7" s="185"/>
      <c r="D7" s="185"/>
      <c r="E7" s="185"/>
      <c r="F7" s="187"/>
      <c r="G7" s="187"/>
      <c r="H7" s="187"/>
      <c r="I7" s="187"/>
      <c r="J7" s="187">
        <v>0.35394124999999987</v>
      </c>
      <c r="K7" s="185"/>
      <c r="L7" s="4"/>
      <c r="M7" s="4" t="s">
        <v>128</v>
      </c>
      <c r="N7" s="4"/>
      <c r="O7" s="4"/>
      <c r="P7" s="187">
        <v>1.4999999999999999E-2</v>
      </c>
      <c r="Q7" s="187">
        <v>1.9E-2</v>
      </c>
    </row>
    <row r="8" spans="1:17">
      <c r="A8" s="1"/>
      <c r="B8" s="185"/>
      <c r="C8" s="185"/>
      <c r="D8" s="185"/>
      <c r="E8" s="185"/>
      <c r="F8" s="187"/>
      <c r="G8" s="187"/>
      <c r="H8" s="187"/>
      <c r="I8" s="187"/>
      <c r="J8" s="187"/>
      <c r="K8" s="185"/>
      <c r="L8" s="4"/>
      <c r="M8" s="4" t="s">
        <v>129</v>
      </c>
      <c r="N8" s="4"/>
      <c r="O8" s="4"/>
      <c r="P8" s="187">
        <v>0.04</v>
      </c>
      <c r="Q8" s="187">
        <v>0.03</v>
      </c>
    </row>
    <row r="9" spans="1:17">
      <c r="A9" s="1" t="s">
        <v>169</v>
      </c>
      <c r="B9" s="185"/>
      <c r="C9" s="185"/>
      <c r="D9" s="185"/>
      <c r="E9" s="185"/>
      <c r="F9" s="187"/>
      <c r="G9" s="187"/>
      <c r="H9" s="187"/>
      <c r="I9" s="187"/>
      <c r="J9" s="187"/>
      <c r="K9" s="185"/>
      <c r="L9" s="4"/>
      <c r="M9" s="4" t="s">
        <v>130</v>
      </c>
      <c r="N9" s="4"/>
      <c r="O9" s="4"/>
      <c r="P9" s="187">
        <v>-5.0000000000000001E-3</v>
      </c>
      <c r="Q9" s="187">
        <v>-1.4999999999999999E-2</v>
      </c>
    </row>
    <row r="10" spans="1:17">
      <c r="A10" s="185"/>
      <c r="B10" s="3" t="s">
        <v>170</v>
      </c>
      <c r="C10" s="185"/>
      <c r="D10" s="185"/>
      <c r="E10" s="185"/>
      <c r="F10" s="187"/>
      <c r="G10" s="187"/>
      <c r="H10" s="187"/>
      <c r="I10" s="187"/>
      <c r="J10" s="187"/>
      <c r="K10" s="185"/>
      <c r="L10" s="4"/>
      <c r="M10" s="4" t="s">
        <v>131</v>
      </c>
      <c r="N10" s="4"/>
      <c r="O10" s="4"/>
      <c r="P10" s="187">
        <v>0.13</v>
      </c>
      <c r="Q10" s="187">
        <v>0.14000000000000001</v>
      </c>
    </row>
    <row r="11" spans="1:17">
      <c r="A11" s="185"/>
      <c r="B11" s="185"/>
      <c r="C11" s="185" t="s">
        <v>172</v>
      </c>
      <c r="D11" s="185"/>
      <c r="E11" s="185"/>
      <c r="F11" s="187">
        <v>1.8749999999999999E-2</v>
      </c>
      <c r="G11" s="187"/>
      <c r="H11" s="187"/>
      <c r="I11" s="187"/>
      <c r="J11" s="187"/>
      <c r="K11" s="185"/>
      <c r="L11" s="4"/>
      <c r="M11" s="4"/>
      <c r="N11" s="5" t="s">
        <v>173</v>
      </c>
      <c r="O11" s="4"/>
      <c r="P11" s="187">
        <f>SUM(P7:P10)</f>
        <v>0.18</v>
      </c>
      <c r="Q11" s="187">
        <f>SUM(Q7:Q10)</f>
        <v>0.17400000000000002</v>
      </c>
    </row>
    <row r="12" spans="1:17">
      <c r="A12" s="185"/>
      <c r="B12" s="185"/>
      <c r="C12" s="185" t="s">
        <v>175</v>
      </c>
      <c r="D12" s="185"/>
      <c r="E12" s="185"/>
      <c r="F12" s="187">
        <v>3.8593750000000003E-2</v>
      </c>
      <c r="G12" s="187"/>
      <c r="H12" s="187"/>
      <c r="I12" s="187"/>
      <c r="J12" s="187"/>
      <c r="K12" s="185"/>
      <c r="L12" s="5" t="s">
        <v>176</v>
      </c>
      <c r="M12" s="4"/>
      <c r="N12" s="4"/>
      <c r="O12" s="4"/>
      <c r="P12" s="187"/>
      <c r="Q12" s="187"/>
    </row>
    <row r="13" spans="1:17">
      <c r="A13" s="185"/>
      <c r="B13" s="185"/>
      <c r="C13" s="185" t="s">
        <v>178</v>
      </c>
      <c r="D13" s="185"/>
      <c r="E13" s="185"/>
      <c r="F13" s="187">
        <v>5.3749999999999999E-2</v>
      </c>
      <c r="G13" s="187"/>
      <c r="H13" s="187"/>
      <c r="I13" s="187"/>
      <c r="J13" s="187"/>
      <c r="K13" s="185"/>
      <c r="L13" s="4"/>
      <c r="M13" s="4" t="s">
        <v>132</v>
      </c>
      <c r="N13" s="4"/>
      <c r="O13" s="4"/>
      <c r="P13" s="187">
        <v>0.11</v>
      </c>
      <c r="Q13" s="187">
        <v>7.0000000000000007E-2</v>
      </c>
    </row>
    <row r="14" spans="1:17">
      <c r="A14" s="185"/>
      <c r="B14" s="185"/>
      <c r="C14" s="185" t="s">
        <v>180</v>
      </c>
      <c r="D14" s="185"/>
      <c r="E14" s="185"/>
      <c r="F14" s="7">
        <v>8.1875000000000003E-3</v>
      </c>
      <c r="G14" s="187"/>
      <c r="H14" s="187"/>
      <c r="I14" s="187"/>
      <c r="J14" s="187"/>
      <c r="K14" s="185"/>
      <c r="L14" s="4"/>
      <c r="M14" s="4" t="s">
        <v>133</v>
      </c>
      <c r="N14" s="4"/>
      <c r="O14" s="4"/>
      <c r="P14" s="187">
        <v>0.08</v>
      </c>
      <c r="Q14" s="187">
        <v>0.08</v>
      </c>
    </row>
    <row r="15" spans="1:17">
      <c r="A15" s="185"/>
      <c r="B15" s="3" t="s">
        <v>181</v>
      </c>
      <c r="C15" s="185"/>
      <c r="D15" s="185"/>
      <c r="E15" s="185"/>
      <c r="F15" s="187"/>
      <c r="G15" s="187"/>
      <c r="H15" s="187">
        <v>0.15584375</v>
      </c>
      <c r="I15" s="187"/>
      <c r="J15" s="187"/>
      <c r="K15" s="185"/>
      <c r="L15" s="4"/>
      <c r="M15" s="4" t="s">
        <v>134</v>
      </c>
      <c r="N15" s="4"/>
      <c r="O15" s="4"/>
      <c r="P15" s="187">
        <v>0.28000000000000003</v>
      </c>
      <c r="Q15" s="187">
        <v>0.13</v>
      </c>
    </row>
    <row r="16" spans="1:17">
      <c r="A16" s="185"/>
      <c r="B16" s="3" t="s">
        <v>183</v>
      </c>
      <c r="C16" s="185"/>
      <c r="D16" s="185"/>
      <c r="E16" s="185"/>
      <c r="F16" s="187"/>
      <c r="G16" s="187"/>
      <c r="H16" s="187"/>
      <c r="I16" s="187"/>
      <c r="J16" s="187"/>
      <c r="K16" s="185"/>
      <c r="L16" s="4"/>
      <c r="M16" s="4" t="s">
        <v>135</v>
      </c>
      <c r="N16" s="4"/>
      <c r="O16" s="4"/>
      <c r="P16" s="7">
        <v>-0.12</v>
      </c>
      <c r="Q16" s="7">
        <v>-0.1</v>
      </c>
    </row>
    <row r="17" spans="1:17">
      <c r="A17" s="185"/>
      <c r="B17" s="185"/>
      <c r="C17" s="185" t="s">
        <v>185</v>
      </c>
      <c r="D17" s="185"/>
      <c r="E17" s="185"/>
      <c r="F17" s="187">
        <v>6.4000000000000001E-2</v>
      </c>
      <c r="G17" s="187"/>
      <c r="H17" s="187"/>
      <c r="I17" s="187"/>
      <c r="J17" s="187"/>
      <c r="K17" s="185"/>
      <c r="L17" s="4"/>
      <c r="M17" s="4"/>
      <c r="N17" s="5" t="s">
        <v>186</v>
      </c>
      <c r="O17" s="4"/>
      <c r="P17" s="187">
        <f>SUM(P13:P16)</f>
        <v>0.35000000000000003</v>
      </c>
      <c r="Q17" s="187">
        <f>SUM(Q13:Q16)</f>
        <v>0.18000000000000002</v>
      </c>
    </row>
    <row r="18" spans="1:17" ht="15.95" customHeight="1" thickBot="1">
      <c r="A18" s="185"/>
      <c r="B18" s="185"/>
      <c r="C18" s="185" t="s">
        <v>188</v>
      </c>
      <c r="D18" s="185"/>
      <c r="E18" s="185"/>
      <c r="F18" s="187">
        <v>1.5E-3</v>
      </c>
      <c r="G18" s="187"/>
      <c r="H18" s="187"/>
      <c r="I18" s="187"/>
      <c r="J18" s="187"/>
      <c r="K18" s="185"/>
      <c r="L18" s="4"/>
      <c r="M18" s="4"/>
      <c r="N18" s="5" t="s">
        <v>189</v>
      </c>
      <c r="O18" s="4"/>
      <c r="P18" s="8">
        <f>P11+P17</f>
        <v>0.53</v>
      </c>
      <c r="Q18" s="8">
        <f>Q11+Q17</f>
        <v>0.35400000000000004</v>
      </c>
    </row>
    <row r="19" spans="1:17" ht="15.95" customHeight="1" thickTop="1">
      <c r="A19" s="185"/>
      <c r="B19" s="185"/>
      <c r="C19" s="185" t="s">
        <v>191</v>
      </c>
      <c r="D19" s="185"/>
      <c r="E19" s="185"/>
      <c r="F19" s="187">
        <v>0.05</v>
      </c>
      <c r="G19" s="187"/>
      <c r="H19" s="187"/>
      <c r="I19" s="187"/>
      <c r="J19" s="187"/>
      <c r="K19" s="185"/>
      <c r="L19" s="4"/>
      <c r="M19" s="4"/>
      <c r="N19" s="4"/>
      <c r="O19" s="4"/>
      <c r="P19" s="187"/>
      <c r="Q19" s="187"/>
    </row>
    <row r="20" spans="1:17">
      <c r="A20" s="185"/>
      <c r="B20" s="185"/>
      <c r="C20" s="185" t="s">
        <v>422</v>
      </c>
      <c r="D20" s="185"/>
      <c r="E20" s="185"/>
      <c r="F20" s="187">
        <v>1E-3</v>
      </c>
      <c r="G20" s="187"/>
      <c r="H20" s="187"/>
      <c r="I20" s="187"/>
      <c r="J20" s="187"/>
      <c r="K20" s="185"/>
      <c r="L20" s="220" t="s">
        <v>193</v>
      </c>
      <c r="M20" s="256"/>
      <c r="N20" s="256"/>
      <c r="O20" s="256"/>
      <c r="P20" s="272"/>
      <c r="Q20" s="272"/>
    </row>
    <row r="21" spans="1:17">
      <c r="A21" s="185"/>
      <c r="B21" s="185"/>
      <c r="C21" s="185" t="s">
        <v>195</v>
      </c>
      <c r="D21" s="185"/>
      <c r="E21" s="185"/>
      <c r="F21" s="187">
        <v>8.0000000000000002E-3</v>
      </c>
      <c r="G21" s="187"/>
      <c r="H21" s="187"/>
      <c r="I21" s="187"/>
      <c r="J21" s="187"/>
      <c r="K21" s="185"/>
      <c r="L21" s="5" t="s">
        <v>196</v>
      </c>
      <c r="M21" s="4"/>
      <c r="N21" s="4"/>
      <c r="O21" s="4"/>
      <c r="P21" s="187"/>
      <c r="Q21" s="187"/>
    </row>
    <row r="22" spans="1:17">
      <c r="A22" s="185"/>
      <c r="B22" s="185"/>
      <c r="C22" s="185" t="s">
        <v>198</v>
      </c>
      <c r="D22" s="185"/>
      <c r="E22" s="185"/>
      <c r="F22" s="7">
        <v>4.0000000000000001E-3</v>
      </c>
      <c r="G22" s="187"/>
      <c r="H22" s="187"/>
      <c r="I22" s="187"/>
      <c r="J22" s="187"/>
      <c r="K22" s="185"/>
      <c r="L22" s="4"/>
      <c r="M22" s="4" t="s">
        <v>136</v>
      </c>
      <c r="N22" s="4"/>
      <c r="O22" s="4"/>
      <c r="P22" s="11"/>
      <c r="Q22" s="187">
        <v>0.06</v>
      </c>
    </row>
    <row r="23" spans="1:17">
      <c r="A23" s="185"/>
      <c r="B23" s="3" t="s">
        <v>200</v>
      </c>
      <c r="C23" s="185"/>
      <c r="D23" s="185"/>
      <c r="E23" s="185"/>
      <c r="F23" s="187"/>
      <c r="G23" s="187"/>
      <c r="H23" s="7">
        <v>6.0743750000000013E-2</v>
      </c>
      <c r="I23" s="187"/>
      <c r="J23" s="7">
        <v>0.21658749999999999</v>
      </c>
      <c r="K23" s="185"/>
      <c r="L23" s="4"/>
      <c r="M23" s="4" t="s">
        <v>137</v>
      </c>
      <c r="N23" s="4"/>
      <c r="O23" s="4"/>
      <c r="P23" s="187">
        <v>1.7500000000000002E-2</v>
      </c>
      <c r="Q23" s="187">
        <v>0.01</v>
      </c>
    </row>
    <row r="24" spans="1:17">
      <c r="A24" s="185"/>
      <c r="B24" s="3" t="s">
        <v>203</v>
      </c>
      <c r="C24" s="185"/>
      <c r="D24" s="185"/>
      <c r="E24" s="185"/>
      <c r="F24" s="187"/>
      <c r="G24" s="187"/>
      <c r="H24" s="187"/>
      <c r="I24" s="187"/>
      <c r="J24" s="187">
        <v>0.13735374999999991</v>
      </c>
      <c r="K24" s="185"/>
      <c r="L24" s="4"/>
      <c r="M24" s="4" t="s">
        <v>138</v>
      </c>
      <c r="N24" s="4"/>
      <c r="O24" s="4"/>
      <c r="P24" s="187">
        <v>2.5000000000000001E-2</v>
      </c>
      <c r="Q24" s="187">
        <v>1.4999999999999999E-2</v>
      </c>
    </row>
    <row r="25" spans="1:17">
      <c r="A25" s="185"/>
      <c r="B25" s="185"/>
      <c r="C25" s="185"/>
      <c r="D25" s="185"/>
      <c r="E25" s="185"/>
      <c r="F25" s="187"/>
      <c r="G25" s="187"/>
      <c r="H25" s="187"/>
      <c r="I25" s="187"/>
      <c r="J25" s="187"/>
      <c r="K25" s="185"/>
      <c r="L25" s="4"/>
      <c r="M25" s="4"/>
      <c r="N25" s="5" t="s">
        <v>205</v>
      </c>
      <c r="O25" s="4"/>
      <c r="P25" s="19">
        <f>P30-P29</f>
        <v>0.33499999999999996</v>
      </c>
      <c r="Q25" s="19">
        <f>SUM(Q22:Q24)</f>
        <v>8.4999999999999992E-2</v>
      </c>
    </row>
    <row r="26" spans="1:17">
      <c r="A26" s="1" t="s">
        <v>206</v>
      </c>
      <c r="B26" s="185"/>
      <c r="C26" s="185"/>
      <c r="D26" s="185"/>
      <c r="E26" s="185"/>
      <c r="F26" s="187"/>
      <c r="G26" s="187"/>
      <c r="H26" s="187"/>
      <c r="I26" s="187"/>
      <c r="J26" s="187"/>
      <c r="K26" s="185"/>
      <c r="L26" s="5" t="s">
        <v>207</v>
      </c>
      <c r="M26" s="4"/>
      <c r="N26" s="4"/>
      <c r="O26" s="4"/>
      <c r="P26" s="187"/>
      <c r="Q26" s="187"/>
    </row>
    <row r="27" spans="1:17">
      <c r="A27" s="185"/>
      <c r="B27" s="185"/>
      <c r="C27" s="185" t="s">
        <v>125</v>
      </c>
      <c r="D27" s="185"/>
      <c r="E27" s="185"/>
      <c r="F27" s="187"/>
      <c r="G27" s="187"/>
      <c r="H27" s="187">
        <v>3.1250000000000002E-3</v>
      </c>
      <c r="I27" s="187"/>
      <c r="J27" s="187"/>
      <c r="K27" s="185"/>
      <c r="L27" s="4"/>
      <c r="M27" s="4" t="s">
        <v>139</v>
      </c>
      <c r="N27" s="4"/>
      <c r="O27" s="4"/>
      <c r="P27" s="187">
        <v>2.5000000000000001E-2</v>
      </c>
      <c r="Q27" s="187">
        <v>0.03</v>
      </c>
    </row>
    <row r="28" spans="1:17">
      <c r="A28" s="185"/>
      <c r="B28" s="185"/>
      <c r="C28" s="185" t="s">
        <v>209</v>
      </c>
      <c r="D28" s="185"/>
      <c r="E28" s="185"/>
      <c r="F28" s="187"/>
      <c r="G28" s="187"/>
      <c r="H28" s="7">
        <v>-6.3749999999999996E-3</v>
      </c>
      <c r="I28" s="187"/>
      <c r="J28" s="7">
        <v>-3.249999999999999E-3</v>
      </c>
      <c r="K28" s="185"/>
      <c r="L28" s="4"/>
      <c r="M28" s="4" t="s">
        <v>140</v>
      </c>
      <c r="N28" s="4"/>
      <c r="O28" s="4"/>
      <c r="P28" s="7">
        <v>0.14000000000000001</v>
      </c>
      <c r="Q28" s="7">
        <v>0.08</v>
      </c>
    </row>
    <row r="29" spans="1:17">
      <c r="A29" s="185"/>
      <c r="B29" s="3" t="s">
        <v>210</v>
      </c>
      <c r="C29" s="185"/>
      <c r="D29" s="185"/>
      <c r="E29" s="185"/>
      <c r="F29" s="187"/>
      <c r="G29" s="187"/>
      <c r="H29" s="187"/>
      <c r="I29" s="187"/>
      <c r="J29" s="187">
        <v>0.13410374999999991</v>
      </c>
      <c r="K29" s="185"/>
      <c r="L29" s="4"/>
      <c r="M29" s="4"/>
      <c r="N29" s="5" t="s">
        <v>211</v>
      </c>
      <c r="O29" s="4"/>
      <c r="P29" s="187">
        <f>SUM(P27:P28)</f>
        <v>0.16500000000000001</v>
      </c>
      <c r="Q29" s="187">
        <f>SUM(Q27:Q28)</f>
        <v>0.11</v>
      </c>
    </row>
    <row r="30" spans="1:17">
      <c r="A30" s="185"/>
      <c r="B30" s="185"/>
      <c r="C30" s="3" t="s">
        <v>212</v>
      </c>
      <c r="D30" s="185"/>
      <c r="E30" s="185"/>
      <c r="F30" s="187"/>
      <c r="G30" s="187"/>
      <c r="H30" s="187"/>
      <c r="I30" s="187"/>
      <c r="J30" s="7">
        <v>4.6936312499999952E-2</v>
      </c>
      <c r="K30" s="185"/>
      <c r="L30" s="4"/>
      <c r="M30" s="4"/>
      <c r="N30" s="5" t="s">
        <v>213</v>
      </c>
      <c r="O30" s="4"/>
      <c r="P30" s="187">
        <f>P37-P36</f>
        <v>0.5</v>
      </c>
      <c r="Q30" s="187">
        <f>Q25+Q29</f>
        <v>0.19500000000000001</v>
      </c>
    </row>
    <row r="31" spans="1:17" ht="15.95" customHeight="1" thickBot="1">
      <c r="A31" s="185"/>
      <c r="B31" s="3" t="s">
        <v>162</v>
      </c>
      <c r="C31" s="185"/>
      <c r="D31" s="185"/>
      <c r="E31" s="185"/>
      <c r="F31" s="187"/>
      <c r="G31" s="187"/>
      <c r="H31" s="187"/>
      <c r="I31" s="187"/>
      <c r="J31" s="8">
        <v>8.7167437499999917E-2</v>
      </c>
      <c r="K31" s="185"/>
      <c r="L31" s="5" t="s">
        <v>214</v>
      </c>
      <c r="M31" s="4"/>
      <c r="N31" s="4"/>
      <c r="O31" s="4"/>
      <c r="P31" s="187"/>
      <c r="Q31" s="187"/>
    </row>
    <row r="32" spans="1:17" ht="15.95" customHeight="1" thickTop="1">
      <c r="A32" s="185"/>
      <c r="B32" s="185"/>
      <c r="C32" s="185"/>
      <c r="D32" s="185"/>
      <c r="E32" s="185"/>
      <c r="F32" s="187"/>
      <c r="G32" s="187"/>
      <c r="H32" s="187"/>
      <c r="I32" s="187"/>
      <c r="J32" s="187"/>
      <c r="K32" s="185"/>
      <c r="L32" s="4"/>
      <c r="M32" s="4" t="s">
        <v>216</v>
      </c>
      <c r="N32" s="4"/>
      <c r="O32" s="4"/>
      <c r="P32" s="11"/>
      <c r="Q32" s="11"/>
    </row>
    <row r="33" spans="12:17">
      <c r="L33" s="4"/>
      <c r="M33" s="4" t="str">
        <f>'Original Financial Statements'!D34</f>
        <v xml:space="preserve">  ($1 par, 100,000 authorized, 20,000 outstanding)</v>
      </c>
      <c r="N33" s="4"/>
      <c r="O33" s="4"/>
      <c r="P33" s="187"/>
      <c r="Q33" s="187"/>
    </row>
    <row r="34" spans="12:17">
      <c r="L34" s="4"/>
      <c r="M34" s="4" t="s">
        <v>141</v>
      </c>
      <c r="N34" s="4"/>
      <c r="O34" s="4"/>
      <c r="P34" s="187">
        <v>0.03</v>
      </c>
      <c r="Q34" s="187">
        <v>0.03</v>
      </c>
    </row>
    <row r="35" spans="12:17">
      <c r="L35" s="4"/>
      <c r="M35" s="4" t="s">
        <v>217</v>
      </c>
      <c r="N35" s="4"/>
      <c r="O35" s="4"/>
      <c r="P35" s="13"/>
      <c r="Q35" s="14"/>
    </row>
    <row r="36" spans="12:17">
      <c r="L36" s="4"/>
      <c r="M36" s="4"/>
      <c r="N36" s="5" t="s">
        <v>218</v>
      </c>
      <c r="O36" s="4"/>
      <c r="P36" s="10">
        <f>SUM(P32:P35)</f>
        <v>0.03</v>
      </c>
      <c r="Q36" s="10">
        <f>Q37-Q30</f>
        <v>0.15900000000000003</v>
      </c>
    </row>
    <row r="37" spans="12:17" ht="15.95" customHeight="1" thickBot="1">
      <c r="L37" s="4"/>
      <c r="M37" s="4"/>
      <c r="N37" s="5" t="s">
        <v>219</v>
      </c>
      <c r="O37" s="4"/>
      <c r="P37" s="8">
        <f>P18</f>
        <v>0.53</v>
      </c>
      <c r="Q37" s="8">
        <f>Q18</f>
        <v>0.35400000000000004</v>
      </c>
    </row>
    <row r="38" spans="12:17" ht="15.95" customHeight="1" thickTop="1">
      <c r="L38" s="185"/>
      <c r="M38" s="185"/>
      <c r="N38" s="185"/>
      <c r="O38" s="185"/>
      <c r="P38" s="187"/>
      <c r="Q38" s="187"/>
    </row>
    <row r="39" spans="12:17">
      <c r="L39" s="185" t="s">
        <v>142</v>
      </c>
      <c r="M39" s="185"/>
      <c r="N39" s="185"/>
      <c r="O39" s="185"/>
      <c r="P39" s="187">
        <f>1.15%</f>
        <v>1.15E-2</v>
      </c>
      <c r="Q39" s="187"/>
    </row>
  </sheetData>
  <mergeCells count="8">
    <mergeCell ref="L5:Q5"/>
    <mergeCell ref="L20:Q20"/>
    <mergeCell ref="A1:J1"/>
    <mergeCell ref="L1:Q1"/>
    <mergeCell ref="A2:J2"/>
    <mergeCell ref="L2:Q2"/>
    <mergeCell ref="A3:J3"/>
    <mergeCell ref="L3:Q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H50"/>
  <sheetViews>
    <sheetView topLeftCell="A26" workbookViewId="0">
      <selection activeCell="F39" sqref="F39:F40"/>
    </sheetView>
  </sheetViews>
  <sheetFormatPr defaultColWidth="8.85546875" defaultRowHeight="15"/>
  <cols>
    <col min="1" max="1" width="48" customWidth="1"/>
    <col min="2" max="2" width="3.42578125" customWidth="1"/>
    <col min="3" max="3" width="8.42578125" style="16" bestFit="1" customWidth="1"/>
    <col min="4" max="4" width="6.42578125" style="16" bestFit="1" customWidth="1"/>
    <col min="5" max="5" width="13.5703125" style="16" bestFit="1" customWidth="1"/>
    <col min="6" max="7" width="8.5703125" style="16" bestFit="1" customWidth="1"/>
  </cols>
  <sheetData>
    <row r="1" spans="1:8">
      <c r="A1" s="185"/>
      <c r="B1" s="185"/>
      <c r="C1" s="194" t="s">
        <v>423</v>
      </c>
      <c r="D1" s="194"/>
      <c r="E1" s="194" t="s">
        <v>424</v>
      </c>
      <c r="F1" s="194"/>
      <c r="G1" s="194" t="s">
        <v>423</v>
      </c>
      <c r="H1" s="185"/>
    </row>
    <row r="2" spans="1:8">
      <c r="A2" s="185" t="s">
        <v>425</v>
      </c>
      <c r="B2" s="185"/>
      <c r="C2" s="17" t="s">
        <v>426</v>
      </c>
      <c r="D2" s="17" t="s">
        <v>426</v>
      </c>
      <c r="E2" s="17" t="s">
        <v>427</v>
      </c>
      <c r="F2" s="17" t="s">
        <v>428</v>
      </c>
      <c r="G2" s="17" t="s">
        <v>428</v>
      </c>
      <c r="H2" s="17" t="s">
        <v>429</v>
      </c>
    </row>
    <row r="3" spans="1:8">
      <c r="A3" s="196" t="s">
        <v>430</v>
      </c>
      <c r="B3" s="185"/>
      <c r="C3" s="280">
        <v>7</v>
      </c>
      <c r="D3" s="280">
        <v>22</v>
      </c>
      <c r="E3" s="280">
        <v>13</v>
      </c>
      <c r="F3" s="280">
        <v>5</v>
      </c>
      <c r="G3" s="280">
        <v>0</v>
      </c>
      <c r="H3" s="280">
        <f>SUM(C3:G4)</f>
        <v>47</v>
      </c>
    </row>
    <row r="4" spans="1:8">
      <c r="A4" s="256"/>
      <c r="B4" s="185"/>
      <c r="C4" s="277"/>
      <c r="D4" s="277"/>
      <c r="E4" s="277"/>
      <c r="F4" s="277"/>
      <c r="G4" s="277"/>
      <c r="H4" s="256"/>
    </row>
    <row r="5" spans="1:8">
      <c r="A5" s="196" t="s">
        <v>431</v>
      </c>
      <c r="B5" s="185"/>
      <c r="C5" s="278">
        <v>5</v>
      </c>
      <c r="D5" s="278">
        <v>17</v>
      </c>
      <c r="E5" s="278">
        <v>17</v>
      </c>
      <c r="F5" s="278">
        <v>7</v>
      </c>
      <c r="G5" s="278">
        <v>0</v>
      </c>
      <c r="H5" s="278">
        <f>SUM(C5:G6)</f>
        <v>46</v>
      </c>
    </row>
    <row r="6" spans="1:8">
      <c r="A6" s="256"/>
      <c r="B6" s="185"/>
      <c r="C6" s="277"/>
      <c r="D6" s="277"/>
      <c r="E6" s="277"/>
      <c r="F6" s="277"/>
      <c r="G6" s="277"/>
      <c r="H6" s="256"/>
    </row>
    <row r="7" spans="1:8">
      <c r="A7" s="196" t="s">
        <v>432</v>
      </c>
      <c r="B7" s="185"/>
      <c r="C7" s="278">
        <v>11</v>
      </c>
      <c r="D7" s="278">
        <v>23</v>
      </c>
      <c r="E7" s="278">
        <v>11</v>
      </c>
      <c r="F7" s="278">
        <v>2</v>
      </c>
      <c r="G7" s="278">
        <v>0</v>
      </c>
      <c r="H7" s="278">
        <f>SUM(C7:G8)</f>
        <v>47</v>
      </c>
    </row>
    <row r="8" spans="1:8">
      <c r="A8" s="256"/>
      <c r="B8" s="185"/>
      <c r="C8" s="277"/>
      <c r="D8" s="277"/>
      <c r="E8" s="277"/>
      <c r="F8" s="277"/>
      <c r="G8" s="277"/>
      <c r="H8" s="256"/>
    </row>
    <row r="9" spans="1:8">
      <c r="A9" s="196" t="s">
        <v>433</v>
      </c>
      <c r="B9" s="185"/>
      <c r="C9" s="278">
        <v>9</v>
      </c>
      <c r="D9" s="278">
        <v>29</v>
      </c>
      <c r="E9" s="278">
        <v>8</v>
      </c>
      <c r="F9" s="278">
        <v>0</v>
      </c>
      <c r="G9" s="278">
        <v>0</v>
      </c>
      <c r="H9" s="278">
        <f>SUM(C9:G10)</f>
        <v>46</v>
      </c>
    </row>
    <row r="10" spans="1:8">
      <c r="A10" s="256"/>
      <c r="B10" s="185"/>
      <c r="C10" s="277"/>
      <c r="D10" s="277"/>
      <c r="E10" s="277"/>
      <c r="F10" s="277"/>
      <c r="G10" s="277"/>
      <c r="H10" s="256"/>
    </row>
    <row r="11" spans="1:8">
      <c r="A11" s="196" t="s">
        <v>434</v>
      </c>
      <c r="B11" s="185"/>
      <c r="C11" s="278">
        <v>15</v>
      </c>
      <c r="D11" s="278">
        <v>22</v>
      </c>
      <c r="E11" s="278">
        <v>11</v>
      </c>
      <c r="F11" s="278">
        <v>0</v>
      </c>
      <c r="G11" s="278">
        <v>0</v>
      </c>
      <c r="H11" s="278">
        <f>SUM(C11:G12)</f>
        <v>48</v>
      </c>
    </row>
    <row r="12" spans="1:8">
      <c r="A12" s="256"/>
      <c r="B12" s="185"/>
      <c r="C12" s="277"/>
      <c r="D12" s="277"/>
      <c r="E12" s="277"/>
      <c r="F12" s="277"/>
      <c r="G12" s="277"/>
      <c r="H12" s="256"/>
    </row>
    <row r="13" spans="1:8">
      <c r="A13" s="196" t="s">
        <v>435</v>
      </c>
      <c r="B13" s="185"/>
      <c r="C13" s="278">
        <v>17</v>
      </c>
      <c r="D13" s="278">
        <v>27</v>
      </c>
      <c r="E13" s="278">
        <v>6</v>
      </c>
      <c r="F13" s="278">
        <v>0</v>
      </c>
      <c r="G13" s="278">
        <v>0</v>
      </c>
      <c r="H13" s="278">
        <f>SUM(C13:G14)</f>
        <v>50</v>
      </c>
    </row>
    <row r="14" spans="1:8">
      <c r="A14" s="256"/>
      <c r="B14" s="185"/>
      <c r="C14" s="277"/>
      <c r="D14" s="277"/>
      <c r="E14" s="277"/>
      <c r="F14" s="277"/>
      <c r="G14" s="277"/>
      <c r="H14" s="256"/>
    </row>
    <row r="15" spans="1:8">
      <c r="A15" s="196" t="s">
        <v>436</v>
      </c>
      <c r="B15" s="185"/>
      <c r="C15" s="278">
        <v>20</v>
      </c>
      <c r="D15" s="278">
        <v>24</v>
      </c>
      <c r="E15" s="278">
        <v>5</v>
      </c>
      <c r="F15" s="278">
        <v>2</v>
      </c>
      <c r="G15" s="278">
        <v>0</v>
      </c>
      <c r="H15" s="278">
        <f>SUM(C15:G16)</f>
        <v>51</v>
      </c>
    </row>
    <row r="16" spans="1:8">
      <c r="A16" s="256"/>
      <c r="B16" s="185"/>
      <c r="C16" s="277"/>
      <c r="D16" s="277"/>
      <c r="E16" s="277"/>
      <c r="F16" s="277"/>
      <c r="G16" s="277"/>
      <c r="H16" s="256"/>
    </row>
    <row r="17" spans="1:8">
      <c r="A17" s="196" t="s">
        <v>437</v>
      </c>
      <c r="B17" s="185"/>
      <c r="C17" s="278">
        <v>18</v>
      </c>
      <c r="D17" s="278">
        <v>23</v>
      </c>
      <c r="E17" s="278">
        <v>7</v>
      </c>
      <c r="F17" s="278">
        <v>3</v>
      </c>
      <c r="G17" s="278">
        <v>0</v>
      </c>
      <c r="H17" s="278">
        <f>SUM(C17:G18)</f>
        <v>51</v>
      </c>
    </row>
    <row r="18" spans="1:8">
      <c r="A18" s="256"/>
      <c r="B18" s="185"/>
      <c r="C18" s="277"/>
      <c r="D18" s="277"/>
      <c r="E18" s="277"/>
      <c r="F18" s="277"/>
      <c r="G18" s="277"/>
      <c r="H18" s="256"/>
    </row>
    <row r="19" spans="1:8" ht="15" customHeight="1">
      <c r="A19" s="196" t="s">
        <v>438</v>
      </c>
      <c r="B19" s="185"/>
      <c r="C19" s="278">
        <v>21</v>
      </c>
      <c r="D19" s="278">
        <v>20</v>
      </c>
      <c r="E19" s="278">
        <v>8</v>
      </c>
      <c r="F19" s="278">
        <v>2</v>
      </c>
      <c r="G19" s="278">
        <v>0</v>
      </c>
      <c r="H19" s="278">
        <f>SUM(C19:G20)</f>
        <v>51</v>
      </c>
    </row>
    <row r="20" spans="1:8">
      <c r="A20" s="256"/>
      <c r="B20" s="185"/>
      <c r="C20" s="277"/>
      <c r="D20" s="277"/>
      <c r="E20" s="277"/>
      <c r="F20" s="277"/>
      <c r="G20" s="277"/>
      <c r="H20" s="256"/>
    </row>
    <row r="21" spans="1:8" ht="15" customHeight="1">
      <c r="A21" s="196" t="s">
        <v>439</v>
      </c>
      <c r="B21" s="185"/>
      <c r="C21" s="278">
        <v>21</v>
      </c>
      <c r="D21" s="278">
        <v>20</v>
      </c>
      <c r="E21" s="278">
        <v>9</v>
      </c>
      <c r="F21" s="278">
        <v>0</v>
      </c>
      <c r="G21" s="278">
        <v>0</v>
      </c>
      <c r="H21" s="278">
        <f>SUM(C21:G23)</f>
        <v>50</v>
      </c>
    </row>
    <row r="22" spans="1:8">
      <c r="A22" s="256"/>
      <c r="B22" s="185"/>
      <c r="C22" s="277"/>
      <c r="D22" s="277"/>
      <c r="E22" s="277"/>
      <c r="F22" s="277"/>
      <c r="G22" s="277"/>
      <c r="H22" s="256"/>
    </row>
    <row r="23" spans="1:8">
      <c r="A23" s="256"/>
      <c r="B23" s="185"/>
      <c r="C23" s="277"/>
      <c r="D23" s="277"/>
      <c r="E23" s="277"/>
      <c r="F23" s="277"/>
      <c r="G23" s="277"/>
      <c r="H23" s="256"/>
    </row>
    <row r="24" spans="1:8">
      <c r="A24" s="35" t="s">
        <v>440</v>
      </c>
      <c r="B24" s="185"/>
      <c r="C24" s="194">
        <v>16</v>
      </c>
      <c r="D24" s="194">
        <v>30</v>
      </c>
      <c r="E24" s="194">
        <v>5</v>
      </c>
      <c r="F24" s="194">
        <v>0</v>
      </c>
      <c r="G24" s="194">
        <v>0</v>
      </c>
      <c r="H24" s="194">
        <f>SUM(C24:G24)</f>
        <v>51</v>
      </c>
    </row>
    <row r="27" spans="1:8">
      <c r="A27" s="185"/>
      <c r="B27" s="185"/>
      <c r="C27" s="194" t="s">
        <v>423</v>
      </c>
      <c r="D27" s="194"/>
      <c r="E27" s="194" t="s">
        <v>424</v>
      </c>
      <c r="F27" s="194"/>
      <c r="G27" s="194" t="s">
        <v>423</v>
      </c>
      <c r="H27" s="185"/>
    </row>
    <row r="28" spans="1:8">
      <c r="A28" s="185" t="s">
        <v>425</v>
      </c>
      <c r="B28" s="185"/>
      <c r="C28" s="17" t="s">
        <v>426</v>
      </c>
      <c r="D28" s="17" t="s">
        <v>426</v>
      </c>
      <c r="E28" s="17" t="s">
        <v>427</v>
      </c>
      <c r="F28" s="17" t="s">
        <v>428</v>
      </c>
      <c r="G28" s="17" t="s">
        <v>428</v>
      </c>
      <c r="H28" s="185"/>
    </row>
    <row r="29" spans="1:8" ht="15" hidden="1" customHeight="1">
      <c r="A29" s="196" t="s">
        <v>430</v>
      </c>
      <c r="B29" s="185"/>
      <c r="C29" s="279">
        <f>C3/$H3</f>
        <v>0.14893617021276595</v>
      </c>
      <c r="D29" s="279">
        <f>D3/$H3</f>
        <v>0.46808510638297873</v>
      </c>
      <c r="E29" s="279">
        <f>E3/$H3</f>
        <v>0.27659574468085107</v>
      </c>
      <c r="F29" s="279">
        <f>F3/$H3</f>
        <v>0.10638297872340426</v>
      </c>
      <c r="G29" s="279">
        <f>G3/$H3</f>
        <v>0</v>
      </c>
      <c r="H29" s="185"/>
    </row>
    <row r="30" spans="1:8" hidden="1">
      <c r="A30" s="256"/>
      <c r="B30" s="185"/>
      <c r="C30" s="277"/>
      <c r="D30" s="277"/>
      <c r="E30" s="277"/>
      <c r="F30" s="277"/>
      <c r="G30" s="277"/>
      <c r="H30" s="185"/>
    </row>
    <row r="31" spans="1:8" ht="15" hidden="1" customHeight="1">
      <c r="A31" s="196" t="s">
        <v>431</v>
      </c>
      <c r="B31" s="185"/>
      <c r="C31" s="276">
        <f>C5/$H5</f>
        <v>0.10869565217391304</v>
      </c>
      <c r="D31" s="276">
        <f>D5/$H5</f>
        <v>0.36956521739130432</v>
      </c>
      <c r="E31" s="276">
        <f>E5/$H5</f>
        <v>0.36956521739130432</v>
      </c>
      <c r="F31" s="276">
        <f>F5/$H5</f>
        <v>0.15217391304347827</v>
      </c>
      <c r="G31" s="276">
        <f>G5/$H5</f>
        <v>0</v>
      </c>
      <c r="H31" s="185"/>
    </row>
    <row r="32" spans="1:8" hidden="1">
      <c r="A32" s="256"/>
      <c r="B32" s="185"/>
      <c r="C32" s="277"/>
      <c r="D32" s="277"/>
      <c r="E32" s="277"/>
      <c r="F32" s="277"/>
      <c r="G32" s="277"/>
      <c r="H32" s="185"/>
    </row>
    <row r="33" spans="1:7" ht="15" hidden="1" customHeight="1">
      <c r="A33" s="196" t="s">
        <v>432</v>
      </c>
      <c r="B33" s="185"/>
      <c r="C33" s="276">
        <f>C7/$H7</f>
        <v>0.23404255319148937</v>
      </c>
      <c r="D33" s="276">
        <f>D7/$H7</f>
        <v>0.48936170212765956</v>
      </c>
      <c r="E33" s="276">
        <f>E7/$H7</f>
        <v>0.23404255319148937</v>
      </c>
      <c r="F33" s="276">
        <f>F7/$H7</f>
        <v>4.2553191489361701E-2</v>
      </c>
      <c r="G33" s="276">
        <f>G7/$H7</f>
        <v>0</v>
      </c>
    </row>
    <row r="34" spans="1:7" hidden="1">
      <c r="A34" s="256"/>
      <c r="B34" s="185"/>
      <c r="C34" s="277"/>
      <c r="D34" s="277"/>
      <c r="E34" s="277"/>
      <c r="F34" s="277"/>
      <c r="G34" s="277"/>
    </row>
    <row r="35" spans="1:7" ht="15" hidden="1" customHeight="1">
      <c r="A35" s="196" t="s">
        <v>433</v>
      </c>
      <c r="B35" s="185"/>
      <c r="C35" s="276">
        <f>C9/$H9</f>
        <v>0.19565217391304349</v>
      </c>
      <c r="D35" s="276">
        <f>D9/$H9</f>
        <v>0.63043478260869568</v>
      </c>
      <c r="E35" s="276">
        <f>E9/$H9</f>
        <v>0.17391304347826086</v>
      </c>
      <c r="F35" s="276">
        <f>F9/$H9</f>
        <v>0</v>
      </c>
      <c r="G35" s="276">
        <f>G9/$H9</f>
        <v>0</v>
      </c>
    </row>
    <row r="36" spans="1:7" hidden="1">
      <c r="A36" s="256"/>
      <c r="B36" s="185"/>
      <c r="C36" s="277"/>
      <c r="D36" s="277"/>
      <c r="E36" s="277"/>
      <c r="F36" s="277"/>
      <c r="G36" s="277"/>
    </row>
    <row r="37" spans="1:7" ht="15" hidden="1" customHeight="1">
      <c r="A37" s="196" t="s">
        <v>434</v>
      </c>
      <c r="B37" s="185"/>
      <c r="C37" s="276">
        <f>C11/$H11</f>
        <v>0.3125</v>
      </c>
      <c r="D37" s="276">
        <f>D11/$H11</f>
        <v>0.45833333333333331</v>
      </c>
      <c r="E37" s="276">
        <f>E11/$H11</f>
        <v>0.22916666666666666</v>
      </c>
      <c r="F37" s="276">
        <f>F11/$H11</f>
        <v>0</v>
      </c>
      <c r="G37" s="276">
        <f>G11/$H11</f>
        <v>0</v>
      </c>
    </row>
    <row r="38" spans="1:7" hidden="1">
      <c r="A38" s="256"/>
      <c r="B38" s="185"/>
      <c r="C38" s="277"/>
      <c r="D38" s="277"/>
      <c r="E38" s="277"/>
      <c r="F38" s="277"/>
      <c r="G38" s="277"/>
    </row>
    <row r="39" spans="1:7" ht="15" customHeight="1">
      <c r="A39" s="196" t="s">
        <v>435</v>
      </c>
      <c r="B39" s="185"/>
      <c r="C39" s="276">
        <f>C13/$H13</f>
        <v>0.34</v>
      </c>
      <c r="D39" s="276">
        <f>D13/$H13</f>
        <v>0.54</v>
      </c>
      <c r="E39" s="276">
        <f>E13/$H13</f>
        <v>0.12</v>
      </c>
      <c r="F39" s="276">
        <f>F13/$H13</f>
        <v>0</v>
      </c>
      <c r="G39" s="276">
        <f>G13/$H13</f>
        <v>0</v>
      </c>
    </row>
    <row r="40" spans="1:7">
      <c r="A40" s="256"/>
      <c r="B40" s="185"/>
      <c r="C40" s="277"/>
      <c r="D40" s="277"/>
      <c r="E40" s="277"/>
      <c r="F40" s="277"/>
      <c r="G40" s="277"/>
    </row>
    <row r="41" spans="1:7">
      <c r="A41" s="196" t="s">
        <v>436</v>
      </c>
      <c r="B41" s="185"/>
      <c r="C41" s="276">
        <f>C15/$H15</f>
        <v>0.39215686274509803</v>
      </c>
      <c r="D41" s="276">
        <f>D15/$H15</f>
        <v>0.47058823529411764</v>
      </c>
      <c r="E41" s="276">
        <f>E15/$H15</f>
        <v>9.8039215686274508E-2</v>
      </c>
      <c r="F41" s="276">
        <f>F15/$H15</f>
        <v>3.9215686274509803E-2</v>
      </c>
      <c r="G41" s="276">
        <f>G15/$H15</f>
        <v>0</v>
      </c>
    </row>
    <row r="42" spans="1:7">
      <c r="A42" s="256"/>
      <c r="B42" s="185"/>
      <c r="C42" s="277"/>
      <c r="D42" s="277"/>
      <c r="E42" s="277"/>
      <c r="F42" s="277"/>
      <c r="G42" s="277"/>
    </row>
    <row r="43" spans="1:7">
      <c r="A43" s="196" t="s">
        <v>437</v>
      </c>
      <c r="B43" s="185"/>
      <c r="C43" s="276">
        <f>C17/$H17</f>
        <v>0.35294117647058826</v>
      </c>
      <c r="D43" s="276">
        <f>D17/$H17</f>
        <v>0.45098039215686275</v>
      </c>
      <c r="E43" s="276">
        <f>E17/$H17</f>
        <v>0.13725490196078433</v>
      </c>
      <c r="F43" s="276">
        <f>F17/$H17</f>
        <v>5.8823529411764705E-2</v>
      </c>
      <c r="G43" s="276">
        <f>G17/$H17</f>
        <v>0</v>
      </c>
    </row>
    <row r="44" spans="1:7">
      <c r="A44" s="256"/>
      <c r="B44" s="185"/>
      <c r="C44" s="277"/>
      <c r="D44" s="277"/>
      <c r="E44" s="277"/>
      <c r="F44" s="277"/>
      <c r="G44" s="277"/>
    </row>
    <row r="45" spans="1:7">
      <c r="A45" s="196" t="s">
        <v>438</v>
      </c>
      <c r="B45" s="185"/>
      <c r="C45" s="276">
        <f>C19/$H19</f>
        <v>0.41176470588235292</v>
      </c>
      <c r="D45" s="276">
        <f>D19/$H19</f>
        <v>0.39215686274509803</v>
      </c>
      <c r="E45" s="276">
        <f>E19/$H19</f>
        <v>0.15686274509803921</v>
      </c>
      <c r="F45" s="276">
        <f>F19/$H19</f>
        <v>3.9215686274509803E-2</v>
      </c>
      <c r="G45" s="276">
        <f>G19/$H19</f>
        <v>0</v>
      </c>
    </row>
    <row r="46" spans="1:7">
      <c r="A46" s="256"/>
      <c r="B46" s="185"/>
      <c r="C46" s="277"/>
      <c r="D46" s="277"/>
      <c r="E46" s="277"/>
      <c r="F46" s="277"/>
      <c r="G46" s="277"/>
    </row>
    <row r="47" spans="1:7">
      <c r="A47" s="196" t="s">
        <v>439</v>
      </c>
      <c r="B47" s="185"/>
      <c r="C47" s="276">
        <f>C21/$H21</f>
        <v>0.42</v>
      </c>
      <c r="D47" s="276">
        <f>D21/$H21</f>
        <v>0.4</v>
      </c>
      <c r="E47" s="276">
        <f>E21/$H21</f>
        <v>0.18</v>
      </c>
      <c r="F47" s="276">
        <f>F21/$H21</f>
        <v>0</v>
      </c>
      <c r="G47" s="276">
        <f>G21/$H21</f>
        <v>0</v>
      </c>
    </row>
    <row r="48" spans="1:7">
      <c r="A48" s="256"/>
      <c r="B48" s="185"/>
      <c r="C48" s="277"/>
      <c r="D48" s="277"/>
      <c r="E48" s="277"/>
      <c r="F48" s="277"/>
      <c r="G48" s="277"/>
    </row>
    <row r="49" spans="1:7">
      <c r="A49" s="256"/>
      <c r="B49" s="185"/>
      <c r="C49" s="277"/>
      <c r="D49" s="277"/>
      <c r="E49" s="277"/>
      <c r="F49" s="277"/>
      <c r="G49" s="277"/>
    </row>
    <row r="50" spans="1:7">
      <c r="A50" s="35" t="s">
        <v>440</v>
      </c>
      <c r="B50" s="185"/>
      <c r="C50" s="34">
        <f>C24/$H$24</f>
        <v>0.31372549019607843</v>
      </c>
      <c r="D50" s="34">
        <f>D24/$H$24</f>
        <v>0.58823529411764708</v>
      </c>
      <c r="E50" s="34">
        <f>E24/$H$24</f>
        <v>9.8039215686274508E-2</v>
      </c>
      <c r="F50" s="34">
        <f>F24/$H$24</f>
        <v>0</v>
      </c>
      <c r="G50" s="34">
        <f>G24/$H$24</f>
        <v>0</v>
      </c>
    </row>
  </sheetData>
  <mergeCells count="130">
    <mergeCell ref="H3:H4"/>
    <mergeCell ref="A5:A6"/>
    <mergeCell ref="C5:C6"/>
    <mergeCell ref="D5:D6"/>
    <mergeCell ref="E5:E6"/>
    <mergeCell ref="F5:F6"/>
    <mergeCell ref="G5:G6"/>
    <mergeCell ref="H5:H6"/>
    <mergeCell ref="A3:A4"/>
    <mergeCell ref="C3:C4"/>
    <mergeCell ref="D3:D4"/>
    <mergeCell ref="E3:E4"/>
    <mergeCell ref="F3:F4"/>
    <mergeCell ref="G3:G4"/>
    <mergeCell ref="H7:H8"/>
    <mergeCell ref="A9:A10"/>
    <mergeCell ref="C9:C10"/>
    <mergeCell ref="D9:D10"/>
    <mergeCell ref="E9:E10"/>
    <mergeCell ref="F9:F10"/>
    <mergeCell ref="G9:G10"/>
    <mergeCell ref="H9:H10"/>
    <mergeCell ref="A7:A8"/>
    <mergeCell ref="C7:C8"/>
    <mergeCell ref="D7:D8"/>
    <mergeCell ref="E7:E8"/>
    <mergeCell ref="F7:F8"/>
    <mergeCell ref="G7:G8"/>
    <mergeCell ref="H11:H12"/>
    <mergeCell ref="A19:A20"/>
    <mergeCell ref="C19:C20"/>
    <mergeCell ref="D19:D20"/>
    <mergeCell ref="E19:E20"/>
    <mergeCell ref="F19:F20"/>
    <mergeCell ref="G19:G20"/>
    <mergeCell ref="H19:H20"/>
    <mergeCell ref="A17:A18"/>
    <mergeCell ref="C17:C18"/>
    <mergeCell ref="A11:A12"/>
    <mergeCell ref="C11:C12"/>
    <mergeCell ref="D11:D12"/>
    <mergeCell ref="E11:E12"/>
    <mergeCell ref="F11:F12"/>
    <mergeCell ref="G11:G12"/>
    <mergeCell ref="D17:D18"/>
    <mergeCell ref="E17:E18"/>
    <mergeCell ref="F17:F18"/>
    <mergeCell ref="G17:G18"/>
    <mergeCell ref="H17:H18"/>
    <mergeCell ref="A13:A14"/>
    <mergeCell ref="C13:C14"/>
    <mergeCell ref="D13:D14"/>
    <mergeCell ref="A31:A32"/>
    <mergeCell ref="C31:C32"/>
    <mergeCell ref="D31:D32"/>
    <mergeCell ref="E31:E32"/>
    <mergeCell ref="F31:F32"/>
    <mergeCell ref="G31:G32"/>
    <mergeCell ref="H21:H23"/>
    <mergeCell ref="A29:A30"/>
    <mergeCell ref="C29:C30"/>
    <mergeCell ref="D29:D30"/>
    <mergeCell ref="E29:E30"/>
    <mergeCell ref="F29:F30"/>
    <mergeCell ref="G29:G30"/>
    <mergeCell ref="A21:A23"/>
    <mergeCell ref="C21:C23"/>
    <mergeCell ref="D21:D23"/>
    <mergeCell ref="E21:E23"/>
    <mergeCell ref="F21:F23"/>
    <mergeCell ref="G21:G23"/>
    <mergeCell ref="A35:A36"/>
    <mergeCell ref="C35:C36"/>
    <mergeCell ref="D35:D36"/>
    <mergeCell ref="E35:E36"/>
    <mergeCell ref="F35:F36"/>
    <mergeCell ref="G35:G36"/>
    <mergeCell ref="A33:A34"/>
    <mergeCell ref="C33:C34"/>
    <mergeCell ref="D33:D34"/>
    <mergeCell ref="E33:E34"/>
    <mergeCell ref="F33:F34"/>
    <mergeCell ref="G33:G34"/>
    <mergeCell ref="C39:C40"/>
    <mergeCell ref="D39:D40"/>
    <mergeCell ref="E39:E40"/>
    <mergeCell ref="F39:F40"/>
    <mergeCell ref="G39:G40"/>
    <mergeCell ref="A39:A40"/>
    <mergeCell ref="A37:A38"/>
    <mergeCell ref="C37:C38"/>
    <mergeCell ref="D37:D38"/>
    <mergeCell ref="E37:E38"/>
    <mergeCell ref="F37:F38"/>
    <mergeCell ref="G37:G38"/>
    <mergeCell ref="E13:E14"/>
    <mergeCell ref="F13:F14"/>
    <mergeCell ref="G13:G14"/>
    <mergeCell ref="H13:H14"/>
    <mergeCell ref="A15:A16"/>
    <mergeCell ref="C15:C16"/>
    <mergeCell ref="D15:D16"/>
    <mergeCell ref="E15:E16"/>
    <mergeCell ref="F15:F16"/>
    <mergeCell ref="G15:G16"/>
    <mergeCell ref="H15:H16"/>
    <mergeCell ref="C45:C46"/>
    <mergeCell ref="D45:D46"/>
    <mergeCell ref="E45:E46"/>
    <mergeCell ref="F45:F46"/>
    <mergeCell ref="G45:G46"/>
    <mergeCell ref="A47:A49"/>
    <mergeCell ref="C41:C42"/>
    <mergeCell ref="D41:D42"/>
    <mergeCell ref="E41:E42"/>
    <mergeCell ref="F41:F42"/>
    <mergeCell ref="G41:G42"/>
    <mergeCell ref="C43:C44"/>
    <mergeCell ref="D43:D44"/>
    <mergeCell ref="E43:E44"/>
    <mergeCell ref="F43:F44"/>
    <mergeCell ref="C47:C49"/>
    <mergeCell ref="D47:D49"/>
    <mergeCell ref="E47:E49"/>
    <mergeCell ref="F47:F49"/>
    <mergeCell ref="G47:G49"/>
    <mergeCell ref="A41:A42"/>
    <mergeCell ref="A43:A44"/>
    <mergeCell ref="A45:A46"/>
    <mergeCell ref="G43:G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jasonporter</dc:creator>
  <cp:keywords/>
  <dc:description/>
  <cp:lastModifiedBy/>
  <cp:revision/>
  <dcterms:created xsi:type="dcterms:W3CDTF">2009-01-08T19:55:10Z</dcterms:created>
  <dcterms:modified xsi:type="dcterms:W3CDTF">2025-05-22T03:48:57Z</dcterms:modified>
  <cp:category/>
  <cp:contentStatus/>
</cp:coreProperties>
</file>